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mer\Dropbox\Archivos Personales\ElmerC\Contabilidades Personales\ACIE\Davivienda\Coberturas\"/>
    </mc:Choice>
  </mc:AlternateContent>
  <bookViews>
    <workbookView xWindow="0" yWindow="0" windowWidth="19200" windowHeight="7650"/>
  </bookViews>
  <sheets>
    <sheet name="Forwards" sheetId="1" r:id="rId1"/>
    <sheet name="Opciones" sheetId="2" r:id="rId2"/>
    <sheet name="Swaps" sheetId="3" r:id="rId3"/>
  </sheets>
  <calcPr calcId="162913" concurrentCalc="0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3" l="1"/>
  <c r="G45" i="3"/>
  <c r="D43" i="3"/>
  <c r="H42" i="3"/>
  <c r="G41" i="3"/>
  <c r="C42" i="3"/>
  <c r="B41" i="3"/>
  <c r="I30" i="3"/>
  <c r="I38" i="3"/>
  <c r="D37" i="3"/>
  <c r="I37" i="3"/>
  <c r="H36" i="3"/>
  <c r="G37" i="3"/>
  <c r="B36" i="3"/>
  <c r="C37" i="3"/>
  <c r="C32" i="3"/>
  <c r="C33" i="3"/>
  <c r="C34" i="3"/>
  <c r="E31" i="3"/>
  <c r="E22" i="3"/>
  <c r="G18" i="3"/>
  <c r="H19" i="3"/>
  <c r="C23" i="3"/>
  <c r="C25" i="3"/>
  <c r="B27" i="3"/>
  <c r="C28" i="3"/>
  <c r="C24" i="3"/>
  <c r="E8" i="3"/>
  <c r="E7" i="3"/>
  <c r="H15" i="3"/>
  <c r="G14" i="3"/>
  <c r="C19" i="3"/>
  <c r="B18" i="3"/>
  <c r="B16" i="3"/>
  <c r="B15" i="3"/>
  <c r="B14" i="3"/>
  <c r="C8" i="3"/>
  <c r="C7" i="3"/>
  <c r="H53" i="2"/>
  <c r="F27" i="2"/>
  <c r="D27" i="2"/>
  <c r="H52" i="2"/>
  <c r="D51" i="2"/>
  <c r="D49" i="2"/>
  <c r="B54" i="2"/>
  <c r="A53" i="2"/>
  <c r="H51" i="2"/>
  <c r="A52" i="2"/>
  <c r="A51" i="2"/>
  <c r="F61" i="2"/>
  <c r="E61" i="2"/>
  <c r="F60" i="2"/>
  <c r="E60" i="2"/>
  <c r="G49" i="2"/>
  <c r="B50" i="2"/>
  <c r="H10" i="2"/>
  <c r="G10" i="2"/>
  <c r="F10" i="2"/>
  <c r="A49" i="2"/>
  <c r="E49" i="2"/>
  <c r="J20" i="2"/>
  <c r="J19" i="2"/>
  <c r="H21" i="2"/>
  <c r="J18" i="2"/>
  <c r="B21" i="2"/>
  <c r="G20" i="2"/>
  <c r="A20" i="2"/>
  <c r="G19" i="2"/>
  <c r="B19" i="2"/>
  <c r="B29" i="2"/>
  <c r="B28" i="2"/>
  <c r="B27" i="2"/>
  <c r="C10" i="2"/>
  <c r="C7" i="2"/>
  <c r="E18" i="2"/>
  <c r="A18" i="2"/>
  <c r="C11" i="2"/>
  <c r="C8" i="2"/>
  <c r="I26" i="1"/>
  <c r="I24" i="1"/>
  <c r="H24" i="1"/>
  <c r="H23" i="1"/>
  <c r="I22" i="1"/>
  <c r="H21" i="1"/>
  <c r="C19" i="1"/>
  <c r="L35" i="1"/>
  <c r="K34" i="1"/>
  <c r="M29" i="1"/>
  <c r="L32" i="1"/>
  <c r="K28" i="1"/>
  <c r="K31" i="1"/>
  <c r="L29" i="1"/>
  <c r="K27" i="1"/>
  <c r="K25" i="1"/>
  <c r="L25" i="1"/>
  <c r="N26" i="1"/>
  <c r="O25" i="1"/>
  <c r="P24" i="1"/>
  <c r="L23" i="1"/>
  <c r="K21" i="1"/>
  <c r="L20" i="1"/>
  <c r="L19" i="1"/>
  <c r="K17" i="1"/>
  <c r="L17" i="1"/>
  <c r="F9" i="1"/>
  <c r="F8" i="1"/>
  <c r="Q18" i="1"/>
  <c r="P18" i="1"/>
  <c r="O19" i="1"/>
  <c r="N18" i="1"/>
  <c r="O17" i="1"/>
  <c r="L15" i="1"/>
  <c r="K14" i="1"/>
  <c r="L12" i="1"/>
  <c r="L13" i="1"/>
  <c r="O15" i="1"/>
  <c r="N14" i="1"/>
  <c r="O13" i="1"/>
  <c r="C30" i="1"/>
  <c r="B25" i="1"/>
  <c r="C26" i="1"/>
  <c r="B20" i="1"/>
  <c r="G21" i="1"/>
  <c r="H18" i="1"/>
  <c r="C9" i="1"/>
  <c r="C8" i="1"/>
  <c r="B35" i="1"/>
  <c r="C33" i="1"/>
  <c r="B32" i="1"/>
  <c r="C38" i="1"/>
  <c r="B39" i="1"/>
  <c r="C29" i="1"/>
  <c r="C28" i="1"/>
  <c r="C36" i="1"/>
  <c r="B15" i="1"/>
  <c r="C17" i="1"/>
  <c r="B16" i="1"/>
  <c r="E26" i="1"/>
  <c r="E15" i="1"/>
  <c r="G28" i="1"/>
  <c r="G25" i="1"/>
  <c r="C21" i="1"/>
  <c r="E20" i="1"/>
  <c r="G16" i="1"/>
</calcChain>
</file>

<file path=xl/sharedStrings.xml><?xml version="1.0" encoding="utf-8"?>
<sst xmlns="http://schemas.openxmlformats.org/spreadsheetml/2006/main" count="218" uniqueCount="116">
  <si>
    <t>Forward Delivery</t>
  </si>
  <si>
    <t>USD</t>
  </si>
  <si>
    <t>Forward Non Delivery</t>
  </si>
  <si>
    <t>Tipo Operación:</t>
  </si>
  <si>
    <t>Cliente:</t>
  </si>
  <si>
    <t>Importador</t>
  </si>
  <si>
    <t>Monto:</t>
  </si>
  <si>
    <t>Fecha Operación:</t>
  </si>
  <si>
    <t>Fecha Vencimiento::</t>
  </si>
  <si>
    <t>Spot:</t>
  </si>
  <si>
    <t>Strike:</t>
  </si>
  <si>
    <t>Operación 1</t>
  </si>
  <si>
    <t>Exportador</t>
  </si>
  <si>
    <t>Operación 2</t>
  </si>
  <si>
    <t>Call-Europea</t>
  </si>
  <si>
    <t>Put-Europea</t>
  </si>
  <si>
    <t>Prima:</t>
  </si>
  <si>
    <t>Swap-Tasa IBR</t>
  </si>
  <si>
    <t>Realizar reconocimientos iniciales, al cierre de ejercicio 2017 y en la liquidacion de la cobertura.</t>
  </si>
  <si>
    <t>Realizar reconocimientos iniciales, al cierre de abril de 2018.</t>
  </si>
  <si>
    <t>4,668 %</t>
  </si>
  <si>
    <t>Cobertura (Fw)</t>
  </si>
  <si>
    <t>Subyacente (CxP)</t>
  </si>
  <si>
    <t>Db. Inventarios</t>
  </si>
  <si>
    <t xml:space="preserve">    Cr. CxP Proveed</t>
  </si>
  <si>
    <t>Recon Inicial (13/10/2016)</t>
  </si>
  <si>
    <t>Recon Inicial (31/12/2017)</t>
  </si>
  <si>
    <t>Db. ORI_IF</t>
  </si>
  <si>
    <t xml:space="preserve">   Cr. IF-Forward</t>
  </si>
  <si>
    <t>Cr. ORI-Fw</t>
  </si>
  <si>
    <t>Saldo CXP Prov</t>
  </si>
  <si>
    <t xml:space="preserve">    Db. CxP Proveed</t>
  </si>
  <si>
    <t>Cr. ORI_IF</t>
  </si>
  <si>
    <t>Liquidacion:</t>
  </si>
  <si>
    <t>Db. ORI-Fw</t>
  </si>
  <si>
    <t>Activo IF-forward</t>
  </si>
  <si>
    <t xml:space="preserve"> Db. Activo IF-Forward</t>
  </si>
  <si>
    <t xml:space="preserve">    Cr.  Pasivo IF-Forward</t>
  </si>
  <si>
    <t>Pasivo IF_forward</t>
  </si>
  <si>
    <t>ORI_IF</t>
  </si>
  <si>
    <t xml:space="preserve">    Efectivo</t>
  </si>
  <si>
    <t>PyG (Perdida)</t>
  </si>
  <si>
    <t>Db. Activo IF-Forward</t>
  </si>
  <si>
    <t>Dias</t>
  </si>
  <si>
    <t>Db.CxC Cliente</t>
  </si>
  <si>
    <t xml:space="preserve">   Cr. Ing-Vtas</t>
  </si>
  <si>
    <t>Db-IF-Forward</t>
  </si>
  <si>
    <t xml:space="preserve">    Cr. ORI-Fw</t>
  </si>
  <si>
    <t>Recon Inicial (6/4/2017)</t>
  </si>
  <si>
    <t>Subyacente</t>
  </si>
  <si>
    <t>Cobertura</t>
  </si>
  <si>
    <t xml:space="preserve"> Cr. ORI-Fw</t>
  </si>
  <si>
    <t>dias</t>
  </si>
  <si>
    <t>al cierre 2017</t>
  </si>
  <si>
    <t>dia</t>
  </si>
  <si>
    <t>Pasivo_Fw</t>
  </si>
  <si>
    <t xml:space="preserve">   Cr. IF_Forward</t>
  </si>
  <si>
    <t xml:space="preserve">   Cr IF-Forward (Pasivo)</t>
  </si>
  <si>
    <t>Db. ORI_Fw</t>
  </si>
  <si>
    <t>Liquidacion (7/2/2018)</t>
  </si>
  <si>
    <t xml:space="preserve">    Cr.CxC Cliente</t>
  </si>
  <si>
    <t>Saldo CxC</t>
  </si>
  <si>
    <t>IF-Fw Pasivo</t>
  </si>
  <si>
    <t>Activo IF-Fw</t>
  </si>
  <si>
    <t>Db. IF-Forward (Pasivo)</t>
  </si>
  <si>
    <t>Db. IF-Forward (Activo)</t>
  </si>
  <si>
    <t xml:space="preserve">   Cr. ORI-Fw</t>
  </si>
  <si>
    <t>Db. Efectivo</t>
  </si>
  <si>
    <t>Saldo ORI:</t>
  </si>
  <si>
    <t xml:space="preserve">   Cr. Otros ing (fw)</t>
  </si>
  <si>
    <t>ORI</t>
  </si>
  <si>
    <t>Activo-Opcion</t>
  </si>
  <si>
    <t>Debito (Suma)</t>
  </si>
  <si>
    <t>Credito (Resta)</t>
  </si>
  <si>
    <t>Activo-Bancos</t>
  </si>
  <si>
    <t>Reconocimiento Inicial (20-6-2017)</t>
  </si>
  <si>
    <t>Reconocimiento Posterior (31-12-2017)</t>
  </si>
  <si>
    <t>TRM (Ojala SPOT)</t>
  </si>
  <si>
    <t>Dias a la liquidacion:</t>
  </si>
  <si>
    <t>VA Prima al cierre</t>
  </si>
  <si>
    <t>ORI (Patrimonio)</t>
  </si>
  <si>
    <t>Debito (Resta)</t>
  </si>
  <si>
    <t>Credito (Suma)</t>
  </si>
  <si>
    <t>Reconocimiento Posterior (9-3-2018)</t>
  </si>
  <si>
    <t>No ejerce la opcion</t>
  </si>
  <si>
    <t>Otros gastos</t>
  </si>
  <si>
    <t>Prima</t>
  </si>
  <si>
    <t>Diferencia en cambio</t>
  </si>
  <si>
    <t>Reconocimiento Inicial (Registro)</t>
  </si>
  <si>
    <t>A valor razonable;</t>
  </si>
  <si>
    <t>Semes</t>
  </si>
  <si>
    <t>Spot</t>
  </si>
  <si>
    <t>Swap (Strike)</t>
  </si>
  <si>
    <t>Pasivo finan</t>
  </si>
  <si>
    <t>(2 de enero de 2018)</t>
  </si>
  <si>
    <t>Db. Gasto finan (PyG)</t>
  </si>
  <si>
    <t xml:space="preserve">   Cr. Pasivo finan (Swap)</t>
  </si>
  <si>
    <t>Cuenta por pagar</t>
  </si>
  <si>
    <t xml:space="preserve">  Cr. Otro pasivo finan</t>
  </si>
  <si>
    <t>Reconocimientos posterior (31 de enero de 2018)</t>
  </si>
  <si>
    <t>IBR:</t>
  </si>
  <si>
    <t>Mensual</t>
  </si>
  <si>
    <t>Semestral</t>
  </si>
  <si>
    <t>Cobertura:</t>
  </si>
  <si>
    <t>Swap</t>
  </si>
  <si>
    <t>Reconocimientos posterior (28 de febrero de 2018)</t>
  </si>
  <si>
    <t>Liquidacion</t>
  </si>
  <si>
    <t>Db. Otro pasivo finan</t>
  </si>
  <si>
    <t xml:space="preserve">   Cr. Gasto finan (PyG)</t>
  </si>
  <si>
    <t>Liquidacion Supuesto 28-2-2018</t>
  </si>
  <si>
    <t>Db. Pasivo finan (Swap)</t>
  </si>
  <si>
    <t xml:space="preserve">    Cr. Efectivo (Bancos)</t>
  </si>
  <si>
    <t>Db. Otro pasiv finan(Int)</t>
  </si>
  <si>
    <t xml:space="preserve">   Cr. Efectivo (Bancos)</t>
  </si>
  <si>
    <t>Giro Neto:</t>
  </si>
  <si>
    <t>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</si>
</sst>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5" formatCode="dd\ mmm\ yyyy"/>
    <numFmt numFmtId="166" formatCode="0.000%"/>
    <numFmt numFmtId="167" formatCode="_-&quot;$&quot;\ * #,##0.00_-;\-&quot;$&quot;\ * #,##0.00_-;_-&quot;$&quot;\ 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indexed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0" fillId="0" borderId="0" xfId="0" applyFill="1"/>
    <xf numFmtId="164" fontId="0" fillId="0" borderId="0" xfId="1" applyFont="1" applyFill="1"/>
    <xf numFmtId="0" fontId="19" fillId="33" borderId="11" xfId="0" applyNumberFormat="1" applyFont="1" applyFill="1" applyBorder="1" applyAlignment="1" applyProtection="1">
      <alignment horizontal="center" vertical="center"/>
    </xf>
    <xf numFmtId="4" fontId="20" fillId="33" borderId="11" xfId="0" applyNumberFormat="1" applyFont="1" applyFill="1" applyBorder="1" applyAlignment="1" applyProtection="1">
      <alignment horizontal="right" vertical="center"/>
    </xf>
    <xf numFmtId="14" fontId="19" fillId="33" borderId="11" xfId="0" applyNumberFormat="1" applyFont="1" applyFill="1" applyBorder="1" applyAlignment="1" applyProtection="1">
      <alignment horizontal="center" vertical="center"/>
    </xf>
    <xf numFmtId="0" fontId="19" fillId="33" borderId="12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/>
    </xf>
    <xf numFmtId="41" fontId="0" fillId="0" borderId="12" xfId="43" applyFont="1" applyBorder="1"/>
    <xf numFmtId="14" fontId="19" fillId="33" borderId="12" xfId="0" applyNumberFormat="1" applyFont="1" applyFill="1" applyBorder="1" applyAlignment="1" applyProtection="1">
      <alignment horizontal="center" vertical="center"/>
    </xf>
    <xf numFmtId="4" fontId="20" fillId="33" borderId="12" xfId="0" applyNumberFormat="1" applyFont="1" applyFill="1" applyBorder="1" applyAlignment="1" applyProtection="1">
      <alignment horizontal="right" vertical="center"/>
    </xf>
    <xf numFmtId="0" fontId="22" fillId="33" borderId="0" xfId="0" applyNumberFormat="1" applyFont="1" applyFill="1" applyBorder="1" applyAlignment="1" applyProtection="1">
      <alignment horizontal="left" vertical="center"/>
    </xf>
    <xf numFmtId="0" fontId="18" fillId="34" borderId="12" xfId="0" applyNumberFormat="1" applyFont="1" applyFill="1" applyBorder="1" applyAlignment="1" applyProtection="1">
      <alignment horizontal="center" vertical="center"/>
    </xf>
    <xf numFmtId="4" fontId="18" fillId="34" borderId="12" xfId="0" applyNumberFormat="1" applyFont="1" applyFill="1" applyBorder="1" applyAlignment="1" applyProtection="1">
      <alignment horizontal="center" vertical="center"/>
    </xf>
    <xf numFmtId="165" fontId="18" fillId="34" borderId="12" xfId="0" applyNumberFormat="1" applyFont="1" applyFill="1" applyBorder="1" applyAlignment="1" applyProtection="1">
      <alignment horizontal="center" vertical="center"/>
    </xf>
    <xf numFmtId="0" fontId="23" fillId="35" borderId="12" xfId="0" applyFont="1" applyFill="1" applyBorder="1" applyAlignment="1">
      <alignment horizontal="center" vertical="top"/>
    </xf>
    <xf numFmtId="10" fontId="23" fillId="35" borderId="12" xfId="0" applyNumberFormat="1" applyFont="1" applyFill="1" applyBorder="1" applyAlignment="1">
      <alignment horizontal="center" vertical="top"/>
    </xf>
    <xf numFmtId="0" fontId="16" fillId="0" borderId="0" xfId="0" applyFont="1"/>
    <xf numFmtId="0" fontId="24" fillId="0" borderId="0" xfId="0" applyFont="1"/>
    <xf numFmtId="0" fontId="25" fillId="0" borderId="0" xfId="0" applyFont="1"/>
    <xf numFmtId="41" fontId="0" fillId="0" borderId="0" xfId="0" applyNumberFormat="1"/>
    <xf numFmtId="6" fontId="0" fillId="0" borderId="0" xfId="0" applyNumberFormat="1"/>
    <xf numFmtId="4" fontId="0" fillId="0" borderId="0" xfId="0" applyNumberFormat="1"/>
    <xf numFmtId="8" fontId="0" fillId="0" borderId="0" xfId="0" applyNumberFormat="1"/>
    <xf numFmtId="41" fontId="16" fillId="0" borderId="0" xfId="0" applyNumberFormat="1" applyFont="1"/>
    <xf numFmtId="0" fontId="0" fillId="0" borderId="0" xfId="0" applyFont="1"/>
    <xf numFmtId="166" fontId="0" fillId="0" borderId="0" xfId="45" applyNumberFormat="1" applyFont="1"/>
    <xf numFmtId="42" fontId="0" fillId="0" borderId="0" xfId="44" applyFont="1"/>
    <xf numFmtId="42" fontId="0" fillId="0" borderId="0" xfId="0" applyNumberFormat="1"/>
    <xf numFmtId="167" fontId="0" fillId="0" borderId="0" xfId="44" applyNumberFormat="1" applyFont="1"/>
    <xf numFmtId="167" fontId="0" fillId="0" borderId="0" xfId="0" applyNumberFormat="1"/>
    <xf numFmtId="42" fontId="16" fillId="0" borderId="0" xfId="0" applyNumberFormat="1" applyFont="1"/>
    <xf numFmtId="42" fontId="16" fillId="0" borderId="0" xfId="44" applyFont="1"/>
    <xf numFmtId="8" fontId="16" fillId="0" borderId="0" xfId="0" applyNumberFormat="1" applyFont="1"/>
    <xf numFmtId="167" fontId="16" fillId="0" borderId="0" xfId="44" applyNumberFormat="1" applyFont="1"/>
    <xf numFmtId="6" fontId="16" fillId="0" borderId="0" xfId="0" applyNumberFormat="1" applyFont="1"/>
    <xf numFmtId="0" fontId="16" fillId="36" borderId="0" xfId="0" applyFont="1" applyFill="1"/>
    <xf numFmtId="42" fontId="16" fillId="36" borderId="0" xfId="0" applyNumberFormat="1" applyFont="1" applyFill="1"/>
    <xf numFmtId="0" fontId="0" fillId="37" borderId="0" xfId="0" applyFill="1"/>
    <xf numFmtId="0" fontId="19" fillId="37" borderId="12" xfId="0" applyNumberFormat="1" applyFont="1" applyFill="1" applyBorder="1" applyAlignment="1" applyProtection="1">
      <alignment horizontal="center" vertical="center"/>
    </xf>
    <xf numFmtId="0" fontId="18" fillId="37" borderId="10" xfId="0" applyNumberFormat="1" applyFont="1" applyFill="1" applyBorder="1" applyAlignment="1" applyProtection="1">
      <alignment horizontal="center" vertical="center"/>
    </xf>
    <xf numFmtId="0" fontId="0" fillId="37" borderId="12" xfId="0" applyFill="1" applyBorder="1" applyAlignment="1">
      <alignment horizontal="center"/>
    </xf>
    <xf numFmtId="4" fontId="18" fillId="37" borderId="10" xfId="0" applyNumberFormat="1" applyFont="1" applyFill="1" applyBorder="1" applyAlignment="1" applyProtection="1">
      <alignment horizontal="center" vertical="center"/>
    </xf>
    <xf numFmtId="165" fontId="18" fillId="37" borderId="10" xfId="0" applyNumberFormat="1" applyFont="1" applyFill="1" applyBorder="1" applyAlignment="1" applyProtection="1">
      <alignment horizontal="center" vertical="center"/>
    </xf>
    <xf numFmtId="4" fontId="16" fillId="37" borderId="0" xfId="0" applyNumberFormat="1" applyFont="1" applyFill="1"/>
    <xf numFmtId="42" fontId="16" fillId="37" borderId="0" xfId="44" applyFont="1" applyFill="1"/>
    <xf numFmtId="0" fontId="22" fillId="37" borderId="0" xfId="0" applyNumberFormat="1" applyFont="1" applyFill="1" applyBorder="1" applyAlignment="1" applyProtection="1">
      <alignment horizontal="left" vertical="center"/>
    </xf>
    <xf numFmtId="0" fontId="24" fillId="37" borderId="0" xfId="0" applyFont="1" applyFill="1"/>
    <xf numFmtId="0" fontId="0" fillId="37" borderId="15" xfId="0" applyFill="1" applyBorder="1"/>
    <xf numFmtId="0" fontId="26" fillId="37" borderId="0" xfId="0" applyFont="1" applyFill="1" applyAlignment="1">
      <alignment horizontal="center"/>
    </xf>
    <xf numFmtId="42" fontId="0" fillId="37" borderId="14" xfId="0" applyNumberFormat="1" applyFill="1" applyBorder="1"/>
    <xf numFmtId="42" fontId="0" fillId="37" borderId="0" xfId="0" applyNumberFormat="1" applyFill="1"/>
    <xf numFmtId="6" fontId="0" fillId="37" borderId="0" xfId="0" applyNumberFormat="1" applyFill="1"/>
    <xf numFmtId="6" fontId="16" fillId="37" borderId="0" xfId="0" applyNumberFormat="1" applyFont="1" applyFill="1"/>
    <xf numFmtId="0" fontId="16" fillId="37" borderId="0" xfId="0" applyFont="1" applyFill="1"/>
    <xf numFmtId="6" fontId="27" fillId="37" borderId="0" xfId="0" applyNumberFormat="1" applyFont="1" applyFill="1"/>
    <xf numFmtId="0" fontId="27" fillId="37" borderId="0" xfId="0" applyFont="1" applyFill="1"/>
    <xf numFmtId="166" fontId="16" fillId="37" borderId="0" xfId="45" applyNumberFormat="1" applyFont="1" applyFill="1"/>
    <xf numFmtId="8" fontId="16" fillId="37" borderId="0" xfId="0" applyNumberFormat="1" applyFont="1" applyFill="1"/>
    <xf numFmtId="42" fontId="0" fillId="37" borderId="0" xfId="44" applyFont="1" applyFill="1"/>
    <xf numFmtId="42" fontId="0" fillId="37" borderId="15" xfId="0" applyNumberFormat="1" applyFill="1" applyBorder="1"/>
    <xf numFmtId="0" fontId="0" fillId="37" borderId="16" xfId="0" applyFill="1" applyBorder="1"/>
    <xf numFmtId="42" fontId="0" fillId="37" borderId="13" xfId="0" applyNumberFormat="1" applyFill="1" applyBorder="1"/>
    <xf numFmtId="42" fontId="16" fillId="37" borderId="15" xfId="0" applyNumberFormat="1" applyFont="1" applyFill="1" applyBorder="1"/>
    <xf numFmtId="42" fontId="0" fillId="37" borderId="16" xfId="0" applyNumberFormat="1" applyFill="1" applyBorder="1"/>
    <xf numFmtId="42" fontId="16" fillId="37" borderId="0" xfId="0" applyNumberFormat="1" applyFont="1" applyFill="1"/>
    <xf numFmtId="0" fontId="0" fillId="37" borderId="13" xfId="0" applyFill="1" applyBorder="1"/>
    <xf numFmtId="0" fontId="21" fillId="33" borderId="0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21" fillId="37" borderId="0" xfId="0" applyNumberFormat="1" applyFont="1" applyFill="1" applyBorder="1" applyAlignment="1" applyProtection="1">
      <alignment horizontal="center" vertical="center"/>
    </xf>
    <xf numFmtId="10" fontId="0" fillId="0" borderId="0" xfId="45" applyNumberFormat="1" applyFont="1"/>
    <xf numFmtId="0" fontId="28" fillId="0" borderId="0" xfId="0" applyFont="1"/>
    <xf numFmtId="0" fontId="27" fillId="0" borderId="0" xfId="0" applyFont="1"/>
    <xf numFmtId="42" fontId="27" fillId="0" borderId="0" xfId="0" applyNumberFormat="1" applyFont="1"/>
    <xf numFmtId="41" fontId="0" fillId="0" borderId="0" xfId="43" applyFont="1"/>
    <xf numFmtId="0" fontId="16" fillId="0" borderId="0" xfId="0" applyFont="1" applyAlignment="1">
      <alignment horizontal="center"/>
    </xf>
    <xf numFmtId="10" fontId="0" fillId="0" borderId="0" xfId="0" applyNumberFormat="1"/>
    <xf numFmtId="0" fontId="0" fillId="36" borderId="0" xfId="0" applyFill="1"/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[0]" xfId="43" builtinId="6"/>
    <cellStyle name="Moneda [0]" xfId="44" builtinId="7"/>
    <cellStyle name="Neutral" xfId="9" builtinId="28" customBuiltin="1"/>
    <cellStyle name="Normal" xfId="0" builtinId="0"/>
    <cellStyle name="Notas" xfId="16" builtinId="10" customBuiltin="1"/>
    <cellStyle name="Porcentaje" xfId="45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10" zoomScaleNormal="110" workbookViewId="0">
      <selection sqref="A1:B1"/>
    </sheetView>
  </sheetViews>
  <sheetFormatPr baseColWidth="10" defaultRowHeight="15" x14ac:dyDescent="0.25"/>
  <cols>
    <col min="1" max="1" width="18.5703125" bestFit="1" customWidth="1"/>
    <col min="2" max="2" width="14.7109375" bestFit="1" customWidth="1"/>
    <col min="3" max="3" width="13.7109375" customWidth="1"/>
    <col min="4" max="4" width="17.7109375" bestFit="1" customWidth="1"/>
    <col min="5" max="5" width="18.5703125" bestFit="1" customWidth="1"/>
    <col min="6" max="6" width="8.140625" customWidth="1"/>
    <col min="7" max="7" width="13.5703125" bestFit="1" customWidth="1"/>
    <col min="8" max="8" width="15.28515625" bestFit="1" customWidth="1"/>
    <col min="9" max="9" width="17.140625" bestFit="1" customWidth="1"/>
    <col min="10" max="10" width="22.140625" bestFit="1" customWidth="1"/>
    <col min="11" max="12" width="13.85546875" bestFit="1" customWidth="1"/>
    <col min="13" max="13" width="16" customWidth="1"/>
    <col min="14" max="15" width="16.5703125" bestFit="1" customWidth="1"/>
    <col min="16" max="16" width="16.85546875" bestFit="1" customWidth="1"/>
    <col min="17" max="17" width="18.42578125" bestFit="1" customWidth="1"/>
    <col min="19" max="19" width="22.28515625" bestFit="1" customWidth="1"/>
    <col min="20" max="20" width="25.5703125" bestFit="1" customWidth="1"/>
    <col min="21" max="21" width="24.5703125" bestFit="1" customWidth="1"/>
    <col min="22" max="22" width="28" bestFit="1" customWidth="1"/>
    <col min="23" max="23" width="12.85546875" bestFit="1" customWidth="1"/>
    <col min="24" max="24" width="17.5703125" bestFit="1" customWidth="1"/>
  </cols>
  <sheetData>
    <row r="1" spans="1:15" x14ac:dyDescent="0.25">
      <c r="A1" s="68" t="s">
        <v>11</v>
      </c>
      <c r="B1" s="68"/>
      <c r="D1" s="68" t="s">
        <v>13</v>
      </c>
      <c r="E1" s="68"/>
      <c r="F1" s="1"/>
    </row>
    <row r="2" spans="1:15" x14ac:dyDescent="0.25">
      <c r="A2" s="7" t="s">
        <v>3</v>
      </c>
      <c r="B2" s="7" t="s">
        <v>0</v>
      </c>
      <c r="D2" s="7" t="s">
        <v>3</v>
      </c>
      <c r="E2" s="4" t="s">
        <v>2</v>
      </c>
      <c r="F2" s="1"/>
    </row>
    <row r="3" spans="1:15" x14ac:dyDescent="0.25">
      <c r="A3" s="7" t="s">
        <v>4</v>
      </c>
      <c r="B3" s="8" t="s">
        <v>5</v>
      </c>
      <c r="D3" s="7" t="s">
        <v>4</v>
      </c>
      <c r="E3" s="8" t="s">
        <v>12</v>
      </c>
      <c r="F3" s="1"/>
    </row>
    <row r="4" spans="1:15" x14ac:dyDescent="0.25">
      <c r="A4" s="7" t="s">
        <v>6</v>
      </c>
      <c r="B4" s="9">
        <v>285000</v>
      </c>
      <c r="C4" t="s">
        <v>1</v>
      </c>
      <c r="D4" s="7" t="s">
        <v>6</v>
      </c>
      <c r="E4" s="9">
        <v>500000</v>
      </c>
      <c r="F4" s="1" t="s">
        <v>1</v>
      </c>
    </row>
    <row r="5" spans="1:15" x14ac:dyDescent="0.25">
      <c r="A5" s="7" t="s">
        <v>7</v>
      </c>
      <c r="B5" s="10">
        <v>42656</v>
      </c>
      <c r="D5" s="7" t="s">
        <v>7</v>
      </c>
      <c r="E5" s="6">
        <v>42831</v>
      </c>
      <c r="F5" s="1"/>
    </row>
    <row r="6" spans="1:15" x14ac:dyDescent="0.25">
      <c r="A6" s="7" t="s">
        <v>8</v>
      </c>
      <c r="B6" s="10">
        <v>43172</v>
      </c>
      <c r="D6" s="7" t="s">
        <v>8</v>
      </c>
      <c r="E6" s="6">
        <v>43138</v>
      </c>
      <c r="F6" s="1">
        <v>38</v>
      </c>
      <c r="G6" t="s">
        <v>52</v>
      </c>
      <c r="H6" t="s">
        <v>53</v>
      </c>
    </row>
    <row r="7" spans="1:15" x14ac:dyDescent="0.25">
      <c r="A7" s="7" t="s">
        <v>9</v>
      </c>
      <c r="B7" s="11">
        <v>2935</v>
      </c>
      <c r="D7" s="7" t="s">
        <v>9</v>
      </c>
      <c r="E7" s="5">
        <v>2855</v>
      </c>
      <c r="F7" s="1"/>
    </row>
    <row r="8" spans="1:15" x14ac:dyDescent="0.25">
      <c r="A8" s="7" t="s">
        <v>10</v>
      </c>
      <c r="B8" s="11">
        <v>3167.05</v>
      </c>
      <c r="C8">
        <f>-_xlfn.DAYS(B5,B6)</f>
        <v>516</v>
      </c>
      <c r="D8" s="7" t="s">
        <v>10</v>
      </c>
      <c r="E8" s="5">
        <v>2974.6</v>
      </c>
      <c r="F8" s="1">
        <f>-_xlfn.DAYS(E5,E6)</f>
        <v>307</v>
      </c>
      <c r="G8" t="s">
        <v>52</v>
      </c>
    </row>
    <row r="9" spans="1:15" x14ac:dyDescent="0.25">
      <c r="C9" s="27">
        <f>+((B8/B7)^(1/C8))-1</f>
        <v>1.4747812569715357E-4</v>
      </c>
      <c r="F9" s="27">
        <f>+((E8/E7)^(1/F8))-1</f>
        <v>1.3368233230370841E-4</v>
      </c>
      <c r="G9" t="s">
        <v>54</v>
      </c>
    </row>
    <row r="11" spans="1:15" x14ac:dyDescent="0.25">
      <c r="A11" s="12" t="s">
        <v>18</v>
      </c>
      <c r="J11" s="19" t="s">
        <v>50</v>
      </c>
      <c r="M11" s="19" t="s">
        <v>49</v>
      </c>
    </row>
    <row r="12" spans="1:15" x14ac:dyDescent="0.25">
      <c r="L12" s="31">
        <f>+L13-O13</f>
        <v>119.59999999999991</v>
      </c>
    </row>
    <row r="13" spans="1:15" s="1" customFormat="1" x14ac:dyDescent="0.25">
      <c r="A13" s="20" t="s">
        <v>11</v>
      </c>
      <c r="D13" s="20" t="s">
        <v>25</v>
      </c>
      <c r="J13" s="20" t="s">
        <v>13</v>
      </c>
      <c r="L13" s="35">
        <f>+E8</f>
        <v>2974.6</v>
      </c>
      <c r="M13" s="20" t="s">
        <v>48</v>
      </c>
      <c r="O13" s="33">
        <f>+E7</f>
        <v>2855</v>
      </c>
    </row>
    <row r="14" spans="1:15" x14ac:dyDescent="0.25">
      <c r="A14" s="19" t="s">
        <v>21</v>
      </c>
      <c r="D14" s="19" t="s">
        <v>22</v>
      </c>
      <c r="G14" s="22">
        <v>2935</v>
      </c>
      <c r="J14" t="s">
        <v>46</v>
      </c>
      <c r="K14" s="28">
        <f>+L12*500000</f>
        <v>59799999.999999955</v>
      </c>
      <c r="M14" t="s">
        <v>44</v>
      </c>
      <c r="N14" s="29">
        <f>+E4*O13</f>
        <v>1427500000</v>
      </c>
    </row>
    <row r="15" spans="1:15" x14ac:dyDescent="0.25">
      <c r="A15" s="1" t="s">
        <v>34</v>
      </c>
      <c r="B15" s="21">
        <f>+C17-B16</f>
        <v>66134250</v>
      </c>
      <c r="C15" s="21"/>
      <c r="D15" t="s">
        <v>23</v>
      </c>
      <c r="E15" s="21">
        <f>+B7*B4</f>
        <v>836475000</v>
      </c>
      <c r="J15" t="s">
        <v>47</v>
      </c>
      <c r="L15" s="29">
        <f>+K14</f>
        <v>59799999.999999955</v>
      </c>
      <c r="M15" t="s">
        <v>45</v>
      </c>
      <c r="O15" s="29">
        <f>+N14</f>
        <v>1427500000</v>
      </c>
    </row>
    <row r="16" spans="1:15" x14ac:dyDescent="0.25">
      <c r="A16" t="s">
        <v>36</v>
      </c>
      <c r="B16" s="21">
        <f>+B7*B4</f>
        <v>836475000</v>
      </c>
      <c r="C16" s="21"/>
      <c r="D16" t="s">
        <v>24</v>
      </c>
      <c r="G16" s="21">
        <f>+E15</f>
        <v>836475000</v>
      </c>
    </row>
    <row r="17" spans="1:17" x14ac:dyDescent="0.25">
      <c r="A17" s="1" t="s">
        <v>37</v>
      </c>
      <c r="C17" s="21">
        <f>+B8*B4</f>
        <v>902609250</v>
      </c>
      <c r="J17" t="s">
        <v>55</v>
      </c>
      <c r="K17" s="28">
        <f>+(O17-L17)*500000</f>
        <v>12235717.50501219</v>
      </c>
      <c r="L17" s="34">
        <f>+PV(F9,F6,,-E8)</f>
        <v>2959.5285649899756</v>
      </c>
      <c r="M17" s="20" t="s">
        <v>26</v>
      </c>
      <c r="O17" s="36">
        <f>+G18</f>
        <v>2984</v>
      </c>
    </row>
    <row r="18" spans="1:17" x14ac:dyDescent="0.25">
      <c r="D18" s="20" t="s">
        <v>26</v>
      </c>
      <c r="G18" s="22">
        <v>2984</v>
      </c>
      <c r="H18" s="1">
        <f>31+28+13</f>
        <v>72</v>
      </c>
      <c r="I18" t="s">
        <v>43</v>
      </c>
      <c r="M18" s="1" t="s">
        <v>44</v>
      </c>
      <c r="N18" s="28">
        <f>+(O17-O13)*500000</f>
        <v>64500000</v>
      </c>
      <c r="P18" s="32">
        <f>+N18+N14</f>
        <v>1492000000</v>
      </c>
      <c r="Q18" s="33">
        <f>+P18/500000</f>
        <v>2984</v>
      </c>
    </row>
    <row r="19" spans="1:17" x14ac:dyDescent="0.25">
      <c r="A19" s="19" t="s">
        <v>21</v>
      </c>
      <c r="B19" s="22"/>
      <c r="C19" s="24">
        <f>+PV(C9,H18,,-B8)</f>
        <v>3133.6012839607292</v>
      </c>
      <c r="D19" s="19" t="s">
        <v>22</v>
      </c>
      <c r="E19" s="1"/>
      <c r="F19" s="1"/>
      <c r="G19" s="1"/>
      <c r="H19" s="1"/>
      <c r="J19" t="s">
        <v>56</v>
      </c>
      <c r="L19" s="29">
        <f>+K14</f>
        <v>59799999.999999955</v>
      </c>
      <c r="M19" t="s">
        <v>51</v>
      </c>
      <c r="O19" s="29">
        <f>+N18</f>
        <v>64500000</v>
      </c>
    </row>
    <row r="20" spans="1:17" x14ac:dyDescent="0.25">
      <c r="A20" s="1" t="s">
        <v>42</v>
      </c>
      <c r="B20" s="22">
        <f>+(C19-G14)*B4</f>
        <v>56601365.928807832</v>
      </c>
      <c r="D20" s="1" t="s">
        <v>27</v>
      </c>
      <c r="E20" s="21">
        <f>+G21</f>
        <v>13965000</v>
      </c>
      <c r="F20" s="1"/>
      <c r="G20" s="1"/>
      <c r="H20" s="69" t="s">
        <v>70</v>
      </c>
      <c r="I20" s="69"/>
      <c r="J20" s="18" t="s">
        <v>57</v>
      </c>
      <c r="K20" s="18"/>
      <c r="L20" s="32">
        <f>+K17</f>
        <v>12235717.50501219</v>
      </c>
    </row>
    <row r="21" spans="1:17" x14ac:dyDescent="0.25">
      <c r="A21" s="1" t="s">
        <v>29</v>
      </c>
      <c r="C21" s="21">
        <f>+B20</f>
        <v>56601365.928807832</v>
      </c>
      <c r="D21" s="1" t="s">
        <v>24</v>
      </c>
      <c r="E21" s="1"/>
      <c r="F21" s="1"/>
      <c r="G21" s="21">
        <f>+(G18-G14)*B4</f>
        <v>13965000</v>
      </c>
      <c r="H21" s="21">
        <f>+B15</f>
        <v>66134250</v>
      </c>
      <c r="I21" s="22"/>
      <c r="J21" t="s">
        <v>58</v>
      </c>
      <c r="K21" s="29">
        <f>+L19+L20</f>
        <v>72035717.50501214</v>
      </c>
    </row>
    <row r="22" spans="1:17" x14ac:dyDescent="0.25">
      <c r="A22" s="1"/>
      <c r="C22" s="21"/>
      <c r="I22" s="21">
        <f>+C21</f>
        <v>56601365.928807832</v>
      </c>
    </row>
    <row r="23" spans="1:17" x14ac:dyDescent="0.25">
      <c r="C23" s="21"/>
      <c r="G23" s="24">
        <v>2851.84</v>
      </c>
      <c r="H23" s="21">
        <f>+E20</f>
        <v>13965000</v>
      </c>
      <c r="K23" s="18" t="s">
        <v>62</v>
      </c>
      <c r="L23" s="32">
        <f>+L15+O19-K21</f>
        <v>52264282.494987816</v>
      </c>
      <c r="P23" s="19" t="s">
        <v>61</v>
      </c>
    </row>
    <row r="24" spans="1:17" x14ac:dyDescent="0.25">
      <c r="B24" s="23"/>
      <c r="C24" s="21"/>
      <c r="H24" s="21">
        <f>+SUM(H21:H23)</f>
        <v>80099250</v>
      </c>
      <c r="I24" s="21">
        <f>+SUM(I21:I23)</f>
        <v>56601365.928807832</v>
      </c>
      <c r="M24" s="20" t="s">
        <v>59</v>
      </c>
      <c r="O24" s="34">
        <v>2844.43</v>
      </c>
      <c r="P24" s="33">
        <f>+O24*500000</f>
        <v>1422215000</v>
      </c>
    </row>
    <row r="25" spans="1:17" x14ac:dyDescent="0.25">
      <c r="A25" s="1" t="s">
        <v>42</v>
      </c>
      <c r="B25" s="21">
        <f>+(C19-G23)*B4</f>
        <v>80301965.928807795</v>
      </c>
      <c r="D25" s="1" t="s">
        <v>32</v>
      </c>
      <c r="G25" s="21">
        <f>+E26</f>
        <v>37665599.999999955</v>
      </c>
      <c r="J25" s="18" t="s">
        <v>63</v>
      </c>
      <c r="K25" s="34">
        <f>+L25-O24</f>
        <v>130.17000000000007</v>
      </c>
      <c r="L25" s="30">
        <f>+E8</f>
        <v>2974.6</v>
      </c>
      <c r="M25" s="1" t="s">
        <v>60</v>
      </c>
      <c r="O25" s="29">
        <f>+P18-P24</f>
        <v>69785000</v>
      </c>
    </row>
    <row r="26" spans="1:17" x14ac:dyDescent="0.25">
      <c r="A26" s="1" t="s">
        <v>29</v>
      </c>
      <c r="C26" s="21">
        <f>+B25</f>
        <v>80301965.928807795</v>
      </c>
      <c r="D26" s="1" t="s">
        <v>31</v>
      </c>
      <c r="E26" s="21">
        <f>+(G18-G23)*B4</f>
        <v>37665599.999999955</v>
      </c>
      <c r="I26" s="25">
        <f>+I24-H24</f>
        <v>-23497884.071192168</v>
      </c>
      <c r="M26" s="1" t="s">
        <v>34</v>
      </c>
      <c r="N26" s="29">
        <f>+O25</f>
        <v>69785000</v>
      </c>
    </row>
    <row r="27" spans="1:17" x14ac:dyDescent="0.25">
      <c r="J27" t="s">
        <v>64</v>
      </c>
      <c r="K27" s="29">
        <f>+L20</f>
        <v>12235717.50501219</v>
      </c>
    </row>
    <row r="28" spans="1:17" x14ac:dyDescent="0.25">
      <c r="B28" s="18" t="s">
        <v>35</v>
      </c>
      <c r="C28" s="25">
        <f>+B16+B20-B25</f>
        <v>812774400</v>
      </c>
      <c r="D28" s="18" t="s">
        <v>30</v>
      </c>
      <c r="E28" s="18"/>
      <c r="F28" s="18"/>
      <c r="G28" s="25">
        <f>+G16+G21-E26</f>
        <v>812774400</v>
      </c>
      <c r="J28" t="s">
        <v>65</v>
      </c>
      <c r="K28" s="28">
        <f>+K25*500000</f>
        <v>65085000.000000037</v>
      </c>
      <c r="M28" s="37" t="s">
        <v>68</v>
      </c>
    </row>
    <row r="29" spans="1:17" x14ac:dyDescent="0.25">
      <c r="B29" s="18" t="s">
        <v>38</v>
      </c>
      <c r="C29" s="25">
        <f>+C17</f>
        <v>902609250</v>
      </c>
      <c r="H29" s="21"/>
      <c r="J29" t="s">
        <v>66</v>
      </c>
      <c r="L29" s="29">
        <f>+K27+K28</f>
        <v>77320717.505012229</v>
      </c>
      <c r="M29" s="38">
        <f>+L15+O19-K21+L29-N26</f>
        <v>59800000.000000045</v>
      </c>
    </row>
    <row r="30" spans="1:17" s="1" customFormat="1" x14ac:dyDescent="0.25">
      <c r="B30" s="18" t="s">
        <v>39</v>
      </c>
      <c r="C30" s="25">
        <f>+-B15+C21-C26+G25-E20</f>
        <v>-66134250.000000015</v>
      </c>
      <c r="H30" s="21"/>
    </row>
    <row r="31" spans="1:17" x14ac:dyDescent="0.25">
      <c r="A31" s="19" t="s">
        <v>33</v>
      </c>
      <c r="J31" t="s">
        <v>67</v>
      </c>
      <c r="K31" s="29">
        <f>+K28</f>
        <v>65085000.000000037</v>
      </c>
    </row>
    <row r="32" spans="1:17" x14ac:dyDescent="0.25">
      <c r="A32" s="26" t="s">
        <v>38</v>
      </c>
      <c r="B32" s="21">
        <f>+C29</f>
        <v>902609250</v>
      </c>
      <c r="J32" t="s">
        <v>28</v>
      </c>
      <c r="L32" s="29">
        <f>+K31</f>
        <v>65085000.000000037</v>
      </c>
    </row>
    <row r="33" spans="1:12" x14ac:dyDescent="0.25">
      <c r="A33" s="1" t="s">
        <v>40</v>
      </c>
      <c r="B33" s="21"/>
      <c r="C33" s="21">
        <f>+B32</f>
        <v>902609250</v>
      </c>
    </row>
    <row r="34" spans="1:12" x14ac:dyDescent="0.25">
      <c r="C34" s="21"/>
      <c r="J34" t="s">
        <v>34</v>
      </c>
      <c r="K34" s="29">
        <f>+M29</f>
        <v>59800000.000000045</v>
      </c>
    </row>
    <row r="35" spans="1:12" x14ac:dyDescent="0.25">
      <c r="A35" s="26" t="s">
        <v>30</v>
      </c>
      <c r="B35" s="21">
        <f>+G28</f>
        <v>812774400</v>
      </c>
      <c r="J35" t="s">
        <v>69</v>
      </c>
      <c r="L35" s="29">
        <f>+K34</f>
        <v>59800000.000000045</v>
      </c>
    </row>
    <row r="36" spans="1:12" x14ac:dyDescent="0.25">
      <c r="A36" s="26" t="s">
        <v>35</v>
      </c>
      <c r="C36" s="21">
        <f>+C28</f>
        <v>812774400</v>
      </c>
    </row>
    <row r="38" spans="1:12" x14ac:dyDescent="0.25">
      <c r="A38" s="26" t="s">
        <v>39</v>
      </c>
      <c r="C38" s="21">
        <f>+-C30</f>
        <v>66134250.000000015</v>
      </c>
    </row>
    <row r="39" spans="1:12" x14ac:dyDescent="0.25">
      <c r="A39" s="26" t="s">
        <v>41</v>
      </c>
      <c r="B39" s="21">
        <f>+C38</f>
        <v>66134250.000000015</v>
      </c>
    </row>
  </sheetData>
  <mergeCells count="3">
    <mergeCell ref="A1:B1"/>
    <mergeCell ref="D1:E1"/>
    <mergeCell ref="H20:I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zoomScale="120" zoomScaleNormal="120" workbookViewId="0"/>
  </sheetViews>
  <sheetFormatPr baseColWidth="10" defaultRowHeight="15" x14ac:dyDescent="0.25"/>
  <cols>
    <col min="1" max="1" width="17.7109375" style="39" bestFit="1" customWidth="1"/>
    <col min="2" max="2" width="14.7109375" style="39" bestFit="1" customWidth="1"/>
    <col min="3" max="3" width="16.85546875" style="39" bestFit="1" customWidth="1"/>
    <col min="4" max="4" width="17.7109375" style="39" bestFit="1" customWidth="1"/>
    <col min="5" max="5" width="18.5703125" style="39" bestFit="1" customWidth="1"/>
    <col min="6" max="6" width="13.85546875" style="39" bestFit="1" customWidth="1"/>
    <col min="7" max="7" width="14.140625" style="39" bestFit="1" customWidth="1"/>
    <col min="8" max="8" width="15.28515625" style="39" bestFit="1" customWidth="1"/>
    <col min="9" max="10" width="15.85546875" style="39" bestFit="1" customWidth="1"/>
    <col min="11" max="11" width="14.140625" style="39" bestFit="1" customWidth="1"/>
    <col min="12" max="12" width="18.85546875" style="39" bestFit="1" customWidth="1"/>
    <col min="13" max="13" width="13.7109375" style="39" bestFit="1" customWidth="1"/>
    <col min="14" max="14" width="12.42578125" style="39" bestFit="1" customWidth="1"/>
    <col min="15" max="16" width="11.85546875" style="39" bestFit="1" customWidth="1"/>
    <col min="17" max="17" width="8.42578125" style="39" bestFit="1" customWidth="1"/>
    <col min="18" max="18" width="13.5703125" style="39" bestFit="1" customWidth="1"/>
    <col min="19" max="19" width="11.85546875" style="39" bestFit="1" customWidth="1"/>
    <col min="20" max="20" width="10" style="39" bestFit="1" customWidth="1"/>
    <col min="21" max="21" width="13.42578125" style="39" bestFit="1" customWidth="1"/>
    <col min="22" max="22" width="12" style="39" bestFit="1" customWidth="1"/>
    <col min="23" max="23" width="8.42578125" style="39" bestFit="1" customWidth="1"/>
    <col min="24" max="25" width="12.85546875" style="39" bestFit="1" customWidth="1"/>
    <col min="26" max="26" width="30.5703125" style="39" bestFit="1" customWidth="1"/>
    <col min="27" max="27" width="23.28515625" style="39" bestFit="1" customWidth="1"/>
    <col min="28" max="28" width="15.28515625" style="39" bestFit="1" customWidth="1"/>
    <col min="29" max="30" width="13.42578125" style="39" bestFit="1" customWidth="1"/>
    <col min="31" max="32" width="22.140625" style="39" bestFit="1" customWidth="1"/>
    <col min="33" max="33" width="18" style="39" bestFit="1" customWidth="1"/>
    <col min="34" max="34" width="17.140625" style="39" bestFit="1" customWidth="1"/>
    <col min="35" max="35" width="18.7109375" style="39" bestFit="1" customWidth="1"/>
    <col min="36" max="16384" width="11.42578125" style="39"/>
  </cols>
  <sheetData>
    <row r="2" spans="1:11" x14ac:dyDescent="0.25">
      <c r="A2" s="71" t="s">
        <v>11</v>
      </c>
      <c r="B2" s="71"/>
      <c r="D2" s="71" t="s">
        <v>13</v>
      </c>
      <c r="E2" s="71"/>
    </row>
    <row r="3" spans="1:11" x14ac:dyDescent="0.25">
      <c r="A3" s="40" t="s">
        <v>3</v>
      </c>
      <c r="B3" s="41" t="s">
        <v>14</v>
      </c>
      <c r="D3" s="40" t="s">
        <v>3</v>
      </c>
      <c r="E3" s="41" t="s">
        <v>15</v>
      </c>
    </row>
    <row r="4" spans="1:11" x14ac:dyDescent="0.25">
      <c r="A4" s="40" t="s">
        <v>4</v>
      </c>
      <c r="B4" s="42" t="s">
        <v>5</v>
      </c>
      <c r="D4" s="40" t="s">
        <v>4</v>
      </c>
      <c r="E4" s="42" t="s">
        <v>12</v>
      </c>
    </row>
    <row r="5" spans="1:11" x14ac:dyDescent="0.25">
      <c r="A5" s="40" t="s">
        <v>6</v>
      </c>
      <c r="B5" s="43">
        <v>166666.67000000001</v>
      </c>
      <c r="C5" s="39" t="s">
        <v>1</v>
      </c>
      <c r="D5" s="40" t="s">
        <v>6</v>
      </c>
      <c r="E5" s="43">
        <v>166666.67000000001</v>
      </c>
      <c r="F5" s="39" t="s">
        <v>1</v>
      </c>
    </row>
    <row r="6" spans="1:11" x14ac:dyDescent="0.25">
      <c r="A6" s="40" t="s">
        <v>7</v>
      </c>
      <c r="B6" s="44">
        <v>42906</v>
      </c>
      <c r="D6" s="40" t="s">
        <v>7</v>
      </c>
      <c r="E6" s="44">
        <v>42906</v>
      </c>
    </row>
    <row r="7" spans="1:11" x14ac:dyDescent="0.25">
      <c r="A7" s="40" t="s">
        <v>8</v>
      </c>
      <c r="B7" s="44">
        <v>43168</v>
      </c>
      <c r="C7" s="39">
        <f>-_xlfn.DAYS(B6,B7)</f>
        <v>262</v>
      </c>
      <c r="D7" s="40" t="s">
        <v>8</v>
      </c>
      <c r="E7" s="44">
        <v>43168</v>
      </c>
    </row>
    <row r="8" spans="1:11" x14ac:dyDescent="0.25">
      <c r="A8" s="40" t="s">
        <v>16</v>
      </c>
      <c r="B8" s="43">
        <v>84.28</v>
      </c>
      <c r="C8" s="45">
        <f>+B8</f>
        <v>84.28</v>
      </c>
      <c r="D8" s="40" t="s">
        <v>16</v>
      </c>
      <c r="E8" s="43">
        <v>84.28</v>
      </c>
    </row>
    <row r="9" spans="1:11" x14ac:dyDescent="0.25">
      <c r="A9" s="40" t="s">
        <v>9</v>
      </c>
      <c r="B9" s="43">
        <v>2835.05</v>
      </c>
      <c r="D9" s="40" t="s">
        <v>9</v>
      </c>
      <c r="E9" s="43">
        <v>2835.05</v>
      </c>
    </row>
    <row r="10" spans="1:11" x14ac:dyDescent="0.25">
      <c r="A10" s="40" t="s">
        <v>10</v>
      </c>
      <c r="B10" s="43">
        <v>3239.59</v>
      </c>
      <c r="C10" s="58">
        <f>+((B10/B9)^(1/C7))-1</f>
        <v>5.0924108824212944E-4</v>
      </c>
      <c r="D10" s="40" t="s">
        <v>10</v>
      </c>
      <c r="E10" s="43">
        <v>3000</v>
      </c>
      <c r="F10" s="53">
        <f>+E10-D26</f>
        <v>16</v>
      </c>
      <c r="G10" s="53">
        <f>+E8-F10</f>
        <v>68.28</v>
      </c>
      <c r="H10" s="60">
        <f>+G10*E5</f>
        <v>11380000.227600001</v>
      </c>
    </row>
    <row r="11" spans="1:11" x14ac:dyDescent="0.25">
      <c r="C11" s="46">
        <f>+C8*B5</f>
        <v>14046666.947600001</v>
      </c>
    </row>
    <row r="12" spans="1:11" x14ac:dyDescent="0.25">
      <c r="A12" s="47" t="s">
        <v>18</v>
      </c>
    </row>
    <row r="14" spans="1:11" x14ac:dyDescent="0.25">
      <c r="A14" s="48" t="s">
        <v>75</v>
      </c>
    </row>
    <row r="16" spans="1:11" x14ac:dyDescent="0.25">
      <c r="A16" s="50" t="s">
        <v>72</v>
      </c>
      <c r="B16" s="50" t="s">
        <v>73</v>
      </c>
      <c r="D16" s="50" t="s">
        <v>72</v>
      </c>
      <c r="E16" s="50" t="s">
        <v>73</v>
      </c>
      <c r="G16" s="50" t="s">
        <v>81</v>
      </c>
      <c r="H16" s="50" t="s">
        <v>82</v>
      </c>
      <c r="J16" s="50" t="s">
        <v>72</v>
      </c>
      <c r="K16" s="50" t="s">
        <v>73</v>
      </c>
    </row>
    <row r="17" spans="1:11" x14ac:dyDescent="0.25">
      <c r="A17" s="70" t="s">
        <v>71</v>
      </c>
      <c r="B17" s="70"/>
      <c r="D17" s="70" t="s">
        <v>74</v>
      </c>
      <c r="E17" s="70"/>
      <c r="G17" s="70" t="s">
        <v>80</v>
      </c>
      <c r="H17" s="70"/>
      <c r="J17" s="70" t="s">
        <v>85</v>
      </c>
      <c r="K17" s="70"/>
    </row>
    <row r="18" spans="1:11" x14ac:dyDescent="0.25">
      <c r="A18" s="51">
        <f>+C11</f>
        <v>14046666.947600001</v>
      </c>
      <c r="D18" s="51"/>
      <c r="E18" s="52">
        <f>+A18</f>
        <v>14046666.947600001</v>
      </c>
      <c r="G18" s="51"/>
      <c r="J18" s="51">
        <f>+B21</f>
        <v>13568698.509015938</v>
      </c>
    </row>
    <row r="19" spans="1:11" x14ac:dyDescent="0.25">
      <c r="A19" s="62"/>
      <c r="B19" s="63">
        <f>+A18-B29</f>
        <v>477968.4385840632</v>
      </c>
      <c r="D19" s="49"/>
      <c r="G19" s="65">
        <f>+B19</f>
        <v>477968.4385840632</v>
      </c>
      <c r="H19" s="63"/>
      <c r="J19" s="65">
        <f>+H21</f>
        <v>477968.4385840632</v>
      </c>
      <c r="K19" s="67"/>
    </row>
    <row r="20" spans="1:11" x14ac:dyDescent="0.25">
      <c r="A20" s="64">
        <f>+A18-B19</f>
        <v>13568698.509015938</v>
      </c>
      <c r="D20" s="49"/>
      <c r="G20" s="61">
        <f>+G19</f>
        <v>477968.4385840632</v>
      </c>
      <c r="J20" s="64">
        <f>+J18+J19</f>
        <v>14046666.947600001</v>
      </c>
    </row>
    <row r="21" spans="1:11" x14ac:dyDescent="0.25">
      <c r="A21" s="49"/>
      <c r="B21" s="66">
        <f>+A20</f>
        <v>13568698.509015938</v>
      </c>
      <c r="D21" s="49"/>
      <c r="G21" s="49"/>
      <c r="H21" s="52">
        <f>+G20</f>
        <v>477968.4385840632</v>
      </c>
      <c r="J21" s="49"/>
    </row>
    <row r="22" spans="1:11" x14ac:dyDescent="0.25">
      <c r="A22" s="49"/>
      <c r="D22" s="49"/>
      <c r="G22" s="49"/>
      <c r="J22" s="49"/>
    </row>
    <row r="23" spans="1:11" x14ac:dyDescent="0.25">
      <c r="A23" s="49"/>
      <c r="D23" s="49"/>
      <c r="G23" s="49"/>
      <c r="J23" s="49"/>
    </row>
    <row r="24" spans="1:11" x14ac:dyDescent="0.25">
      <c r="A24" s="49"/>
      <c r="D24" s="49"/>
      <c r="G24" s="49"/>
      <c r="J24" s="49"/>
    </row>
    <row r="26" spans="1:11" x14ac:dyDescent="0.25">
      <c r="A26" s="48" t="s">
        <v>76</v>
      </c>
      <c r="D26" s="56">
        <v>2984</v>
      </c>
      <c r="E26" s="57" t="s">
        <v>77</v>
      </c>
    </row>
    <row r="27" spans="1:11" x14ac:dyDescent="0.25">
      <c r="A27" s="39" t="s">
        <v>78</v>
      </c>
      <c r="B27" s="39">
        <f>31+28+9</f>
        <v>68</v>
      </c>
      <c r="C27" s="39" t="s">
        <v>52</v>
      </c>
      <c r="D27" s="45">
        <f>+D26-E9</f>
        <v>148.94999999999982</v>
      </c>
      <c r="E27" s="55" t="s">
        <v>87</v>
      </c>
      <c r="F27" s="46">
        <f>+D27*B38</f>
        <v>24825000.496499971</v>
      </c>
    </row>
    <row r="28" spans="1:11" x14ac:dyDescent="0.25">
      <c r="B28" s="59">
        <f>+PV(C10,B27,,-C8)</f>
        <v>81.412189425851835</v>
      </c>
      <c r="C28" s="55" t="s">
        <v>79</v>
      </c>
    </row>
    <row r="29" spans="1:11" x14ac:dyDescent="0.25">
      <c r="B29" s="46">
        <f>+B28*B5</f>
        <v>13568698.509015938</v>
      </c>
    </row>
    <row r="31" spans="1:11" x14ac:dyDescent="0.25">
      <c r="A31" s="48" t="s">
        <v>83</v>
      </c>
      <c r="D31" s="56">
        <v>2871.36</v>
      </c>
      <c r="E31" s="57" t="s">
        <v>77</v>
      </c>
    </row>
    <row r="33" spans="1:8" x14ac:dyDescent="0.25">
      <c r="A33" s="55" t="s">
        <v>84</v>
      </c>
    </row>
    <row r="35" spans="1:8" x14ac:dyDescent="0.25">
      <c r="A35" s="71" t="s">
        <v>13</v>
      </c>
      <c r="B35" s="71"/>
    </row>
    <row r="36" spans="1:8" x14ac:dyDescent="0.25">
      <c r="A36" s="40" t="s">
        <v>3</v>
      </c>
      <c r="B36" s="41" t="s">
        <v>15</v>
      </c>
    </row>
    <row r="37" spans="1:8" x14ac:dyDescent="0.25">
      <c r="A37" s="40" t="s">
        <v>4</v>
      </c>
      <c r="B37" s="42" t="s">
        <v>12</v>
      </c>
    </row>
    <row r="38" spans="1:8" x14ac:dyDescent="0.25">
      <c r="A38" s="40" t="s">
        <v>6</v>
      </c>
      <c r="B38" s="43">
        <v>166666.67000000001</v>
      </c>
      <c r="C38" s="39" t="s">
        <v>1</v>
      </c>
    </row>
    <row r="39" spans="1:8" x14ac:dyDescent="0.25">
      <c r="A39" s="40" t="s">
        <v>7</v>
      </c>
      <c r="B39" s="44">
        <v>42906</v>
      </c>
    </row>
    <row r="40" spans="1:8" x14ac:dyDescent="0.25">
      <c r="A40" s="40" t="s">
        <v>8</v>
      </c>
      <c r="B40" s="44">
        <v>43168</v>
      </c>
    </row>
    <row r="41" spans="1:8" x14ac:dyDescent="0.25">
      <c r="A41" s="40" t="s">
        <v>16</v>
      </c>
      <c r="B41" s="43">
        <v>84.28</v>
      </c>
    </row>
    <row r="42" spans="1:8" x14ac:dyDescent="0.25">
      <c r="A42" s="40" t="s">
        <v>9</v>
      </c>
      <c r="B42" s="43">
        <v>2835.05</v>
      </c>
    </row>
    <row r="43" spans="1:8" x14ac:dyDescent="0.25">
      <c r="A43" s="40" t="s">
        <v>10</v>
      </c>
      <c r="B43" s="43">
        <v>3000</v>
      </c>
    </row>
    <row r="45" spans="1:8" x14ac:dyDescent="0.25">
      <c r="A45" s="48" t="s">
        <v>75</v>
      </c>
    </row>
    <row r="47" spans="1:8" x14ac:dyDescent="0.25">
      <c r="A47" s="50" t="s">
        <v>72</v>
      </c>
      <c r="B47" s="50" t="s">
        <v>73</v>
      </c>
      <c r="D47" s="50" t="s">
        <v>72</v>
      </c>
      <c r="E47" s="50" t="s">
        <v>73</v>
      </c>
      <c r="G47" s="50" t="s">
        <v>81</v>
      </c>
      <c r="H47" s="50" t="s">
        <v>82</v>
      </c>
    </row>
    <row r="48" spans="1:8" x14ac:dyDescent="0.25">
      <c r="A48" s="70" t="s">
        <v>71</v>
      </c>
      <c r="B48" s="70"/>
      <c r="D48" s="70" t="s">
        <v>74</v>
      </c>
      <c r="E48" s="70"/>
      <c r="G48" s="70" t="s">
        <v>80</v>
      </c>
      <c r="H48" s="70"/>
    </row>
    <row r="49" spans="1:9" x14ac:dyDescent="0.25">
      <c r="A49" s="51">
        <f>+A18</f>
        <v>14046666.947600001</v>
      </c>
      <c r="D49" s="51">
        <f>+B54</f>
        <v>21500000.430000003</v>
      </c>
      <c r="E49" s="52">
        <f>+A49</f>
        <v>14046666.947600001</v>
      </c>
      <c r="G49" s="51">
        <f>+B50</f>
        <v>2666666.7200000007</v>
      </c>
    </row>
    <row r="50" spans="1:9" x14ac:dyDescent="0.25">
      <c r="A50" s="49"/>
      <c r="B50" s="52">
        <f>+A49-H10</f>
        <v>2666666.7200000007</v>
      </c>
      <c r="D50" s="49"/>
      <c r="G50" s="65"/>
      <c r="H50" s="63"/>
    </row>
    <row r="51" spans="1:9" x14ac:dyDescent="0.25">
      <c r="A51" s="61">
        <f>+A49-B50</f>
        <v>11380000.227600001</v>
      </c>
      <c r="D51" s="66">
        <f>+D49-E49</f>
        <v>7453333.482400002</v>
      </c>
      <c r="G51" s="61"/>
      <c r="H51" s="52">
        <f>+A52</f>
        <v>10120000.202400003</v>
      </c>
    </row>
    <row r="52" spans="1:9" x14ac:dyDescent="0.25">
      <c r="A52" s="61">
        <f>+E61-A51</f>
        <v>10120000.202400003</v>
      </c>
      <c r="B52" s="66"/>
      <c r="D52" s="49"/>
      <c r="G52" s="49"/>
      <c r="H52" s="66">
        <f>+H51-G49</f>
        <v>7453333.482400002</v>
      </c>
    </row>
    <row r="53" spans="1:9" x14ac:dyDescent="0.25">
      <c r="A53" s="64">
        <f>+A51+A52</f>
        <v>21500000.430000003</v>
      </c>
      <c r="D53" s="49"/>
      <c r="G53" s="49"/>
      <c r="H53" s="52">
        <f>+F27</f>
        <v>24825000.496499971</v>
      </c>
      <c r="I53" s="39" t="s">
        <v>49</v>
      </c>
    </row>
    <row r="54" spans="1:9" x14ac:dyDescent="0.25">
      <c r="A54" s="49"/>
      <c r="B54" s="66">
        <f>+A53</f>
        <v>21500000.430000003</v>
      </c>
      <c r="D54" s="49"/>
      <c r="G54" s="49"/>
    </row>
    <row r="55" spans="1:9" x14ac:dyDescent="0.25">
      <c r="A55" s="49"/>
      <c r="D55" s="49"/>
      <c r="G55" s="49"/>
    </row>
    <row r="58" spans="1:9" x14ac:dyDescent="0.25">
      <c r="A58" s="48" t="s">
        <v>76</v>
      </c>
      <c r="D58" s="56">
        <v>2984</v>
      </c>
      <c r="E58" s="57" t="s">
        <v>77</v>
      </c>
    </row>
    <row r="59" spans="1:9" x14ac:dyDescent="0.25">
      <c r="F59" s="39" t="s">
        <v>86</v>
      </c>
    </row>
    <row r="60" spans="1:9" x14ac:dyDescent="0.25">
      <c r="A60" s="48" t="s">
        <v>83</v>
      </c>
      <c r="D60" s="54">
        <v>2871</v>
      </c>
      <c r="E60" s="53">
        <f>3000-D60</f>
        <v>129</v>
      </c>
      <c r="F60" s="45">
        <f>+E60-E8</f>
        <v>44.72</v>
      </c>
    </row>
    <row r="61" spans="1:9" x14ac:dyDescent="0.25">
      <c r="E61" s="60">
        <f>+E60*$E$5</f>
        <v>21500000.430000003</v>
      </c>
      <c r="F61" s="60">
        <f>+F60*$E$5</f>
        <v>7453333.4824000001</v>
      </c>
    </row>
  </sheetData>
  <mergeCells count="10">
    <mergeCell ref="A2:B2"/>
    <mergeCell ref="D2:E2"/>
    <mergeCell ref="A17:B17"/>
    <mergeCell ref="D17:E17"/>
    <mergeCell ref="G17:H17"/>
    <mergeCell ref="J17:K17"/>
    <mergeCell ref="A35:B35"/>
    <mergeCell ref="A48:B48"/>
    <mergeCell ref="D48:E48"/>
    <mergeCell ref="G48:H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6"/>
  <sheetViews>
    <sheetView zoomScale="150" zoomScaleNormal="150" workbookViewId="0">
      <selection activeCell="C6" sqref="C6"/>
    </sheetView>
  </sheetViews>
  <sheetFormatPr baseColWidth="10" defaultRowHeight="15" x14ac:dyDescent="0.25"/>
  <cols>
    <col min="1" max="1" width="24.85546875" style="1" customWidth="1"/>
    <col min="2" max="2" width="15.28515625" bestFit="1" customWidth="1"/>
    <col min="3" max="4" width="13.28515625" bestFit="1" customWidth="1"/>
    <col min="5" max="5" width="10" bestFit="1" customWidth="1"/>
    <col min="6" max="6" width="22.5703125" bestFit="1" customWidth="1"/>
    <col min="7" max="8" width="14.42578125" bestFit="1" customWidth="1"/>
    <col min="9" max="9" width="13.42578125" customWidth="1"/>
    <col min="10" max="10" width="16.7109375" customWidth="1"/>
    <col min="11" max="11" width="15.7109375" customWidth="1"/>
    <col min="12" max="12" width="12.7109375" customWidth="1"/>
    <col min="13" max="13" width="12.140625" customWidth="1"/>
    <col min="14" max="14" width="10.5703125" customWidth="1"/>
    <col min="15" max="15" width="14.85546875" customWidth="1"/>
    <col min="16" max="16" width="14.5703125" customWidth="1"/>
    <col min="17" max="17" width="15" customWidth="1"/>
    <col min="18" max="18" width="19.28515625" customWidth="1"/>
    <col min="19" max="19" width="13.85546875" customWidth="1"/>
    <col min="20" max="20" width="21" customWidth="1"/>
    <col min="21" max="21" width="21.42578125" customWidth="1"/>
    <col min="22" max="22" width="10.140625" customWidth="1"/>
    <col min="23" max="23" width="10.85546875" customWidth="1"/>
    <col min="24" max="24" width="17" customWidth="1"/>
    <col min="25" max="25" width="11.42578125" customWidth="1"/>
    <col min="26" max="26" width="12.28515625" customWidth="1"/>
    <col min="27" max="27" width="20.85546875" customWidth="1"/>
    <col min="28" max="28" width="22.140625" customWidth="1"/>
    <col min="29" max="29" width="19" customWidth="1"/>
    <col min="30" max="30" width="15.85546875" customWidth="1"/>
    <col min="31" max="31" width="15.7109375" bestFit="1" customWidth="1"/>
    <col min="32" max="32" width="18.5703125" customWidth="1"/>
    <col min="33" max="33" width="22.7109375" customWidth="1"/>
    <col min="34" max="34" width="14.140625" customWidth="1"/>
    <col min="35" max="35" width="22.28515625" customWidth="1"/>
    <col min="36" max="36" width="21" customWidth="1"/>
    <col min="37" max="37" width="17.7109375" bestFit="1" customWidth="1"/>
    <col min="38" max="38" width="16" customWidth="1"/>
    <col min="39" max="39" width="15" customWidth="1"/>
    <col min="40" max="40" width="15.5703125" customWidth="1"/>
    <col min="41" max="41" width="17.42578125" customWidth="1"/>
    <col min="42" max="42" width="13.7109375" customWidth="1"/>
    <col min="43" max="43" width="20.5703125" customWidth="1"/>
    <col min="44" max="44" width="21.28515625" customWidth="1"/>
    <col min="45" max="45" width="19.140625" customWidth="1"/>
    <col min="46" max="46" width="17.140625" customWidth="1"/>
    <col min="47" max="47" width="18.7109375" bestFit="1" customWidth="1"/>
    <col min="48" max="48" width="19.140625" customWidth="1"/>
    <col min="49" max="49" width="16.28515625" customWidth="1"/>
    <col min="50" max="50" width="13.7109375" customWidth="1"/>
  </cols>
  <sheetData>
    <row r="1" spans="1:51" s="1" customForma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  <c r="AR1" s="3"/>
      <c r="AS1" s="3"/>
      <c r="AT1" s="3"/>
      <c r="AU1" s="3"/>
      <c r="AV1" s="2"/>
      <c r="AW1" s="2"/>
      <c r="AX1" s="2"/>
      <c r="AY1" s="2"/>
    </row>
    <row r="2" spans="1:51" x14ac:dyDescent="0.25">
      <c r="A2" s="68" t="s">
        <v>11</v>
      </c>
      <c r="B2" s="68"/>
    </row>
    <row r="3" spans="1:51" x14ac:dyDescent="0.25">
      <c r="A3" s="7" t="s">
        <v>3</v>
      </c>
      <c r="B3" s="13" t="s">
        <v>17</v>
      </c>
    </row>
    <row r="4" spans="1:51" x14ac:dyDescent="0.25">
      <c r="A4" s="7" t="s">
        <v>6</v>
      </c>
      <c r="B4" s="14">
        <v>2500000000</v>
      </c>
    </row>
    <row r="5" spans="1:51" x14ac:dyDescent="0.25">
      <c r="A5" s="7" t="s">
        <v>7</v>
      </c>
      <c r="B5" s="15">
        <v>43102</v>
      </c>
    </row>
    <row r="6" spans="1:51" x14ac:dyDescent="0.25">
      <c r="A6" s="7" t="s">
        <v>8</v>
      </c>
      <c r="B6" s="15">
        <v>43283</v>
      </c>
    </row>
    <row r="7" spans="1:51" x14ac:dyDescent="0.25">
      <c r="A7" s="7" t="s">
        <v>9</v>
      </c>
      <c r="B7" s="16" t="s">
        <v>20</v>
      </c>
      <c r="C7" s="72">
        <f>+((1+B7)^(1/2))-1</f>
        <v>2.3073799879559154E-2</v>
      </c>
      <c r="D7" t="s">
        <v>90</v>
      </c>
      <c r="E7" s="27">
        <f>+((1+B7)^(1/12))-1</f>
        <v>3.8091740344610159E-3</v>
      </c>
      <c r="F7" t="s">
        <v>101</v>
      </c>
    </row>
    <row r="8" spans="1:51" x14ac:dyDescent="0.25">
      <c r="A8" s="7" t="s">
        <v>10</v>
      </c>
      <c r="B8" s="17">
        <v>4.7E-2</v>
      </c>
      <c r="C8" s="72">
        <f>+((1+B8)^(1/2))-1</f>
        <v>2.3230179382918603E-2</v>
      </c>
      <c r="D8" s="1" t="s">
        <v>90</v>
      </c>
      <c r="E8" s="27">
        <f>+((1+B8)^(1/12))-1</f>
        <v>3.8347448817659391E-3</v>
      </c>
      <c r="F8" s="1" t="s">
        <v>101</v>
      </c>
    </row>
    <row r="10" spans="1:51" x14ac:dyDescent="0.25">
      <c r="A10" s="12" t="s">
        <v>19</v>
      </c>
    </row>
    <row r="12" spans="1:51" x14ac:dyDescent="0.25">
      <c r="A12" s="19" t="s">
        <v>88</v>
      </c>
      <c r="C12" s="18" t="s">
        <v>94</v>
      </c>
      <c r="F12" s="19" t="s">
        <v>97</v>
      </c>
    </row>
    <row r="14" spans="1:51" x14ac:dyDescent="0.25">
      <c r="A14" s="73" t="s">
        <v>89</v>
      </c>
      <c r="B14" s="33">
        <f>+B4*C7</f>
        <v>57684499.698897883</v>
      </c>
      <c r="C14" s="18" t="s">
        <v>91</v>
      </c>
      <c r="F14" t="s">
        <v>67</v>
      </c>
      <c r="G14" s="76">
        <f>+B4</f>
        <v>2500000000</v>
      </c>
      <c r="H14" s="76"/>
    </row>
    <row r="15" spans="1:51" x14ac:dyDescent="0.25">
      <c r="B15" s="33">
        <f>+B4*C8</f>
        <v>58075448.457296506</v>
      </c>
      <c r="C15" s="18" t="s">
        <v>92</v>
      </c>
      <c r="F15" t="s">
        <v>98</v>
      </c>
      <c r="G15" s="76"/>
      <c r="H15" s="76">
        <f>+G14</f>
        <v>2500000000</v>
      </c>
    </row>
    <row r="16" spans="1:51" x14ac:dyDescent="0.25">
      <c r="A16" s="74" t="s">
        <v>93</v>
      </c>
      <c r="B16" s="75">
        <f>+B15-B14</f>
        <v>390948.75839862227</v>
      </c>
      <c r="G16" s="76"/>
      <c r="H16" s="76"/>
    </row>
    <row r="18" spans="1:9" x14ac:dyDescent="0.25">
      <c r="A18" s="1" t="s">
        <v>95</v>
      </c>
      <c r="B18" s="29">
        <f>+B16</f>
        <v>390948.75839862227</v>
      </c>
      <c r="F18" s="1" t="s">
        <v>95</v>
      </c>
      <c r="G18" s="28">
        <f>+G14*E22</f>
        <v>50441138.313134789</v>
      </c>
    </row>
    <row r="19" spans="1:9" x14ac:dyDescent="0.25">
      <c r="A19" s="1" t="s">
        <v>96</v>
      </c>
      <c r="C19" s="29">
        <f>+B18</f>
        <v>390948.75839862227</v>
      </c>
      <c r="F19" s="1" t="s">
        <v>98</v>
      </c>
      <c r="H19" s="29">
        <f>+G18</f>
        <v>50441138.313134789</v>
      </c>
    </row>
    <row r="21" spans="1:9" x14ac:dyDescent="0.25">
      <c r="A21" s="19" t="s">
        <v>99</v>
      </c>
      <c r="D21" s="77" t="s">
        <v>100</v>
      </c>
      <c r="E21" s="78">
        <v>4.0759999999999998E-2</v>
      </c>
    </row>
    <row r="22" spans="1:9" x14ac:dyDescent="0.25">
      <c r="E22" s="27">
        <f>+((1+E21)^(1/2))-1</f>
        <v>2.0176455325253917E-2</v>
      </c>
      <c r="F22" t="s">
        <v>102</v>
      </c>
    </row>
    <row r="23" spans="1:9" x14ac:dyDescent="0.25">
      <c r="B23" t="s">
        <v>103</v>
      </c>
      <c r="C23" s="28">
        <f>+B4*E22</f>
        <v>50441138.313134789</v>
      </c>
    </row>
    <row r="24" spans="1:9" x14ac:dyDescent="0.25">
      <c r="C24" s="29">
        <f>+B15</f>
        <v>58075448.457296506</v>
      </c>
      <c r="D24" s="78">
        <v>4.7E-2</v>
      </c>
      <c r="E24" t="s">
        <v>104</v>
      </c>
    </row>
    <row r="25" spans="1:9" x14ac:dyDescent="0.25">
      <c r="B25" s="18" t="s">
        <v>93</v>
      </c>
      <c r="C25" s="32">
        <f>+C24-C23</f>
        <v>7634310.1441617161</v>
      </c>
    </row>
    <row r="27" spans="1:9" x14ac:dyDescent="0.25">
      <c r="A27" s="1" t="s">
        <v>95</v>
      </c>
      <c r="B27" s="29">
        <f>+C25-C19</f>
        <v>7243361.3857630938</v>
      </c>
    </row>
    <row r="28" spans="1:9" x14ac:dyDescent="0.25">
      <c r="A28" s="1" t="s">
        <v>96</v>
      </c>
      <c r="C28" s="29">
        <f>+B27</f>
        <v>7243361.3857630938</v>
      </c>
    </row>
    <row r="30" spans="1:9" x14ac:dyDescent="0.25">
      <c r="A30" s="19" t="s">
        <v>105</v>
      </c>
      <c r="D30" s="77" t="s">
        <v>100</v>
      </c>
      <c r="E30" s="78">
        <v>0.04</v>
      </c>
      <c r="F30" s="1"/>
      <c r="I30" s="33">
        <f>2500000000*E31</f>
        <v>49509756.796392582</v>
      </c>
    </row>
    <row r="31" spans="1:9" x14ac:dyDescent="0.25">
      <c r="D31" s="1"/>
      <c r="E31" s="27">
        <f>+((1+E30)^(1/2))-1</f>
        <v>1.9803902718557032E-2</v>
      </c>
      <c r="F31" s="1" t="s">
        <v>102</v>
      </c>
    </row>
    <row r="32" spans="1:9" x14ac:dyDescent="0.25">
      <c r="B32" s="1" t="s">
        <v>103</v>
      </c>
      <c r="C32" s="28">
        <f>+B4*E31</f>
        <v>49509756.796392582</v>
      </c>
    </row>
    <row r="33" spans="1:10" x14ac:dyDescent="0.25">
      <c r="B33" s="1"/>
      <c r="C33" s="29">
        <f>+B15</f>
        <v>58075448.457296506</v>
      </c>
    </row>
    <row r="34" spans="1:10" x14ac:dyDescent="0.25">
      <c r="B34" s="18" t="s">
        <v>93</v>
      </c>
      <c r="C34" s="32">
        <f>+C33-C32</f>
        <v>8565691.6609039232</v>
      </c>
    </row>
    <row r="36" spans="1:10" x14ac:dyDescent="0.25">
      <c r="A36" s="1" t="s">
        <v>95</v>
      </c>
      <c r="B36" s="29">
        <f>+C34-B27</f>
        <v>1322330.2751408294</v>
      </c>
      <c r="C36" s="1"/>
      <c r="F36" s="1" t="s">
        <v>108</v>
      </c>
      <c r="H36" s="29">
        <f>+G37</f>
        <v>931381.51674220711</v>
      </c>
    </row>
    <row r="37" spans="1:10" x14ac:dyDescent="0.25">
      <c r="A37" s="1" t="s">
        <v>96</v>
      </c>
      <c r="B37" s="1"/>
      <c r="C37" s="29">
        <f>+B36</f>
        <v>1322330.2751408294</v>
      </c>
      <c r="D37" s="32">
        <f>+C28+C37</f>
        <v>8565691.6609039232</v>
      </c>
      <c r="F37" s="1" t="s">
        <v>107</v>
      </c>
      <c r="G37" s="29">
        <f>+H19-C32</f>
        <v>931381.51674220711</v>
      </c>
      <c r="I37" s="32">
        <f>+H19-G37</f>
        <v>49509756.796392582</v>
      </c>
    </row>
    <row r="38" spans="1:10" x14ac:dyDescent="0.25">
      <c r="I38" s="32">
        <f>+I37+D37</f>
        <v>58075448.457296506</v>
      </c>
      <c r="J38" s="18" t="s">
        <v>106</v>
      </c>
    </row>
    <row r="39" spans="1:10" x14ac:dyDescent="0.25">
      <c r="A39" s="20" t="s">
        <v>109</v>
      </c>
    </row>
    <row r="40" spans="1:10" x14ac:dyDescent="0.25">
      <c r="F40" s="19" t="s">
        <v>115</v>
      </c>
    </row>
    <row r="41" spans="1:10" x14ac:dyDescent="0.25">
      <c r="A41" s="1" t="s">
        <v>110</v>
      </c>
      <c r="B41" s="29">
        <f>+D37</f>
        <v>8565691.6609039232</v>
      </c>
      <c r="F41" s="79" t="s">
        <v>112</v>
      </c>
      <c r="G41" s="29">
        <f>+I37</f>
        <v>49509756.796392582</v>
      </c>
    </row>
    <row r="42" spans="1:10" x14ac:dyDescent="0.25">
      <c r="A42" s="1" t="s">
        <v>111</v>
      </c>
      <c r="C42" s="29">
        <f>+B41</f>
        <v>8565691.6609039232</v>
      </c>
      <c r="F42" t="s">
        <v>113</v>
      </c>
      <c r="H42" s="29">
        <f>+G41</f>
        <v>49509756.796392582</v>
      </c>
    </row>
    <row r="43" spans="1:10" x14ac:dyDescent="0.25">
      <c r="C43" s="18" t="s">
        <v>114</v>
      </c>
      <c r="D43" s="32">
        <f>+C42+H42</f>
        <v>58075448.457296506</v>
      </c>
    </row>
    <row r="44" spans="1:10" x14ac:dyDescent="0.25">
      <c r="F44" s="19" t="s">
        <v>97</v>
      </c>
    </row>
    <row r="45" spans="1:10" x14ac:dyDescent="0.25">
      <c r="F45" s="79" t="s">
        <v>112</v>
      </c>
      <c r="G45" s="21">
        <f>+G14</f>
        <v>2500000000</v>
      </c>
    </row>
    <row r="46" spans="1:10" x14ac:dyDescent="0.25">
      <c r="F46" s="1" t="s">
        <v>113</v>
      </c>
      <c r="H46" s="21">
        <f>+G45</f>
        <v>2500000000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Forwards</vt:lpstr>
      <vt:lpstr>Opciones</vt:lpstr>
      <vt:lpstr>Swaps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Usuario de Windows</cp:lastModifiedBy>
  <dcterms:created xsi:type="dcterms:W3CDTF">2018-02-27T19:55:07Z</dcterms:created>
  <dcterms:modified xsi:type="dcterms:W3CDTF">2018-06-05T20:41:37Z</dcterms:modified>
</cp:coreProperties>
</file>