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13_ncr:1_{D7059C76-0D44-419C-A3A8-AE9762A820BC}" xr6:coauthVersionLast="47" xr6:coauthVersionMax="47" xr10:uidLastSave="{00000000-0000-0000-0000-000000000000}"/>
  <bookViews>
    <workbookView xWindow="-120" yWindow="-120" windowWidth="29040" windowHeight="15720" tabRatio="969" xr2:uid="{00000000-000D-0000-FFFF-FFFF00000000}"/>
  </bookViews>
  <sheets>
    <sheet name="Carátula" sheetId="33" r:id="rId1"/>
    <sheet name="S-1" sheetId="22" r:id="rId2"/>
    <sheet name="Sección 1.1" sheetId="11" state="hidden" r:id="rId3"/>
    <sheet name="Sección 1.2" sheetId="13" state="hidden" r:id="rId4"/>
    <sheet name="Tasas" sheetId="15" state="hidden" r:id="rId5"/>
    <sheet name="S-2" sheetId="12" r:id="rId6"/>
    <sheet name="S-3" sheetId="21" r:id="rId7"/>
    <sheet name="Seccion 3.1" sheetId="23" state="hidden" r:id="rId8"/>
    <sheet name="S-4" sheetId="20" r:id="rId9"/>
    <sheet name="S-5" sheetId="24" r:id="rId10"/>
    <sheet name="S-6-" sheetId="18" r:id="rId11"/>
    <sheet name="S-7" sheetId="27" r:id="rId12"/>
    <sheet name="S-8" sheetId="28" r:id="rId13"/>
    <sheet name="S-9" sheetId="7" r:id="rId14"/>
    <sheet name="S-11" sheetId="31" r:id="rId15"/>
    <sheet name="Sección 11.4" sheetId="30" state="hidden" r:id="rId16"/>
    <sheet name="Sección 11.5" sheetId="32" state="hidden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31" l="1"/>
  <c r="F42" i="31"/>
  <c r="F43" i="31" s="1"/>
  <c r="E43" i="31"/>
  <c r="H48" i="31"/>
  <c r="F49" i="31"/>
  <c r="F50" i="31" s="1"/>
  <c r="E50" i="31"/>
  <c r="H57" i="31"/>
  <c r="F58" i="31"/>
  <c r="F59" i="31" s="1"/>
  <c r="E59" i="31"/>
  <c r="H66" i="31"/>
  <c r="F67" i="31"/>
  <c r="F68" i="31" s="1"/>
  <c r="E68" i="31"/>
  <c r="H73" i="31"/>
  <c r="F74" i="31"/>
  <c r="F75" i="31" s="1"/>
  <c r="E75" i="31"/>
  <c r="G75" i="31" s="1"/>
  <c r="H75" i="31" s="1"/>
  <c r="H81" i="31"/>
  <c r="E83" i="31"/>
  <c r="F83" i="31"/>
  <c r="G83" i="31"/>
  <c r="H83" i="31" s="1"/>
  <c r="C9" i="31"/>
  <c r="C13" i="31" s="1"/>
  <c r="G68" i="31" l="1"/>
  <c r="H68" i="31" s="1"/>
  <c r="G43" i="31"/>
  <c r="H43" i="31" s="1"/>
  <c r="G50" i="31"/>
  <c r="H50" i="31" s="1"/>
  <c r="G59" i="31"/>
  <c r="H59" i="31" s="1"/>
  <c r="I76" i="18"/>
  <c r="H76" i="18"/>
  <c r="G76" i="18"/>
  <c r="F76" i="18"/>
  <c r="I68" i="18"/>
  <c r="I79" i="18" s="1"/>
  <c r="H68" i="18"/>
  <c r="H79" i="18" s="1"/>
  <c r="G68" i="18"/>
  <c r="G79" i="18" s="1"/>
  <c r="F68" i="18"/>
  <c r="F79" i="18" s="1"/>
  <c r="F67" i="18"/>
  <c r="I62" i="18"/>
  <c r="I78" i="18" s="1"/>
  <c r="H62" i="18"/>
  <c r="H78" i="18" s="1"/>
  <c r="G62" i="18"/>
  <c r="G78" i="18" s="1"/>
  <c r="F62" i="18"/>
  <c r="F61" i="18"/>
  <c r="H84" i="18" l="1"/>
  <c r="G84" i="18"/>
  <c r="I84" i="18"/>
  <c r="F69" i="18"/>
  <c r="F63" i="18"/>
  <c r="F78" i="18"/>
  <c r="F84" i="18" s="1"/>
  <c r="G81" i="18"/>
  <c r="G82" i="18" s="1"/>
  <c r="H81" i="18"/>
  <c r="H82" i="18" s="1"/>
  <c r="I81" i="18"/>
  <c r="I82" i="18" s="1"/>
  <c r="G160" i="24"/>
  <c r="F160" i="24"/>
  <c r="E160" i="24"/>
  <c r="D160" i="24"/>
  <c r="C152" i="12"/>
  <c r="D152" i="12"/>
  <c r="E152" i="12"/>
  <c r="C153" i="12"/>
  <c r="D153" i="12"/>
  <c r="E153" i="12"/>
  <c r="C124" i="12"/>
  <c r="D124" i="12"/>
  <c r="E124" i="12"/>
  <c r="C125" i="12"/>
  <c r="D125" i="12"/>
  <c r="E125" i="12"/>
  <c r="C132" i="12"/>
  <c r="D132" i="12"/>
  <c r="E132" i="12"/>
  <c r="C133" i="12"/>
  <c r="D133" i="12"/>
  <c r="E133" i="12"/>
  <c r="C139" i="12"/>
  <c r="D139" i="12"/>
  <c r="E139" i="12"/>
  <c r="C140" i="12"/>
  <c r="D140" i="12"/>
  <c r="E140" i="12"/>
  <c r="F97" i="12"/>
  <c r="F98" i="12"/>
  <c r="F99" i="12"/>
  <c r="F101" i="12"/>
  <c r="F102" i="12"/>
  <c r="F103" i="12"/>
  <c r="C109" i="12"/>
  <c r="C111" i="12" s="1"/>
  <c r="C112" i="12" s="1"/>
  <c r="D109" i="12"/>
  <c r="E109" i="12"/>
  <c r="G16" i="22"/>
  <c r="G20" i="22"/>
  <c r="I67" i="22"/>
  <c r="I97" i="22" s="1"/>
  <c r="I68" i="22"/>
  <c r="I98" i="22" s="1"/>
  <c r="I69" i="22"/>
  <c r="I99" i="22" s="1"/>
  <c r="I84" i="22"/>
  <c r="I116" i="22"/>
  <c r="I121" i="22"/>
  <c r="I125" i="22"/>
  <c r="I146" i="22"/>
  <c r="I236" i="22"/>
  <c r="I237" i="22"/>
  <c r="I241" i="22"/>
  <c r="I242" i="22"/>
  <c r="I246" i="22"/>
  <c r="I247" i="22" s="1"/>
  <c r="I340" i="22" s="1"/>
  <c r="I421" i="22"/>
  <c r="I430" i="22"/>
  <c r="I481" i="22"/>
  <c r="I507" i="22"/>
  <c r="I521" i="22"/>
  <c r="H524" i="22"/>
  <c r="I524" i="22"/>
  <c r="I527" i="22"/>
  <c r="I529" i="22" s="1"/>
  <c r="I530" i="22" s="1"/>
  <c r="H529" i="22"/>
  <c r="H530" i="22" s="1"/>
  <c r="I533" i="22"/>
  <c r="D111" i="12" l="1"/>
  <c r="F85" i="18"/>
  <c r="F72" i="18"/>
  <c r="F87" i="18"/>
  <c r="F88" i="18" s="1"/>
  <c r="F81" i="18"/>
  <c r="F82" i="18" s="1"/>
  <c r="C134" i="12"/>
  <c r="C141" i="12"/>
  <c r="C142" i="12" s="1"/>
  <c r="C158" i="12" s="1"/>
  <c r="C162" i="12" s="1"/>
  <c r="C126" i="12"/>
  <c r="C144" i="12" s="1"/>
  <c r="C145" i="12" s="1"/>
  <c r="C135" i="12"/>
  <c r="C157" i="12" s="1"/>
  <c r="C161" i="12" s="1"/>
  <c r="D131" i="12"/>
  <c r="D134" i="12" s="1"/>
  <c r="D112" i="12"/>
  <c r="E111" i="12"/>
  <c r="E112" i="12" s="1"/>
  <c r="I238" i="22"/>
  <c r="I338" i="22" s="1"/>
  <c r="H536" i="22"/>
  <c r="G21" i="22"/>
  <c r="I243" i="22"/>
  <c r="I339" i="22" s="1"/>
  <c r="I538" i="22"/>
  <c r="H538" i="22"/>
  <c r="I535" i="22" s="1"/>
  <c r="I83" i="22"/>
  <c r="I536" i="22"/>
  <c r="I92" i="28"/>
  <c r="H92" i="28"/>
  <c r="G91" i="28"/>
  <c r="I91" i="28" s="1"/>
  <c r="G90" i="28"/>
  <c r="I90" i="28" s="1"/>
  <c r="G89" i="28"/>
  <c r="I89" i="28" s="1"/>
  <c r="F93" i="28"/>
  <c r="B90" i="28"/>
  <c r="B91" i="28" s="1"/>
  <c r="B92" i="28" s="1"/>
  <c r="D82" i="28"/>
  <c r="D83" i="28" s="1"/>
  <c r="D84" i="28" s="1"/>
  <c r="D75" i="28"/>
  <c r="D76" i="28" s="1"/>
  <c r="D77" i="28" s="1"/>
  <c r="C127" i="12" l="1"/>
  <c r="C156" i="12" s="1"/>
  <c r="C160" i="12" s="1"/>
  <c r="D138" i="12"/>
  <c r="D141" i="12" s="1"/>
  <c r="D142" i="12" s="1"/>
  <c r="D158" i="12" s="1"/>
  <c r="D162" i="12" s="1"/>
  <c r="D123" i="12"/>
  <c r="D126" i="12" s="1"/>
  <c r="E123" i="12" s="1"/>
  <c r="E126" i="12" s="1"/>
  <c r="H89" i="28"/>
  <c r="G93" i="28"/>
  <c r="H90" i="28"/>
  <c r="H91" i="28"/>
  <c r="C163" i="12"/>
  <c r="C164" i="12" s="1"/>
  <c r="C168" i="12" s="1"/>
  <c r="D169" i="12" s="1"/>
  <c r="E131" i="12"/>
  <c r="E134" i="12" s="1"/>
  <c r="E135" i="12" s="1"/>
  <c r="E157" i="12" s="1"/>
  <c r="E161" i="12" s="1"/>
  <c r="D135" i="12"/>
  <c r="D157" i="12" s="1"/>
  <c r="D161" i="12" s="1"/>
  <c r="D127" i="12"/>
  <c r="D156" i="12" s="1"/>
  <c r="D160" i="12" s="1"/>
  <c r="D144" i="12"/>
  <c r="D145" i="12" s="1"/>
  <c r="E138" i="12" l="1"/>
  <c r="E141" i="12" s="1"/>
  <c r="E142" i="12" s="1"/>
  <c r="E158" i="12" s="1"/>
  <c r="E162" i="12" s="1"/>
  <c r="H93" i="28"/>
  <c r="D163" i="12"/>
  <c r="D164" i="12" s="1"/>
  <c r="D165" i="12"/>
  <c r="C171" i="12" s="1"/>
  <c r="D172" i="12" s="1"/>
  <c r="E127" i="12"/>
  <c r="E156" i="12" s="1"/>
  <c r="E160" i="12" s="1"/>
  <c r="I93" i="28"/>
  <c r="E163" i="12" l="1"/>
  <c r="E164" i="12" s="1"/>
  <c r="E144" i="12"/>
  <c r="E145" i="12" s="1"/>
  <c r="E165" i="12"/>
  <c r="C174" i="12" s="1"/>
  <c r="D175" i="12" s="1"/>
  <c r="T34" i="28" l="1"/>
  <c r="H25" i="28"/>
  <c r="G25" i="28"/>
  <c r="F25" i="28"/>
  <c r="I23" i="28"/>
  <c r="H23" i="28"/>
  <c r="G23" i="28"/>
  <c r="F23" i="28"/>
  <c r="E13" i="12"/>
  <c r="D13" i="12"/>
  <c r="C13" i="12"/>
  <c r="E9" i="12"/>
  <c r="E10" i="12" s="1"/>
  <c r="E12" i="12" s="1"/>
  <c r="D9" i="12"/>
  <c r="D10" i="12" s="1"/>
  <c r="C9" i="12"/>
  <c r="C10" i="12" s="1"/>
  <c r="D12" i="12" l="1"/>
  <c r="D14" i="12" s="1"/>
  <c r="C12" i="12"/>
  <c r="C14" i="12" s="1"/>
  <c r="E14" i="12"/>
  <c r="E30" i="31" l="1"/>
  <c r="F30" i="31"/>
  <c r="G30" i="31"/>
  <c r="F28" i="31"/>
  <c r="G28" i="31" s="1"/>
  <c r="G24" i="31"/>
  <c r="G19" i="31"/>
  <c r="G21" i="31" s="1"/>
  <c r="G13" i="31"/>
  <c r="G15" i="31" s="1"/>
  <c r="G7" i="31"/>
  <c r="C15" i="31"/>
  <c r="C19" i="31" s="1"/>
  <c r="C21" i="31" s="1"/>
  <c r="E29" i="31" l="1"/>
  <c r="E31" i="31" s="1"/>
  <c r="E33" i="31" s="1"/>
  <c r="G9" i="31"/>
  <c r="H30" i="31"/>
  <c r="F29" i="31"/>
  <c r="H29" i="31" s="1"/>
  <c r="H31" i="31" s="1"/>
  <c r="H33" i="31" s="1"/>
  <c r="G29" i="31"/>
  <c r="G31" i="31" s="1"/>
  <c r="G33" i="31" s="1"/>
  <c r="G23" i="31"/>
  <c r="G25" i="31" s="1"/>
  <c r="H75" i="27"/>
  <c r="F76" i="27"/>
  <c r="G74" i="27"/>
  <c r="H74" i="27" s="1"/>
  <c r="G73" i="27"/>
  <c r="H73" i="27" s="1"/>
  <c r="G72" i="27"/>
  <c r="G76" i="27" l="1"/>
  <c r="F31" i="31"/>
  <c r="F33" i="31" s="1"/>
  <c r="H72" i="27"/>
  <c r="I74" i="27" s="1"/>
  <c r="H76" i="27"/>
  <c r="G41" i="21"/>
  <c r="G42" i="21" s="1"/>
  <c r="E13" i="21"/>
  <c r="F13" i="21"/>
  <c r="E9" i="21"/>
  <c r="F8" i="21"/>
  <c r="F9" i="21" s="1"/>
  <c r="F15" i="21" l="1"/>
  <c r="F17" i="21" s="1"/>
  <c r="G8" i="21"/>
  <c r="G29" i="21" s="1"/>
  <c r="G31" i="21" s="1"/>
  <c r="G34" i="21" s="1"/>
  <c r="E15" i="21"/>
  <c r="E17" i="21" s="1"/>
  <c r="E65" i="30"/>
  <c r="D65" i="30"/>
  <c r="E64" i="30"/>
  <c r="K64" i="30" s="1"/>
  <c r="D64" i="30"/>
  <c r="E63" i="30"/>
  <c r="D63" i="30"/>
  <c r="C65" i="30"/>
  <c r="C64" i="30"/>
  <c r="C63" i="30"/>
  <c r="K73" i="30"/>
  <c r="E73" i="30"/>
  <c r="K72" i="30"/>
  <c r="K53" i="30"/>
  <c r="E53" i="30"/>
  <c r="K52" i="30"/>
  <c r="C48" i="30"/>
  <c r="K45" i="30"/>
  <c r="K44" i="30"/>
  <c r="F44" i="30"/>
  <c r="F48" i="30" s="1"/>
  <c r="K34" i="30"/>
  <c r="E34" i="30"/>
  <c r="K33" i="30"/>
  <c r="C29" i="30"/>
  <c r="K26" i="30"/>
  <c r="K25" i="30"/>
  <c r="K29" i="30" s="1"/>
  <c r="K30" i="30" s="1"/>
  <c r="E36" i="30" s="1"/>
  <c r="F25" i="30"/>
  <c r="F29" i="30" s="1"/>
  <c r="K14" i="30"/>
  <c r="K15" i="30"/>
  <c r="E15" i="30"/>
  <c r="C10" i="30"/>
  <c r="K7" i="30"/>
  <c r="K6" i="30"/>
  <c r="F6" i="30"/>
  <c r="F10" i="30" s="1"/>
  <c r="K35" i="30" l="1"/>
  <c r="K36" i="30" s="1"/>
  <c r="K63" i="30"/>
  <c r="K65" i="30"/>
  <c r="K68" i="30"/>
  <c r="K69" i="30" s="1"/>
  <c r="E75" i="30" s="1"/>
  <c r="K10" i="30"/>
  <c r="K11" i="30" s="1"/>
  <c r="E17" i="30" s="1"/>
  <c r="F30" i="30"/>
  <c r="E37" i="30" s="1"/>
  <c r="K37" i="30" s="1"/>
  <c r="K38" i="30" s="1"/>
  <c r="K48" i="30"/>
  <c r="K49" i="30" s="1"/>
  <c r="E55" i="30" s="1"/>
  <c r="F55" i="30" s="1"/>
  <c r="C66" i="30"/>
  <c r="C68" i="30" s="1"/>
  <c r="G35" i="21"/>
  <c r="G36" i="21" s="1"/>
  <c r="G17" i="21"/>
  <c r="G15" i="21"/>
  <c r="K74" i="30"/>
  <c r="K75" i="30" s="1"/>
  <c r="K54" i="30"/>
  <c r="K55" i="30" s="1"/>
  <c r="F64" i="30"/>
  <c r="K16" i="30"/>
  <c r="K17" i="30" s="1"/>
  <c r="F63" i="30"/>
  <c r="F65" i="30"/>
  <c r="F49" i="30"/>
  <c r="E56" i="30" s="1"/>
  <c r="E38" i="30"/>
  <c r="F11" i="30"/>
  <c r="E18" i="30" s="1"/>
  <c r="E19" i="30" s="1"/>
  <c r="F65" i="12"/>
  <c r="F64" i="12"/>
  <c r="F57" i="12"/>
  <c r="F56" i="12"/>
  <c r="F49" i="12"/>
  <c r="F48" i="12"/>
  <c r="E57" i="30" l="1"/>
  <c r="F17" i="30"/>
  <c r="F36" i="30"/>
  <c r="F50" i="12"/>
  <c r="F58" i="12"/>
  <c r="F66" i="12"/>
  <c r="F66" i="30"/>
  <c r="F68" i="30" s="1"/>
  <c r="F69" i="30" s="1"/>
  <c r="E76" i="30" s="1"/>
  <c r="E77" i="30" s="1"/>
  <c r="K56" i="30"/>
  <c r="K57" i="30" s="1"/>
  <c r="K18" i="30"/>
  <c r="K19" i="30" s="1"/>
  <c r="F322" i="24"/>
  <c r="G323" i="24" s="1"/>
  <c r="F318" i="24"/>
  <c r="G318" i="24" s="1"/>
  <c r="G314" i="24"/>
  <c r="D164" i="20"/>
  <c r="F75" i="30" l="1"/>
  <c r="K76" i="30"/>
  <c r="K77" i="30" s="1"/>
  <c r="K543" i="22"/>
  <c r="L543" i="22" s="1"/>
  <c r="J533" i="22"/>
  <c r="K533" i="22" s="1"/>
  <c r="L533" i="22" s="1"/>
  <c r="M533" i="22" s="1"/>
  <c r="J524" i="22"/>
  <c r="M523" i="22"/>
  <c r="M524" i="22" s="1"/>
  <c r="L523" i="22"/>
  <c r="L524" i="22" s="1"/>
  <c r="K523" i="22"/>
  <c r="K524" i="22" s="1"/>
  <c r="J521" i="22"/>
  <c r="K521" i="22" s="1"/>
  <c r="L521" i="22" s="1"/>
  <c r="M521" i="22" s="1"/>
  <c r="J192" i="22"/>
  <c r="J193" i="22" s="1"/>
  <c r="J535" i="22" l="1"/>
  <c r="J527" i="22"/>
  <c r="B36" i="7"/>
  <c r="J529" i="22" l="1"/>
  <c r="K527" i="22"/>
  <c r="I69" i="28"/>
  <c r="H69" i="28"/>
  <c r="G69" i="28"/>
  <c r="F69" i="28"/>
  <c r="I61" i="28"/>
  <c r="H57" i="28"/>
  <c r="F56" i="28"/>
  <c r="G56" i="28" s="1"/>
  <c r="G57" i="28" s="1"/>
  <c r="E56" i="28"/>
  <c r="H49" i="28"/>
  <c r="G49" i="28"/>
  <c r="I48" i="28"/>
  <c r="I49" i="28" s="1"/>
  <c r="H35" i="28"/>
  <c r="H36" i="28" s="1"/>
  <c r="G35" i="28"/>
  <c r="G38" i="28" s="1"/>
  <c r="F35" i="28"/>
  <c r="F36" i="28" s="1"/>
  <c r="E35" i="28"/>
  <c r="H12" i="28"/>
  <c r="I11" i="28" s="1"/>
  <c r="I56" i="28" l="1"/>
  <c r="I70" i="28"/>
  <c r="E36" i="28"/>
  <c r="I35" i="28"/>
  <c r="I57" i="28"/>
  <c r="L527" i="22"/>
  <c r="K529" i="22"/>
  <c r="K537" i="22" s="1"/>
  <c r="J545" i="22" s="1"/>
  <c r="J546" i="22" s="1"/>
  <c r="J530" i="22"/>
  <c r="J538" i="22" s="1"/>
  <c r="K535" i="22" s="1"/>
  <c r="J536" i="22"/>
  <c r="E38" i="28"/>
  <c r="F38" i="28"/>
  <c r="G36" i="28"/>
  <c r="H38" i="28"/>
  <c r="I25" i="28"/>
  <c r="I6" i="28"/>
  <c r="G14" i="28"/>
  <c r="H14" i="28" s="1"/>
  <c r="I14" i="28" s="1"/>
  <c r="D14" i="27"/>
  <c r="D8" i="27"/>
  <c r="K530" i="22" l="1"/>
  <c r="K538" i="22" s="1"/>
  <c r="L535" i="22" s="1"/>
  <c r="M527" i="22"/>
  <c r="M529" i="22" s="1"/>
  <c r="M530" i="22" s="1"/>
  <c r="M538" i="22" s="1"/>
  <c r="L529" i="22"/>
  <c r="I38" i="28"/>
  <c r="G43" i="28" s="1"/>
  <c r="H44" i="28" s="1"/>
  <c r="I43" i="28" s="1"/>
  <c r="H79" i="27"/>
  <c r="H83" i="27"/>
  <c r="G84" i="27"/>
  <c r="G88" i="27" s="1"/>
  <c r="G89" i="27" s="1"/>
  <c r="G98" i="27" s="1"/>
  <c r="H99" i="27" s="1"/>
  <c r="G86" i="27"/>
  <c r="H86" i="27" s="1"/>
  <c r="F88" i="27"/>
  <c r="F89" i="27" s="1"/>
  <c r="G95" i="27" s="1"/>
  <c r="L530" i="22" l="1"/>
  <c r="L538" i="22" s="1"/>
  <c r="M535" i="22" s="1"/>
  <c r="M537" i="22"/>
  <c r="L545" i="22" s="1"/>
  <c r="L546" i="22" s="1"/>
  <c r="L537" i="22"/>
  <c r="K545" i="22" s="1"/>
  <c r="K546" i="22" s="1"/>
  <c r="H96" i="27"/>
  <c r="I95" i="27"/>
  <c r="I98" i="27" s="1"/>
  <c r="H81" i="27"/>
  <c r="H84" i="27" s="1"/>
  <c r="H88" i="27" s="1"/>
  <c r="H90" i="27" s="1"/>
  <c r="G101" i="27" s="1"/>
  <c r="H102" i="27" s="1"/>
  <c r="E5" i="27"/>
  <c r="F5" i="27" s="1"/>
  <c r="G5" i="27" s="1"/>
  <c r="H5" i="27" s="1"/>
  <c r="I5" i="27" s="1"/>
  <c r="E7" i="27"/>
  <c r="D9" i="27"/>
  <c r="E11" i="27"/>
  <c r="F11" i="27" s="1"/>
  <c r="G11" i="27" s="1"/>
  <c r="H11" i="27" s="1"/>
  <c r="I11" i="27" s="1"/>
  <c r="E13" i="27"/>
  <c r="D15" i="27"/>
  <c r="E19" i="27"/>
  <c r="F19" i="27" s="1"/>
  <c r="G19" i="27" s="1"/>
  <c r="H19" i="27" s="1"/>
  <c r="I19" i="27" s="1"/>
  <c r="D26" i="27"/>
  <c r="E26" i="27"/>
  <c r="F26" i="27"/>
  <c r="G26" i="27"/>
  <c r="H26" i="27"/>
  <c r="I26" i="27"/>
  <c r="G29" i="27"/>
  <c r="H29" i="27"/>
  <c r="I29" i="27"/>
  <c r="E34" i="27"/>
  <c r="F34" i="27" s="1"/>
  <c r="G34" i="27" s="1"/>
  <c r="H34" i="27" s="1"/>
  <c r="I34" i="27" s="1"/>
  <c r="F193" i="18"/>
  <c r="F194" i="18"/>
  <c r="F196" i="18"/>
  <c r="E209" i="18" s="1"/>
  <c r="I161" i="18"/>
  <c r="I159" i="18"/>
  <c r="I158" i="18"/>
  <c r="G130" i="18"/>
  <c r="G129" i="18"/>
  <c r="G113" i="18"/>
  <c r="F149" i="18" s="1"/>
  <c r="H156" i="18" s="1"/>
  <c r="H162" i="18" s="1"/>
  <c r="H163" i="18" s="1"/>
  <c r="H166" i="18" s="1"/>
  <c r="I167" i="18" s="1"/>
  <c r="G108" i="18"/>
  <c r="G102" i="18" s="1"/>
  <c r="F140" i="24"/>
  <c r="G141" i="24" s="1"/>
  <c r="G301" i="24"/>
  <c r="F306" i="24"/>
  <c r="G306" i="24" s="1"/>
  <c r="F309" i="24"/>
  <c r="G310" i="24" s="1"/>
  <c r="G288" i="24"/>
  <c r="F292" i="24"/>
  <c r="G292" i="24" s="1"/>
  <c r="F296" i="24"/>
  <c r="G297" i="24" s="1"/>
  <c r="D248" i="24"/>
  <c r="E248" i="24" s="1"/>
  <c r="D253" i="24"/>
  <c r="E253" i="24"/>
  <c r="F253" i="24"/>
  <c r="G253" i="24"/>
  <c r="D254" i="24"/>
  <c r="F254" i="24" s="1"/>
  <c r="E208" i="24"/>
  <c r="F208" i="24" s="1"/>
  <c r="D210" i="24"/>
  <c r="E207" i="24" s="1"/>
  <c r="D211" i="24"/>
  <c r="D217" i="24"/>
  <c r="E214" i="24" s="1"/>
  <c r="D218" i="24"/>
  <c r="D224" i="24"/>
  <c r="D161" i="24"/>
  <c r="E161" i="24"/>
  <c r="F161" i="24"/>
  <c r="G161" i="24"/>
  <c r="E163" i="24"/>
  <c r="F163" i="24"/>
  <c r="G163" i="24"/>
  <c r="D166" i="24"/>
  <c r="D167" i="24" s="1"/>
  <c r="E167" i="24" s="1"/>
  <c r="E166" i="24"/>
  <c r="F166" i="24"/>
  <c r="G166" i="24"/>
  <c r="G30" i="27" l="1"/>
  <c r="I30" i="27"/>
  <c r="H30" i="27"/>
  <c r="H194" i="18"/>
  <c r="G194" i="18"/>
  <c r="G196" i="18"/>
  <c r="F209" i="18" s="1"/>
  <c r="F218" i="18" s="1"/>
  <c r="H193" i="18"/>
  <c r="G193" i="18"/>
  <c r="D255" i="24"/>
  <c r="D265" i="24"/>
  <c r="G254" i="24"/>
  <c r="G255" i="24" s="1"/>
  <c r="D256" i="24"/>
  <c r="D250" i="24"/>
  <c r="M546" i="22"/>
  <c r="F13" i="27"/>
  <c r="E14" i="27"/>
  <c r="F7" i="27"/>
  <c r="F8" i="27" s="1"/>
  <c r="E8" i="27"/>
  <c r="I101" i="27"/>
  <c r="F38" i="27"/>
  <c r="D17" i="27"/>
  <c r="D36" i="27" s="1"/>
  <c r="D37" i="27" s="1"/>
  <c r="H46" i="27" s="1"/>
  <c r="H40" i="27"/>
  <c r="H61" i="27" s="1"/>
  <c r="G60" i="27" s="1"/>
  <c r="G39" i="27"/>
  <c r="E218" i="18"/>
  <c r="G184" i="18"/>
  <c r="F191" i="18" s="1"/>
  <c r="G117" i="18"/>
  <c r="G118" i="18" s="1"/>
  <c r="H121" i="18" s="1"/>
  <c r="I122" i="18" s="1"/>
  <c r="G131" i="18"/>
  <c r="G132" i="18" s="1"/>
  <c r="G135" i="18" s="1"/>
  <c r="I156" i="18"/>
  <c r="I162" i="18" s="1"/>
  <c r="E215" i="24"/>
  <c r="E218" i="24" s="1"/>
  <c r="E254" i="24"/>
  <c r="E265" i="24" s="1"/>
  <c r="D249" i="24"/>
  <c r="G248" i="24"/>
  <c r="G249" i="24" s="1"/>
  <c r="F255" i="24"/>
  <c r="F256" i="24"/>
  <c r="E249" i="24"/>
  <c r="E250" i="24"/>
  <c r="F248" i="24"/>
  <c r="E211" i="24"/>
  <c r="E209" i="24"/>
  <c r="F209" i="24" s="1"/>
  <c r="G209" i="24" s="1"/>
  <c r="D220" i="24"/>
  <c r="D221" i="24" s="1"/>
  <c r="E229" i="24" s="1"/>
  <c r="F230" i="24" s="1"/>
  <c r="G230" i="24" s="1"/>
  <c r="F211" i="24"/>
  <c r="D179" i="24"/>
  <c r="E179" i="24" s="1"/>
  <c r="E168" i="24"/>
  <c r="E172" i="24" s="1"/>
  <c r="E173" i="24" s="1"/>
  <c r="E170" i="24"/>
  <c r="D170" i="24"/>
  <c r="F167" i="24"/>
  <c r="D168" i="24"/>
  <c r="D172" i="24" s="1"/>
  <c r="D173" i="24" s="1"/>
  <c r="E187" i="24" s="1"/>
  <c r="F188" i="24" s="1"/>
  <c r="G188" i="24" s="1"/>
  <c r="E146" i="24"/>
  <c r="D146" i="24"/>
  <c r="D111" i="24"/>
  <c r="E111" i="24"/>
  <c r="E112" i="24" s="1"/>
  <c r="E113" i="24" s="1"/>
  <c r="E207" i="18" l="1"/>
  <c r="G191" i="18"/>
  <c r="G197" i="18" s="1"/>
  <c r="D258" i="24"/>
  <c r="D259" i="24" s="1"/>
  <c r="E270" i="24" s="1"/>
  <c r="F271" i="24" s="1"/>
  <c r="G271" i="24" s="1"/>
  <c r="E224" i="24"/>
  <c r="G256" i="24"/>
  <c r="G258" i="24"/>
  <c r="G259" i="24" s="1"/>
  <c r="F215" i="24"/>
  <c r="G215" i="24" s="1"/>
  <c r="G218" i="24" s="1"/>
  <c r="G7" i="27"/>
  <c r="G8" i="27" s="1"/>
  <c r="G13" i="27"/>
  <c r="H13" i="27" s="1"/>
  <c r="I13" i="27" s="1"/>
  <c r="F14" i="27"/>
  <c r="G14" i="27" s="1"/>
  <c r="G45" i="27"/>
  <c r="I46" i="27"/>
  <c r="H55" i="27"/>
  <c r="G54" i="27"/>
  <c r="H58" i="27"/>
  <c r="G57" i="27" s="1"/>
  <c r="F197" i="18"/>
  <c r="F198" i="18" s="1"/>
  <c r="E216" i="18"/>
  <c r="H136" i="18"/>
  <c r="F150" i="18" s="1"/>
  <c r="H170" i="18"/>
  <c r="I171" i="18" s="1"/>
  <c r="F265" i="24"/>
  <c r="E256" i="24"/>
  <c r="E255" i="24"/>
  <c r="E258" i="24" s="1"/>
  <c r="E259" i="24" s="1"/>
  <c r="E274" i="24" s="1"/>
  <c r="F275" i="24" s="1"/>
  <c r="G275" i="24" s="1"/>
  <c r="F249" i="24"/>
  <c r="F258" i="24" s="1"/>
  <c r="F259" i="24" s="1"/>
  <c r="F250" i="24"/>
  <c r="G250" i="24"/>
  <c r="F218" i="24"/>
  <c r="E216" i="24"/>
  <c r="F216" i="24" s="1"/>
  <c r="G216" i="24" s="1"/>
  <c r="E210" i="24"/>
  <c r="F207" i="24" s="1"/>
  <c r="F210" i="24" s="1"/>
  <c r="G207" i="24" s="1"/>
  <c r="G210" i="24" s="1"/>
  <c r="G211" i="24"/>
  <c r="G225" i="24"/>
  <c r="F168" i="24"/>
  <c r="F172" i="24" s="1"/>
  <c r="F173" i="24" s="1"/>
  <c r="F170" i="24"/>
  <c r="F179" i="24"/>
  <c r="G167" i="24"/>
  <c r="E191" i="24"/>
  <c r="F192" i="24" s="1"/>
  <c r="G192" i="24" s="1"/>
  <c r="F111" i="24"/>
  <c r="G111" i="24" s="1"/>
  <c r="E122" i="24" s="1"/>
  <c r="F123" i="24" s="1"/>
  <c r="G123" i="24" s="1"/>
  <c r="D112" i="24"/>
  <c r="G90" i="24"/>
  <c r="G95" i="24"/>
  <c r="G99" i="24"/>
  <c r="G103" i="24"/>
  <c r="A60" i="24"/>
  <c r="A61" i="24" s="1"/>
  <c r="A62" i="24" s="1"/>
  <c r="A63" i="24" s="1"/>
  <c r="A64" i="24" s="1"/>
  <c r="A65" i="24" s="1"/>
  <c r="B44" i="24"/>
  <c r="B45" i="24" s="1"/>
  <c r="B46" i="24" s="1"/>
  <c r="B47" i="24" s="1"/>
  <c r="B48" i="24" s="1"/>
  <c r="B49" i="24" s="1"/>
  <c r="D43" i="24"/>
  <c r="E43" i="24" s="1"/>
  <c r="F43" i="24" s="1"/>
  <c r="G43" i="24" s="1"/>
  <c r="E71" i="24" s="1"/>
  <c r="F72" i="24" s="1"/>
  <c r="G72" i="24" s="1"/>
  <c r="A44" i="24"/>
  <c r="A45" i="24" s="1"/>
  <c r="A46" i="24" s="1"/>
  <c r="A47" i="24" s="1"/>
  <c r="A48" i="24" s="1"/>
  <c r="A49" i="24" s="1"/>
  <c r="D44" i="24"/>
  <c r="E44" i="24" s="1"/>
  <c r="F44" i="24" s="1"/>
  <c r="D45" i="24"/>
  <c r="E45" i="24" s="1"/>
  <c r="F45" i="24" s="1"/>
  <c r="D46" i="24"/>
  <c r="E46" i="24" s="1"/>
  <c r="F46" i="24" s="1"/>
  <c r="D47" i="24"/>
  <c r="E47" i="24" s="1"/>
  <c r="F47" i="24" s="1"/>
  <c r="D48" i="24"/>
  <c r="E48" i="24" s="1"/>
  <c r="F48" i="24" s="1"/>
  <c r="D49" i="24"/>
  <c r="E49" i="24" s="1"/>
  <c r="F49" i="24" s="1"/>
  <c r="E16" i="24"/>
  <c r="F16" i="24" s="1"/>
  <c r="G16" i="24" s="1"/>
  <c r="E27" i="24" s="1"/>
  <c r="F28" i="24" s="1"/>
  <c r="G28" i="24" s="1"/>
  <c r="F10" i="24"/>
  <c r="G10" i="24" s="1"/>
  <c r="F11" i="24"/>
  <c r="F12" i="24"/>
  <c r="H7" i="27" l="1"/>
  <c r="H8" i="27" s="1"/>
  <c r="E210" i="18"/>
  <c r="F207" i="18"/>
  <c r="F224" i="24"/>
  <c r="G218" i="18"/>
  <c r="E217" i="24"/>
  <c r="F214" i="24" s="1"/>
  <c r="F217" i="24" s="1"/>
  <c r="F199" i="18"/>
  <c r="F200" i="18" s="1"/>
  <c r="G185" i="18"/>
  <c r="H197" i="18"/>
  <c r="E278" i="24"/>
  <c r="F279" i="24" s="1"/>
  <c r="G279" i="24" s="1"/>
  <c r="E282" i="24" s="1"/>
  <c r="F283" i="24" s="1"/>
  <c r="G283" i="24" s="1"/>
  <c r="G168" i="24"/>
  <c r="G172" i="24" s="1"/>
  <c r="G173" i="24" s="1"/>
  <c r="G170" i="24"/>
  <c r="G182" i="24"/>
  <c r="E195" i="24"/>
  <c r="F196" i="24" s="1"/>
  <c r="G196" i="24" s="1"/>
  <c r="F146" i="24"/>
  <c r="G146" i="24" s="1"/>
  <c r="E153" i="24" s="1"/>
  <c r="F154" i="24" s="1"/>
  <c r="F112" i="24"/>
  <c r="G112" i="24" s="1"/>
  <c r="E126" i="24" s="1"/>
  <c r="F127" i="24" s="1"/>
  <c r="G127" i="24" s="1"/>
  <c r="D113" i="24"/>
  <c r="F113" i="24" s="1"/>
  <c r="G113" i="24" s="1"/>
  <c r="G44" i="24"/>
  <c r="E75" i="24" s="1"/>
  <c r="F76" i="24" s="1"/>
  <c r="G76" i="24" s="1"/>
  <c r="E59" i="24"/>
  <c r="G11" i="24"/>
  <c r="G12" i="24" s="1"/>
  <c r="E17" i="24"/>
  <c r="G138" i="20"/>
  <c r="E138" i="20"/>
  <c r="E147" i="20" s="1"/>
  <c r="F147" i="20" s="1"/>
  <c r="I7" i="27" l="1"/>
  <c r="I8" i="27" s="1"/>
  <c r="F210" i="18"/>
  <c r="F216" i="18"/>
  <c r="E220" i="24"/>
  <c r="E221" i="24" s="1"/>
  <c r="E233" i="24" s="1"/>
  <c r="F234" i="24" s="1"/>
  <c r="G234" i="24" s="1"/>
  <c r="E130" i="24"/>
  <c r="F131" i="24" s="1"/>
  <c r="G131" i="24" s="1"/>
  <c r="G214" i="24"/>
  <c r="G217" i="24" s="1"/>
  <c r="F220" i="24"/>
  <c r="F221" i="24" s="1"/>
  <c r="E199" i="24"/>
  <c r="F200" i="24" s="1"/>
  <c r="G45" i="24"/>
  <c r="E79" i="24" s="1"/>
  <c r="F80" i="24" s="1"/>
  <c r="G80" i="24" s="1"/>
  <c r="F59" i="24"/>
  <c r="G59" i="24" s="1"/>
  <c r="E60" i="24"/>
  <c r="E18" i="24"/>
  <c r="F18" i="24" s="1"/>
  <c r="G18" i="24" s="1"/>
  <c r="F17" i="24"/>
  <c r="G17" i="24" s="1"/>
  <c r="E31" i="24" s="1"/>
  <c r="F32" i="24" s="1"/>
  <c r="G32" i="24" s="1"/>
  <c r="G81" i="23"/>
  <c r="H82" i="23" s="1"/>
  <c r="J65" i="23"/>
  <c r="I65" i="23"/>
  <c r="J38" i="23"/>
  <c r="J43" i="23" s="1"/>
  <c r="J49" i="23" s="1"/>
  <c r="I38" i="23"/>
  <c r="I43" i="23" s="1"/>
  <c r="I49" i="23" s="1"/>
  <c r="H38" i="23"/>
  <c r="H43" i="23" s="1"/>
  <c r="H49" i="23" s="1"/>
  <c r="J31" i="23"/>
  <c r="J32" i="23" s="1"/>
  <c r="J50" i="23" s="1"/>
  <c r="J21" i="23"/>
  <c r="H21" i="23"/>
  <c r="J16" i="23"/>
  <c r="H16" i="23"/>
  <c r="I30" i="23" s="1"/>
  <c r="I32" i="23" s="1"/>
  <c r="I50" i="23" s="1"/>
  <c r="J11" i="23"/>
  <c r="H11" i="23"/>
  <c r="H29" i="23" s="1"/>
  <c r="H32" i="23" s="1"/>
  <c r="H50" i="23" s="1"/>
  <c r="J6" i="23"/>
  <c r="H6" i="23"/>
  <c r="N1" i="23"/>
  <c r="E79" i="12"/>
  <c r="E75" i="12"/>
  <c r="E71" i="12"/>
  <c r="C66" i="12"/>
  <c r="D63" i="12" s="1"/>
  <c r="D66" i="12" s="1"/>
  <c r="E63" i="12" s="1"/>
  <c r="E66" i="12" s="1"/>
  <c r="C58" i="12"/>
  <c r="D55" i="12" s="1"/>
  <c r="D58" i="12" s="1"/>
  <c r="E55" i="12" s="1"/>
  <c r="E58" i="12" s="1"/>
  <c r="C50" i="12"/>
  <c r="D47" i="12" s="1"/>
  <c r="D50" i="12" s="1"/>
  <c r="E47" i="12" s="1"/>
  <c r="E50" i="12" s="1"/>
  <c r="K505" i="22"/>
  <c r="J493" i="22"/>
  <c r="L493" i="22" s="1"/>
  <c r="J488" i="22"/>
  <c r="J479" i="22"/>
  <c r="J477" i="22"/>
  <c r="J474" i="22"/>
  <c r="L474" i="22" s="1"/>
  <c r="J481" i="22"/>
  <c r="L481" i="22" s="1"/>
  <c r="K428" i="22"/>
  <c r="K430" i="22" s="1"/>
  <c r="I437" i="22" s="1"/>
  <c r="K445" i="22"/>
  <c r="K449" i="22" s="1"/>
  <c r="K451" i="22" s="1"/>
  <c r="J457" i="22" s="1"/>
  <c r="J417" i="22"/>
  <c r="K417" i="22" s="1"/>
  <c r="J421" i="22"/>
  <c r="K421" i="22"/>
  <c r="L389" i="22"/>
  <c r="L390" i="22"/>
  <c r="L391" i="22"/>
  <c r="L392" i="22"/>
  <c r="L393" i="22"/>
  <c r="L388" i="22"/>
  <c r="L387" i="22"/>
  <c r="K359" i="22"/>
  <c r="F76" i="12" l="1"/>
  <c r="E85" i="12" s="1"/>
  <c r="E87" i="12" s="1"/>
  <c r="D16" i="12"/>
  <c r="D18" i="12" s="1"/>
  <c r="F72" i="12"/>
  <c r="D85" i="12" s="1"/>
  <c r="D87" i="12" s="1"/>
  <c r="C16" i="12"/>
  <c r="C18" i="12" s="1"/>
  <c r="F80" i="12"/>
  <c r="F85" i="12" s="1"/>
  <c r="F87" i="12" s="1"/>
  <c r="E16" i="12"/>
  <c r="E18" i="12" s="1"/>
  <c r="K458" i="22"/>
  <c r="K509" i="22"/>
  <c r="I505" i="22"/>
  <c r="I509" i="22" s="1"/>
  <c r="G507" i="22"/>
  <c r="G509" i="22" s="1"/>
  <c r="J495" i="22"/>
  <c r="L488" i="22"/>
  <c r="L495" i="22" s="1"/>
  <c r="E237" i="24"/>
  <c r="F238" i="24" s="1"/>
  <c r="G238" i="24" s="1"/>
  <c r="G46" i="24"/>
  <c r="E83" i="24" s="1"/>
  <c r="F84" i="24" s="1"/>
  <c r="G84" i="24" s="1"/>
  <c r="G220" i="24"/>
  <c r="G221" i="24" s="1"/>
  <c r="E241" i="24" s="1"/>
  <c r="F242" i="24" s="1"/>
  <c r="G199" i="24"/>
  <c r="F60" i="24"/>
  <c r="G60" i="24" s="1"/>
  <c r="E61" i="24"/>
  <c r="E35" i="24"/>
  <c r="F36" i="24" s="1"/>
  <c r="G36" i="24" s="1"/>
  <c r="I81" i="23"/>
  <c r="J82" i="23" s="1"/>
  <c r="I51" i="23"/>
  <c r="I58" i="23" s="1"/>
  <c r="J51" i="23"/>
  <c r="J58" i="23" s="1"/>
  <c r="H51" i="23"/>
  <c r="H58" i="23" s="1"/>
  <c r="G216" i="18" l="1"/>
  <c r="G219" i="18" s="1"/>
  <c r="G47" i="24"/>
  <c r="G48" i="24" s="1"/>
  <c r="G49" i="24" s="1"/>
  <c r="F219" i="18"/>
  <c r="E219" i="18"/>
  <c r="G242" i="24"/>
  <c r="E62" i="24"/>
  <c r="F61" i="24"/>
  <c r="G61" i="24" s="1"/>
  <c r="J59" i="23"/>
  <c r="I69" i="23"/>
  <c r="J69" i="23" s="1"/>
  <c r="H59" i="23"/>
  <c r="I67" i="23"/>
  <c r="I59" i="23"/>
  <c r="I68" i="23"/>
  <c r="J68" i="23" s="1"/>
  <c r="E63" i="24" l="1"/>
  <c r="F62" i="24"/>
  <c r="G62" i="24" s="1"/>
  <c r="J67" i="23"/>
  <c r="J70" i="23" s="1"/>
  <c r="I76" i="23" s="1"/>
  <c r="J77" i="23" s="1"/>
  <c r="I70" i="23"/>
  <c r="F63" i="24" l="1"/>
  <c r="G63" i="24" s="1"/>
  <c r="E64" i="24"/>
  <c r="J349" i="22"/>
  <c r="J348" i="22"/>
  <c r="J347" i="22"/>
  <c r="J324" i="22"/>
  <c r="K314" i="22"/>
  <c r="K308" i="22"/>
  <c r="J308" i="22"/>
  <c r="J297" i="22"/>
  <c r="J299" i="22"/>
  <c r="J272" i="22"/>
  <c r="J271" i="22"/>
  <c r="I348" i="22" s="1"/>
  <c r="J270" i="22"/>
  <c r="K273" i="22"/>
  <c r="J246" i="22"/>
  <c r="J247" i="22" s="1"/>
  <c r="J340" i="22" s="1"/>
  <c r="J236" i="22"/>
  <c r="J238" i="22" s="1"/>
  <c r="J338" i="22" s="1"/>
  <c r="J241" i="22"/>
  <c r="J243" i="22" s="1"/>
  <c r="J339" i="22" s="1"/>
  <c r="J221" i="22"/>
  <c r="K221" i="22" s="1"/>
  <c r="L221" i="22" s="1"/>
  <c r="J215" i="22"/>
  <c r="K215" i="22" s="1"/>
  <c r="L215" i="22" s="1"/>
  <c r="K206" i="22"/>
  <c r="K200" i="22"/>
  <c r="J204" i="22"/>
  <c r="J203" i="22"/>
  <c r="J218" i="22" s="1"/>
  <c r="K218" i="22" s="1"/>
  <c r="J202" i="22"/>
  <c r="K202" i="22" s="1"/>
  <c r="J155" i="22"/>
  <c r="J312" i="22" s="1"/>
  <c r="I328" i="22" s="1"/>
  <c r="J154" i="22"/>
  <c r="J153" i="22"/>
  <c r="J310" i="22" s="1"/>
  <c r="I326" i="22" s="1"/>
  <c r="J183" i="22"/>
  <c r="J184" i="22" s="1"/>
  <c r="L145" i="22"/>
  <c r="I272" i="22" s="1"/>
  <c r="G349" i="22" s="1"/>
  <c r="L144" i="22"/>
  <c r="I271" i="22" s="1"/>
  <c r="G348" i="22" s="1"/>
  <c r="L143" i="22"/>
  <c r="I270" i="22" s="1"/>
  <c r="K146" i="22"/>
  <c r="J146" i="22"/>
  <c r="J125" i="22"/>
  <c r="J116" i="22"/>
  <c r="J121" i="22"/>
  <c r="J69" i="22"/>
  <c r="J99" i="22" s="1"/>
  <c r="J68" i="22"/>
  <c r="J84" i="22" s="1"/>
  <c r="J67" i="22"/>
  <c r="J97" i="22" s="1"/>
  <c r="L59" i="22"/>
  <c r="L58" i="22"/>
  <c r="L57" i="22"/>
  <c r="J49" i="22"/>
  <c r="K49" i="22" s="1"/>
  <c r="J48" i="22"/>
  <c r="K48" i="22" s="1"/>
  <c r="J47" i="22"/>
  <c r="K47" i="22" s="1"/>
  <c r="J30" i="22"/>
  <c r="J38" i="22"/>
  <c r="J37" i="22"/>
  <c r="J36" i="22"/>
  <c r="L16" i="22"/>
  <c r="N24" i="22"/>
  <c r="L20" i="22"/>
  <c r="I273" i="22" l="1"/>
  <c r="G347" i="22"/>
  <c r="G350" i="22" s="1"/>
  <c r="J282" i="22"/>
  <c r="K312" i="22" s="1"/>
  <c r="L312" i="22" s="1"/>
  <c r="I349" i="22"/>
  <c r="J280" i="22"/>
  <c r="I347" i="22"/>
  <c r="L270" i="22"/>
  <c r="K347" i="22" s="1"/>
  <c r="J361" i="22" s="1"/>
  <c r="K361" i="22" s="1"/>
  <c r="F64" i="24"/>
  <c r="G64" i="24" s="1"/>
  <c r="E65" i="24"/>
  <c r="F65" i="24" s="1"/>
  <c r="G65" i="24" s="1"/>
  <c r="J350" i="22"/>
  <c r="K340" i="22"/>
  <c r="J158" i="22"/>
  <c r="J159" i="22" s="1"/>
  <c r="K203" i="22"/>
  <c r="J207" i="22"/>
  <c r="L271" i="22"/>
  <c r="K348" i="22" s="1"/>
  <c r="J362" i="22" s="1"/>
  <c r="K362" i="22" s="1"/>
  <c r="J328" i="22"/>
  <c r="J311" i="22"/>
  <c r="I327" i="22" s="1"/>
  <c r="K310" i="22"/>
  <c r="J273" i="22"/>
  <c r="J281" i="22"/>
  <c r="J300" i="22"/>
  <c r="L272" i="22"/>
  <c r="K349" i="22" s="1"/>
  <c r="J363" i="22" s="1"/>
  <c r="K363" i="22" s="1"/>
  <c r="J219" i="22"/>
  <c r="K219" i="22" s="1"/>
  <c r="K204" i="22"/>
  <c r="J217" i="22"/>
  <c r="I324" i="22" s="1"/>
  <c r="L154" i="22"/>
  <c r="K247" i="22"/>
  <c r="L247" i="22" s="1"/>
  <c r="L222" i="22"/>
  <c r="K121" i="22"/>
  <c r="L146" i="22"/>
  <c r="K116" i="22"/>
  <c r="L116" i="22" s="1"/>
  <c r="K125" i="22"/>
  <c r="L125" i="22" s="1"/>
  <c r="K99" i="22"/>
  <c r="L99" i="22" s="1"/>
  <c r="K97" i="22"/>
  <c r="L97" i="22" s="1"/>
  <c r="K67" i="22"/>
  <c r="L67" i="22" s="1"/>
  <c r="J98" i="22"/>
  <c r="K69" i="22"/>
  <c r="L69" i="22" s="1"/>
  <c r="J83" i="22"/>
  <c r="K84" i="22"/>
  <c r="L84" i="22" s="1"/>
  <c r="J39" i="22"/>
  <c r="J50" i="22"/>
  <c r="K68" i="22"/>
  <c r="L68" i="22" s="1"/>
  <c r="L60" i="22"/>
  <c r="K50" i="22"/>
  <c r="L21" i="22"/>
  <c r="G95" i="21"/>
  <c r="H96" i="21" s="1"/>
  <c r="F96" i="21"/>
  <c r="F152" i="21"/>
  <c r="F151" i="21"/>
  <c r="F145" i="21"/>
  <c r="E151" i="21"/>
  <c r="E145" i="21"/>
  <c r="G134" i="21"/>
  <c r="F109" i="21"/>
  <c r="G119" i="21" s="1"/>
  <c r="F102" i="21"/>
  <c r="C119" i="21" s="1"/>
  <c r="E147" i="21" s="1"/>
  <c r="G88" i="21"/>
  <c r="E88" i="21"/>
  <c r="F89" i="21" s="1"/>
  <c r="C122" i="21" s="1"/>
  <c r="E148" i="21" s="1"/>
  <c r="F83" i="21"/>
  <c r="G82" i="21"/>
  <c r="H83" i="21" s="1"/>
  <c r="C132" i="21" s="1"/>
  <c r="F146" i="21" s="1"/>
  <c r="G76" i="21"/>
  <c r="C133" i="21" s="1"/>
  <c r="G67" i="21"/>
  <c r="C67" i="21"/>
  <c r="C70" i="21" s="1"/>
  <c r="G53" i="21"/>
  <c r="C53" i="21"/>
  <c r="C56" i="21" s="1"/>
  <c r="G260" i="20"/>
  <c r="G264" i="20" s="1"/>
  <c r="F260" i="20"/>
  <c r="F264" i="20" s="1"/>
  <c r="E260" i="20"/>
  <c r="E264" i="20" s="1"/>
  <c r="D260" i="20"/>
  <c r="D264" i="20" s="1"/>
  <c r="G255" i="20"/>
  <c r="F255" i="20"/>
  <c r="E255" i="20"/>
  <c r="D255" i="20"/>
  <c r="D256" i="20" s="1"/>
  <c r="E253" i="20" s="1"/>
  <c r="G271" i="20"/>
  <c r="F271" i="20"/>
  <c r="E271" i="20"/>
  <c r="D271" i="20"/>
  <c r="D259" i="20"/>
  <c r="D223" i="20"/>
  <c r="E223" i="20"/>
  <c r="F223" i="20"/>
  <c r="G223" i="20"/>
  <c r="G222" i="20"/>
  <c r="F222" i="20"/>
  <c r="E222" i="20"/>
  <c r="D222" i="20"/>
  <c r="G216" i="20"/>
  <c r="F216" i="20"/>
  <c r="E216" i="20"/>
  <c r="D216" i="20"/>
  <c r="D214" i="20"/>
  <c r="E211" i="20" s="1"/>
  <c r="E214" i="20" s="1"/>
  <c r="F211" i="20" s="1"/>
  <c r="F214" i="20" s="1"/>
  <c r="G211" i="20" s="1"/>
  <c r="G214" i="20" s="1"/>
  <c r="D207" i="20"/>
  <c r="E204" i="20" s="1"/>
  <c r="G198" i="20"/>
  <c r="C198" i="20"/>
  <c r="E197" i="20"/>
  <c r="F197" i="20" s="1"/>
  <c r="E196" i="20"/>
  <c r="F196" i="20" s="1"/>
  <c r="E195" i="20"/>
  <c r="F195" i="20" s="1"/>
  <c r="D151" i="20"/>
  <c r="E151" i="20"/>
  <c r="D142" i="20"/>
  <c r="G142" i="20"/>
  <c r="F138" i="20"/>
  <c r="F142" i="20" s="1"/>
  <c r="G131" i="20"/>
  <c r="G130" i="20"/>
  <c r="G129" i="20"/>
  <c r="F132" i="20"/>
  <c r="E132" i="20"/>
  <c r="D72" i="20"/>
  <c r="D75" i="20" s="1"/>
  <c r="D80" i="20"/>
  <c r="D82" i="20" s="1"/>
  <c r="E79" i="20"/>
  <c r="E71" i="20"/>
  <c r="F71" i="20" s="1"/>
  <c r="D8" i="20"/>
  <c r="E8" i="20" s="1"/>
  <c r="F8" i="20" s="1"/>
  <c r="G8" i="20" s="1"/>
  <c r="D14" i="20"/>
  <c r="G14" i="20" s="1"/>
  <c r="E13" i="20"/>
  <c r="F13" i="20" s="1"/>
  <c r="G13" i="20" s="1"/>
  <c r="E7" i="20"/>
  <c r="I331" i="22" l="1"/>
  <c r="I332" i="22" s="1"/>
  <c r="I164" i="22"/>
  <c r="I350" i="22"/>
  <c r="E224" i="20"/>
  <c r="E256" i="20"/>
  <c r="F253" i="20" s="1"/>
  <c r="F256" i="20" s="1"/>
  <c r="G139" i="20"/>
  <c r="G148" i="20" s="1"/>
  <c r="F139" i="20"/>
  <c r="F148" i="20" s="1"/>
  <c r="D146" i="20"/>
  <c r="D137" i="20"/>
  <c r="D140" i="20" s="1"/>
  <c r="D169" i="20" s="1"/>
  <c r="D148" i="20"/>
  <c r="E139" i="20"/>
  <c r="E148" i="20" s="1"/>
  <c r="D224" i="20"/>
  <c r="G145" i="21"/>
  <c r="G151" i="21"/>
  <c r="C118" i="21"/>
  <c r="C120" i="21" s="1"/>
  <c r="C123" i="21" s="1"/>
  <c r="K364" i="22"/>
  <c r="K366" i="22"/>
  <c r="K350" i="22"/>
  <c r="L350" i="22" s="1"/>
  <c r="K207" i="22"/>
  <c r="K238" i="22"/>
  <c r="L238" i="22" s="1"/>
  <c r="K338" i="22"/>
  <c r="K243" i="22"/>
  <c r="L243" i="22" s="1"/>
  <c r="K339" i="22"/>
  <c r="K328" i="22"/>
  <c r="L273" i="22"/>
  <c r="L121" i="22"/>
  <c r="L128" i="22" s="1"/>
  <c r="K128" i="22"/>
  <c r="K311" i="22"/>
  <c r="L281" i="22"/>
  <c r="J326" i="22"/>
  <c r="L310" i="22"/>
  <c r="J438" i="22" s="1"/>
  <c r="I466" i="22" s="1"/>
  <c r="J315" i="22"/>
  <c r="J301" i="22"/>
  <c r="J330" i="22"/>
  <c r="J285" i="22"/>
  <c r="J286" i="22" s="1"/>
  <c r="K217" i="22"/>
  <c r="K222" i="22" s="1"/>
  <c r="J222" i="22"/>
  <c r="L70" i="22"/>
  <c r="K98" i="22"/>
  <c r="K83" i="22"/>
  <c r="K85" i="22" s="1"/>
  <c r="K70" i="22"/>
  <c r="H109" i="21"/>
  <c r="G122" i="21"/>
  <c r="G120" i="21"/>
  <c r="E152" i="21"/>
  <c r="G152" i="21" s="1"/>
  <c r="C134" i="21"/>
  <c r="F147" i="21"/>
  <c r="G147" i="21" s="1"/>
  <c r="H77" i="21"/>
  <c r="G136" i="21" s="1"/>
  <c r="G69" i="21"/>
  <c r="G135" i="21" s="1"/>
  <c r="H102" i="21"/>
  <c r="G55" i="21"/>
  <c r="H89" i="21"/>
  <c r="C136" i="21" s="1"/>
  <c r="F148" i="21" s="1"/>
  <c r="G148" i="21" s="1"/>
  <c r="D262" i="20"/>
  <c r="E259" i="20" s="1"/>
  <c r="E262" i="20" s="1"/>
  <c r="F259" i="20" s="1"/>
  <c r="F262" i="20" s="1"/>
  <c r="G259" i="20" s="1"/>
  <c r="G262" i="20" s="1"/>
  <c r="F224" i="20"/>
  <c r="G224" i="20"/>
  <c r="D217" i="20"/>
  <c r="D227" i="20" s="1"/>
  <c r="D228" i="20" s="1"/>
  <c r="E231" i="20" s="1"/>
  <c r="F232" i="20" s="1"/>
  <c r="G232" i="20" s="1"/>
  <c r="E207" i="20"/>
  <c r="F198" i="20"/>
  <c r="E198" i="20"/>
  <c r="E142" i="20"/>
  <c r="G132" i="20"/>
  <c r="E164" i="20"/>
  <c r="E72" i="20"/>
  <c r="E73" i="20" s="1"/>
  <c r="E80" i="20"/>
  <c r="E82" i="20" s="1"/>
  <c r="F80" i="20"/>
  <c r="F72" i="20"/>
  <c r="D94" i="20"/>
  <c r="G71" i="20"/>
  <c r="F79" i="20"/>
  <c r="G80" i="20"/>
  <c r="D81" i="20"/>
  <c r="D73" i="20"/>
  <c r="D10" i="20"/>
  <c r="F14" i="20"/>
  <c r="E14" i="20"/>
  <c r="D9" i="20"/>
  <c r="E9" i="20"/>
  <c r="F7" i="20"/>
  <c r="G7" i="20" s="1"/>
  <c r="G9" i="20" s="1"/>
  <c r="D15" i="20"/>
  <c r="E36" i="20" s="1"/>
  <c r="F36" i="20" s="1"/>
  <c r="G36" i="20" s="1"/>
  <c r="I291" i="22" l="1"/>
  <c r="J292" i="22" s="1"/>
  <c r="I468" i="22"/>
  <c r="I467" i="22"/>
  <c r="I75" i="22"/>
  <c r="J76" i="22" s="1"/>
  <c r="I133" i="22"/>
  <c r="I170" i="22" s="1"/>
  <c r="I174" i="22"/>
  <c r="J175" i="22" s="1"/>
  <c r="J165" i="22"/>
  <c r="K341" i="22"/>
  <c r="L341" i="22" s="1"/>
  <c r="E146" i="21"/>
  <c r="G146" i="21" s="1"/>
  <c r="G149" i="21" s="1"/>
  <c r="G153" i="21"/>
  <c r="K249" i="22"/>
  <c r="L249" i="22"/>
  <c r="L311" i="22"/>
  <c r="L316" i="22" s="1"/>
  <c r="L317" i="22" s="1"/>
  <c r="J327" i="22"/>
  <c r="K315" i="22"/>
  <c r="K326" i="22"/>
  <c r="J171" i="22"/>
  <c r="L83" i="22"/>
  <c r="L85" i="22" s="1"/>
  <c r="L98" i="22"/>
  <c r="L100" i="22" s="1"/>
  <c r="K100" i="22"/>
  <c r="G137" i="21"/>
  <c r="G70" i="21"/>
  <c r="C137" i="21"/>
  <c r="G56" i="21"/>
  <c r="G121" i="21"/>
  <c r="G123" i="21" s="1"/>
  <c r="D265" i="20"/>
  <c r="E265" i="20"/>
  <c r="F265" i="20"/>
  <c r="G253" i="20"/>
  <c r="G256" i="20" s="1"/>
  <c r="G265" i="20" s="1"/>
  <c r="F204" i="20"/>
  <c r="F207" i="20" s="1"/>
  <c r="E217" i="20"/>
  <c r="E227" i="20" s="1"/>
  <c r="E228" i="20" s="1"/>
  <c r="E235" i="20" s="1"/>
  <c r="D149" i="20"/>
  <c r="E137" i="20"/>
  <c r="E140" i="20" s="1"/>
  <c r="D170" i="20" s="1"/>
  <c r="F151" i="20"/>
  <c r="G147" i="20"/>
  <c r="F82" i="20"/>
  <c r="G72" i="20"/>
  <c r="G82" i="20"/>
  <c r="E81" i="20"/>
  <c r="E75" i="20"/>
  <c r="F75" i="20" s="1"/>
  <c r="F76" i="20" s="1"/>
  <c r="F94" i="20" s="1"/>
  <c r="G79" i="20"/>
  <c r="G81" i="20" s="1"/>
  <c r="E100" i="20" s="1"/>
  <c r="E101" i="20" s="1"/>
  <c r="E102" i="20" s="1"/>
  <c r="E103" i="20" s="1"/>
  <c r="E104" i="20" s="1"/>
  <c r="F81" i="20"/>
  <c r="E99" i="20" s="1"/>
  <c r="F99" i="20" s="1"/>
  <c r="G99" i="20" s="1"/>
  <c r="D18" i="20"/>
  <c r="D19" i="20" s="1"/>
  <c r="F10" i="20"/>
  <c r="E10" i="20"/>
  <c r="G10" i="20"/>
  <c r="F9" i="20"/>
  <c r="E15" i="20"/>
  <c r="E37" i="20" s="1"/>
  <c r="F37" i="20" s="1"/>
  <c r="G37" i="20" s="1"/>
  <c r="D16" i="20"/>
  <c r="D30" i="20" s="1"/>
  <c r="J176" i="22" l="1"/>
  <c r="I259" i="22"/>
  <c r="J260" i="22" s="1"/>
  <c r="J134" i="22"/>
  <c r="J90" i="22"/>
  <c r="I106" i="22" s="1"/>
  <c r="J107" i="22" s="1"/>
  <c r="G151" i="20"/>
  <c r="G161" i="20"/>
  <c r="D153" i="20"/>
  <c r="D154" i="20" s="1"/>
  <c r="E169" i="20"/>
  <c r="F169" i="20" s="1"/>
  <c r="G169" i="20" s="1"/>
  <c r="E176" i="20" s="1"/>
  <c r="F177" i="20" s="1"/>
  <c r="G177" i="20" s="1"/>
  <c r="G154" i="21"/>
  <c r="K327" i="22"/>
  <c r="K332" i="22" s="1"/>
  <c r="L332" i="22" s="1"/>
  <c r="J364" i="22"/>
  <c r="J331" i="22"/>
  <c r="J332" i="22" s="1"/>
  <c r="F266" i="20"/>
  <c r="E266" i="20"/>
  <c r="G266" i="20"/>
  <c r="D266" i="20"/>
  <c r="E276" i="20" s="1"/>
  <c r="F277" i="20" s="1"/>
  <c r="G277" i="20" s="1"/>
  <c r="F236" i="20"/>
  <c r="G236" i="20"/>
  <c r="G204" i="20"/>
  <c r="G207" i="20" s="1"/>
  <c r="G217" i="20" s="1"/>
  <c r="G227" i="20" s="1"/>
  <c r="G228" i="20" s="1"/>
  <c r="F217" i="20"/>
  <c r="F227" i="20" s="1"/>
  <c r="F228" i="20" s="1"/>
  <c r="E239" i="20" s="1"/>
  <c r="F240" i="20" s="1"/>
  <c r="E146" i="20"/>
  <c r="E149" i="20" s="1"/>
  <c r="E170" i="20" s="1"/>
  <c r="F170" i="20" s="1"/>
  <c r="G170" i="20" s="1"/>
  <c r="F137" i="20"/>
  <c r="F140" i="20" s="1"/>
  <c r="D171" i="20" s="1"/>
  <c r="E113" i="20"/>
  <c r="F114" i="20" s="1"/>
  <c r="G114" i="20" s="1"/>
  <c r="F104" i="20"/>
  <c r="G104" i="20" s="1"/>
  <c r="E105" i="20"/>
  <c r="F100" i="20"/>
  <c r="G100" i="20" s="1"/>
  <c r="F103" i="20"/>
  <c r="G103" i="20" s="1"/>
  <c r="F73" i="20"/>
  <c r="F84" i="20" s="1"/>
  <c r="F85" i="20" s="1"/>
  <c r="F101" i="20"/>
  <c r="G101" i="20" s="1"/>
  <c r="E53" i="20"/>
  <c r="F54" i="20" s="1"/>
  <c r="G54" i="20" s="1"/>
  <c r="E18" i="20"/>
  <c r="E19" i="20" s="1"/>
  <c r="E57" i="20" s="1"/>
  <c r="E16" i="20"/>
  <c r="E27" i="20" s="1"/>
  <c r="F16" i="20"/>
  <c r="F27" i="20" s="1"/>
  <c r="F15" i="20"/>
  <c r="E38" i="20" s="1"/>
  <c r="F38" i="20" s="1"/>
  <c r="G38" i="20" s="1"/>
  <c r="K91" i="22" l="1"/>
  <c r="E180" i="20"/>
  <c r="F181" i="20" s="1"/>
  <c r="E284" i="20"/>
  <c r="E288" i="20"/>
  <c r="E280" i="20"/>
  <c r="F281" i="20" s="1"/>
  <c r="E243" i="20"/>
  <c r="F244" i="20" s="1"/>
  <c r="G240" i="20"/>
  <c r="F146" i="20"/>
  <c r="F149" i="20" s="1"/>
  <c r="E153" i="20"/>
  <c r="E154" i="20" s="1"/>
  <c r="G137" i="20"/>
  <c r="G140" i="20" s="1"/>
  <c r="D172" i="20" s="1"/>
  <c r="E106" i="20"/>
  <c r="F106" i="20" s="1"/>
  <c r="G106" i="20" s="1"/>
  <c r="F105" i="20"/>
  <c r="G105" i="20" s="1"/>
  <c r="E121" i="20"/>
  <c r="F122" i="20" s="1"/>
  <c r="E117" i="20"/>
  <c r="F118" i="20" s="1"/>
  <c r="G118" i="20" s="1"/>
  <c r="G74" i="20"/>
  <c r="G91" i="20" s="1"/>
  <c r="G73" i="20"/>
  <c r="G84" i="20" s="1"/>
  <c r="G85" i="20" s="1"/>
  <c r="F102" i="20"/>
  <c r="G102" i="20" s="1"/>
  <c r="E125" i="20" s="1"/>
  <c r="F58" i="20"/>
  <c r="G58" i="20" s="1"/>
  <c r="F18" i="20"/>
  <c r="F19" i="20" s="1"/>
  <c r="G16" i="20"/>
  <c r="G27" i="20" s="1"/>
  <c r="G15" i="20"/>
  <c r="E39" i="20" s="1"/>
  <c r="G181" i="20" l="1"/>
  <c r="F153" i="20"/>
  <c r="F154" i="20" s="1"/>
  <c r="E171" i="20"/>
  <c r="F171" i="20" s="1"/>
  <c r="G171" i="20" s="1"/>
  <c r="G244" i="20"/>
  <c r="G281" i="20"/>
  <c r="G285" i="20" s="1"/>
  <c r="F285" i="20"/>
  <c r="F289" i="20"/>
  <c r="G146" i="20"/>
  <c r="G149" i="20" s="1"/>
  <c r="E172" i="20" s="1"/>
  <c r="F172" i="20" s="1"/>
  <c r="G172" i="20" s="1"/>
  <c r="F126" i="20"/>
  <c r="G122" i="20"/>
  <c r="E40" i="20"/>
  <c r="F39" i="20"/>
  <c r="G39" i="20" s="1"/>
  <c r="E61" i="20"/>
  <c r="F62" i="20" s="1"/>
  <c r="G62" i="20" s="1"/>
  <c r="G18" i="20"/>
  <c r="G19" i="20" s="1"/>
  <c r="E188" i="20" l="1"/>
  <c r="F189" i="20" s="1"/>
  <c r="E184" i="20"/>
  <c r="G185" i="20" s="1"/>
  <c r="G289" i="20"/>
  <c r="G153" i="20"/>
  <c r="G154" i="20" s="1"/>
  <c r="G126" i="20"/>
  <c r="F40" i="20"/>
  <c r="G40" i="20" s="1"/>
  <c r="E41" i="20"/>
  <c r="E65" i="20"/>
  <c r="F66" i="20" s="1"/>
  <c r="G66" i="20" s="1"/>
  <c r="G189" i="20" l="1"/>
  <c r="F185" i="20"/>
  <c r="F41" i="20"/>
  <c r="G41" i="20" s="1"/>
  <c r="E42" i="20"/>
  <c r="F42" i="20" l="1"/>
  <c r="G42" i="20" s="1"/>
  <c r="E43" i="20"/>
  <c r="F43" i="20" l="1"/>
  <c r="G43" i="20" s="1"/>
  <c r="E44" i="20"/>
  <c r="E45" i="20" l="1"/>
  <c r="F45" i="20" s="1"/>
  <c r="G45" i="20" s="1"/>
  <c r="F44" i="20"/>
  <c r="G44" i="20" s="1"/>
  <c r="I41" i="18" l="1"/>
  <c r="I23" i="18"/>
  <c r="H23" i="18"/>
  <c r="G23" i="18"/>
  <c r="I22" i="18"/>
  <c r="H22" i="18"/>
  <c r="G22" i="18"/>
  <c r="F23" i="18"/>
  <c r="H50" i="18" s="1"/>
  <c r="F22" i="18"/>
  <c r="H40" i="18" s="1"/>
  <c r="H41" i="18" s="1"/>
  <c r="F15" i="18"/>
  <c r="G13" i="18" s="1"/>
  <c r="F9" i="18"/>
  <c r="G15" i="18" l="1"/>
  <c r="H13" i="18" s="1"/>
  <c r="G67" i="18"/>
  <c r="G69" i="18" s="1"/>
  <c r="G7" i="18"/>
  <c r="F31" i="18"/>
  <c r="F32" i="18" s="1"/>
  <c r="I43" i="18"/>
  <c r="I44" i="18" s="1"/>
  <c r="H28" i="18"/>
  <c r="I28" i="18"/>
  <c r="G28" i="18"/>
  <c r="F28" i="18"/>
  <c r="F29" i="18" s="1"/>
  <c r="H25" i="18"/>
  <c r="H26" i="18" s="1"/>
  <c r="I25" i="18"/>
  <c r="I26" i="18" s="1"/>
  <c r="F25" i="18"/>
  <c r="F26" i="18" s="1"/>
  <c r="G25" i="18"/>
  <c r="G26" i="18" s="1"/>
  <c r="C74" i="15"/>
  <c r="C69" i="15"/>
  <c r="C76" i="15" s="1"/>
  <c r="F76" i="15" s="1"/>
  <c r="B49" i="15"/>
  <c r="B38" i="15"/>
  <c r="C39" i="15" s="1"/>
  <c r="G9" i="18" l="1"/>
  <c r="H7" i="18" s="1"/>
  <c r="G61" i="18"/>
  <c r="G63" i="18" s="1"/>
  <c r="H15" i="18"/>
  <c r="I13" i="18" s="1"/>
  <c r="H67" i="18"/>
  <c r="H69" i="18" s="1"/>
  <c r="G31" i="18"/>
  <c r="G32" i="18" s="1"/>
  <c r="G29" i="18"/>
  <c r="H29" i="18" s="1"/>
  <c r="I29" i="18" s="1"/>
  <c r="B50" i="15"/>
  <c r="F69" i="15"/>
  <c r="E9" i="27"/>
  <c r="E15" i="27"/>
  <c r="E74" i="7"/>
  <c r="G74" i="7" s="1"/>
  <c r="B41" i="7"/>
  <c r="B42" i="7" s="1"/>
  <c r="C40" i="7"/>
  <c r="D40" i="7" s="1"/>
  <c r="C39" i="7"/>
  <c r="D39" i="7" s="1"/>
  <c r="B37" i="7"/>
  <c r="D58" i="7"/>
  <c r="D59" i="7" s="1"/>
  <c r="C58" i="7"/>
  <c r="C35" i="7"/>
  <c r="D35" i="7" s="1"/>
  <c r="E10" i="7"/>
  <c r="C34" i="7"/>
  <c r="E9" i="7"/>
  <c r="F22" i="7"/>
  <c r="F21" i="7"/>
  <c r="G178" i="13"/>
  <c r="F178" i="13"/>
  <c r="F177" i="13"/>
  <c r="G177" i="13" s="1"/>
  <c r="F176" i="13"/>
  <c r="G176" i="13" s="1"/>
  <c r="F175" i="13"/>
  <c r="G175" i="13" s="1"/>
  <c r="F174" i="13"/>
  <c r="G174" i="13" s="1"/>
  <c r="F173" i="13"/>
  <c r="G173" i="13" s="1"/>
  <c r="G172" i="13"/>
  <c r="F172" i="13"/>
  <c r="G167" i="13"/>
  <c r="G166" i="13"/>
  <c r="G165" i="13"/>
  <c r="G164" i="13"/>
  <c r="G163" i="13"/>
  <c r="G162" i="13"/>
  <c r="G161" i="13"/>
  <c r="F150" i="13"/>
  <c r="F144" i="13"/>
  <c r="E144" i="13"/>
  <c r="F143" i="13"/>
  <c r="E143" i="13"/>
  <c r="F142" i="13"/>
  <c r="F145" i="13" s="1"/>
  <c r="E142" i="13"/>
  <c r="E145" i="13" s="1"/>
  <c r="F136" i="13"/>
  <c r="E136" i="13"/>
  <c r="F135" i="13"/>
  <c r="E135" i="13"/>
  <c r="F134" i="13"/>
  <c r="E134" i="13"/>
  <c r="F126" i="13"/>
  <c r="E126" i="13"/>
  <c r="F120" i="13"/>
  <c r="E120" i="13"/>
  <c r="F113" i="13"/>
  <c r="F111" i="13"/>
  <c r="F114" i="13" s="1"/>
  <c r="F115" i="13" s="1"/>
  <c r="E98" i="13"/>
  <c r="F124" i="13" s="1"/>
  <c r="E97" i="13"/>
  <c r="F123" i="13" s="1"/>
  <c r="E96" i="13"/>
  <c r="F91" i="13"/>
  <c r="E91" i="13"/>
  <c r="G76" i="13"/>
  <c r="G78" i="13" s="1"/>
  <c r="D76" i="13"/>
  <c r="D78" i="13" s="1"/>
  <c r="F72" i="13"/>
  <c r="G136" i="13" s="1"/>
  <c r="G71" i="13"/>
  <c r="F71" i="13"/>
  <c r="G135" i="13" s="1"/>
  <c r="F70" i="13"/>
  <c r="G134" i="13" s="1"/>
  <c r="G137" i="13" s="1"/>
  <c r="E63" i="13"/>
  <c r="F63" i="13" s="1"/>
  <c r="G63" i="13" s="1"/>
  <c r="F57" i="13"/>
  <c r="G57" i="13" s="1"/>
  <c r="F49" i="13"/>
  <c r="F50" i="13" s="1"/>
  <c r="F25" i="13"/>
  <c r="D25" i="13"/>
  <c r="G10" i="13"/>
  <c r="D10" i="13"/>
  <c r="D12" i="13" s="1"/>
  <c r="F6" i="13"/>
  <c r="E34" i="13" s="1"/>
  <c r="F5" i="13"/>
  <c r="G5" i="13" s="1"/>
  <c r="F4" i="13"/>
  <c r="E22" i="13" s="1"/>
  <c r="G78" i="11"/>
  <c r="H78" i="11" s="1"/>
  <c r="G77" i="11"/>
  <c r="H77" i="11" s="1"/>
  <c r="G76" i="11"/>
  <c r="G79" i="11" s="1"/>
  <c r="G65" i="11"/>
  <c r="H65" i="11" s="1"/>
  <c r="G64" i="11"/>
  <c r="H64" i="11" s="1"/>
  <c r="H66" i="11" s="1"/>
  <c r="F70" i="11" s="1"/>
  <c r="G71" i="11" s="1"/>
  <c r="G52" i="11"/>
  <c r="H52" i="11" s="1"/>
  <c r="G51" i="11"/>
  <c r="H51" i="11" s="1"/>
  <c r="G50" i="11"/>
  <c r="G27" i="11"/>
  <c r="F43" i="11" s="1"/>
  <c r="G26" i="11"/>
  <c r="F42" i="11" s="1"/>
  <c r="G25" i="11"/>
  <c r="F41" i="11" s="1"/>
  <c r="G14" i="11"/>
  <c r="G10" i="11"/>
  <c r="G15" i="11" l="1"/>
  <c r="G28" i="11"/>
  <c r="E101" i="13"/>
  <c r="E102" i="13" s="1"/>
  <c r="F106" i="13" s="1"/>
  <c r="G107" i="13" s="1"/>
  <c r="G53" i="11"/>
  <c r="E61" i="13"/>
  <c r="F61" i="13" s="1"/>
  <c r="E124" i="13"/>
  <c r="G124" i="13" s="1"/>
  <c r="E154" i="13" s="1"/>
  <c r="F154" i="13" s="1"/>
  <c r="F44" i="11"/>
  <c r="G22" i="13"/>
  <c r="G64" i="13"/>
  <c r="G32" i="11"/>
  <c r="G42" i="11" s="1"/>
  <c r="H50" i="11"/>
  <c r="H53" i="11" s="1"/>
  <c r="F58" i="11" s="1"/>
  <c r="G59" i="11" s="1"/>
  <c r="G4" i="13"/>
  <c r="G7" i="13" s="1"/>
  <c r="F16" i="13" s="1"/>
  <c r="G17" i="13" s="1"/>
  <c r="G6" i="13"/>
  <c r="E23" i="13"/>
  <c r="G23" i="13" s="1"/>
  <c r="D89" i="13" s="1"/>
  <c r="E32" i="13"/>
  <c r="G70" i="13"/>
  <c r="G72" i="13"/>
  <c r="G33" i="11"/>
  <c r="G43" i="11" s="1"/>
  <c r="G66" i="11"/>
  <c r="F7" i="13"/>
  <c r="G11" i="13"/>
  <c r="G12" i="13" s="1"/>
  <c r="E33" i="13"/>
  <c r="F73" i="13"/>
  <c r="F122" i="13"/>
  <c r="F127" i="13" s="1"/>
  <c r="F128" i="13" s="1"/>
  <c r="H76" i="11"/>
  <c r="H79" i="11" s="1"/>
  <c r="F84" i="11" s="1"/>
  <c r="G85" i="11" s="1"/>
  <c r="E24" i="13"/>
  <c r="G24" i="13" s="1"/>
  <c r="D90" i="13" s="1"/>
  <c r="G31" i="11"/>
  <c r="I15" i="18"/>
  <c r="I67" i="18"/>
  <c r="I69" i="18" s="1"/>
  <c r="H49" i="18"/>
  <c r="G87" i="18"/>
  <c r="G88" i="18" s="1"/>
  <c r="G72" i="18"/>
  <c r="G85" i="18"/>
  <c r="H9" i="18"/>
  <c r="H61" i="18"/>
  <c r="H63" i="18" s="1"/>
  <c r="D34" i="7"/>
  <c r="D36" i="7" s="1"/>
  <c r="D37" i="7" s="1"/>
  <c r="C36" i="7"/>
  <c r="B44" i="7"/>
  <c r="B45" i="7" s="1"/>
  <c r="E11" i="7"/>
  <c r="E13" i="7" s="1"/>
  <c r="E16" i="7" s="1"/>
  <c r="F17" i="7" s="1"/>
  <c r="C59" i="7"/>
  <c r="C60" i="7" s="1"/>
  <c r="E22" i="7"/>
  <c r="E23" i="7" s="1"/>
  <c r="E24" i="7" s="1"/>
  <c r="D41" i="7"/>
  <c r="D42" i="7" s="1"/>
  <c r="E39" i="7"/>
  <c r="E40" i="7"/>
  <c r="C37" i="7"/>
  <c r="D60" i="7"/>
  <c r="C41" i="7"/>
  <c r="C42" i="7" s="1"/>
  <c r="E35" i="7"/>
  <c r="F23" i="7"/>
  <c r="F24" i="7" s="1"/>
  <c r="F26" i="7" s="1"/>
  <c r="E17" i="27"/>
  <c r="E36" i="27" s="1"/>
  <c r="E37" i="27" s="1"/>
  <c r="B72" i="15"/>
  <c r="B52" i="15"/>
  <c r="B51" i="15"/>
  <c r="G73" i="13" l="1"/>
  <c r="F82" i="13" s="1"/>
  <c r="G83" i="13" s="1"/>
  <c r="E34" i="7"/>
  <c r="E36" i="7" s="1"/>
  <c r="G34" i="11"/>
  <c r="G41" i="11"/>
  <c r="G44" i="11" s="1"/>
  <c r="D144" i="13"/>
  <c r="G144" i="13" s="1"/>
  <c r="G90" i="13"/>
  <c r="E59" i="13"/>
  <c r="E37" i="13"/>
  <c r="E38" i="13" s="1"/>
  <c r="F42" i="13" s="1"/>
  <c r="G43" i="13" s="1"/>
  <c r="E122" i="13"/>
  <c r="E25" i="13"/>
  <c r="E123" i="13"/>
  <c r="G123" i="13" s="1"/>
  <c r="E153" i="13" s="1"/>
  <c r="F153" i="13" s="1"/>
  <c r="E60" i="13"/>
  <c r="F60" i="13" s="1"/>
  <c r="D143" i="13"/>
  <c r="G143" i="13" s="1"/>
  <c r="G89" i="13"/>
  <c r="G25" i="13"/>
  <c r="D88" i="13"/>
  <c r="H85" i="18"/>
  <c r="H87" i="18"/>
  <c r="H88" i="18" s="1"/>
  <c r="H72" i="18"/>
  <c r="H51" i="18"/>
  <c r="I49" i="18"/>
  <c r="I51" i="18" s="1"/>
  <c r="I7" i="18"/>
  <c r="H31" i="18"/>
  <c r="H32" i="18" s="1"/>
  <c r="E25" i="7"/>
  <c r="E26" i="7" s="1"/>
  <c r="F75" i="7"/>
  <c r="F76" i="7" s="1"/>
  <c r="F77" i="7" s="1"/>
  <c r="D64" i="7"/>
  <c r="D44" i="7"/>
  <c r="D45" i="7" s="1"/>
  <c r="E75" i="7"/>
  <c r="D65" i="7"/>
  <c r="C44" i="7"/>
  <c r="C45" i="7" s="1"/>
  <c r="F40" i="7"/>
  <c r="F35" i="7"/>
  <c r="F39" i="7"/>
  <c r="E41" i="7"/>
  <c r="F41" i="7" s="1"/>
  <c r="F34" i="7"/>
  <c r="E37" i="7"/>
  <c r="H49" i="27"/>
  <c r="H52" i="27"/>
  <c r="F9" i="27"/>
  <c r="G122" i="13" l="1"/>
  <c r="E127" i="13"/>
  <c r="E128" i="13" s="1"/>
  <c r="D91" i="13"/>
  <c r="D142" i="13"/>
  <c r="G88" i="13"/>
  <c r="G91" i="13" s="1"/>
  <c r="E64" i="13"/>
  <c r="F59" i="13"/>
  <c r="F64" i="13" s="1"/>
  <c r="E76" i="7"/>
  <c r="G75" i="7"/>
  <c r="I53" i="18"/>
  <c r="I54" i="18" s="1"/>
  <c r="I56" i="18" s="1"/>
  <c r="I9" i="18"/>
  <c r="I31" i="18" s="1"/>
  <c r="I32" i="18" s="1"/>
  <c r="I61" i="18"/>
  <c r="I63" i="18" s="1"/>
  <c r="F36" i="7"/>
  <c r="F37" i="7" s="1"/>
  <c r="D66" i="7"/>
  <c r="D67" i="7" s="1"/>
  <c r="E70" i="7" s="1"/>
  <c r="F71" i="7" s="1"/>
  <c r="E42" i="7"/>
  <c r="E44" i="7" s="1"/>
  <c r="E45" i="7" s="1"/>
  <c r="F42" i="7"/>
  <c r="G48" i="27"/>
  <c r="G51" i="27" s="1"/>
  <c r="I49" i="27"/>
  <c r="I52" i="27" s="1"/>
  <c r="I54" i="27" s="1"/>
  <c r="I57" i="27" s="1"/>
  <c r="I60" i="27" s="1"/>
  <c r="G9" i="27"/>
  <c r="F15" i="27"/>
  <c r="F17" i="27" s="1"/>
  <c r="F36" i="27" s="1"/>
  <c r="D145" i="13" l="1"/>
  <c r="G142" i="13"/>
  <c r="G145" i="13" s="1"/>
  <c r="E152" i="13"/>
  <c r="G129" i="13"/>
  <c r="E77" i="7"/>
  <c r="G76" i="7"/>
  <c r="I85" i="18"/>
  <c r="I87" i="18"/>
  <c r="I88" i="18" s="1"/>
  <c r="I72" i="18"/>
  <c r="F44" i="7"/>
  <c r="F45" i="7" s="1"/>
  <c r="G15" i="27"/>
  <c r="G17" i="27" s="1"/>
  <c r="G36" i="27" s="1"/>
  <c r="H14" i="27"/>
  <c r="H9" i="27"/>
  <c r="I9" i="27"/>
  <c r="E155" i="13" l="1"/>
  <c r="E156" i="13" s="1"/>
  <c r="F152" i="13"/>
  <c r="F155" i="13" s="1"/>
  <c r="G77" i="7"/>
  <c r="F78" i="7"/>
  <c r="F79" i="7" s="1"/>
  <c r="I14" i="27"/>
  <c r="I15" i="27" s="1"/>
  <c r="I17" i="27" s="1"/>
  <c r="I36" i="27" s="1"/>
  <c r="H15" i="27"/>
  <c r="H17" i="27" s="1"/>
  <c r="H36" i="27" s="1"/>
</calcChain>
</file>

<file path=xl/sharedStrings.xml><?xml version="1.0" encoding="utf-8"?>
<sst xmlns="http://schemas.openxmlformats.org/spreadsheetml/2006/main" count="3475" uniqueCount="935">
  <si>
    <t>Saldo inicial</t>
  </si>
  <si>
    <t>S/</t>
  </si>
  <si>
    <t>Saldo final</t>
  </si>
  <si>
    <t>Utilidad contable</t>
  </si>
  <si>
    <t>Deterioro de existencias</t>
  </si>
  <si>
    <t>Utilidad tributaria</t>
  </si>
  <si>
    <t>Acumulado</t>
  </si>
  <si>
    <t>Partida no monetaria: Terreno</t>
  </si>
  <si>
    <t>Costo en moneda de liquidación de impuestos (S/)</t>
  </si>
  <si>
    <t>Diferencia temporaria</t>
  </si>
  <si>
    <t>Tasa de impuestoa a la renta</t>
  </si>
  <si>
    <t xml:space="preserve">Impuesto a la renta diferido </t>
  </si>
  <si>
    <t>Tipo de cambio histórico</t>
  </si>
  <si>
    <t>Tipo de cambio de cierre</t>
  </si>
  <si>
    <t>[A]</t>
  </si>
  <si>
    <t>[B]</t>
  </si>
  <si>
    <t>[C]</t>
  </si>
  <si>
    <t>[N]</t>
  </si>
  <si>
    <t>[E]= [A/C]</t>
  </si>
  <si>
    <t>[D]= [A/B]</t>
  </si>
  <si>
    <t>[F]</t>
  </si>
  <si>
    <t>[F] = [D - E]</t>
  </si>
  <si>
    <t>[G]</t>
  </si>
  <si>
    <t>[F X G]</t>
  </si>
  <si>
    <t>Venta</t>
  </si>
  <si>
    <t>Costo de venta</t>
  </si>
  <si>
    <t>Impuesto a la renta</t>
  </si>
  <si>
    <t xml:space="preserve">Debe </t>
  </si>
  <si>
    <t>Haber</t>
  </si>
  <si>
    <t>(SF) Activo por impuesto a la renta diferido</t>
  </si>
  <si>
    <t>(GP) Impuesto a  la renta</t>
  </si>
  <si>
    <t>Liquidación</t>
  </si>
  <si>
    <t>USD</t>
  </si>
  <si>
    <t>Utilidad</t>
  </si>
  <si>
    <t>Impuesto a la renta corriente</t>
  </si>
  <si>
    <t>Impuesto a la renta diferido</t>
  </si>
  <si>
    <t>Maquinaria</t>
  </si>
  <si>
    <t>Costo</t>
  </si>
  <si>
    <t>Neto</t>
  </si>
  <si>
    <t>En Moneda de liquidación de impuestos</t>
  </si>
  <si>
    <t>En Moneda funcional</t>
  </si>
  <si>
    <t xml:space="preserve">Costo en USD </t>
  </si>
  <si>
    <t xml:space="preserve">Costo en S/ </t>
  </si>
  <si>
    <t>Deprec. acumulada</t>
  </si>
  <si>
    <t>Tributario</t>
  </si>
  <si>
    <t>NIIF</t>
  </si>
  <si>
    <t>Base tributaria (Al cierre)</t>
  </si>
  <si>
    <t>Tipo de cambio al cierre del año</t>
  </si>
  <si>
    <t>[a]</t>
  </si>
  <si>
    <t>[b]</t>
  </si>
  <si>
    <t>[c]</t>
  </si>
  <si>
    <t>[d] = [b/a]</t>
  </si>
  <si>
    <t>[ f ] = [c - d]</t>
  </si>
  <si>
    <t>[ f ] x 30%</t>
  </si>
  <si>
    <t>Costo de enajenación (tributario)</t>
  </si>
  <si>
    <t>Utilidad de la transacción</t>
  </si>
  <si>
    <t>Años</t>
  </si>
  <si>
    <t xml:space="preserve">Tasa </t>
  </si>
  <si>
    <t>[D]</t>
  </si>
  <si>
    <t>[E]</t>
  </si>
  <si>
    <t>[H]</t>
  </si>
  <si>
    <t>[J]</t>
  </si>
  <si>
    <t>[K]</t>
  </si>
  <si>
    <t>Pasivo por impuesto a la renta diferido</t>
  </si>
  <si>
    <t>[M]</t>
  </si>
  <si>
    <t>[O]</t>
  </si>
  <si>
    <t>[P]</t>
  </si>
  <si>
    <t>[Q]</t>
  </si>
  <si>
    <t>Debe</t>
  </si>
  <si>
    <t>(GP) Impuesto a la renta</t>
  </si>
  <si>
    <t>(SF) Pasivo por impuesto a la renta diferido</t>
  </si>
  <si>
    <t>Año 2012</t>
  </si>
  <si>
    <t>Año 2013</t>
  </si>
  <si>
    <t>Año 2014</t>
  </si>
  <si>
    <t>Año 2015</t>
  </si>
  <si>
    <t>Año 2016</t>
  </si>
  <si>
    <t>Año 2017</t>
  </si>
  <si>
    <t xml:space="preserve">Saldo </t>
  </si>
  <si>
    <t>Tributaria</t>
  </si>
  <si>
    <t>Impuesto</t>
  </si>
  <si>
    <t>Deterioro acumulado de Existencias</t>
  </si>
  <si>
    <t>Deterioro del periodo</t>
  </si>
  <si>
    <t>Suma</t>
  </si>
  <si>
    <t>Castigo de las existencias</t>
  </si>
  <si>
    <t>Activo por impuesto diferido al 30%</t>
  </si>
  <si>
    <t>Activo por impuesto diferido al 28%</t>
  </si>
  <si>
    <t>Activo IRD</t>
  </si>
  <si>
    <t>LA INFORMAL SAC</t>
  </si>
  <si>
    <t>Estado de situación financiera</t>
  </si>
  <si>
    <t>Al 31 de diciembre de 2014 y 2013</t>
  </si>
  <si>
    <t>Efectivo</t>
  </si>
  <si>
    <t>S/(000)</t>
  </si>
  <si>
    <t>Cuentas por cobrar comerciales</t>
  </si>
  <si>
    <t>Existencias</t>
  </si>
  <si>
    <t>Activos corrientes</t>
  </si>
  <si>
    <t>Propiedad, planta y equipo, neto</t>
  </si>
  <si>
    <t>Activo diferido por impuesto a la renta</t>
  </si>
  <si>
    <t>Activos no corrientes</t>
  </si>
  <si>
    <t>Total activos</t>
  </si>
  <si>
    <t>Nota</t>
  </si>
  <si>
    <t>Deterioro de cuentas por cobrar</t>
  </si>
  <si>
    <t>Vacaciones por pagar</t>
  </si>
  <si>
    <t>A continuación se presenta la composición del activo por</t>
  </si>
  <si>
    <t>impuesto a la renta diferido:</t>
  </si>
  <si>
    <t>Activo por</t>
  </si>
  <si>
    <t>a la renta</t>
  </si>
  <si>
    <t>diferido</t>
  </si>
  <si>
    <t>Base</t>
  </si>
  <si>
    <t>de</t>
  </si>
  <si>
    <t>cálculo</t>
  </si>
  <si>
    <t>Contable</t>
  </si>
  <si>
    <t>D.T.</t>
  </si>
  <si>
    <t>Cuentas por cobrar</t>
  </si>
  <si>
    <t>I.D.</t>
  </si>
  <si>
    <t>[SF] Activo por impuesto a la renta diferido</t>
  </si>
  <si>
    <t>[GP] Impuesto a la renta</t>
  </si>
  <si>
    <t>Al 31 de diciembre de 2013</t>
  </si>
  <si>
    <t>Al 31 de diciembre de 2014</t>
  </si>
  <si>
    <t>Facturas por cobrar</t>
  </si>
  <si>
    <t>Deterioro acumulado</t>
  </si>
  <si>
    <t>Costo de inventarios</t>
  </si>
  <si>
    <t>Al 31 de diciembre de 2011</t>
  </si>
  <si>
    <t>Utilidad contable (antes de impuestos)</t>
  </si>
  <si>
    <t>(+) Deterioro de cuentas por cobrar</t>
  </si>
  <si>
    <t>(+) Deterioro de existencias</t>
  </si>
  <si>
    <t>(+) Vacaciones por pagar</t>
  </si>
  <si>
    <t>Diferencias temporales</t>
  </si>
  <si>
    <t>Diferencias permanentes</t>
  </si>
  <si>
    <t>(+) Gastos que núnca serán aceptados</t>
  </si>
  <si>
    <t>[SF] Impuesto a la renta por pagar</t>
  </si>
  <si>
    <t>Saldo</t>
  </si>
  <si>
    <t>Inicial</t>
  </si>
  <si>
    <t>Final</t>
  </si>
  <si>
    <t>Adiciones</t>
  </si>
  <si>
    <t>Deducc.</t>
  </si>
  <si>
    <t>(+)</t>
  </si>
  <si>
    <t>(-)</t>
  </si>
  <si>
    <t>Movimiento de estimaciones</t>
  </si>
  <si>
    <t>Cálculo del impuesto a la renta corriente</t>
  </si>
  <si>
    <t>Registro del impuesto a la renta corriente</t>
  </si>
  <si>
    <t>Registro del impuesto a la renta diferido</t>
  </si>
  <si>
    <t>Efecto de Impuesto a la Renta</t>
  </si>
  <si>
    <t>Corriente</t>
  </si>
  <si>
    <t>Efecto</t>
  </si>
  <si>
    <t>neto</t>
  </si>
  <si>
    <t>Al 31 de diciembre de 2012</t>
  </si>
  <si>
    <t>Diferencias temporarias</t>
  </si>
  <si>
    <t>(-) Deterioro de cuentas por cobrar</t>
  </si>
  <si>
    <t>(-) Deterioro de existencias</t>
  </si>
  <si>
    <t>(-) Vacaciones por pagar</t>
  </si>
  <si>
    <t>Elemento de estado financiero</t>
  </si>
  <si>
    <t>Maquinaria (activo fijo)</t>
  </si>
  <si>
    <t>Edificación (activo fijo)</t>
  </si>
  <si>
    <t>Maquinaria (activo fijo en leasing)</t>
  </si>
  <si>
    <t>Provisión por retiro de activos fijos</t>
  </si>
  <si>
    <t>Base contable</t>
  </si>
  <si>
    <t>&gt;</t>
  </si>
  <si>
    <t>Base tributaria</t>
  </si>
  <si>
    <t>&lt;</t>
  </si>
  <si>
    <t>D.T. Deducible</t>
  </si>
  <si>
    <t>D.T. Gravable</t>
  </si>
  <si>
    <t>Para Activos</t>
  </si>
  <si>
    <t>Para Pasivos</t>
  </si>
  <si>
    <t>Utilidad antes de impuestos</t>
  </si>
  <si>
    <t>Tasa media efectiva</t>
  </si>
  <si>
    <t>USD(000)</t>
  </si>
  <si>
    <t>Activo por IRD</t>
  </si>
  <si>
    <t>Impuesto a la renta (resultados)</t>
  </si>
  <si>
    <t>Diferencia temporal</t>
  </si>
  <si>
    <t>Diferencia permanente</t>
  </si>
  <si>
    <t>Determinación del Impuesto a la renta corriente</t>
  </si>
  <si>
    <t>Impuesto a la renta por pagar</t>
  </si>
  <si>
    <t>Ventas</t>
  </si>
  <si>
    <t>Costo de ventas</t>
  </si>
  <si>
    <t>Utilidad bruta</t>
  </si>
  <si>
    <t>:</t>
  </si>
  <si>
    <t>Utilidad neta</t>
  </si>
  <si>
    <t>[A/B]</t>
  </si>
  <si>
    <t>Situación ideal</t>
  </si>
  <si>
    <t>Situación real</t>
  </si>
  <si>
    <t>Tasa</t>
  </si>
  <si>
    <t>en</t>
  </si>
  <si>
    <t>Números</t>
  </si>
  <si>
    <t>Base de</t>
  </si>
  <si>
    <t>Cálculo</t>
  </si>
  <si>
    <t>Gastos de ventas</t>
  </si>
  <si>
    <t>Gastos de administración</t>
  </si>
  <si>
    <t>Utilidad operativa</t>
  </si>
  <si>
    <t>Gastos financieros</t>
  </si>
  <si>
    <t>Diferido</t>
  </si>
  <si>
    <t>Impuesto a la renta:</t>
  </si>
  <si>
    <t>Adiciones temporales</t>
  </si>
  <si>
    <t>Adiciones temporales:</t>
  </si>
  <si>
    <t>Adiciones permanentes:</t>
  </si>
  <si>
    <t>Donaciones</t>
  </si>
  <si>
    <t>Impuesto a la renta en resultados</t>
  </si>
  <si>
    <t>I.R. Cte.</t>
  </si>
  <si>
    <t>+</t>
  </si>
  <si>
    <t>Año 1</t>
  </si>
  <si>
    <t>Año 2</t>
  </si>
  <si>
    <t>Año 3</t>
  </si>
  <si>
    <t>Año 4</t>
  </si>
  <si>
    <t>Activo por impuesto a la renta diferido</t>
  </si>
  <si>
    <t>Del periodo</t>
  </si>
  <si>
    <t>[M+N]*30%</t>
  </si>
  <si>
    <t>[A+B]*30%</t>
  </si>
  <si>
    <t>[M+N]=[S]</t>
  </si>
  <si>
    <t>[S]* 30%</t>
  </si>
  <si>
    <t>[UT]</t>
  </si>
  <si>
    <t>[UT]*30%</t>
  </si>
  <si>
    <t>Cuenta 20</t>
  </si>
  <si>
    <t>Cuenta 29</t>
  </si>
  <si>
    <t>Mercaderías</t>
  </si>
  <si>
    <t>BC</t>
  </si>
  <si>
    <t>BT</t>
  </si>
  <si>
    <t>[BC-BT]</t>
  </si>
  <si>
    <t>[BC-BT]*30%</t>
  </si>
  <si>
    <t>Cuenta 12</t>
  </si>
  <si>
    <t>Cuenta 19</t>
  </si>
  <si>
    <t>Año</t>
  </si>
  <si>
    <t>Ganancias diferidas</t>
  </si>
  <si>
    <t>Al 31.12.X1</t>
  </si>
  <si>
    <t>Al 31.12.X2</t>
  </si>
  <si>
    <t>Al 31.12.X3</t>
  </si>
  <si>
    <t>Diferencia</t>
  </si>
  <si>
    <t>Temporaria</t>
  </si>
  <si>
    <t>Ingreso</t>
  </si>
  <si>
    <t>NIC 11</t>
  </si>
  <si>
    <t>Margen</t>
  </si>
  <si>
    <t>Obra: Estadio Monumental</t>
  </si>
  <si>
    <t>31.12.1994</t>
  </si>
  <si>
    <t>31.12.1995</t>
  </si>
  <si>
    <t>31.12.1996</t>
  </si>
  <si>
    <t>31.12.1997</t>
  </si>
  <si>
    <t>31.12.1998</t>
  </si>
  <si>
    <t>31.12.1999</t>
  </si>
  <si>
    <t>31.12.2000</t>
  </si>
  <si>
    <t>Inversión a valor razonable</t>
  </si>
  <si>
    <t>Gastos por intermediación</t>
  </si>
  <si>
    <t>Ganancia por valor razonable</t>
  </si>
  <si>
    <t>Impuesto a la renta (gasto)</t>
  </si>
  <si>
    <t>Participación</t>
  </si>
  <si>
    <t>Inversión en subsidiaria</t>
  </si>
  <si>
    <t>Participación en resultados</t>
  </si>
  <si>
    <t>Base Tributaria</t>
  </si>
  <si>
    <t>Amortización acumulada</t>
  </si>
  <si>
    <t>Pasivo por IRD</t>
  </si>
  <si>
    <t>Adiciones a la</t>
  </si>
  <si>
    <t xml:space="preserve">   Utilidad contable</t>
  </si>
  <si>
    <t>Deducciones a la</t>
  </si>
  <si>
    <t>[A-B]</t>
  </si>
  <si>
    <t>[A-B]x30%</t>
  </si>
  <si>
    <t>[M-N]</t>
  </si>
  <si>
    <t>Control tributario</t>
  </si>
  <si>
    <t>Control contable</t>
  </si>
  <si>
    <t>Efectos en la determinación de la  utilidad tributaria</t>
  </si>
  <si>
    <t>Deducciones temporales</t>
  </si>
  <si>
    <t>Ingreso financiero</t>
  </si>
  <si>
    <t xml:space="preserve">(+) Ingreso financiero </t>
  </si>
  <si>
    <t>(-) Cobranza</t>
  </si>
  <si>
    <t>En utilidad tributaria</t>
  </si>
  <si>
    <t>Depreciación del periodo</t>
  </si>
  <si>
    <t>Al 31.12.XX01</t>
  </si>
  <si>
    <t>Al 31.12.XX02</t>
  </si>
  <si>
    <t>Al 31.12.XX03</t>
  </si>
  <si>
    <t>Al 31.12.XX04</t>
  </si>
  <si>
    <t>Al 31.12.1994</t>
  </si>
  <si>
    <t>Al 31.12.1995</t>
  </si>
  <si>
    <t>Al 31.12.1996</t>
  </si>
  <si>
    <t>Al 31.12.1997</t>
  </si>
  <si>
    <t>Impuesto a la renta (ingreso)</t>
  </si>
  <si>
    <t>Al 31.12.XX05</t>
  </si>
  <si>
    <t>Terreno</t>
  </si>
  <si>
    <t>Excedente de revaluación</t>
  </si>
  <si>
    <t>ESF</t>
  </si>
  <si>
    <t>ORI</t>
  </si>
  <si>
    <t>DT</t>
  </si>
  <si>
    <t>IRD</t>
  </si>
  <si>
    <t>Inversiones en acciones</t>
  </si>
  <si>
    <t>EGP</t>
  </si>
  <si>
    <t>Gasto por impuesto a la renta</t>
  </si>
  <si>
    <t>Gasto Pre Operativo</t>
  </si>
  <si>
    <t>Al 31.12.XX06</t>
  </si>
  <si>
    <t>Al 31.12.XX07</t>
  </si>
  <si>
    <t>Al 31.12.XX08</t>
  </si>
  <si>
    <t>Al 31.12.XX09</t>
  </si>
  <si>
    <t>Al 31.12.XX10</t>
  </si>
  <si>
    <t>Gasto del periodo.</t>
  </si>
  <si>
    <t>Depreciación</t>
  </si>
  <si>
    <t>Baja por pérdida</t>
  </si>
  <si>
    <t>Junio XX02</t>
  </si>
  <si>
    <t>Junio XX03</t>
  </si>
  <si>
    <t>Junio XX04</t>
  </si>
  <si>
    <t>Principal</t>
  </si>
  <si>
    <t>Interes</t>
  </si>
  <si>
    <t>Pago</t>
  </si>
  <si>
    <t>Pagos</t>
  </si>
  <si>
    <t>Fecha</t>
  </si>
  <si>
    <t>(+) Intereses</t>
  </si>
  <si>
    <t>(-) Pagos</t>
  </si>
  <si>
    <t>Intereses</t>
  </si>
  <si>
    <t>Activo fijo</t>
  </si>
  <si>
    <t>Unidad AAA</t>
  </si>
  <si>
    <t>Pasivo</t>
  </si>
  <si>
    <t>por Retiro</t>
  </si>
  <si>
    <t>de Activos</t>
  </si>
  <si>
    <t>Plazo de</t>
  </si>
  <si>
    <t>3 años</t>
  </si>
  <si>
    <t>8 años</t>
  </si>
  <si>
    <t>20 años</t>
  </si>
  <si>
    <t>Unidad BBB</t>
  </si>
  <si>
    <t>Unidad CCC</t>
  </si>
  <si>
    <t>Beneficio por</t>
  </si>
  <si>
    <t>rertiro (NIC26)</t>
  </si>
  <si>
    <t>Tratamiento contable</t>
  </si>
  <si>
    <t>Tratamiento tributario</t>
  </si>
  <si>
    <t>Cálculo de Utilidad Tributaria</t>
  </si>
  <si>
    <t>Adición neta</t>
  </si>
  <si>
    <t>Al 31.12.0001</t>
  </si>
  <si>
    <t>Al 31.12.0002</t>
  </si>
  <si>
    <t>Al 31.12.0003</t>
  </si>
  <si>
    <t>Al 31.12.0004</t>
  </si>
  <si>
    <t>[M-N]x30%</t>
  </si>
  <si>
    <t>Registros contables</t>
  </si>
  <si>
    <t>Al 31 de diciembre de XX00</t>
  </si>
  <si>
    <t>En unidades monetarias S/</t>
  </si>
  <si>
    <t>(Según NIIF)</t>
  </si>
  <si>
    <t>(Según LIR)</t>
  </si>
  <si>
    <t>Activo corriente</t>
  </si>
  <si>
    <t>Total activo</t>
  </si>
  <si>
    <t>Proveedores</t>
  </si>
  <si>
    <t>Pasivo corriente</t>
  </si>
  <si>
    <t>Pasivo y Patrimonio</t>
  </si>
  <si>
    <t>Capital social</t>
  </si>
  <si>
    <t>LIR</t>
  </si>
  <si>
    <t>Registro de venta</t>
  </si>
  <si>
    <t>D</t>
  </si>
  <si>
    <t>H</t>
  </si>
  <si>
    <t>Registro de baja de almacen</t>
  </si>
  <si>
    <t>Registro de depreciación</t>
  </si>
  <si>
    <t>Gasto por depreciación</t>
  </si>
  <si>
    <t>Maquinaria (depreciación acum.)</t>
  </si>
  <si>
    <t>Gasto por deterioro</t>
  </si>
  <si>
    <t>Existencias (deterioro acumulado)</t>
  </si>
  <si>
    <t>Deterioro de cuenta por cobrar</t>
  </si>
  <si>
    <t>Clientes (deterioro acumulado)</t>
  </si>
  <si>
    <t>Clientes</t>
  </si>
  <si>
    <t>Gasto laboral</t>
  </si>
  <si>
    <t>Provisión por pagar</t>
  </si>
  <si>
    <t>Demanda laboral</t>
  </si>
  <si>
    <t>Deterioro de existencia</t>
  </si>
  <si>
    <t>Provisión</t>
  </si>
  <si>
    <t>Al 31 de diciembre de XX01</t>
  </si>
  <si>
    <t>(NIIF)</t>
  </si>
  <si>
    <t>(LIR)</t>
  </si>
  <si>
    <t>Activos</t>
  </si>
  <si>
    <t>Pasivos</t>
  </si>
  <si>
    <t>Activo por Impto. a la renta diferido</t>
  </si>
  <si>
    <t>Activo no corriente</t>
  </si>
  <si>
    <t>Préstamos por pagar</t>
  </si>
  <si>
    <t>Cuentas por pagar diversas</t>
  </si>
  <si>
    <t>Resultados acumulados</t>
  </si>
  <si>
    <t>Patrimonio</t>
  </si>
  <si>
    <t>Pasivo y patrimonio</t>
  </si>
  <si>
    <t>Activo</t>
  </si>
  <si>
    <t>Nota a los estados financieros:</t>
  </si>
  <si>
    <t>(Activo por impuesto a la renta diferido / 30%)</t>
  </si>
  <si>
    <t>por</t>
  </si>
  <si>
    <t>Activo por Impuesto a la Renta Diferido (IRD) y su Base de Cálculo</t>
  </si>
  <si>
    <t>Base de Cálculo = Diferencias temporarias (D.T.) = Base Contable - Base tributaria</t>
  </si>
  <si>
    <t>Impuesto Diferido (I.D.) = Diferencia Temporaria (D.T.) x 30%</t>
  </si>
  <si>
    <t>Reconocimiento del activo por impuesto  la renta diferido: primer año</t>
  </si>
  <si>
    <t>Actualización del activo por impuesto  la renta diferido al 31 de diciembre de 2014:</t>
  </si>
  <si>
    <t>[36,000 - 12,000]</t>
  </si>
  <si>
    <t>(-) Deterioro acumulado</t>
  </si>
  <si>
    <t>Remuneraciones por pagar</t>
  </si>
  <si>
    <t>Basado en NIC 2</t>
  </si>
  <si>
    <t>Basado en NIC 39</t>
  </si>
  <si>
    <t>Basado en NIC 19</t>
  </si>
  <si>
    <t>Movimiento de las estimaciones</t>
  </si>
  <si>
    <t>Diversos</t>
  </si>
  <si>
    <t>Gasto neto por impuesto a la renta</t>
  </si>
  <si>
    <t>[180,000-450,000]</t>
  </si>
  <si>
    <t>Cálculo del efecto combinado</t>
  </si>
  <si>
    <t>Cálculo del impuesto a la renta corriente por componentes</t>
  </si>
  <si>
    <t>Cte.</t>
  </si>
  <si>
    <t>Imp.</t>
  </si>
  <si>
    <t>Bases contables de activos y pasivos al 31.12.2012</t>
  </si>
  <si>
    <t>Nuevos supuestos 2012</t>
  </si>
  <si>
    <t>Mas deterioro devengo de vacaciones por pagar</t>
  </si>
  <si>
    <t>Mas deterioro de cuentas por cobrar :</t>
  </si>
  <si>
    <t>Mas deterioro de existencias :</t>
  </si>
  <si>
    <t>Actualización del activo por impuesto  la renta diferido al 31 de diciembre de 2012:</t>
  </si>
  <si>
    <t>Movimiento de las diferencias temporarias (2012)</t>
  </si>
  <si>
    <t>Registro del impuesto a la renta corriente 2011</t>
  </si>
  <si>
    <t>Registro del impuesto a la renta corriente 2012</t>
  </si>
  <si>
    <t>Cálculo del efecto combinado (prueba ácida)</t>
  </si>
  <si>
    <t>Cálculo del impuesto a la renta corriente de los 2 años</t>
  </si>
  <si>
    <t xml:space="preserve">Total de Diferencia Temporaria e Impuesto a la Renta Diferido    </t>
  </si>
  <si>
    <t>Comparación de métodos</t>
  </si>
  <si>
    <t>Acumulando las diferencias temporarias al 31.12.2012</t>
  </si>
  <si>
    <t>Movimiento de las estimaciones al 31.12.2012</t>
  </si>
  <si>
    <t>Acumulando las diferencias temporales</t>
  </si>
  <si>
    <t>Todas las diferencias temporarias son deducibles en el 2013</t>
  </si>
  <si>
    <t>IRC : Impuesto a la renta corriente</t>
  </si>
  <si>
    <t>IRC</t>
  </si>
  <si>
    <t>DT: Diferencia temporaria</t>
  </si>
  <si>
    <t>IRD: Impuesto a la renta diferido</t>
  </si>
  <si>
    <t>AIRD</t>
  </si>
  <si>
    <t>PIRD</t>
  </si>
  <si>
    <t>AIRD: Activo por Impuesto a la Renta Diferido</t>
  </si>
  <si>
    <t>PIRD: Pasivo por Impuesto a la Renta Diferido</t>
  </si>
  <si>
    <t xml:space="preserve">Cálculo de tasa media efectiva </t>
  </si>
  <si>
    <t xml:space="preserve">   del impuesto a la renta</t>
  </si>
  <si>
    <t>[C= B/A]</t>
  </si>
  <si>
    <t>[30,000-18,000]</t>
  </si>
  <si>
    <t>Actualización del activo por impuesto  la renta diferido:</t>
  </si>
  <si>
    <t>Estado de resultados</t>
  </si>
  <si>
    <t>[B/A]</t>
  </si>
  <si>
    <t>Ideal</t>
  </si>
  <si>
    <t>Real</t>
  </si>
  <si>
    <t>UT</t>
  </si>
  <si>
    <t>IRC: Impuesto a la renta corriente</t>
  </si>
  <si>
    <t>UT: Utilidad tributaria</t>
  </si>
  <si>
    <t>Reconciliación</t>
  </si>
  <si>
    <t>DP: Diferencia permanente</t>
  </si>
  <si>
    <t>(a)</t>
  </si>
  <si>
    <t>(b)</t>
  </si>
  <si>
    <t>(c)</t>
  </si>
  <si>
    <t>(d)</t>
  </si>
  <si>
    <t>* Estamos asumiendo una tasa de impuesto a la renta de 30%</t>
  </si>
  <si>
    <t>Utilidad contable (Ver. 2.1.)</t>
  </si>
  <si>
    <t>(+) Adiciones temporales(Ver. 2.7)</t>
  </si>
  <si>
    <t>(-) Deducciones temporales (Ver. 2.7)</t>
  </si>
  <si>
    <t>(+) Adición permanente (Ver. 2.9)</t>
  </si>
  <si>
    <t>Utilidad tributaria (Ver. 2.2.)</t>
  </si>
  <si>
    <t>Impuesto a la renta *  (Ver. 2.3.)</t>
  </si>
  <si>
    <t>Deterioro de acumulado de cuentas por cobrar</t>
  </si>
  <si>
    <t>Impuesto a la renta corriente 2013</t>
  </si>
  <si>
    <t>Impuesto a la renta corriente 2014</t>
  </si>
  <si>
    <t>Impuesto a la renta corriente 2015</t>
  </si>
  <si>
    <t>Presentación en Estado de Situación Financiera</t>
  </si>
  <si>
    <t>Impuesto a la renta por pagar (cuadro 1 y 5)</t>
  </si>
  <si>
    <t>Menos : Pagos a cuenta del año</t>
  </si>
  <si>
    <t>Impuesto a la renta por pagar en ESF</t>
  </si>
  <si>
    <t>Modulo NIIF</t>
  </si>
  <si>
    <t>ModuloLIR</t>
  </si>
  <si>
    <t>Cta</t>
  </si>
  <si>
    <t>10X</t>
  </si>
  <si>
    <t>50X</t>
  </si>
  <si>
    <t>SF</t>
  </si>
  <si>
    <t>Descripción</t>
  </si>
  <si>
    <t>68X</t>
  </si>
  <si>
    <t>29X</t>
  </si>
  <si>
    <t>GP</t>
  </si>
  <si>
    <t>19X</t>
  </si>
  <si>
    <t xml:space="preserve">Deterioro acumulado </t>
  </si>
  <si>
    <t>62X</t>
  </si>
  <si>
    <t>41X</t>
  </si>
  <si>
    <t>Gasto por vacaciones</t>
  </si>
  <si>
    <t>Cuentas</t>
  </si>
  <si>
    <t xml:space="preserve">por </t>
  </si>
  <si>
    <t>Cobrar</t>
  </si>
  <si>
    <t>Inventario</t>
  </si>
  <si>
    <t>Vacación</t>
  </si>
  <si>
    <t>Pagar</t>
  </si>
  <si>
    <t>Saldos NIIF antes de asientos contables</t>
  </si>
  <si>
    <t>Estimaciones contables</t>
  </si>
  <si>
    <t>Devengado de vacaciones</t>
  </si>
  <si>
    <t>Saldos NIIF al cierre del periodo</t>
  </si>
  <si>
    <t>Saldos LIR antes de asientos contables</t>
  </si>
  <si>
    <t>Saldos LIR al cierre del periodo</t>
  </si>
  <si>
    <t>¿Activo?</t>
  </si>
  <si>
    <t>¿Pasivo?</t>
  </si>
  <si>
    <t>o</t>
  </si>
  <si>
    <t>IRD: Impuesto a la renta diferido = 30% x DT</t>
  </si>
  <si>
    <t>37X</t>
  </si>
  <si>
    <t>88X</t>
  </si>
  <si>
    <t>Modulo LIR</t>
  </si>
  <si>
    <t>Bases tributarias (cuadro 2)</t>
  </si>
  <si>
    <t>Bases contables (cuadro 1)</t>
  </si>
  <si>
    <t>Diferencias temporarias (cuadro 3)</t>
  </si>
  <si>
    <t>Impuesto a la renta diferido (DT x 30%)</t>
  </si>
  <si>
    <t xml:space="preserve">Ventas </t>
  </si>
  <si>
    <t xml:space="preserve">Costo de ventas </t>
  </si>
  <si>
    <t>Gasto de ventas</t>
  </si>
  <si>
    <t>Gasto administrativo</t>
  </si>
  <si>
    <t>BC: Base contable</t>
  </si>
  <si>
    <t>BT: Base tributaria</t>
  </si>
  <si>
    <t>Al</t>
  </si>
  <si>
    <t>Cierre</t>
  </si>
  <si>
    <t>40X</t>
  </si>
  <si>
    <t>Utilidad antes de impuestos (Sección 2.4)</t>
  </si>
  <si>
    <t>Amort. del periodo</t>
  </si>
  <si>
    <t>Amort. acumulada</t>
  </si>
  <si>
    <t>Año 01</t>
  </si>
  <si>
    <t>Año 02</t>
  </si>
  <si>
    <t>Año 03</t>
  </si>
  <si>
    <t>Año 04</t>
  </si>
  <si>
    <t>D.Temporaria</t>
  </si>
  <si>
    <t>D.Temporal</t>
  </si>
  <si>
    <t>Deducciones</t>
  </si>
  <si>
    <t>[M-N]=[Q]</t>
  </si>
  <si>
    <t>[Q] x 30%</t>
  </si>
  <si>
    <t>AID</t>
  </si>
  <si>
    <t>Amortización</t>
  </si>
  <si>
    <t>Tratamiento de los costos de investigación NIC 38</t>
  </si>
  <si>
    <t>Contable NIIF</t>
  </si>
  <si>
    <t>Del año</t>
  </si>
  <si>
    <t>Impuesto a la Renta</t>
  </si>
  <si>
    <t>Al Cierre</t>
  </si>
  <si>
    <t>Cuenta: Margen de obra diferido</t>
  </si>
  <si>
    <t>Cuenta de balance:</t>
  </si>
  <si>
    <t>Inversiones en Acciones</t>
  </si>
  <si>
    <t>31 de diciembre de  2013</t>
  </si>
  <si>
    <t>31 de diciembre de  2014</t>
  </si>
  <si>
    <t>31 de diciembre de  2015</t>
  </si>
  <si>
    <t>BC: Base tributaria</t>
  </si>
  <si>
    <t>Al 31 de diciembre de  2014</t>
  </si>
  <si>
    <t xml:space="preserve">  Existencias</t>
  </si>
  <si>
    <t xml:space="preserve"> Cuentas por cobrar</t>
  </si>
  <si>
    <t>Acumulado al 31.12.XX</t>
  </si>
  <si>
    <t>AIRD: Activo por Impuesto a l Renta Diferido</t>
  </si>
  <si>
    <t>Utilidad en subsidiaria</t>
  </si>
  <si>
    <t>[A x 30%]</t>
  </si>
  <si>
    <t>[GP]</t>
  </si>
  <si>
    <t>[SF]</t>
  </si>
  <si>
    <t>GP: Estado de ganancias y pérdidas</t>
  </si>
  <si>
    <t>SF: Estado de situación financiera</t>
  </si>
  <si>
    <t>Determinación de Impuesto a la Renta</t>
  </si>
  <si>
    <t>Futuro ahorro tributario</t>
  </si>
  <si>
    <t>[S/54,000 - S/144,000]</t>
  </si>
  <si>
    <t>[S/54,000 - S/162,000]</t>
  </si>
  <si>
    <t xml:space="preserve">IRC </t>
  </si>
  <si>
    <t>[90,000 / 300,000]</t>
  </si>
  <si>
    <t>[18,000 / 300,000]</t>
  </si>
  <si>
    <t xml:space="preserve">Mayor pago de impuestos </t>
  </si>
  <si>
    <t>Deprec. Acum.</t>
  </si>
  <si>
    <t>UC</t>
  </si>
  <si>
    <t xml:space="preserve">Tasas </t>
  </si>
  <si>
    <t xml:space="preserve">(-) </t>
  </si>
  <si>
    <t xml:space="preserve">(+) </t>
  </si>
  <si>
    <t>Pérdida tributaria</t>
  </si>
  <si>
    <t>Beneficio tributario futuro</t>
  </si>
  <si>
    <t>Utilidad proyectada</t>
  </si>
  <si>
    <t>Utilidad tributaria proyectada</t>
  </si>
  <si>
    <t>(-) Pérdida tributaria</t>
  </si>
  <si>
    <t>-</t>
  </si>
  <si>
    <t>Base imponible para impuesto</t>
  </si>
  <si>
    <t>Ahorros tributarios futuros</t>
  </si>
  <si>
    <t>Base para pago de impuestos</t>
  </si>
  <si>
    <t>Total</t>
  </si>
  <si>
    <t>Ahorros tributarios futuros (30%)</t>
  </si>
  <si>
    <t>Uso de la pérdida tributaria:</t>
  </si>
  <si>
    <t>Del año 2013</t>
  </si>
  <si>
    <t>Del año 2014</t>
  </si>
  <si>
    <t>Onzas de Au Proyectadas</t>
  </si>
  <si>
    <t>Precio estimado de 1 Oz de Au</t>
  </si>
  <si>
    <t>Utilidad tributaria en S/(000)</t>
  </si>
  <si>
    <t>Pérdida tributaria a utilizar durante la vida útil de la mina</t>
  </si>
  <si>
    <t>D.A.</t>
  </si>
  <si>
    <t>D.A.: Depreciación acumulada</t>
  </si>
  <si>
    <t>D.T.: Diferencia temporaria</t>
  </si>
  <si>
    <t>IRD: Impuesto a la Renta Diferido</t>
  </si>
  <si>
    <t>Control Tributario</t>
  </si>
  <si>
    <t>DTx30%</t>
  </si>
  <si>
    <t>IRD =</t>
  </si>
  <si>
    <t>Registro del activo por impuesto  la renta diferido al 31 de diciembre de 2011:</t>
  </si>
  <si>
    <t>(Del año 2011)</t>
  </si>
  <si>
    <t>Movimiento de las diferencias temporarias (Estimaciones contables)</t>
  </si>
  <si>
    <t>Cálculo del efecto combinado:</t>
  </si>
  <si>
    <t>Cálculo del impuesto a la renta corriente (IRC) por componentes</t>
  </si>
  <si>
    <t>Impuesto diferido al 31.12.2012 = DT x 30%</t>
  </si>
  <si>
    <t>[a+b]</t>
  </si>
  <si>
    <t>[m]</t>
  </si>
  <si>
    <t>∑ [m]</t>
  </si>
  <si>
    <t>Suma de temporales = Diferencia temporaria (DT) =</t>
  </si>
  <si>
    <t>AIRD: Activo por Impuesto a la renta diferido</t>
  </si>
  <si>
    <t>BC:</t>
  </si>
  <si>
    <t>BT:</t>
  </si>
  <si>
    <t>DT: Diferencia temporaria [BC - BT], en terminos absolutos.</t>
  </si>
  <si>
    <t>AIRD  relacionado a las cuentas por cobrar</t>
  </si>
  <si>
    <t>[B]=[Ax30%]</t>
  </si>
  <si>
    <t xml:space="preserve">Tasa efectiva </t>
  </si>
  <si>
    <t xml:space="preserve">Mayor tasa </t>
  </si>
  <si>
    <t>Tasa legal</t>
  </si>
  <si>
    <t xml:space="preserve">(a): Aplicando la tasa legal a la utilidad contable (S/500,000) se tendría un impuesto </t>
  </si>
  <si>
    <t xml:space="preserve">      teórico de S/150,000.</t>
  </si>
  <si>
    <t xml:space="preserve">      El mayor impuesto entre la utilidad contable resulta en 6%.</t>
  </si>
  <si>
    <t>(c): Resulta de la suma de los efectos (a) y (b) en % y en cifras.</t>
  </si>
  <si>
    <t>Control basado en NIIF</t>
  </si>
  <si>
    <t>Control basado en normas tributarias</t>
  </si>
  <si>
    <t>Movimiento de las diferencias temporarias</t>
  </si>
  <si>
    <t>[a-b]</t>
  </si>
  <si>
    <t>Tasas del Imp. Renta.</t>
  </si>
  <si>
    <t>Ahorros tributarios</t>
  </si>
  <si>
    <t>Mayor gasto aceptado</t>
  </si>
  <si>
    <t>[a x b]</t>
  </si>
  <si>
    <t>(a')</t>
  </si>
  <si>
    <t>(a'')</t>
  </si>
  <si>
    <t>(b')</t>
  </si>
  <si>
    <t>(b'')</t>
  </si>
  <si>
    <t>(c')</t>
  </si>
  <si>
    <t>(c'')</t>
  </si>
  <si>
    <t xml:space="preserve">Deterioro del periodo </t>
  </si>
  <si>
    <t xml:space="preserve">Destrucciones del periodo </t>
  </si>
  <si>
    <t xml:space="preserve">Castigos </t>
  </si>
  <si>
    <t xml:space="preserve">Devengos del periodo </t>
  </si>
  <si>
    <t xml:space="preserve">Pagos del periodo </t>
  </si>
  <si>
    <t>(+) Adiciones temporales</t>
  </si>
  <si>
    <t xml:space="preserve">(-) Deducciones temporales </t>
  </si>
  <si>
    <t xml:space="preserve">(+) Adición permanente </t>
  </si>
  <si>
    <t xml:space="preserve">Utilidad tributaria </t>
  </si>
  <si>
    <t>[DT]</t>
  </si>
  <si>
    <t>[DTx30%]</t>
  </si>
  <si>
    <t>Costo de existencias</t>
  </si>
  <si>
    <t>BC de Existencias</t>
  </si>
  <si>
    <t>BC de Cuentas por cobrar</t>
  </si>
  <si>
    <t>Activo por Impuesto diferido 30%</t>
  </si>
  <si>
    <t>Activo por impuesto diferido</t>
  </si>
  <si>
    <t>Variación del impuesto diferido</t>
  </si>
  <si>
    <t>[UTx30%]</t>
  </si>
  <si>
    <t>Diferencias temporarias [BT-BC]</t>
  </si>
  <si>
    <t>Bases contables [BC]</t>
  </si>
  <si>
    <t>Bases tributarias [BT]</t>
  </si>
  <si>
    <t>[BT-BC]x30%</t>
  </si>
  <si>
    <t>IRD acumulado</t>
  </si>
  <si>
    <t>C1: DETERMINACION DEL IMPUESTO A LA RENTA CORRIENTE</t>
  </si>
  <si>
    <t>C3: DIFERENCIAS TEMPORARIAS</t>
  </si>
  <si>
    <t>C2: MOVIMIENTO DE ESTIMACIONES</t>
  </si>
  <si>
    <t>Accumulación de D.Temporarias</t>
  </si>
  <si>
    <t>Accumulación de D.Temporales</t>
  </si>
  <si>
    <t>Amort. Acumulada</t>
  </si>
  <si>
    <t>IRD: Impuesto a la renta diferido = DT x 30%</t>
  </si>
  <si>
    <t>Gasto (depreciación)</t>
  </si>
  <si>
    <t>AID: Activo por impuesto a la renta diferido acumulado al cierre de cada año</t>
  </si>
  <si>
    <t>cierre</t>
  </si>
  <si>
    <t>IRD: Impuesto a la renta diferido acumulado al cierre de cada periodo</t>
  </si>
  <si>
    <t>IRD: Impuesto a la renta diferido acumulado al cierre de cada año</t>
  </si>
  <si>
    <t>IRD del</t>
  </si>
  <si>
    <t>Periodo</t>
  </si>
  <si>
    <t>Tasa utilizada : 30%</t>
  </si>
  <si>
    <t>Depreciación acumulada (2.50%)</t>
  </si>
  <si>
    <t>Depreciación acumulada (5%)</t>
  </si>
  <si>
    <t>Inv. mantenidas para negociar</t>
  </si>
  <si>
    <t xml:space="preserve">  </t>
  </si>
  <si>
    <t>Det. acumulados (DT)</t>
  </si>
  <si>
    <t>C1</t>
  </si>
  <si>
    <t>C2</t>
  </si>
  <si>
    <t>C3</t>
  </si>
  <si>
    <t>C4</t>
  </si>
  <si>
    <t>=</t>
  </si>
  <si>
    <t>[162,000 - 54,000]</t>
  </si>
  <si>
    <t>Uso de pérdida tributaria (50% de UT)</t>
  </si>
  <si>
    <t xml:space="preserve">Deterioro de cuentas por cobrar </t>
  </si>
  <si>
    <r>
      <t xml:space="preserve">Deterioro de </t>
    </r>
    <r>
      <rPr>
        <sz val="11"/>
        <color theme="1"/>
        <rFont val="Arial"/>
        <family val="2"/>
      </rPr>
      <t xml:space="preserve">existencias           </t>
    </r>
  </si>
  <si>
    <t>[30,000-10,000]=</t>
  </si>
  <si>
    <t>[40,000-30,000]=</t>
  </si>
  <si>
    <t>(*)</t>
  </si>
  <si>
    <t>(*): Corresponden a estimaciones incluidas en el balance de apertura 2014</t>
  </si>
  <si>
    <t xml:space="preserve">Diferencia Temporaria e Impuesto a la Renta Diferido    </t>
  </si>
  <si>
    <t>[180,000- 0] (*)</t>
  </si>
  <si>
    <t>(*) El saldo inicial del activo por impuesto a la renta diferido es cero.</t>
  </si>
  <si>
    <t>a</t>
  </si>
  <si>
    <t>b</t>
  </si>
  <si>
    <t>c</t>
  </si>
  <si>
    <t>a+b+c</t>
  </si>
  <si>
    <t>Impuesto a la renta combinado (*)</t>
  </si>
  <si>
    <t>(*) Efecto combinado del impuesto a la renta corriente y diferido en los resultados</t>
  </si>
  <si>
    <t>c1</t>
  </si>
  <si>
    <t>c2</t>
  </si>
  <si>
    <t>c3</t>
  </si>
  <si>
    <t>c4</t>
  </si>
  <si>
    <t>c5</t>
  </si>
  <si>
    <t>[216,000-180,000*]</t>
  </si>
  <si>
    <t>(*) Saldo inicial del activo por impuesto a la renta diferido</t>
  </si>
  <si>
    <t>Deterioro acumulado de cuentas por cobrar : 100,000 (saldo inicial) +50,000 (adiciones)</t>
  </si>
  <si>
    <t>Vacaciones por pagar : 200,000 (saldo inicial) + 30,000 (adiciones)</t>
  </si>
  <si>
    <t>Deterioro acumulado de existencias: 300,000 (saldo inicial) +40,000 (adiciones)</t>
  </si>
  <si>
    <t>Adiciones: propuestas por el maestro</t>
  </si>
  <si>
    <t>[B] = [192,000-12,000]</t>
  </si>
  <si>
    <t xml:space="preserve">Utilidad contable </t>
  </si>
  <si>
    <t>[A]    (antes de impuestos)</t>
  </si>
  <si>
    <t>Deterioro acumulado de existencias</t>
  </si>
  <si>
    <t>Deterioro del periodo (Ver cuadro 1)</t>
  </si>
  <si>
    <t>Destrucciones del periodo (Ver cuadro 1)</t>
  </si>
  <si>
    <t>31.12.2015</t>
  </si>
  <si>
    <t>Castigos (Ver cuadro 1)</t>
  </si>
  <si>
    <t>Devengos del periodo (Ver cuadro 1)</t>
  </si>
  <si>
    <t>Pagos del periodo (Ver cuadro 1)</t>
  </si>
  <si>
    <t>$</t>
  </si>
  <si>
    <t>(+) Vacaciones devengadas</t>
  </si>
  <si>
    <t>(-) Vacaciones pagadas</t>
  </si>
  <si>
    <t>Variados</t>
  </si>
  <si>
    <t>Activo por impuesto</t>
  </si>
  <si>
    <t xml:space="preserve">  a la renta diferido (30%)</t>
  </si>
  <si>
    <t>Variación del activo por impuesto a la renta diferido (SF - SI)</t>
  </si>
  <si>
    <t>(SI)</t>
  </si>
  <si>
    <t>(SF)</t>
  </si>
  <si>
    <t>Impuesto a la renta corriente (30%)</t>
  </si>
  <si>
    <t>Fijación: En el Balance General (ESF)</t>
  </si>
  <si>
    <t>Fijación: En el Estado de Resultados</t>
  </si>
  <si>
    <t>Ad.</t>
  </si>
  <si>
    <t>Ded.</t>
  </si>
  <si>
    <t>Presentación del Estado de Resultados</t>
  </si>
  <si>
    <t>Diferido    (d)</t>
  </si>
  <si>
    <t xml:space="preserve">Corriente  (c) </t>
  </si>
  <si>
    <t>Prueba ácida</t>
  </si>
  <si>
    <t>Base de prueba (w)</t>
  </si>
  <si>
    <t>Efecto combinado (wx30%): (m)</t>
  </si>
  <si>
    <t>Efecto combinado (c+d): (n)</t>
  </si>
  <si>
    <t>Debe ser cero (m-n)</t>
  </si>
  <si>
    <t>Provisión por garantías</t>
  </si>
  <si>
    <t>(+) Provisiones de garantías</t>
  </si>
  <si>
    <t>(-) Garantías pagadas</t>
  </si>
  <si>
    <t>(+) Deterioros del periodo</t>
  </si>
  <si>
    <t>(-) Existencias destruidas</t>
  </si>
  <si>
    <t>(+) Vacaciones por pagar, neto</t>
  </si>
  <si>
    <t>(+) Provisión por garantías, neto</t>
  </si>
  <si>
    <t>(+) Deterioros de existencias, neto</t>
  </si>
  <si>
    <t>Base contable:</t>
  </si>
  <si>
    <t>Base tributaria:</t>
  </si>
  <si>
    <t>Temporal</t>
  </si>
  <si>
    <t>[a-b]x30%</t>
  </si>
  <si>
    <t>[n]</t>
  </si>
  <si>
    <t>[m-n]</t>
  </si>
  <si>
    <t>Determinación de la utilidad tributaria</t>
  </si>
  <si>
    <t>(+) Diferencia temporal</t>
  </si>
  <si>
    <t>(+) Diferencia permanente</t>
  </si>
  <si>
    <t>Gasto neto del impuesto a la renta</t>
  </si>
  <si>
    <t>[p]</t>
  </si>
  <si>
    <t>[q]</t>
  </si>
  <si>
    <t>[p-q]</t>
  </si>
  <si>
    <t>del Periodo</t>
  </si>
  <si>
    <t>Efecto combinado del impuesto a al renta</t>
  </si>
  <si>
    <t>Base de prueba ácida</t>
  </si>
  <si>
    <t>Deterioro de cuentas por cobrar (NIC 39)</t>
  </si>
  <si>
    <t>Efecto combinado de I.R.</t>
  </si>
  <si>
    <t>Aplicación</t>
  </si>
  <si>
    <t>PTA</t>
  </si>
  <si>
    <t>Impuesto a la renta corriente (no tiene sentido)</t>
  </si>
  <si>
    <t>Impuesto a la renta ( si tiene sentido)</t>
  </si>
  <si>
    <t>Estado de Situación Financiera</t>
  </si>
  <si>
    <t>Estado de Resultados</t>
  </si>
  <si>
    <t>Año 1887</t>
  </si>
  <si>
    <t>Anticipos de clientes</t>
  </si>
  <si>
    <t>(-) Ingresos</t>
  </si>
  <si>
    <t>Ingresos</t>
  </si>
  <si>
    <t>Costos de obra</t>
  </si>
  <si>
    <t>Margen de obra</t>
  </si>
  <si>
    <t>Año 1888</t>
  </si>
  <si>
    <t>Saldo a favor por cobrar</t>
  </si>
  <si>
    <t>Año 1889</t>
  </si>
  <si>
    <t>(+) Ingresos</t>
  </si>
  <si>
    <t>Suma de (b) =</t>
  </si>
  <si>
    <t>Suma de (a) =</t>
  </si>
  <si>
    <t>Margen de obra total =</t>
  </si>
  <si>
    <t>(En millones de francos)</t>
  </si>
  <si>
    <t>( se pagará en el futuro 1889)</t>
  </si>
  <si>
    <t>Cuentas por cobrar comerciales (*)</t>
  </si>
  <si>
    <t>(*) Importe nominal de las facturas, tienen vencimientos menores a 3 meses</t>
  </si>
  <si>
    <t>BC &lt; BT =&gt; D.T. Deducible =&gt; Activo por IRD</t>
  </si>
  <si>
    <t>BC &gt; BT =&gt; D.T. Gravable =&gt; Pasivo por IRD</t>
  </si>
  <si>
    <t>Escenario 1</t>
  </si>
  <si>
    <t>Escenario 2</t>
  </si>
  <si>
    <t>Existencias (costo)</t>
  </si>
  <si>
    <t>Intereses pagados a proveedor</t>
  </si>
  <si>
    <t>Escenario 1: T/C Al Alza</t>
  </si>
  <si>
    <t>Escenario 1: T/C A la baja</t>
  </si>
  <si>
    <t>Diferencia en cambio</t>
  </si>
  <si>
    <t>(*) Costo al contado del bien</t>
  </si>
  <si>
    <t>Préstamos por cobrar</t>
  </si>
  <si>
    <t>(+) Ingresos financieros (no cobrados)</t>
  </si>
  <si>
    <t xml:space="preserve">Ahorro en el 2013 (lo predijo el IRD en el 2012)        </t>
  </si>
  <si>
    <t>(b): La diferencia permanente (S/100,000) incrementa el impuesto en S/30,000.</t>
  </si>
  <si>
    <t>Ingresos operativos</t>
  </si>
  <si>
    <t>Costos operativos</t>
  </si>
  <si>
    <t>Gasto de administración</t>
  </si>
  <si>
    <t>Diferido (*)</t>
  </si>
  <si>
    <t>(*) Aún no hemos considerado el impuesto diferido</t>
  </si>
  <si>
    <t>Adiciones temporales por deterioros:</t>
  </si>
  <si>
    <t>Préstamo por pagar</t>
  </si>
  <si>
    <t>Mayor pago de impuesto por adiciones temporales</t>
  </si>
  <si>
    <t>Total de activo por impuesto a la renta diferido</t>
  </si>
  <si>
    <t>Acumulados al cierre del periodo</t>
  </si>
  <si>
    <r>
      <t xml:space="preserve">D.T.  </t>
    </r>
    <r>
      <rPr>
        <sz val="11"/>
        <color theme="1"/>
        <rFont val="Arial"/>
        <family val="2"/>
      </rPr>
      <t>[C] =[A-B]</t>
    </r>
  </si>
  <si>
    <t>Ahorros tributarios futuros (30% x PTA)</t>
  </si>
  <si>
    <t>(-) Pérdida tributaria arrastrable</t>
  </si>
  <si>
    <t>Proyectada</t>
  </si>
  <si>
    <t>Uso</t>
  </si>
  <si>
    <t>Imponible</t>
  </si>
  <si>
    <t>Acerca del Autor</t>
  </si>
  <si>
    <t>Página: 4</t>
  </si>
  <si>
    <t>Estado financiero presentado por el profesor César Alonso a su alumno Victor Ándres para</t>
  </si>
  <si>
    <t>expresar de manera sencilla lo que representa el activo por impuesto a la renta diferido.</t>
  </si>
  <si>
    <t>Nota 8:</t>
  </si>
  <si>
    <t>Determinando la Base de Cálculo del Impuesto a la Renta Diferido</t>
  </si>
  <si>
    <t>[a]/30%</t>
  </si>
  <si>
    <t>[b]/30%</t>
  </si>
  <si>
    <t>[c]/30%</t>
  </si>
  <si>
    <t>Página: 5</t>
  </si>
  <si>
    <t>Página: 6</t>
  </si>
  <si>
    <t>Página: 8</t>
  </si>
  <si>
    <t>Página: 9</t>
  </si>
  <si>
    <t>Página: 11</t>
  </si>
  <si>
    <t>Página: 12</t>
  </si>
  <si>
    <t>Página: 14</t>
  </si>
  <si>
    <t>Página: 15</t>
  </si>
  <si>
    <t>Página: 16</t>
  </si>
  <si>
    <t>Página: 17</t>
  </si>
  <si>
    <t>Página: 18</t>
  </si>
  <si>
    <t>Página: 19</t>
  </si>
  <si>
    <t>Página: 21</t>
  </si>
  <si>
    <t>Página: 22</t>
  </si>
  <si>
    <t>Página: 23</t>
  </si>
  <si>
    <t>Página: 24</t>
  </si>
  <si>
    <t>Página: 25</t>
  </si>
  <si>
    <t>Página: 27</t>
  </si>
  <si>
    <t>Página: 29, 31 y 33</t>
  </si>
  <si>
    <t>Página: 35</t>
  </si>
  <si>
    <t>Página: 38</t>
  </si>
  <si>
    <t>Página: 40</t>
  </si>
  <si>
    <t>Página: 41</t>
  </si>
  <si>
    <t>Página: 42</t>
  </si>
  <si>
    <t>Página: 43</t>
  </si>
  <si>
    <t>Página: 44</t>
  </si>
  <si>
    <t>Página: 47</t>
  </si>
  <si>
    <t>Página: 48</t>
  </si>
  <si>
    <t>Página: 51</t>
  </si>
  <si>
    <t>Página: 53</t>
  </si>
  <si>
    <t>Página: 56</t>
  </si>
  <si>
    <t>Página: 57</t>
  </si>
  <si>
    <t>Página: 58</t>
  </si>
  <si>
    <t>Página: 60</t>
  </si>
  <si>
    <t>Página: 61</t>
  </si>
  <si>
    <t>Página: 63</t>
  </si>
  <si>
    <t>Página: 64</t>
  </si>
  <si>
    <t>Página: 65</t>
  </si>
  <si>
    <t>Página: 68</t>
  </si>
  <si>
    <t>Página: 69</t>
  </si>
  <si>
    <t>Página: 73</t>
  </si>
  <si>
    <t>Página: 74</t>
  </si>
  <si>
    <t>Página: 75</t>
  </si>
  <si>
    <t>Página: 76</t>
  </si>
  <si>
    <t>Página: 77</t>
  </si>
  <si>
    <t>Página: 78</t>
  </si>
  <si>
    <t>Página: 79</t>
  </si>
  <si>
    <t>Página: 86</t>
  </si>
  <si>
    <t>Página: 87</t>
  </si>
  <si>
    <t>Página: 88</t>
  </si>
  <si>
    <t>Página: 89</t>
  </si>
  <si>
    <t>Página: 90</t>
  </si>
  <si>
    <t>Página: 91</t>
  </si>
  <si>
    <t>Página: 92</t>
  </si>
  <si>
    <t>Página: 93</t>
  </si>
  <si>
    <t>Página: 94</t>
  </si>
  <si>
    <t>Página: 98</t>
  </si>
  <si>
    <t>Página: 101</t>
  </si>
  <si>
    <t>Página: 102</t>
  </si>
  <si>
    <t>Página: 103</t>
  </si>
  <si>
    <t>Página: 104</t>
  </si>
  <si>
    <t>Página: 108</t>
  </si>
  <si>
    <t>Página: 109</t>
  </si>
  <si>
    <t>Página: 110</t>
  </si>
  <si>
    <t>Página: 111</t>
  </si>
  <si>
    <t>Página: 112</t>
  </si>
  <si>
    <t>Página: 113</t>
  </si>
  <si>
    <t>Página: 114</t>
  </si>
  <si>
    <t>Página: 115</t>
  </si>
  <si>
    <t>Página: 118</t>
  </si>
  <si>
    <t>Página: 119</t>
  </si>
  <si>
    <t>[EGP] Impuesto a la renta</t>
  </si>
  <si>
    <t>[ESF] Pasivo por impuesto a la renta diferido</t>
  </si>
  <si>
    <t>Consumo acumulado</t>
  </si>
  <si>
    <t>Página: 123</t>
  </si>
  <si>
    <t>Página: 125</t>
  </si>
  <si>
    <t>Página: 127</t>
  </si>
  <si>
    <t>Página: 128</t>
  </si>
  <si>
    <t>Página: 130</t>
  </si>
  <si>
    <t>Página: 131</t>
  </si>
  <si>
    <t>Página: 132</t>
  </si>
  <si>
    <t>Página: 133</t>
  </si>
  <si>
    <t>Página: 134</t>
  </si>
  <si>
    <t>Página: 135</t>
  </si>
  <si>
    <t>Página: 140</t>
  </si>
  <si>
    <t>Página: 141</t>
  </si>
  <si>
    <t>Página: 142</t>
  </si>
  <si>
    <t>Página: 144</t>
  </si>
  <si>
    <t>Pérdida por deterioro</t>
  </si>
  <si>
    <t xml:space="preserve">   acumulado</t>
  </si>
  <si>
    <t>[R]</t>
  </si>
  <si>
    <t>Página: 147</t>
  </si>
  <si>
    <t>Página: 148</t>
  </si>
  <si>
    <t>Página: 149</t>
  </si>
  <si>
    <t>Página: 150</t>
  </si>
  <si>
    <t>Página: 151</t>
  </si>
  <si>
    <t>Página: 152</t>
  </si>
  <si>
    <t>IRC - IRD</t>
  </si>
  <si>
    <t>Página: 161</t>
  </si>
  <si>
    <t>Página: 163</t>
  </si>
  <si>
    <t>Página: 176</t>
  </si>
  <si>
    <t>Página: 170</t>
  </si>
  <si>
    <t>Página: 171</t>
  </si>
  <si>
    <t>Página: 172</t>
  </si>
  <si>
    <t>Página: 173</t>
  </si>
  <si>
    <t>Página: 175</t>
  </si>
  <si>
    <t>Página: 182</t>
  </si>
  <si>
    <t>Página: 185</t>
  </si>
  <si>
    <t>Página: 210</t>
  </si>
  <si>
    <t>Página: 211</t>
  </si>
  <si>
    <t>Página: 220</t>
  </si>
  <si>
    <t>Página: 221</t>
  </si>
  <si>
    <t>Página: 222</t>
  </si>
  <si>
    <t>Seccion 1: Divulgación contable: NIC 12 a Nuestro Estilo</t>
  </si>
  <si>
    <t>Sección 2: El Impuesto a la renta corriente</t>
  </si>
  <si>
    <t>Sección 3: las diferencias temporales y temporarias</t>
  </si>
  <si>
    <t>Sección 4: El activo por impuesto a la renta diferido</t>
  </si>
  <si>
    <t>Sección 5: El pasivo por impuesto a la renta diferido</t>
  </si>
  <si>
    <t>Sección 6: Tasa Media Efectiva del Impuesto a la Renta</t>
  </si>
  <si>
    <t>Sección 7: Cambio de Tasa en el Impuesto a la Renta</t>
  </si>
  <si>
    <t>Sección 8: La pérdida tributaria y el impuesto a la renta diferido</t>
  </si>
  <si>
    <t>Sección 9: Diferencia temporaria por cambio de moneda funcional</t>
  </si>
  <si>
    <t>Sección 11 : Juguemos a las NIIF</t>
  </si>
  <si>
    <t xml:space="preserve">Mayor pago de Impuesto a la renta </t>
  </si>
  <si>
    <t>Base contable  (Histórica)</t>
  </si>
  <si>
    <t>Al 31 de diciembre de 20X0:</t>
  </si>
  <si>
    <t>Reconocimiento del activo por impuesto  la renta diferido al 31 de diciembre de 20X0:</t>
  </si>
  <si>
    <t>Al 31 de diciembre de 20X1:</t>
  </si>
  <si>
    <t>Al 31 de diciembre de 20X4</t>
  </si>
  <si>
    <t>Valor en Lib ros NIIF - en Moneda Funcional (USD)</t>
  </si>
  <si>
    <t xml:space="preserve">Base tributaria en USD al tipo de cambio de cierre </t>
  </si>
  <si>
    <t>Diferencia temporaria gravabe</t>
  </si>
  <si>
    <t xml:space="preserve">Pasivo por Impuesto a la renta diferido </t>
  </si>
  <si>
    <t>Página: 181</t>
  </si>
  <si>
    <t>Página: 184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</si>
</sst>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0.000"/>
    <numFmt numFmtId="168" formatCode="#,##0\ ;[Black]\(#,##0\);\-\ ;"/>
    <numFmt numFmtId="169" formatCode="0.0000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theme="1"/>
      <name val="Calibri"/>
      <family val="2"/>
    </font>
    <font>
      <b/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B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429">
    <xf numFmtId="0" fontId="0" fillId="0" borderId="0" xfId="0"/>
    <xf numFmtId="0" fontId="6" fillId="0" borderId="0" xfId="0" applyFont="1"/>
    <xf numFmtId="0" fontId="0" fillId="6" borderId="0" xfId="0" applyFill="1"/>
    <xf numFmtId="0" fontId="3" fillId="6" borderId="0" xfId="0" applyFont="1" applyFill="1"/>
    <xf numFmtId="0" fontId="3" fillId="0" borderId="0" xfId="0" applyFont="1"/>
    <xf numFmtId="0" fontId="2" fillId="5" borderId="1" xfId="0" applyFont="1" applyFill="1" applyBorder="1" applyAlignment="1">
      <alignment horizontal="center" vertical="center" wrapText="1"/>
    </xf>
    <xf numFmtId="3" fontId="3" fillId="6" borderId="0" xfId="0" applyNumberFormat="1" applyFont="1" applyFill="1"/>
    <xf numFmtId="168" fontId="3" fillId="6" borderId="0" xfId="0" applyNumberFormat="1" applyFont="1" applyFill="1" applyAlignment="1">
      <alignment horizontal="right" vertical="center" wrapText="1"/>
    </xf>
    <xf numFmtId="168" fontId="2" fillId="6" borderId="0" xfId="0" applyNumberFormat="1" applyFont="1" applyFill="1" applyAlignment="1">
      <alignment horizontal="right" vertical="center" wrapText="1"/>
    </xf>
    <xf numFmtId="0" fontId="2" fillId="6" borderId="0" xfId="0" applyFont="1" applyFill="1"/>
    <xf numFmtId="0" fontId="3" fillId="4" borderId="0" xfId="0" applyFont="1" applyFill="1"/>
    <xf numFmtId="0" fontId="2" fillId="4" borderId="0" xfId="0" applyFont="1" applyFill="1"/>
    <xf numFmtId="0" fontId="3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3" fontId="2" fillId="6" borderId="0" xfId="0" applyNumberFormat="1" applyFont="1" applyFill="1"/>
    <xf numFmtId="0" fontId="5" fillId="0" borderId="0" xfId="0" applyFont="1"/>
    <xf numFmtId="0" fontId="2" fillId="4" borderId="0" xfId="0" applyFont="1" applyFill="1" applyAlignment="1">
      <alignment horizontal="center"/>
    </xf>
    <xf numFmtId="0" fontId="3" fillId="6" borderId="10" xfId="0" applyFont="1" applyFill="1" applyBorder="1"/>
    <xf numFmtId="0" fontId="3" fillId="3" borderId="0" xfId="0" applyFont="1" applyFill="1"/>
    <xf numFmtId="3" fontId="3" fillId="6" borderId="10" xfId="0" applyNumberFormat="1" applyFont="1" applyFill="1" applyBorder="1"/>
    <xf numFmtId="3" fontId="2" fillId="6" borderId="12" xfId="0" applyNumberFormat="1" applyFont="1" applyFill="1" applyBorder="1"/>
    <xf numFmtId="3" fontId="0" fillId="0" borderId="0" xfId="0" applyNumberFormat="1"/>
    <xf numFmtId="3" fontId="2" fillId="6" borderId="10" xfId="0" applyNumberFormat="1" applyFont="1" applyFill="1" applyBorder="1"/>
    <xf numFmtId="168" fontId="2" fillId="6" borderId="10" xfId="0" applyNumberFormat="1" applyFont="1" applyFill="1" applyBorder="1" applyAlignment="1">
      <alignment horizontal="right" vertical="center" wrapText="1"/>
    </xf>
    <xf numFmtId="168" fontId="3" fillId="6" borderId="10" xfId="0" applyNumberFormat="1" applyFont="1" applyFill="1" applyBorder="1" applyAlignment="1">
      <alignment horizontal="right" vertical="center" wrapText="1"/>
    </xf>
    <xf numFmtId="168" fontId="2" fillId="6" borderId="12" xfId="0" applyNumberFormat="1" applyFont="1" applyFill="1" applyBorder="1" applyAlignment="1">
      <alignment horizontal="right" vertical="center" wrapText="1"/>
    </xf>
    <xf numFmtId="168" fontId="3" fillId="6" borderId="0" xfId="0" applyNumberFormat="1" applyFont="1" applyFill="1"/>
    <xf numFmtId="168" fontId="3" fillId="4" borderId="0" xfId="0" applyNumberFormat="1" applyFont="1" applyFill="1" applyAlignment="1">
      <alignment horizontal="right" vertical="center" wrapText="1"/>
    </xf>
    <xf numFmtId="9" fontId="2" fillId="6" borderId="0" xfId="2" applyFont="1" applyFill="1" applyBorder="1" applyAlignment="1">
      <alignment horizontal="right" vertical="center" wrapText="1"/>
    </xf>
    <xf numFmtId="168" fontId="3" fillId="3" borderId="0" xfId="0" applyNumberFormat="1" applyFont="1" applyFill="1" applyAlignment="1">
      <alignment horizontal="right" vertical="center" wrapText="1"/>
    </xf>
    <xf numFmtId="168" fontId="2" fillId="4" borderId="10" xfId="0" applyNumberFormat="1" applyFont="1" applyFill="1" applyBorder="1" applyAlignment="1">
      <alignment horizontal="right" vertical="center" wrapText="1"/>
    </xf>
    <xf numFmtId="168" fontId="3" fillId="4" borderId="10" xfId="0" applyNumberFormat="1" applyFont="1" applyFill="1" applyBorder="1" applyAlignment="1">
      <alignment horizontal="right" vertical="center" wrapText="1"/>
    </xf>
    <xf numFmtId="166" fontId="3" fillId="6" borderId="0" xfId="1" applyNumberFormat="1" applyFont="1" applyFill="1"/>
    <xf numFmtId="9" fontId="3" fillId="6" borderId="0" xfId="2" applyFont="1" applyFill="1" applyAlignment="1">
      <alignment horizontal="center"/>
    </xf>
    <xf numFmtId="9" fontId="2" fillId="6" borderId="0" xfId="2" applyFont="1" applyFill="1" applyAlignment="1">
      <alignment horizontal="center"/>
    </xf>
    <xf numFmtId="166" fontId="3" fillId="6" borderId="0" xfId="2" applyNumberFormat="1" applyFont="1" applyFill="1" applyAlignment="1">
      <alignment horizontal="center"/>
    </xf>
    <xf numFmtId="166" fontId="2" fillId="6" borderId="0" xfId="1" applyNumberFormat="1" applyFont="1" applyFill="1" applyAlignment="1">
      <alignment horizontal="center"/>
    </xf>
    <xf numFmtId="166" fontId="2" fillId="4" borderId="0" xfId="1" applyNumberFormat="1" applyFont="1" applyFill="1"/>
    <xf numFmtId="9" fontId="3" fillId="6" borderId="0" xfId="2" applyFont="1" applyFill="1" applyAlignment="1">
      <alignment horizontal="left"/>
    </xf>
    <xf numFmtId="0" fontId="8" fillId="6" borderId="0" xfId="0" applyFont="1" applyFill="1" applyAlignment="1">
      <alignment horizontal="center" vertical="center" wrapText="1"/>
    </xf>
    <xf numFmtId="0" fontId="6" fillId="6" borderId="0" xfId="0" applyFont="1" applyFill="1"/>
    <xf numFmtId="0" fontId="6" fillId="4" borderId="0" xfId="0" applyFont="1" applyFill="1"/>
    <xf numFmtId="0" fontId="8" fillId="0" borderId="0" xfId="0" applyFont="1"/>
    <xf numFmtId="168" fontId="7" fillId="6" borderId="0" xfId="0" applyNumberFormat="1" applyFont="1" applyFill="1" applyAlignment="1">
      <alignment horizontal="right" vertical="center" wrapText="1"/>
    </xf>
    <xf numFmtId="0" fontId="7" fillId="0" borderId="0" xfId="0" applyFont="1"/>
    <xf numFmtId="0" fontId="9" fillId="4" borderId="0" xfId="0" applyFont="1" applyFill="1"/>
    <xf numFmtId="0" fontId="8" fillId="3" borderId="0" xfId="0" applyFont="1" applyFill="1"/>
    <xf numFmtId="0" fontId="8" fillId="6" borderId="0" xfId="0" applyFont="1" applyFill="1"/>
    <xf numFmtId="3" fontId="8" fillId="6" borderId="0" xfId="0" applyNumberFormat="1" applyFont="1" applyFill="1"/>
    <xf numFmtId="3" fontId="8" fillId="6" borderId="10" xfId="0" applyNumberFormat="1" applyFont="1" applyFill="1" applyBorder="1"/>
    <xf numFmtId="0" fontId="8" fillId="6" borderId="10" xfId="0" applyFont="1" applyFill="1" applyBorder="1"/>
    <xf numFmtId="0" fontId="9" fillId="6" borderId="0" xfId="0" applyFont="1" applyFill="1"/>
    <xf numFmtId="3" fontId="9" fillId="6" borderId="0" xfId="0" applyNumberFormat="1" applyFont="1" applyFill="1"/>
    <xf numFmtId="3" fontId="9" fillId="6" borderId="10" xfId="0" applyNumberFormat="1" applyFont="1" applyFill="1" applyBorder="1"/>
    <xf numFmtId="0" fontId="8" fillId="4" borderId="0" xfId="0" applyFont="1" applyFill="1"/>
    <xf numFmtId="0" fontId="8" fillId="6" borderId="7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3" fontId="8" fillId="6" borderId="7" xfId="0" applyNumberFormat="1" applyFont="1" applyFill="1" applyBorder="1"/>
    <xf numFmtId="0" fontId="8" fillId="6" borderId="8" xfId="0" applyFont="1" applyFill="1" applyBorder="1"/>
    <xf numFmtId="0" fontId="8" fillId="6" borderId="9" xfId="0" applyFont="1" applyFill="1" applyBorder="1"/>
    <xf numFmtId="3" fontId="8" fillId="6" borderId="11" xfId="0" applyNumberFormat="1" applyFont="1" applyFill="1" applyBorder="1"/>
    <xf numFmtId="0" fontId="8" fillId="4" borderId="4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3" fontId="8" fillId="6" borderId="9" xfId="0" applyNumberFormat="1" applyFont="1" applyFill="1" applyBorder="1"/>
    <xf numFmtId="0" fontId="8" fillId="6" borderId="4" xfId="0" applyFont="1" applyFill="1" applyBorder="1"/>
    <xf numFmtId="0" fontId="8" fillId="4" borderId="2" xfId="0" applyFont="1" applyFill="1" applyBorder="1"/>
    <xf numFmtId="3" fontId="8" fillId="6" borderId="0" xfId="0" applyNumberFormat="1" applyFont="1" applyFill="1" applyAlignment="1">
      <alignment horizontal="center"/>
    </xf>
    <xf numFmtId="3" fontId="8" fillId="4" borderId="0" xfId="0" applyNumberFormat="1" applyFont="1" applyFill="1"/>
    <xf numFmtId="3" fontId="9" fillId="4" borderId="0" xfId="0" applyNumberFormat="1" applyFont="1" applyFill="1"/>
    <xf numFmtId="3" fontId="8" fillId="4" borderId="0" xfId="0" applyNumberFormat="1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0" fillId="3" borderId="0" xfId="0" applyFill="1"/>
    <xf numFmtId="2" fontId="0" fillId="3" borderId="0" xfId="0" applyNumberFormat="1" applyFill="1"/>
    <xf numFmtId="0" fontId="0" fillId="4" borderId="0" xfId="0" applyFill="1"/>
    <xf numFmtId="3" fontId="9" fillId="6" borderId="0" xfId="0" applyNumberFormat="1" applyFont="1" applyFill="1" applyAlignment="1">
      <alignment horizontal="center"/>
    </xf>
    <xf numFmtId="168" fontId="8" fillId="6" borderId="10" xfId="0" applyNumberFormat="1" applyFont="1" applyFill="1" applyBorder="1" applyAlignment="1">
      <alignment horizontal="right" vertical="center" wrapText="1"/>
    </xf>
    <xf numFmtId="3" fontId="9" fillId="4" borderId="0" xfId="0" applyNumberFormat="1" applyFont="1" applyFill="1" applyAlignment="1">
      <alignment horizontal="center"/>
    </xf>
    <xf numFmtId="168" fontId="8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right"/>
    </xf>
    <xf numFmtId="0" fontId="10" fillId="6" borderId="0" xfId="0" applyFont="1" applyFill="1"/>
    <xf numFmtId="9" fontId="9" fillId="6" borderId="0" xfId="2" applyFont="1" applyFill="1"/>
    <xf numFmtId="9" fontId="9" fillId="4" borderId="0" xfId="2" applyFont="1" applyFill="1"/>
    <xf numFmtId="3" fontId="8" fillId="6" borderId="0" xfId="0" applyNumberFormat="1" applyFont="1" applyFill="1" applyAlignment="1">
      <alignment horizontal="right"/>
    </xf>
    <xf numFmtId="3" fontId="8" fillId="4" borderId="0" xfId="0" applyNumberFormat="1" applyFont="1" applyFill="1" applyAlignment="1">
      <alignment horizontal="right"/>
    </xf>
    <xf numFmtId="168" fontId="8" fillId="4" borderId="0" xfId="0" applyNumberFormat="1" applyFont="1" applyFill="1" applyAlignment="1">
      <alignment horizontal="right" vertical="center" wrapText="1"/>
    </xf>
    <xf numFmtId="3" fontId="9" fillId="4" borderId="13" xfId="0" applyNumberFormat="1" applyFont="1" applyFill="1" applyBorder="1"/>
    <xf numFmtId="3" fontId="9" fillId="6" borderId="0" xfId="0" applyNumberFormat="1" applyFont="1" applyFill="1" applyAlignment="1">
      <alignment horizontal="right"/>
    </xf>
    <xf numFmtId="168" fontId="8" fillId="6" borderId="0" xfId="0" applyNumberFormat="1" applyFont="1" applyFill="1"/>
    <xf numFmtId="168" fontId="9" fillId="6" borderId="0" xfId="0" applyNumberFormat="1" applyFont="1" applyFill="1" applyAlignment="1">
      <alignment horizontal="right" vertical="center" wrapText="1"/>
    </xf>
    <xf numFmtId="164" fontId="8" fillId="6" borderId="0" xfId="0" applyNumberFormat="1" applyFont="1" applyFill="1"/>
    <xf numFmtId="0" fontId="9" fillId="4" borderId="0" xfId="0" applyFont="1" applyFill="1" applyAlignment="1">
      <alignment horizontal="center"/>
    </xf>
    <xf numFmtId="0" fontId="8" fillId="6" borderId="0" xfId="0" applyFont="1" applyFill="1" applyAlignment="1">
      <alignment horizontal="left" indent="1"/>
    </xf>
    <xf numFmtId="0" fontId="8" fillId="6" borderId="0" xfId="0" applyFont="1" applyFill="1" applyAlignment="1">
      <alignment horizontal="left" indent="4"/>
    </xf>
    <xf numFmtId="166" fontId="8" fillId="6" borderId="0" xfId="1" applyNumberFormat="1" applyFont="1" applyFill="1"/>
    <xf numFmtId="9" fontId="8" fillId="6" borderId="0" xfId="2" applyFont="1" applyFill="1" applyAlignment="1">
      <alignment horizontal="center"/>
    </xf>
    <xf numFmtId="9" fontId="9" fillId="6" borderId="0" xfId="2" applyFont="1" applyFill="1" applyAlignment="1">
      <alignment horizontal="center"/>
    </xf>
    <xf numFmtId="0" fontId="5" fillId="6" borderId="0" xfId="0" applyFont="1" applyFill="1"/>
    <xf numFmtId="0" fontId="8" fillId="4" borderId="0" xfId="0" applyFont="1" applyFill="1" applyAlignment="1">
      <alignment horizontal="center"/>
    </xf>
    <xf numFmtId="9" fontId="8" fillId="3" borderId="0" xfId="2" applyFont="1" applyFill="1" applyAlignment="1">
      <alignment horizontal="center"/>
    </xf>
    <xf numFmtId="166" fontId="9" fillId="6" borderId="0" xfId="1" applyNumberFormat="1" applyFont="1" applyFill="1" applyAlignment="1">
      <alignment horizontal="center"/>
    </xf>
    <xf numFmtId="9" fontId="8" fillId="6" borderId="0" xfId="2" applyFont="1" applyFill="1" applyAlignment="1">
      <alignment horizontal="left"/>
    </xf>
    <xf numFmtId="9" fontId="8" fillId="4" borderId="0" xfId="2" applyFont="1" applyFill="1" applyAlignment="1">
      <alignment horizontal="center"/>
    </xf>
    <xf numFmtId="166" fontId="9" fillId="6" borderId="0" xfId="1" applyNumberFormat="1" applyFont="1" applyFill="1"/>
    <xf numFmtId="166" fontId="8" fillId="6" borderId="10" xfId="1" applyNumberFormat="1" applyFont="1" applyFill="1" applyBorder="1"/>
    <xf numFmtId="166" fontId="9" fillId="6" borderId="12" xfId="1" applyNumberFormat="1" applyFont="1" applyFill="1" applyBorder="1"/>
    <xf numFmtId="0" fontId="9" fillId="6" borderId="10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left"/>
    </xf>
    <xf numFmtId="9" fontId="9" fillId="6" borderId="0" xfId="2" applyFont="1" applyFill="1" applyAlignment="1">
      <alignment horizontal="right"/>
    </xf>
    <xf numFmtId="9" fontId="8" fillId="6" borderId="0" xfId="2" applyFont="1" applyFill="1" applyAlignment="1">
      <alignment horizontal="right"/>
    </xf>
    <xf numFmtId="3" fontId="0" fillId="3" borderId="0" xfId="0" applyNumberFormat="1" applyFill="1"/>
    <xf numFmtId="0" fontId="4" fillId="2" borderId="0" xfId="0" applyFont="1" applyFill="1" applyAlignment="1">
      <alignment horizontal="center" vertical="center" wrapText="1"/>
    </xf>
    <xf numFmtId="0" fontId="0" fillId="6" borderId="0" xfId="0" applyFill="1" applyAlignment="1">
      <alignment vertical="center"/>
    </xf>
    <xf numFmtId="0" fontId="9" fillId="6" borderId="0" xfId="0" applyFont="1" applyFill="1" applyAlignment="1">
      <alignment vertical="center"/>
    </xf>
    <xf numFmtId="3" fontId="9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vertical="center"/>
    </xf>
    <xf numFmtId="3" fontId="8" fillId="6" borderId="0" xfId="0" applyNumberFormat="1" applyFont="1" applyFill="1" applyAlignment="1">
      <alignment vertical="center"/>
    </xf>
    <xf numFmtId="0" fontId="11" fillId="6" borderId="0" xfId="0" applyFont="1" applyFill="1" applyAlignment="1">
      <alignment vertical="center"/>
    </xf>
    <xf numFmtId="0" fontId="9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vertical="center"/>
    </xf>
    <xf numFmtId="3" fontId="9" fillId="4" borderId="0" xfId="0" applyNumberFormat="1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0" fillId="8" borderId="0" xfId="0" applyFill="1"/>
    <xf numFmtId="0" fontId="12" fillId="4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13" fillId="6" borderId="0" xfId="0" applyFont="1" applyFill="1" applyAlignment="1">
      <alignment vertical="center"/>
    </xf>
    <xf numFmtId="0" fontId="12" fillId="6" borderId="0" xfId="0" applyFont="1" applyFill="1" applyAlignment="1">
      <alignment vertical="center"/>
    </xf>
    <xf numFmtId="0" fontId="14" fillId="6" borderId="0" xfId="0" applyFont="1" applyFill="1" applyAlignment="1">
      <alignment vertical="center"/>
    </xf>
    <xf numFmtId="0" fontId="15" fillId="6" borderId="0" xfId="0" applyFont="1" applyFill="1" applyAlignment="1">
      <alignment vertical="center"/>
    </xf>
    <xf numFmtId="0" fontId="9" fillId="9" borderId="0" xfId="0" applyFont="1" applyFill="1" applyAlignment="1">
      <alignment vertical="center"/>
    </xf>
    <xf numFmtId="3" fontId="8" fillId="9" borderId="0" xfId="0" applyNumberFormat="1" applyFont="1" applyFill="1" applyAlignment="1">
      <alignment vertical="center"/>
    </xf>
    <xf numFmtId="168" fontId="8" fillId="9" borderId="0" xfId="0" applyNumberFormat="1" applyFont="1" applyFill="1" applyAlignment="1">
      <alignment horizontal="right" vertical="center" wrapText="1"/>
    </xf>
    <xf numFmtId="0" fontId="8" fillId="9" borderId="0" xfId="0" applyFont="1" applyFill="1" applyAlignment="1">
      <alignment vertical="center"/>
    </xf>
    <xf numFmtId="0" fontId="8" fillId="9" borderId="0" xfId="0" applyFont="1" applyFill="1" applyAlignment="1">
      <alignment horizontal="center" vertical="center"/>
    </xf>
    <xf numFmtId="0" fontId="6" fillId="8" borderId="0" xfId="0" applyFont="1" applyFill="1"/>
    <xf numFmtId="3" fontId="8" fillId="6" borderId="0" xfId="0" applyNumberFormat="1" applyFont="1" applyFill="1" applyAlignment="1">
      <alignment horizontal="center" vertical="center"/>
    </xf>
    <xf numFmtId="3" fontId="8" fillId="4" borderId="0" xfId="0" applyNumberFormat="1" applyFont="1" applyFill="1" applyAlignment="1">
      <alignment vertical="center"/>
    </xf>
    <xf numFmtId="3" fontId="8" fillId="4" borderId="0" xfId="0" applyNumberFormat="1" applyFont="1" applyFill="1" applyAlignment="1">
      <alignment horizontal="center" vertical="center"/>
    </xf>
    <xf numFmtId="3" fontId="8" fillId="9" borderId="0" xfId="0" applyNumberFormat="1" applyFont="1" applyFill="1" applyAlignment="1">
      <alignment horizontal="center" vertical="center"/>
    </xf>
    <xf numFmtId="3" fontId="9" fillId="4" borderId="0" xfId="0" applyNumberFormat="1" applyFont="1" applyFill="1" applyAlignment="1">
      <alignment horizontal="right" vertical="center" wrapText="1"/>
    </xf>
    <xf numFmtId="0" fontId="8" fillId="6" borderId="0" xfId="0" applyFont="1" applyFill="1" applyAlignment="1">
      <alignment horizontal="right" vertical="center"/>
    </xf>
    <xf numFmtId="0" fontId="8" fillId="4" borderId="0" xfId="0" applyFont="1" applyFill="1" applyAlignment="1">
      <alignment horizontal="right" vertical="center"/>
    </xf>
    <xf numFmtId="0" fontId="9" fillId="6" borderId="0" xfId="0" applyFont="1" applyFill="1" applyAlignment="1">
      <alignment horizontal="left"/>
    </xf>
    <xf numFmtId="0" fontId="9" fillId="6" borderId="0" xfId="0" applyFont="1" applyFill="1" applyAlignment="1">
      <alignment horizontal="left" indent="1"/>
    </xf>
    <xf numFmtId="3" fontId="9" fillId="4" borderId="12" xfId="0" applyNumberFormat="1" applyFont="1" applyFill="1" applyBorder="1"/>
    <xf numFmtId="0" fontId="8" fillId="6" borderId="0" xfId="0" applyFont="1" applyFill="1" applyAlignment="1">
      <alignment horizontal="left"/>
    </xf>
    <xf numFmtId="3" fontId="9" fillId="4" borderId="10" xfId="0" applyNumberFormat="1" applyFont="1" applyFill="1" applyBorder="1"/>
    <xf numFmtId="0" fontId="9" fillId="4" borderId="0" xfId="0" applyFont="1" applyFill="1" applyAlignment="1">
      <alignment horizontal="left"/>
    </xf>
    <xf numFmtId="168" fontId="8" fillId="0" borderId="0" xfId="0" applyNumberFormat="1" applyFont="1"/>
    <xf numFmtId="0" fontId="8" fillId="4" borderId="0" xfId="0" applyFont="1" applyFill="1" applyAlignment="1">
      <alignment horizontal="left"/>
    </xf>
    <xf numFmtId="4" fontId="8" fillId="6" borderId="0" xfId="0" applyNumberFormat="1" applyFont="1" applyFill="1"/>
    <xf numFmtId="0" fontId="8" fillId="6" borderId="15" xfId="0" applyFont="1" applyFill="1" applyBorder="1" applyAlignment="1">
      <alignment horizontal="left"/>
    </xf>
    <xf numFmtId="3" fontId="8" fillId="6" borderId="15" xfId="0" applyNumberFormat="1" applyFont="1" applyFill="1" applyBorder="1" applyAlignment="1">
      <alignment horizontal="right"/>
    </xf>
    <xf numFmtId="168" fontId="8" fillId="6" borderId="15" xfId="0" applyNumberFormat="1" applyFont="1" applyFill="1" applyBorder="1" applyAlignment="1">
      <alignment horizontal="right" vertical="center" wrapText="1"/>
    </xf>
    <xf numFmtId="168" fontId="8" fillId="6" borderId="16" xfId="0" applyNumberFormat="1" applyFont="1" applyFill="1" applyBorder="1" applyAlignment="1">
      <alignment horizontal="right" vertical="center" wrapText="1"/>
    </xf>
    <xf numFmtId="0" fontId="9" fillId="6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3" fontId="9" fillId="6" borderId="5" xfId="0" applyNumberFormat="1" applyFont="1" applyFill="1" applyBorder="1" applyAlignment="1">
      <alignment horizontal="center"/>
    </xf>
    <xf numFmtId="3" fontId="9" fillId="6" borderId="6" xfId="0" applyNumberFormat="1" applyFont="1" applyFill="1" applyBorder="1" applyAlignment="1">
      <alignment horizontal="center"/>
    </xf>
    <xf numFmtId="0" fontId="8" fillId="6" borderId="7" xfId="0" applyFont="1" applyFill="1" applyBorder="1" applyAlignment="1">
      <alignment horizontal="left" indent="1"/>
    </xf>
    <xf numFmtId="3" fontId="8" fillId="6" borderId="8" xfId="0" applyNumberFormat="1" applyFont="1" applyFill="1" applyBorder="1"/>
    <xf numFmtId="168" fontId="8" fillId="6" borderId="11" xfId="0" applyNumberFormat="1" applyFont="1" applyFill="1" applyBorder="1" applyAlignment="1">
      <alignment horizontal="right" vertical="center" wrapText="1"/>
    </xf>
    <xf numFmtId="0" fontId="9" fillId="6" borderId="7" xfId="0" applyFont="1" applyFill="1" applyBorder="1" applyAlignment="1">
      <alignment horizontal="left" indent="1"/>
    </xf>
    <xf numFmtId="3" fontId="9" fillId="4" borderId="3" xfId="0" applyNumberFormat="1" applyFont="1" applyFill="1" applyBorder="1"/>
    <xf numFmtId="168" fontId="8" fillId="6" borderId="8" xfId="0" applyNumberFormat="1" applyFont="1" applyFill="1" applyBorder="1" applyAlignment="1">
      <alignment horizontal="right" vertical="center" wrapText="1"/>
    </xf>
    <xf numFmtId="0" fontId="8" fillId="6" borderId="9" xfId="0" applyFont="1" applyFill="1" applyBorder="1" applyAlignment="1">
      <alignment horizontal="left"/>
    </xf>
    <xf numFmtId="0" fontId="8" fillId="6" borderId="10" xfId="0" applyFont="1" applyFill="1" applyBorder="1" applyAlignment="1">
      <alignment horizontal="left" indent="1"/>
    </xf>
    <xf numFmtId="3" fontId="9" fillId="4" borderId="11" xfId="0" applyNumberFormat="1" applyFont="1" applyFill="1" applyBorder="1"/>
    <xf numFmtId="0" fontId="8" fillId="6" borderId="9" xfId="0" applyFont="1" applyFill="1" applyBorder="1" applyAlignment="1">
      <alignment horizontal="left" indent="1"/>
    </xf>
    <xf numFmtId="0" fontId="8" fillId="6" borderId="0" xfId="0" applyFont="1" applyFill="1" applyAlignment="1">
      <alignment horizontal="left" indent="6"/>
    </xf>
    <xf numFmtId="168" fontId="9" fillId="4" borderId="0" xfId="0" applyNumberFormat="1" applyFont="1" applyFill="1" applyAlignment="1">
      <alignment horizontal="right" vertical="center" wrapText="1"/>
    </xf>
    <xf numFmtId="0" fontId="9" fillId="6" borderId="7" xfId="0" applyFont="1" applyFill="1" applyBorder="1" applyAlignment="1">
      <alignment horizontal="left"/>
    </xf>
    <xf numFmtId="3" fontId="9" fillId="6" borderId="8" xfId="0" applyNumberFormat="1" applyFont="1" applyFill="1" applyBorder="1" applyAlignment="1">
      <alignment horizontal="center"/>
    </xf>
    <xf numFmtId="3" fontId="9" fillId="6" borderId="8" xfId="0" applyNumberFormat="1" applyFont="1" applyFill="1" applyBorder="1"/>
    <xf numFmtId="3" fontId="8" fillId="6" borderId="5" xfId="0" applyNumberFormat="1" applyFont="1" applyFill="1" applyBorder="1"/>
    <xf numFmtId="3" fontId="8" fillId="6" borderId="6" xfId="0" applyNumberFormat="1" applyFont="1" applyFill="1" applyBorder="1"/>
    <xf numFmtId="0" fontId="8" fillId="6" borderId="7" xfId="0" applyFont="1" applyFill="1" applyBorder="1" applyAlignment="1">
      <alignment horizontal="left"/>
    </xf>
    <xf numFmtId="168" fontId="8" fillId="6" borderId="8" xfId="0" applyNumberFormat="1" applyFont="1" applyFill="1" applyBorder="1"/>
    <xf numFmtId="0" fontId="8" fillId="6" borderId="10" xfId="0" applyFont="1" applyFill="1" applyBorder="1" applyAlignment="1">
      <alignment horizontal="left"/>
    </xf>
    <xf numFmtId="168" fontId="8" fillId="0" borderId="10" xfId="0" applyNumberFormat="1" applyFont="1" applyBorder="1"/>
    <xf numFmtId="168" fontId="8" fillId="6" borderId="10" xfId="0" applyNumberFormat="1" applyFont="1" applyFill="1" applyBorder="1"/>
    <xf numFmtId="3" fontId="9" fillId="4" borderId="0" xfId="0" applyNumberFormat="1" applyFont="1" applyFill="1" applyAlignment="1">
      <alignment horizontal="right"/>
    </xf>
    <xf numFmtId="0" fontId="8" fillId="6" borderId="14" xfId="0" applyFont="1" applyFill="1" applyBorder="1" applyAlignment="1">
      <alignment horizontal="left" indent="4"/>
    </xf>
    <xf numFmtId="3" fontId="8" fillId="6" borderId="5" xfId="0" applyNumberFormat="1" applyFont="1" applyFill="1" applyBorder="1" applyAlignment="1">
      <alignment horizontal="right"/>
    </xf>
    <xf numFmtId="0" fontId="9" fillId="4" borderId="4" xfId="0" applyFont="1" applyFill="1" applyBorder="1" applyAlignment="1">
      <alignment horizontal="left"/>
    </xf>
    <xf numFmtId="0" fontId="9" fillId="4" borderId="5" xfId="0" applyFont="1" applyFill="1" applyBorder="1" applyAlignment="1">
      <alignment horizontal="left"/>
    </xf>
    <xf numFmtId="3" fontId="9" fillId="4" borderId="5" xfId="0" applyNumberFormat="1" applyFont="1" applyFill="1" applyBorder="1"/>
    <xf numFmtId="3" fontId="8" fillId="4" borderId="5" xfId="0" applyNumberFormat="1" applyFont="1" applyFill="1" applyBorder="1"/>
    <xf numFmtId="3" fontId="9" fillId="4" borderId="6" xfId="0" applyNumberFormat="1" applyFont="1" applyFill="1" applyBorder="1"/>
    <xf numFmtId="0" fontId="9" fillId="4" borderId="9" xfId="0" applyFont="1" applyFill="1" applyBorder="1" applyAlignment="1">
      <alignment horizontal="left"/>
    </xf>
    <xf numFmtId="0" fontId="9" fillId="4" borderId="10" xfId="0" applyFont="1" applyFill="1" applyBorder="1" applyAlignment="1">
      <alignment horizontal="left"/>
    </xf>
    <xf numFmtId="3" fontId="8" fillId="4" borderId="10" xfId="0" applyNumberFormat="1" applyFont="1" applyFill="1" applyBorder="1"/>
    <xf numFmtId="168" fontId="8" fillId="0" borderId="8" xfId="0" applyNumberFormat="1" applyFont="1" applyBorder="1"/>
    <xf numFmtId="0" fontId="8" fillId="4" borderId="0" xfId="0" applyFont="1" applyFill="1" applyAlignment="1">
      <alignment horizontal="left" indent="6"/>
    </xf>
    <xf numFmtId="0" fontId="8" fillId="6" borderId="0" xfId="0" applyFont="1" applyFill="1" applyAlignment="1">
      <alignment horizontal="right"/>
    </xf>
    <xf numFmtId="0" fontId="8" fillId="8" borderId="0" xfId="0" applyFont="1" applyFill="1"/>
    <xf numFmtId="0" fontId="7" fillId="8" borderId="0" xfId="0" applyFont="1" applyFill="1"/>
    <xf numFmtId="9" fontId="8" fillId="6" borderId="0" xfId="2" applyFont="1" applyFill="1"/>
    <xf numFmtId="0" fontId="8" fillId="4" borderId="10" xfId="0" applyFont="1" applyFill="1" applyBorder="1"/>
    <xf numFmtId="9" fontId="8" fillId="4" borderId="10" xfId="0" applyNumberFormat="1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left"/>
    </xf>
    <xf numFmtId="0" fontId="8" fillId="4" borderId="12" xfId="0" applyFont="1" applyFill="1" applyBorder="1" applyAlignment="1">
      <alignment horizontal="center"/>
    </xf>
    <xf numFmtId="0" fontId="8" fillId="4" borderId="0" xfId="0" applyFont="1" applyFill="1" applyAlignment="1">
      <alignment horizontal="left" indent="1"/>
    </xf>
    <xf numFmtId="3" fontId="8" fillId="4" borderId="12" xfId="0" applyNumberFormat="1" applyFont="1" applyFill="1" applyBorder="1"/>
    <xf numFmtId="0" fontId="7" fillId="6" borderId="0" xfId="0" applyFont="1" applyFill="1" applyAlignment="1">
      <alignment horizontal="left"/>
    </xf>
    <xf numFmtId="3" fontId="7" fillId="6" borderId="0" xfId="0" applyNumberFormat="1" applyFont="1" applyFill="1"/>
    <xf numFmtId="9" fontId="8" fillId="6" borderId="0" xfId="2" applyFont="1" applyFill="1" applyBorder="1" applyAlignment="1">
      <alignment horizontal="right" vertical="center" wrapText="1"/>
    </xf>
    <xf numFmtId="0" fontId="8" fillId="4" borderId="0" xfId="0" applyFont="1" applyFill="1" applyAlignment="1">
      <alignment horizontal="right"/>
    </xf>
    <xf numFmtId="0" fontId="8" fillId="4" borderId="0" xfId="0" applyFont="1" applyFill="1" applyAlignment="1">
      <alignment horizontal="center" vertical="center" wrapText="1"/>
    </xf>
    <xf numFmtId="0" fontId="16" fillId="4" borderId="0" xfId="0" applyFont="1" applyFill="1" applyAlignment="1">
      <alignment horizontal="left"/>
    </xf>
    <xf numFmtId="9" fontId="16" fillId="4" borderId="0" xfId="0" applyNumberFormat="1" applyFont="1" applyFill="1" applyAlignment="1">
      <alignment horizontal="center"/>
    </xf>
    <xf numFmtId="9" fontId="19" fillId="7" borderId="0" xfId="0" applyNumberFormat="1" applyFont="1" applyFill="1" applyAlignment="1">
      <alignment horizontal="center"/>
    </xf>
    <xf numFmtId="0" fontId="19" fillId="4" borderId="0" xfId="0" quotePrefix="1" applyFont="1" applyFill="1" applyAlignment="1">
      <alignment horizontal="left" indent="2"/>
    </xf>
    <xf numFmtId="9" fontId="19" fillId="7" borderId="0" xfId="2" applyFont="1" applyFill="1" applyAlignment="1">
      <alignment horizontal="center"/>
    </xf>
    <xf numFmtId="0" fontId="19" fillId="6" borderId="0" xfId="0" applyFont="1" applyFill="1"/>
    <xf numFmtId="0" fontId="19" fillId="6" borderId="0" xfId="0" applyFont="1" applyFill="1" applyAlignment="1">
      <alignment horizontal="left" indent="2"/>
    </xf>
    <xf numFmtId="0" fontId="19" fillId="6" borderId="0" xfId="0" quotePrefix="1" applyFont="1" applyFill="1" applyAlignment="1">
      <alignment horizontal="left" indent="2"/>
    </xf>
    <xf numFmtId="9" fontId="8" fillId="4" borderId="0" xfId="2" applyFont="1" applyFill="1"/>
    <xf numFmtId="0" fontId="17" fillId="6" borderId="0" xfId="0" applyFont="1" applyFill="1" applyAlignment="1">
      <alignment horizontal="left" vertical="center"/>
    </xf>
    <xf numFmtId="0" fontId="17" fillId="6" borderId="0" xfId="0" applyFont="1" applyFill="1" applyAlignment="1">
      <alignment horizontal="center" vertical="center"/>
    </xf>
    <xf numFmtId="166" fontId="19" fillId="7" borderId="0" xfId="1" applyNumberFormat="1" applyFont="1" applyFill="1" applyBorder="1" applyAlignment="1">
      <alignment horizontal="center"/>
    </xf>
    <xf numFmtId="9" fontId="19" fillId="4" borderId="0" xfId="0" applyNumberFormat="1" applyFont="1" applyFill="1" applyAlignment="1">
      <alignment horizontal="center"/>
    </xf>
    <xf numFmtId="166" fontId="19" fillId="4" borderId="0" xfId="1" applyNumberFormat="1" applyFont="1" applyFill="1" applyBorder="1" applyAlignment="1">
      <alignment horizontal="center"/>
    </xf>
    <xf numFmtId="0" fontId="18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left" vertical="center"/>
    </xf>
    <xf numFmtId="0" fontId="19" fillId="4" borderId="0" xfId="0" applyFont="1" applyFill="1"/>
    <xf numFmtId="9" fontId="19" fillId="4" borderId="0" xfId="2" applyFont="1" applyFill="1" applyAlignment="1">
      <alignment horizontal="center"/>
    </xf>
    <xf numFmtId="0" fontId="8" fillId="6" borderId="0" xfId="0" applyFont="1" applyFill="1" applyAlignment="1">
      <alignment horizontal="right" vertical="center" wrapText="1"/>
    </xf>
    <xf numFmtId="3" fontId="8" fillId="6" borderId="0" xfId="0" applyNumberFormat="1" applyFont="1" applyFill="1" applyAlignment="1">
      <alignment horizontal="right" vertical="center" wrapText="1"/>
    </xf>
    <xf numFmtId="0" fontId="8" fillId="4" borderId="0" xfId="0" applyFont="1" applyFill="1" applyAlignment="1">
      <alignment horizontal="justify" vertical="center"/>
    </xf>
    <xf numFmtId="3" fontId="8" fillId="6" borderId="2" xfId="0" applyNumberFormat="1" applyFont="1" applyFill="1" applyBorder="1" applyAlignment="1">
      <alignment horizontal="right" vertical="center" wrapText="1"/>
    </xf>
    <xf numFmtId="3" fontId="8" fillId="6" borderId="12" xfId="0" applyNumberFormat="1" applyFont="1" applyFill="1" applyBorder="1" applyAlignment="1">
      <alignment horizontal="right" vertical="center" wrapText="1"/>
    </xf>
    <xf numFmtId="3" fontId="8" fillId="6" borderId="1" xfId="0" applyNumberFormat="1" applyFont="1" applyFill="1" applyBorder="1" applyAlignment="1">
      <alignment horizontal="right" vertical="center" wrapText="1"/>
    </xf>
    <xf numFmtId="3" fontId="8" fillId="4" borderId="1" xfId="0" applyNumberFormat="1" applyFont="1" applyFill="1" applyBorder="1" applyAlignment="1">
      <alignment horizontal="right" vertical="center" wrapText="1"/>
    </xf>
    <xf numFmtId="3" fontId="8" fillId="6" borderId="10" xfId="0" applyNumberFormat="1" applyFont="1" applyFill="1" applyBorder="1" applyAlignment="1">
      <alignment horizontal="right" vertical="center" wrapText="1"/>
    </xf>
    <xf numFmtId="0" fontId="8" fillId="6" borderId="2" xfId="0" applyFont="1" applyFill="1" applyBorder="1" applyAlignment="1">
      <alignment vertical="center"/>
    </xf>
    <xf numFmtId="0" fontId="8" fillId="6" borderId="12" xfId="0" applyFont="1" applyFill="1" applyBorder="1"/>
    <xf numFmtId="168" fontId="8" fillId="6" borderId="12" xfId="0" applyNumberFormat="1" applyFont="1" applyFill="1" applyBorder="1" applyAlignment="1">
      <alignment horizontal="right" vertical="center" wrapText="1"/>
    </xf>
    <xf numFmtId="168" fontId="8" fillId="6" borderId="3" xfId="0" applyNumberFormat="1" applyFont="1" applyFill="1" applyBorder="1" applyAlignment="1">
      <alignment horizontal="right" vertical="center" wrapText="1"/>
    </xf>
    <xf numFmtId="168" fontId="8" fillId="6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horizontal="right" vertical="center" wrapText="1"/>
    </xf>
    <xf numFmtId="0" fontId="9" fillId="5" borderId="1" xfId="0" applyFont="1" applyFill="1" applyBorder="1"/>
    <xf numFmtId="3" fontId="8" fillId="0" borderId="1" xfId="0" applyNumberFormat="1" applyFont="1" applyBorder="1" applyAlignment="1">
      <alignment horizontal="right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/>
    </xf>
    <xf numFmtId="0" fontId="9" fillId="5" borderId="3" xfId="0" applyFont="1" applyFill="1" applyBorder="1" applyAlignment="1">
      <alignment vertical="center" wrapText="1"/>
    </xf>
    <xf numFmtId="0" fontId="9" fillId="5" borderId="2" xfId="0" applyFont="1" applyFill="1" applyBorder="1" applyAlignment="1">
      <alignment vertical="center"/>
    </xf>
    <xf numFmtId="0" fontId="8" fillId="0" borderId="2" xfId="0" applyFont="1" applyBorder="1" applyAlignment="1">
      <alignment vertical="center"/>
    </xf>
    <xf numFmtId="0" fontId="9" fillId="5" borderId="12" xfId="0" applyFont="1" applyFill="1" applyBorder="1" applyAlignment="1">
      <alignment vertical="center"/>
    </xf>
    <xf numFmtId="0" fontId="8" fillId="6" borderId="12" xfId="0" applyFont="1" applyFill="1" applyBorder="1" applyAlignment="1">
      <alignment vertical="center"/>
    </xf>
    <xf numFmtId="0" fontId="8" fillId="6" borderId="3" xfId="0" applyFont="1" applyFill="1" applyBorder="1" applyAlignment="1">
      <alignment vertical="center" wrapText="1"/>
    </xf>
    <xf numFmtId="0" fontId="8" fillId="6" borderId="1" xfId="0" applyFont="1" applyFill="1" applyBorder="1"/>
    <xf numFmtId="167" fontId="8" fillId="6" borderId="1" xfId="0" applyNumberFormat="1" applyFont="1" applyFill="1" applyBorder="1" applyAlignment="1">
      <alignment horizontal="right" vertical="center" wrapText="1"/>
    </xf>
    <xf numFmtId="9" fontId="8" fillId="6" borderId="1" xfId="2" applyFont="1" applyFill="1" applyBorder="1" applyAlignment="1">
      <alignment horizontal="right" vertical="center" wrapText="1"/>
    </xf>
    <xf numFmtId="168" fontId="8" fillId="0" borderId="1" xfId="0" applyNumberFormat="1" applyFont="1" applyBorder="1" applyAlignment="1">
      <alignment horizontal="right" vertical="center" wrapText="1"/>
    </xf>
    <xf numFmtId="168" fontId="8" fillId="0" borderId="1" xfId="0" applyNumberFormat="1" applyFont="1" applyBorder="1"/>
    <xf numFmtId="168" fontId="9" fillId="5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3" fontId="9" fillId="0" borderId="1" xfId="0" applyNumberFormat="1" applyFont="1" applyBorder="1" applyAlignment="1">
      <alignment horizontal="right" vertical="center" wrapText="1"/>
    </xf>
    <xf numFmtId="3" fontId="8" fillId="0" borderId="3" xfId="0" applyNumberFormat="1" applyFont="1" applyBorder="1" applyAlignment="1">
      <alignment horizontal="right" vertical="center" wrapText="1"/>
    </xf>
    <xf numFmtId="0" fontId="8" fillId="6" borderId="1" xfId="0" applyFont="1" applyFill="1" applyBorder="1" applyAlignment="1">
      <alignment vertical="center"/>
    </xf>
    <xf numFmtId="3" fontId="8" fillId="6" borderId="3" xfId="0" applyNumberFormat="1" applyFont="1" applyFill="1" applyBorder="1" applyAlignment="1">
      <alignment horizontal="right" vertical="center" wrapText="1"/>
    </xf>
    <xf numFmtId="0" fontId="9" fillId="5" borderId="3" xfId="0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vertical="center"/>
    </xf>
    <xf numFmtId="0" fontId="9" fillId="5" borderId="0" xfId="0" applyFont="1" applyFill="1" applyAlignment="1">
      <alignment vertical="center"/>
    </xf>
    <xf numFmtId="0" fontId="8" fillId="6" borderId="3" xfId="0" applyFont="1" applyFill="1" applyBorder="1"/>
    <xf numFmtId="0" fontId="9" fillId="5" borderId="3" xfId="0" applyFont="1" applyFill="1" applyBorder="1" applyAlignment="1">
      <alignment horizontal="center" vertical="center"/>
    </xf>
    <xf numFmtId="168" fontId="8" fillId="0" borderId="3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0" fontId="9" fillId="0" borderId="2" xfId="0" applyFont="1" applyBorder="1" applyAlignment="1">
      <alignment vertical="center"/>
    </xf>
    <xf numFmtId="0" fontId="8" fillId="6" borderId="9" xfId="0" applyFont="1" applyFill="1" applyBorder="1" applyAlignment="1">
      <alignment vertical="center"/>
    </xf>
    <xf numFmtId="0" fontId="8" fillId="6" borderId="10" xfId="0" applyFont="1" applyFill="1" applyBorder="1" applyAlignment="1">
      <alignment vertical="center"/>
    </xf>
    <xf numFmtId="0" fontId="8" fillId="6" borderId="11" xfId="0" applyFont="1" applyFill="1" applyBorder="1" applyAlignment="1">
      <alignment vertical="center"/>
    </xf>
    <xf numFmtId="9" fontId="9" fillId="4" borderId="0" xfId="0" applyNumberFormat="1" applyFont="1" applyFill="1"/>
    <xf numFmtId="0" fontId="9" fillId="5" borderId="0" xfId="0" applyFont="1" applyFill="1"/>
    <xf numFmtId="3" fontId="9" fillId="5" borderId="0" xfId="0" applyNumberFormat="1" applyFont="1" applyFill="1"/>
    <xf numFmtId="3" fontId="8" fillId="5" borderId="0" xfId="0" applyNumberFormat="1" applyFont="1" applyFill="1"/>
    <xf numFmtId="0" fontId="8" fillId="5" borderId="0" xfId="0" applyFont="1" applyFill="1"/>
    <xf numFmtId="0" fontId="0" fillId="5" borderId="0" xfId="0" applyFill="1"/>
    <xf numFmtId="0" fontId="5" fillId="5" borderId="0" xfId="0" applyFont="1" applyFill="1"/>
    <xf numFmtId="0" fontId="9" fillId="5" borderId="0" xfId="0" applyFont="1" applyFill="1" applyAlignment="1">
      <alignment horizontal="center"/>
    </xf>
    <xf numFmtId="3" fontId="9" fillId="5" borderId="0" xfId="0" applyNumberFormat="1" applyFont="1" applyFill="1" applyAlignment="1">
      <alignment horizontal="center"/>
    </xf>
    <xf numFmtId="0" fontId="8" fillId="5" borderId="0" xfId="0" applyFont="1" applyFill="1" applyAlignment="1">
      <alignment horizontal="right"/>
    </xf>
    <xf numFmtId="0" fontId="8" fillId="5" borderId="0" xfId="0" applyFont="1" applyFill="1" applyAlignment="1">
      <alignment horizontal="center"/>
    </xf>
    <xf numFmtId="3" fontId="9" fillId="5" borderId="10" xfId="0" applyNumberFormat="1" applyFont="1" applyFill="1" applyBorder="1"/>
    <xf numFmtId="9" fontId="9" fillId="5" borderId="0" xfId="2" applyFont="1" applyFill="1"/>
    <xf numFmtId="3" fontId="8" fillId="5" borderId="0" xfId="0" applyNumberFormat="1" applyFont="1" applyFill="1" applyAlignment="1">
      <alignment horizontal="right"/>
    </xf>
    <xf numFmtId="168" fontId="8" fillId="5" borderId="0" xfId="0" applyNumberFormat="1" applyFont="1" applyFill="1" applyAlignment="1">
      <alignment horizontal="right" vertical="center" wrapText="1"/>
    </xf>
    <xf numFmtId="3" fontId="8" fillId="5" borderId="0" xfId="0" applyNumberFormat="1" applyFont="1" applyFill="1" applyAlignment="1">
      <alignment horizontal="center"/>
    </xf>
    <xf numFmtId="3" fontId="9" fillId="5" borderId="0" xfId="0" applyNumberFormat="1" applyFont="1" applyFill="1" applyAlignment="1">
      <alignment horizontal="right"/>
    </xf>
    <xf numFmtId="0" fontId="20" fillId="5" borderId="0" xfId="0" applyFont="1" applyFill="1"/>
    <xf numFmtId="0" fontId="9" fillId="5" borderId="0" xfId="0" applyFont="1" applyFill="1" applyAlignment="1">
      <alignment horizontal="left" indent="4"/>
    </xf>
    <xf numFmtId="9" fontId="9" fillId="5" borderId="0" xfId="2" applyFont="1" applyFill="1" applyAlignment="1">
      <alignment horizontal="center"/>
    </xf>
    <xf numFmtId="9" fontId="8" fillId="5" borderId="0" xfId="2" applyFont="1" applyFill="1" applyAlignment="1">
      <alignment horizontal="center"/>
    </xf>
    <xf numFmtId="9" fontId="8" fillId="5" borderId="0" xfId="2" applyFont="1" applyFill="1" applyAlignment="1">
      <alignment horizontal="left"/>
    </xf>
    <xf numFmtId="166" fontId="9" fillId="5" borderId="0" xfId="1" applyNumberFormat="1" applyFont="1" applyFill="1"/>
    <xf numFmtId="3" fontId="8" fillId="5" borderId="0" xfId="0" applyNumberFormat="1" applyFont="1" applyFill="1" applyAlignment="1">
      <alignment horizontal="left"/>
    </xf>
    <xf numFmtId="166" fontId="8" fillId="5" borderId="0" xfId="1" applyNumberFormat="1" applyFont="1" applyFill="1"/>
    <xf numFmtId="9" fontId="8" fillId="5" borderId="0" xfId="2" applyFont="1" applyFill="1" applyAlignment="1">
      <alignment horizontal="right"/>
    </xf>
    <xf numFmtId="166" fontId="8" fillId="5" borderId="0" xfId="1" applyNumberFormat="1" applyFont="1" applyFill="1" applyAlignment="1">
      <alignment horizontal="center"/>
    </xf>
    <xf numFmtId="9" fontId="9" fillId="6" borderId="0" xfId="0" applyNumberFormat="1" applyFont="1" applyFill="1" applyAlignment="1">
      <alignment horizontal="center"/>
    </xf>
    <xf numFmtId="0" fontId="10" fillId="6" borderId="0" xfId="0" applyFont="1" applyFill="1" applyAlignment="1">
      <alignment horizontal="right" vertical="center"/>
    </xf>
    <xf numFmtId="3" fontId="10" fillId="6" borderId="0" xfId="0" applyNumberFormat="1" applyFont="1" applyFill="1" applyAlignment="1">
      <alignment vertical="center"/>
    </xf>
    <xf numFmtId="0" fontId="9" fillId="6" borderId="0" xfId="0" applyFont="1" applyFill="1" applyAlignment="1">
      <alignment horizontal="center" vertical="center"/>
    </xf>
    <xf numFmtId="0" fontId="21" fillId="3" borderId="0" xfId="0" applyFont="1" applyFill="1" applyAlignment="1">
      <alignment vertical="center"/>
    </xf>
    <xf numFmtId="168" fontId="21" fillId="3" borderId="0" xfId="0" applyNumberFormat="1" applyFont="1" applyFill="1" applyAlignment="1">
      <alignment horizontal="right" vertical="center" wrapText="1"/>
    </xf>
    <xf numFmtId="3" fontId="9" fillId="9" borderId="0" xfId="0" applyNumberFormat="1" applyFont="1" applyFill="1" applyAlignment="1">
      <alignment vertical="center"/>
    </xf>
    <xf numFmtId="0" fontId="5" fillId="6" borderId="0" xfId="0" applyFont="1" applyFill="1" applyAlignment="1">
      <alignment vertical="center"/>
    </xf>
    <xf numFmtId="0" fontId="9" fillId="4" borderId="10" xfId="0" applyFont="1" applyFill="1" applyBorder="1" applyAlignment="1">
      <alignment vertical="center"/>
    </xf>
    <xf numFmtId="168" fontId="8" fillId="4" borderId="10" xfId="0" applyNumberFormat="1" applyFont="1" applyFill="1" applyBorder="1" applyAlignment="1">
      <alignment horizontal="right" vertical="center" wrapText="1"/>
    </xf>
    <xf numFmtId="3" fontId="8" fillId="4" borderId="10" xfId="0" applyNumberFormat="1" applyFont="1" applyFill="1" applyBorder="1" applyAlignment="1">
      <alignment vertical="center"/>
    </xf>
    <xf numFmtId="0" fontId="9" fillId="4" borderId="10" xfId="0" applyFont="1" applyFill="1" applyBorder="1" applyAlignment="1">
      <alignment horizontal="center" vertical="center"/>
    </xf>
    <xf numFmtId="3" fontId="8" fillId="6" borderId="10" xfId="0" applyNumberFormat="1" applyFont="1" applyFill="1" applyBorder="1" applyAlignment="1">
      <alignment vertical="center"/>
    </xf>
    <xf numFmtId="0" fontId="9" fillId="4" borderId="12" xfId="0" applyFont="1" applyFill="1" applyBorder="1" applyAlignment="1">
      <alignment vertical="center"/>
    </xf>
    <xf numFmtId="168" fontId="8" fillId="4" borderId="12" xfId="0" applyNumberFormat="1" applyFont="1" applyFill="1" applyBorder="1" applyAlignment="1">
      <alignment horizontal="right" vertical="center" wrapText="1"/>
    </xf>
    <xf numFmtId="168" fontId="9" fillId="4" borderId="10" xfId="0" applyNumberFormat="1" applyFont="1" applyFill="1" applyBorder="1" applyAlignment="1">
      <alignment horizontal="right" vertical="center" wrapText="1"/>
    </xf>
    <xf numFmtId="168" fontId="9" fillId="4" borderId="12" xfId="0" applyNumberFormat="1" applyFont="1" applyFill="1" applyBorder="1" applyAlignment="1">
      <alignment horizontal="right" vertical="center" wrapText="1"/>
    </xf>
    <xf numFmtId="0" fontId="10" fillId="6" borderId="0" xfId="0" applyFont="1" applyFill="1" applyAlignment="1">
      <alignment horizontal="left" vertical="center"/>
    </xf>
    <xf numFmtId="0" fontId="9" fillId="4" borderId="0" xfId="0" applyFont="1" applyFill="1" applyAlignment="1">
      <alignment horizontal="left" indent="4"/>
    </xf>
    <xf numFmtId="3" fontId="8" fillId="6" borderId="10" xfId="0" applyNumberFormat="1" applyFont="1" applyFill="1" applyBorder="1" applyAlignment="1">
      <alignment horizontal="left"/>
    </xf>
    <xf numFmtId="0" fontId="22" fillId="0" borderId="0" xfId="3"/>
    <xf numFmtId="0" fontId="11" fillId="6" borderId="0" xfId="0" applyFont="1" applyFill="1" applyAlignment="1">
      <alignment horizontal="left"/>
    </xf>
    <xf numFmtId="3" fontId="9" fillId="5" borderId="17" xfId="0" applyNumberFormat="1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/>
    </xf>
    <xf numFmtId="0" fontId="11" fillId="6" borderId="0" xfId="0" applyFont="1" applyFill="1"/>
    <xf numFmtId="3" fontId="9" fillId="6" borderId="18" xfId="0" applyNumberFormat="1" applyFont="1" applyFill="1" applyBorder="1" applyAlignment="1">
      <alignment horizontal="center"/>
    </xf>
    <xf numFmtId="10" fontId="9" fillId="5" borderId="0" xfId="2" applyNumberFormat="1" applyFont="1" applyFill="1" applyAlignment="1">
      <alignment horizontal="center"/>
    </xf>
    <xf numFmtId="10" fontId="9" fillId="6" borderId="0" xfId="0" applyNumberFormat="1" applyFont="1" applyFill="1"/>
    <xf numFmtId="0" fontId="10" fillId="4" borderId="0" xfId="0" applyFont="1" applyFill="1" applyAlignment="1">
      <alignment vertical="center"/>
    </xf>
    <xf numFmtId="0" fontId="12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3" fontId="9" fillId="6" borderId="1" xfId="0" applyNumberFormat="1" applyFont="1" applyFill="1" applyBorder="1" applyAlignment="1">
      <alignment vertical="center"/>
    </xf>
    <xf numFmtId="0" fontId="5" fillId="10" borderId="0" xfId="0" applyFont="1" applyFill="1" applyAlignment="1">
      <alignment horizontal="center"/>
    </xf>
    <xf numFmtId="168" fontId="25" fillId="6" borderId="0" xfId="0" applyNumberFormat="1" applyFont="1" applyFill="1" applyAlignment="1">
      <alignment horizontal="right" vertical="center" wrapText="1"/>
    </xf>
    <xf numFmtId="0" fontId="5" fillId="11" borderId="0" xfId="0" applyFont="1" applyFill="1" applyAlignment="1">
      <alignment horizontal="left"/>
    </xf>
    <xf numFmtId="168" fontId="23" fillId="11" borderId="0" xfId="0" applyNumberFormat="1" applyFont="1" applyFill="1" applyAlignment="1">
      <alignment horizontal="right" vertical="center" wrapText="1"/>
    </xf>
    <xf numFmtId="168" fontId="0" fillId="6" borderId="0" xfId="0" applyNumberFormat="1" applyFill="1"/>
    <xf numFmtId="0" fontId="26" fillId="6" borderId="0" xfId="0" applyFont="1" applyFill="1"/>
    <xf numFmtId="3" fontId="0" fillId="6" borderId="0" xfId="0" applyNumberFormat="1" applyFill="1"/>
    <xf numFmtId="168" fontId="23" fillId="6" borderId="0" xfId="0" applyNumberFormat="1" applyFont="1" applyFill="1" applyAlignment="1">
      <alignment horizontal="right" vertical="center" wrapText="1"/>
    </xf>
    <xf numFmtId="0" fontId="26" fillId="5" borderId="0" xfId="0" applyFont="1" applyFill="1"/>
    <xf numFmtId="168" fontId="27" fillId="5" borderId="0" xfId="0" applyNumberFormat="1" applyFont="1" applyFill="1" applyAlignment="1">
      <alignment horizontal="right" vertical="center" wrapText="1"/>
    </xf>
    <xf numFmtId="0" fontId="26" fillId="4" borderId="0" xfId="0" applyFont="1" applyFill="1"/>
    <xf numFmtId="168" fontId="25" fillId="4" borderId="0" xfId="0" applyNumberFormat="1" applyFont="1" applyFill="1" applyAlignment="1">
      <alignment horizontal="right" vertical="center" wrapText="1"/>
    </xf>
    <xf numFmtId="0" fontId="0" fillId="6" borderId="2" xfId="0" applyFill="1" applyBorder="1"/>
    <xf numFmtId="168" fontId="25" fillId="6" borderId="12" xfId="0" applyNumberFormat="1" applyFont="1" applyFill="1" applyBorder="1" applyAlignment="1">
      <alignment horizontal="right" vertical="center" wrapText="1"/>
    </xf>
    <xf numFmtId="168" fontId="25" fillId="6" borderId="3" xfId="0" applyNumberFormat="1" applyFont="1" applyFill="1" applyBorder="1" applyAlignment="1">
      <alignment horizontal="right" vertical="center" wrapText="1"/>
    </xf>
    <xf numFmtId="0" fontId="0" fillId="6" borderId="0" xfId="0" applyFill="1" applyAlignment="1">
      <alignment horizontal="right"/>
    </xf>
    <xf numFmtId="168" fontId="5" fillId="6" borderId="0" xfId="0" applyNumberFormat="1" applyFont="1" applyFill="1"/>
    <xf numFmtId="0" fontId="0" fillId="6" borderId="10" xfId="0" applyFill="1" applyBorder="1"/>
    <xf numFmtId="168" fontId="0" fillId="6" borderId="10" xfId="0" applyNumberFormat="1" applyFill="1" applyBorder="1"/>
    <xf numFmtId="168" fontId="5" fillId="5" borderId="12" xfId="0" applyNumberFormat="1" applyFont="1" applyFill="1" applyBorder="1"/>
    <xf numFmtId="168" fontId="0" fillId="5" borderId="0" xfId="0" applyNumberFormat="1" applyFill="1"/>
    <xf numFmtId="3" fontId="5" fillId="6" borderId="0" xfId="0" applyNumberFormat="1" applyFont="1" applyFill="1"/>
    <xf numFmtId="0" fontId="0" fillId="5" borderId="2" xfId="0" applyFill="1" applyBorder="1"/>
    <xf numFmtId="0" fontId="0" fillId="5" borderId="12" xfId="0" applyFill="1" applyBorder="1"/>
    <xf numFmtId="168" fontId="0" fillId="5" borderId="3" xfId="0" applyNumberFormat="1" applyFill="1" applyBorder="1"/>
    <xf numFmtId="168" fontId="23" fillId="6" borderId="1" xfId="0" applyNumberFormat="1" applyFont="1" applyFill="1" applyBorder="1" applyAlignment="1">
      <alignment horizontal="right" vertical="center" wrapText="1"/>
    </xf>
    <xf numFmtId="0" fontId="5" fillId="6" borderId="0" xfId="0" applyFont="1" applyFill="1" applyAlignment="1">
      <alignment horizontal="right"/>
    </xf>
    <xf numFmtId="0" fontId="9" fillId="6" borderId="2" xfId="0" applyFont="1" applyFill="1" applyBorder="1"/>
    <xf numFmtId="3" fontId="9" fillId="6" borderId="3" xfId="0" applyNumberFormat="1" applyFont="1" applyFill="1" applyBorder="1"/>
    <xf numFmtId="168" fontId="9" fillId="6" borderId="3" xfId="0" applyNumberFormat="1" applyFont="1" applyFill="1" applyBorder="1" applyAlignment="1">
      <alignment horizontal="right" vertical="center" wrapText="1"/>
    </xf>
    <xf numFmtId="0" fontId="19" fillId="6" borderId="0" xfId="0" applyFont="1" applyFill="1" applyAlignment="1">
      <alignment horizontal="center"/>
    </xf>
    <xf numFmtId="0" fontId="19" fillId="6" borderId="0" xfId="0" quotePrefix="1" applyFont="1" applyFill="1" applyAlignment="1">
      <alignment horizontal="center"/>
    </xf>
    <xf numFmtId="0" fontId="19" fillId="4" borderId="0" xfId="0" applyFont="1" applyFill="1" applyAlignment="1">
      <alignment horizontal="left"/>
    </xf>
    <xf numFmtId="166" fontId="19" fillId="7" borderId="17" xfId="1" applyNumberFormat="1" applyFont="1" applyFill="1" applyBorder="1" applyAlignment="1">
      <alignment horizontal="center"/>
    </xf>
    <xf numFmtId="166" fontId="19" fillId="7" borderId="19" xfId="1" applyNumberFormat="1" applyFont="1" applyFill="1" applyBorder="1" applyAlignment="1">
      <alignment horizontal="center"/>
    </xf>
    <xf numFmtId="166" fontId="19" fillId="7" borderId="18" xfId="1" applyNumberFormat="1" applyFont="1" applyFill="1" applyBorder="1" applyAlignment="1">
      <alignment horizontal="center"/>
    </xf>
    <xf numFmtId="166" fontId="8" fillId="6" borderId="1" xfId="0" applyNumberFormat="1" applyFont="1" applyFill="1" applyBorder="1"/>
    <xf numFmtId="4" fontId="8" fillId="6" borderId="0" xfId="0" applyNumberFormat="1" applyFont="1" applyFill="1" applyAlignment="1">
      <alignment horizontal="right" vertical="center" wrapText="1"/>
    </xf>
    <xf numFmtId="4" fontId="8" fillId="6" borderId="10" xfId="0" applyNumberFormat="1" applyFont="1" applyFill="1" applyBorder="1" applyAlignment="1">
      <alignment horizontal="right" vertical="center" wrapText="1"/>
    </xf>
    <xf numFmtId="4" fontId="8" fillId="6" borderId="12" xfId="0" applyNumberFormat="1" applyFont="1" applyFill="1" applyBorder="1" applyAlignment="1">
      <alignment horizontal="right" vertical="center" wrapText="1"/>
    </xf>
    <xf numFmtId="3" fontId="8" fillId="6" borderId="0" xfId="0" applyNumberFormat="1" applyFont="1" applyFill="1" applyAlignment="1">
      <alignment horizontal="left" vertical="center"/>
    </xf>
    <xf numFmtId="4" fontId="8" fillId="6" borderId="0" xfId="0" applyNumberFormat="1" applyFont="1" applyFill="1" applyAlignment="1">
      <alignment horizontal="left" vertical="center" wrapText="1"/>
    </xf>
    <xf numFmtId="4" fontId="8" fillId="6" borderId="0" xfId="0" applyNumberFormat="1" applyFont="1" applyFill="1" applyAlignment="1">
      <alignment horizontal="left" vertical="center"/>
    </xf>
    <xf numFmtId="4" fontId="8" fillId="6" borderId="0" xfId="0" applyNumberFormat="1" applyFont="1" applyFill="1" applyAlignment="1">
      <alignment horizontal="right" vertical="center"/>
    </xf>
    <xf numFmtId="0" fontId="9" fillId="5" borderId="10" xfId="0" applyFont="1" applyFill="1" applyBorder="1"/>
    <xf numFmtId="3" fontId="8" fillId="6" borderId="0" xfId="0" applyNumberFormat="1" applyFont="1" applyFill="1" applyAlignment="1">
      <alignment horizontal="right" vertical="center"/>
    </xf>
    <xf numFmtId="0" fontId="17" fillId="5" borderId="0" xfId="0" applyFont="1" applyFill="1" applyAlignment="1">
      <alignment horizontal="center" vertical="center"/>
    </xf>
    <xf numFmtId="168" fontId="8" fillId="4" borderId="20" xfId="0" applyNumberFormat="1" applyFont="1" applyFill="1" applyBorder="1" applyAlignment="1">
      <alignment horizontal="right" vertical="center" wrapText="1"/>
    </xf>
    <xf numFmtId="9" fontId="19" fillId="7" borderId="0" xfId="0" applyNumberFormat="1" applyFont="1" applyFill="1" applyAlignment="1">
      <alignment horizontal="left"/>
    </xf>
    <xf numFmtId="0" fontId="8" fillId="5" borderId="0" xfId="0" applyFont="1" applyFill="1" applyAlignment="1">
      <alignment vertical="center"/>
    </xf>
    <xf numFmtId="0" fontId="9" fillId="5" borderId="0" xfId="0" applyFont="1" applyFill="1" applyAlignment="1">
      <alignment horizontal="center" vertical="center"/>
    </xf>
    <xf numFmtId="168" fontId="9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 vertical="center" indent="1"/>
    </xf>
    <xf numFmtId="168" fontId="9" fillId="6" borderId="10" xfId="0" applyNumberFormat="1" applyFont="1" applyFill="1" applyBorder="1" applyAlignment="1">
      <alignment vertical="center"/>
    </xf>
    <xf numFmtId="0" fontId="8" fillId="5" borderId="10" xfId="0" applyFont="1" applyFill="1" applyBorder="1" applyAlignment="1">
      <alignment vertical="center"/>
    </xf>
    <xf numFmtId="3" fontId="8" fillId="5" borderId="1" xfId="0" applyNumberFormat="1" applyFont="1" applyFill="1" applyBorder="1" applyAlignment="1">
      <alignment horizontal="right" vertical="center" wrapText="1"/>
    </xf>
    <xf numFmtId="168" fontId="8" fillId="5" borderId="1" xfId="0" applyNumberFormat="1" applyFont="1" applyFill="1" applyBorder="1" applyAlignment="1">
      <alignment horizontal="right" vertical="center" wrapText="1"/>
    </xf>
    <xf numFmtId="0" fontId="9" fillId="5" borderId="10" xfId="0" applyFont="1" applyFill="1" applyBorder="1" applyAlignment="1">
      <alignment horizontal="center"/>
    </xf>
    <xf numFmtId="9" fontId="8" fillId="6" borderId="0" xfId="2" applyFont="1" applyFill="1" applyBorder="1" applyAlignment="1">
      <alignment horizontal="center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0" fillId="12" borderId="0" xfId="0" applyFill="1"/>
    <xf numFmtId="0" fontId="21" fillId="13" borderId="0" xfId="0" applyFont="1" applyFill="1"/>
    <xf numFmtId="0" fontId="12" fillId="5" borderId="0" xfId="0" applyFont="1" applyFill="1"/>
    <xf numFmtId="0" fontId="12" fillId="6" borderId="0" xfId="0" applyFont="1" applyFill="1"/>
    <xf numFmtId="3" fontId="12" fillId="5" borderId="0" xfId="0" applyNumberFormat="1" applyFont="1" applyFill="1"/>
    <xf numFmtId="0" fontId="12" fillId="6" borderId="0" xfId="0" applyFont="1" applyFill="1" applyAlignment="1">
      <alignment horizontal="center"/>
    </xf>
    <xf numFmtId="0" fontId="8" fillId="12" borderId="0" xfId="0" applyFont="1" applyFill="1"/>
    <xf numFmtId="0" fontId="21" fillId="12" borderId="0" xfId="0" applyFont="1" applyFill="1"/>
    <xf numFmtId="0" fontId="28" fillId="12" borderId="0" xfId="0" applyFont="1" applyFill="1"/>
    <xf numFmtId="9" fontId="9" fillId="5" borderId="0" xfId="0" applyNumberFormat="1" applyFont="1" applyFill="1" applyAlignment="1">
      <alignment horizontal="center"/>
    </xf>
    <xf numFmtId="0" fontId="9" fillId="6" borderId="12" xfId="0" applyFont="1" applyFill="1" applyBorder="1" applyAlignment="1">
      <alignment horizontal="center"/>
    </xf>
    <xf numFmtId="0" fontId="8" fillId="4" borderId="12" xfId="0" applyFont="1" applyFill="1" applyBorder="1"/>
    <xf numFmtId="0" fontId="8" fillId="4" borderId="3" xfId="0" applyFont="1" applyFill="1" applyBorder="1"/>
    <xf numFmtId="0" fontId="8" fillId="6" borderId="5" xfId="0" applyFont="1" applyFill="1" applyBorder="1"/>
    <xf numFmtId="0" fontId="8" fillId="6" borderId="6" xfId="0" applyFont="1" applyFill="1" applyBorder="1"/>
    <xf numFmtId="0" fontId="8" fillId="6" borderId="11" xfId="0" applyFont="1" applyFill="1" applyBorder="1"/>
    <xf numFmtId="10" fontId="9" fillId="4" borderId="0" xfId="2" applyNumberFormat="1" applyFont="1" applyFill="1" applyAlignment="1">
      <alignment horizontal="center"/>
    </xf>
    <xf numFmtId="0" fontId="8" fillId="5" borderId="0" xfId="0" applyFont="1" applyFill="1" applyAlignment="1">
      <alignment horizontal="left"/>
    </xf>
    <xf numFmtId="0" fontId="8" fillId="5" borderId="0" xfId="0" applyFont="1" applyFill="1" applyAlignment="1">
      <alignment horizontal="left" indent="1"/>
    </xf>
    <xf numFmtId="0" fontId="18" fillId="12" borderId="0" xfId="0" applyFont="1" applyFill="1"/>
    <xf numFmtId="0" fontId="8" fillId="0" borderId="0" xfId="0" applyFont="1" applyAlignment="1">
      <alignment vertical="center"/>
    </xf>
    <xf numFmtId="169" fontId="8" fillId="0" borderId="0" xfId="0" applyNumberFormat="1" applyFont="1"/>
    <xf numFmtId="3" fontId="8" fillId="0" borderId="11" xfId="0" applyNumberFormat="1" applyFont="1" applyBorder="1" applyAlignment="1">
      <alignment horizontal="right" vertical="center" wrapText="1"/>
    </xf>
    <xf numFmtId="9" fontId="8" fillId="5" borderId="10" xfId="2" applyFont="1" applyFill="1" applyBorder="1" applyAlignment="1">
      <alignment horizontal="center"/>
    </xf>
    <xf numFmtId="0" fontId="29" fillId="14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8" fillId="4" borderId="10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9" fillId="5" borderId="10" xfId="0" applyFont="1" applyFill="1" applyBorder="1" applyAlignment="1">
      <alignment horizontal="center"/>
    </xf>
    <xf numFmtId="168" fontId="0" fillId="5" borderId="17" xfId="0" applyNumberFormat="1" applyFill="1" applyBorder="1" applyAlignment="1">
      <alignment horizontal="center" vertical="center"/>
    </xf>
    <xf numFmtId="168" fontId="0" fillId="5" borderId="18" xfId="0" applyNumberFormat="1" applyFill="1" applyBorder="1" applyAlignment="1">
      <alignment horizontal="center" vertical="center"/>
    </xf>
    <xf numFmtId="0" fontId="24" fillId="3" borderId="0" xfId="0" applyFont="1" applyFill="1" applyAlignment="1">
      <alignment horizontal="center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27215</xdr:colOff>
      <xdr:row>2</xdr:row>
      <xdr:rowOff>40823</xdr:rowOff>
    </xdr:from>
    <xdr:to>
      <xdr:col>15</xdr:col>
      <xdr:colOff>421821</xdr:colOff>
      <xdr:row>36</xdr:row>
      <xdr:rowOff>185964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1" y="421823"/>
          <a:ext cx="4966606" cy="6622141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23</xdr:row>
      <xdr:rowOff>0</xdr:rowOff>
    </xdr:from>
    <xdr:to>
      <xdr:col>17</xdr:col>
      <xdr:colOff>0</xdr:colOff>
      <xdr:row>41</xdr:row>
      <xdr:rowOff>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6600A4B1-E89E-1CA1-1C73-95DA5037A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40143" y="4381500"/>
          <a:ext cx="0" cy="3429000"/>
        </a:xfrm>
        <a:prstGeom prst="rect">
          <a:avLst/>
        </a:prstGeom>
      </xdr:spPr>
    </xdr:pic>
    <xdr:clientData/>
  </xdr:twoCellAnchor>
  <xdr:twoCellAnchor editAs="oneCell">
    <xdr:from>
      <xdr:col>1</xdr:col>
      <xdr:colOff>68036</xdr:colOff>
      <xdr:row>2</xdr:row>
      <xdr:rowOff>108858</xdr:rowOff>
    </xdr:from>
    <xdr:to>
      <xdr:col>7</xdr:col>
      <xdr:colOff>381000</xdr:colOff>
      <xdr:row>36</xdr:row>
      <xdr:rowOff>108858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C8AB660-85E1-8C70-F408-CA77F33FE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643" y="489858"/>
          <a:ext cx="4884964" cy="6477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17319</xdr:colOff>
      <xdr:row>152</xdr:row>
      <xdr:rowOff>112569</xdr:rowOff>
    </xdr:from>
    <xdr:to>
      <xdr:col>11</xdr:col>
      <xdr:colOff>17318</xdr:colOff>
      <xdr:row>153</xdr:row>
      <xdr:rowOff>86591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H="1" flipV="1">
          <a:off x="4277592" y="25830069"/>
          <a:ext cx="580158" cy="16452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25978</xdr:colOff>
      <xdr:row>153</xdr:row>
      <xdr:rowOff>112568</xdr:rowOff>
    </xdr:from>
    <xdr:to>
      <xdr:col>11</xdr:col>
      <xdr:colOff>0</xdr:colOff>
      <xdr:row>154</xdr:row>
      <xdr:rowOff>112568</xdr:rowOff>
    </xdr:to>
    <xdr:cxnSp macro="">
      <xdr:nvCxnSpPr>
        <xdr:cNvPr id="8" name="Conector recto de flecha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4286251" y="26020568"/>
          <a:ext cx="554181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25977</xdr:colOff>
      <xdr:row>153</xdr:row>
      <xdr:rowOff>95250</xdr:rowOff>
    </xdr:from>
    <xdr:to>
      <xdr:col>11</xdr:col>
      <xdr:colOff>0</xdr:colOff>
      <xdr:row>153</xdr:row>
      <xdr:rowOff>103909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flipH="1">
          <a:off x="4286250" y="26003250"/>
          <a:ext cx="554182" cy="865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502227</xdr:colOff>
      <xdr:row>153</xdr:row>
      <xdr:rowOff>25977</xdr:rowOff>
    </xdr:from>
    <xdr:to>
      <xdr:col>11</xdr:col>
      <xdr:colOff>25977</xdr:colOff>
      <xdr:row>153</xdr:row>
      <xdr:rowOff>147204</xdr:rowOff>
    </xdr:to>
    <xdr:sp macro="" textlink="">
      <xdr:nvSpPr>
        <xdr:cNvPr id="13" name="Elips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762500" y="25933977"/>
          <a:ext cx="103909" cy="121227"/>
        </a:xfrm>
        <a:prstGeom prst="ellipse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10</xdr:col>
      <xdr:colOff>17319</xdr:colOff>
      <xdr:row>279</xdr:row>
      <xdr:rowOff>112569</xdr:rowOff>
    </xdr:from>
    <xdr:to>
      <xdr:col>11</xdr:col>
      <xdr:colOff>17318</xdr:colOff>
      <xdr:row>280</xdr:row>
      <xdr:rowOff>86591</xdr:rowOff>
    </xdr:to>
    <xdr:cxnSp macro="">
      <xdr:nvCxnSpPr>
        <xdr:cNvPr id="30" name="Conector recto de flecha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CxnSpPr/>
      </xdr:nvCxnSpPr>
      <xdr:spPr>
        <a:xfrm flipH="1" flipV="1">
          <a:off x="4277592" y="25639569"/>
          <a:ext cx="580158" cy="16452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25978</xdr:colOff>
      <xdr:row>280</xdr:row>
      <xdr:rowOff>112568</xdr:rowOff>
    </xdr:from>
    <xdr:to>
      <xdr:col>11</xdr:col>
      <xdr:colOff>0</xdr:colOff>
      <xdr:row>281</xdr:row>
      <xdr:rowOff>112568</xdr:rowOff>
    </xdr:to>
    <xdr:cxnSp macro="">
      <xdr:nvCxnSpPr>
        <xdr:cNvPr id="31" name="Conector recto de flecha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CxnSpPr/>
      </xdr:nvCxnSpPr>
      <xdr:spPr>
        <a:xfrm flipH="1">
          <a:off x="4286251" y="25830068"/>
          <a:ext cx="554181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25977</xdr:colOff>
      <xdr:row>280</xdr:row>
      <xdr:rowOff>95250</xdr:rowOff>
    </xdr:from>
    <xdr:to>
      <xdr:col>11</xdr:col>
      <xdr:colOff>0</xdr:colOff>
      <xdr:row>280</xdr:row>
      <xdr:rowOff>103909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CxnSpPr/>
      </xdr:nvCxnSpPr>
      <xdr:spPr>
        <a:xfrm flipH="1">
          <a:off x="4286250" y="25812750"/>
          <a:ext cx="554182" cy="865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502227</xdr:colOff>
      <xdr:row>280</xdr:row>
      <xdr:rowOff>25977</xdr:rowOff>
    </xdr:from>
    <xdr:to>
      <xdr:col>11</xdr:col>
      <xdr:colOff>25977</xdr:colOff>
      <xdr:row>280</xdr:row>
      <xdr:rowOff>147204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4762500" y="25743477"/>
          <a:ext cx="103909" cy="121227"/>
        </a:xfrm>
        <a:prstGeom prst="ellipse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554182</xdr:colOff>
      <xdr:row>127</xdr:row>
      <xdr:rowOff>43296</xdr:rowOff>
    </xdr:from>
    <xdr:to>
      <xdr:col>9</xdr:col>
      <xdr:colOff>658091</xdr:colOff>
      <xdr:row>127</xdr:row>
      <xdr:rowOff>138546</xdr:rowOff>
    </xdr:to>
    <xdr:sp macro="" textlink="">
      <xdr:nvSpPr>
        <xdr:cNvPr id="39" name="Flecha derecha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4139046" y="21569796"/>
          <a:ext cx="103909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554182</xdr:colOff>
      <xdr:row>248</xdr:row>
      <xdr:rowOff>43296</xdr:rowOff>
    </xdr:from>
    <xdr:to>
      <xdr:col>9</xdr:col>
      <xdr:colOff>658091</xdr:colOff>
      <xdr:row>248</xdr:row>
      <xdr:rowOff>138546</xdr:rowOff>
    </xdr:to>
    <xdr:sp macro="" textlink="">
      <xdr:nvSpPr>
        <xdr:cNvPr id="40" name="Flecha derecha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4139046" y="21569796"/>
          <a:ext cx="103909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10</xdr:col>
      <xdr:colOff>649432</xdr:colOff>
      <xdr:row>360</xdr:row>
      <xdr:rowOff>112568</xdr:rowOff>
    </xdr:from>
    <xdr:to>
      <xdr:col>11</xdr:col>
      <xdr:colOff>242454</xdr:colOff>
      <xdr:row>360</xdr:row>
      <xdr:rowOff>112568</xdr:rowOff>
    </xdr:to>
    <xdr:cxnSp macro="">
      <xdr:nvCxnSpPr>
        <xdr:cNvPr id="52" name="Conector recto de flecha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CxnSpPr/>
      </xdr:nvCxnSpPr>
      <xdr:spPr>
        <a:xfrm flipH="1">
          <a:off x="4866409" y="60934023"/>
          <a:ext cx="251113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649432</xdr:colOff>
      <xdr:row>361</xdr:row>
      <xdr:rowOff>112568</xdr:rowOff>
    </xdr:from>
    <xdr:to>
      <xdr:col>11</xdr:col>
      <xdr:colOff>242454</xdr:colOff>
      <xdr:row>361</xdr:row>
      <xdr:rowOff>112568</xdr:rowOff>
    </xdr:to>
    <xdr:cxnSp macro="">
      <xdr:nvCxnSpPr>
        <xdr:cNvPr id="53" name="Conector recto de flecha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CxnSpPr/>
      </xdr:nvCxnSpPr>
      <xdr:spPr>
        <a:xfrm flipH="1">
          <a:off x="4866409" y="60934023"/>
          <a:ext cx="251113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649432</xdr:colOff>
      <xdr:row>362</xdr:row>
      <xdr:rowOff>112568</xdr:rowOff>
    </xdr:from>
    <xdr:to>
      <xdr:col>11</xdr:col>
      <xdr:colOff>242454</xdr:colOff>
      <xdr:row>362</xdr:row>
      <xdr:rowOff>112568</xdr:rowOff>
    </xdr:to>
    <xdr:cxnSp macro="">
      <xdr:nvCxnSpPr>
        <xdr:cNvPr id="54" name="Conector recto de flecha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CxnSpPr/>
      </xdr:nvCxnSpPr>
      <xdr:spPr>
        <a:xfrm flipH="1">
          <a:off x="4866409" y="61124523"/>
          <a:ext cx="251113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649432</xdr:colOff>
      <xdr:row>365</xdr:row>
      <xdr:rowOff>112568</xdr:rowOff>
    </xdr:from>
    <xdr:to>
      <xdr:col>11</xdr:col>
      <xdr:colOff>242454</xdr:colOff>
      <xdr:row>365</xdr:row>
      <xdr:rowOff>112568</xdr:rowOff>
    </xdr:to>
    <xdr:cxnSp macro="">
      <xdr:nvCxnSpPr>
        <xdr:cNvPr id="55" name="Conector recto de flecha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CxnSpPr/>
      </xdr:nvCxnSpPr>
      <xdr:spPr>
        <a:xfrm flipH="1">
          <a:off x="4866409" y="61315023"/>
          <a:ext cx="251113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242455</xdr:colOff>
      <xdr:row>360</xdr:row>
      <xdr:rowOff>112568</xdr:rowOff>
    </xdr:from>
    <xdr:to>
      <xdr:col>11</xdr:col>
      <xdr:colOff>251114</xdr:colOff>
      <xdr:row>365</xdr:row>
      <xdr:rowOff>121227</xdr:rowOff>
    </xdr:to>
    <xdr:cxnSp macro="">
      <xdr:nvCxnSpPr>
        <xdr:cNvPr id="57" name="Conector recto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CxnSpPr/>
      </xdr:nvCxnSpPr>
      <xdr:spPr>
        <a:xfrm>
          <a:off x="5117523" y="60934023"/>
          <a:ext cx="8659" cy="96115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27703</xdr:colOff>
      <xdr:row>402</xdr:row>
      <xdr:rowOff>57150</xdr:rowOff>
    </xdr:from>
    <xdr:to>
      <xdr:col>8</xdr:col>
      <xdr:colOff>246778</xdr:colOff>
      <xdr:row>402</xdr:row>
      <xdr:rowOff>152400</xdr:rowOff>
    </xdr:to>
    <xdr:sp macro="" textlink="">
      <xdr:nvSpPr>
        <xdr:cNvPr id="60" name="Flecha derecha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/>
      </xdr:nvSpPr>
      <xdr:spPr>
        <a:xfrm>
          <a:off x="2841908" y="68117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10</xdr:col>
      <xdr:colOff>218204</xdr:colOff>
      <xdr:row>402</xdr:row>
      <xdr:rowOff>57150</xdr:rowOff>
    </xdr:from>
    <xdr:to>
      <xdr:col>10</xdr:col>
      <xdr:colOff>437279</xdr:colOff>
      <xdr:row>402</xdr:row>
      <xdr:rowOff>152400</xdr:rowOff>
    </xdr:to>
    <xdr:sp macro="" textlink="">
      <xdr:nvSpPr>
        <xdr:cNvPr id="61" name="Flecha derecha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/>
      </xdr:nvSpPr>
      <xdr:spPr>
        <a:xfrm>
          <a:off x="4435181" y="68117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8</xdr:col>
      <xdr:colOff>27703</xdr:colOff>
      <xdr:row>404</xdr:row>
      <xdr:rowOff>57150</xdr:rowOff>
    </xdr:from>
    <xdr:to>
      <xdr:col>8</xdr:col>
      <xdr:colOff>246778</xdr:colOff>
      <xdr:row>404</xdr:row>
      <xdr:rowOff>152400</xdr:rowOff>
    </xdr:to>
    <xdr:sp macro="" textlink="">
      <xdr:nvSpPr>
        <xdr:cNvPr id="62" name="Flecha derecha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/>
      </xdr:nvSpPr>
      <xdr:spPr>
        <a:xfrm>
          <a:off x="2841908" y="68498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10</xdr:col>
      <xdr:colOff>218204</xdr:colOff>
      <xdr:row>404</xdr:row>
      <xdr:rowOff>57150</xdr:rowOff>
    </xdr:from>
    <xdr:to>
      <xdr:col>10</xdr:col>
      <xdr:colOff>437279</xdr:colOff>
      <xdr:row>404</xdr:row>
      <xdr:rowOff>152400</xdr:rowOff>
    </xdr:to>
    <xdr:sp macro="" textlink="">
      <xdr:nvSpPr>
        <xdr:cNvPr id="63" name="Flecha derecha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/>
      </xdr:nvSpPr>
      <xdr:spPr>
        <a:xfrm>
          <a:off x="4435181" y="68498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8</xdr:col>
      <xdr:colOff>27703</xdr:colOff>
      <xdr:row>408</xdr:row>
      <xdr:rowOff>57150</xdr:rowOff>
    </xdr:from>
    <xdr:to>
      <xdr:col>8</xdr:col>
      <xdr:colOff>246778</xdr:colOff>
      <xdr:row>408</xdr:row>
      <xdr:rowOff>152400</xdr:rowOff>
    </xdr:to>
    <xdr:sp macro="" textlink="">
      <xdr:nvSpPr>
        <xdr:cNvPr id="64" name="Flecha derecha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>
        <a:xfrm>
          <a:off x="2841908" y="69260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10</xdr:col>
      <xdr:colOff>218204</xdr:colOff>
      <xdr:row>408</xdr:row>
      <xdr:rowOff>57150</xdr:rowOff>
    </xdr:from>
    <xdr:to>
      <xdr:col>10</xdr:col>
      <xdr:colOff>437279</xdr:colOff>
      <xdr:row>408</xdr:row>
      <xdr:rowOff>152400</xdr:rowOff>
    </xdr:to>
    <xdr:sp macro="" textlink="">
      <xdr:nvSpPr>
        <xdr:cNvPr id="65" name="Flecha derecha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/>
      </xdr:nvSpPr>
      <xdr:spPr>
        <a:xfrm>
          <a:off x="4435181" y="69260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8</xdr:col>
      <xdr:colOff>27703</xdr:colOff>
      <xdr:row>410</xdr:row>
      <xdr:rowOff>57150</xdr:rowOff>
    </xdr:from>
    <xdr:to>
      <xdr:col>8</xdr:col>
      <xdr:colOff>246778</xdr:colOff>
      <xdr:row>410</xdr:row>
      <xdr:rowOff>152400</xdr:rowOff>
    </xdr:to>
    <xdr:sp macro="" textlink="">
      <xdr:nvSpPr>
        <xdr:cNvPr id="66" name="Flecha derecha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/>
      </xdr:nvSpPr>
      <xdr:spPr>
        <a:xfrm>
          <a:off x="2841908" y="69641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10</xdr:col>
      <xdr:colOff>218204</xdr:colOff>
      <xdr:row>410</xdr:row>
      <xdr:rowOff>57150</xdr:rowOff>
    </xdr:from>
    <xdr:to>
      <xdr:col>10</xdr:col>
      <xdr:colOff>437279</xdr:colOff>
      <xdr:row>410</xdr:row>
      <xdr:rowOff>152400</xdr:rowOff>
    </xdr:to>
    <xdr:sp macro="" textlink="">
      <xdr:nvSpPr>
        <xdr:cNvPr id="67" name="Flecha derecha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>
        <a:xfrm>
          <a:off x="4435181" y="69641605"/>
          <a:ext cx="219075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665882</xdr:colOff>
      <xdr:row>473</xdr:row>
      <xdr:rowOff>47625</xdr:rowOff>
    </xdr:from>
    <xdr:to>
      <xdr:col>10</xdr:col>
      <xdr:colOff>304798</xdr:colOff>
      <xdr:row>473</xdr:row>
      <xdr:rowOff>161925</xdr:rowOff>
    </xdr:to>
    <xdr:sp macro="" textlink="">
      <xdr:nvSpPr>
        <xdr:cNvPr id="68" name="Flecha derecha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/>
      </xdr:nvSpPr>
      <xdr:spPr>
        <a:xfrm flipH="1">
          <a:off x="4207450" y="80429966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665882</xdr:colOff>
      <xdr:row>480</xdr:row>
      <xdr:rowOff>47625</xdr:rowOff>
    </xdr:from>
    <xdr:to>
      <xdr:col>10</xdr:col>
      <xdr:colOff>304798</xdr:colOff>
      <xdr:row>480</xdr:row>
      <xdr:rowOff>161925</xdr:rowOff>
    </xdr:to>
    <xdr:sp macro="" textlink="">
      <xdr:nvSpPr>
        <xdr:cNvPr id="69" name="Flecha derecha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/>
      </xdr:nvSpPr>
      <xdr:spPr>
        <a:xfrm flipH="1">
          <a:off x="4207450" y="81763466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665882</xdr:colOff>
      <xdr:row>480</xdr:row>
      <xdr:rowOff>47625</xdr:rowOff>
    </xdr:from>
    <xdr:to>
      <xdr:col>10</xdr:col>
      <xdr:colOff>304798</xdr:colOff>
      <xdr:row>480</xdr:row>
      <xdr:rowOff>161925</xdr:rowOff>
    </xdr:to>
    <xdr:sp macro="" textlink="">
      <xdr:nvSpPr>
        <xdr:cNvPr id="74" name="Flecha derecha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/>
      </xdr:nvSpPr>
      <xdr:spPr>
        <a:xfrm flipH="1">
          <a:off x="4207450" y="81382466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665882</xdr:colOff>
      <xdr:row>487</xdr:row>
      <xdr:rowOff>47625</xdr:rowOff>
    </xdr:from>
    <xdr:to>
      <xdr:col>10</xdr:col>
      <xdr:colOff>304798</xdr:colOff>
      <xdr:row>487</xdr:row>
      <xdr:rowOff>161925</xdr:rowOff>
    </xdr:to>
    <xdr:sp macro="" textlink="">
      <xdr:nvSpPr>
        <xdr:cNvPr id="75" name="Flecha derecha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/>
      </xdr:nvSpPr>
      <xdr:spPr>
        <a:xfrm flipH="1">
          <a:off x="4207450" y="80429966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665882</xdr:colOff>
      <xdr:row>494</xdr:row>
      <xdr:rowOff>47625</xdr:rowOff>
    </xdr:from>
    <xdr:to>
      <xdr:col>10</xdr:col>
      <xdr:colOff>304798</xdr:colOff>
      <xdr:row>494</xdr:row>
      <xdr:rowOff>161925</xdr:rowOff>
    </xdr:to>
    <xdr:sp macro="" textlink="">
      <xdr:nvSpPr>
        <xdr:cNvPr id="76" name="Flecha derecha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/>
      </xdr:nvSpPr>
      <xdr:spPr>
        <a:xfrm flipH="1">
          <a:off x="4207450" y="81763466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665882</xdr:colOff>
      <xdr:row>494</xdr:row>
      <xdr:rowOff>47625</xdr:rowOff>
    </xdr:from>
    <xdr:to>
      <xdr:col>10</xdr:col>
      <xdr:colOff>304798</xdr:colOff>
      <xdr:row>494</xdr:row>
      <xdr:rowOff>161925</xdr:rowOff>
    </xdr:to>
    <xdr:sp macro="" textlink="">
      <xdr:nvSpPr>
        <xdr:cNvPr id="77" name="Flecha derecha 76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/>
      </xdr:nvSpPr>
      <xdr:spPr>
        <a:xfrm flipH="1">
          <a:off x="4207450" y="81763466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85725</xdr:colOff>
      <xdr:row>504</xdr:row>
      <xdr:rowOff>47625</xdr:rowOff>
    </xdr:from>
    <xdr:to>
      <xdr:col>9</xdr:col>
      <xdr:colOff>400050</xdr:colOff>
      <xdr:row>504</xdr:row>
      <xdr:rowOff>161925</xdr:rowOff>
    </xdr:to>
    <xdr:sp macro="" textlink="">
      <xdr:nvSpPr>
        <xdr:cNvPr id="78" name="Flecha derecha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/>
      </xdr:nvSpPr>
      <xdr:spPr>
        <a:xfrm flipH="1">
          <a:off x="11601450" y="1095375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85725</xdr:colOff>
      <xdr:row>508</xdr:row>
      <xdr:rowOff>47625</xdr:rowOff>
    </xdr:from>
    <xdr:to>
      <xdr:col>9</xdr:col>
      <xdr:colOff>400050</xdr:colOff>
      <xdr:row>508</xdr:row>
      <xdr:rowOff>161925</xdr:rowOff>
    </xdr:to>
    <xdr:sp macro="" textlink="">
      <xdr:nvSpPr>
        <xdr:cNvPr id="79" name="Flecha derecha 78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/>
      </xdr:nvSpPr>
      <xdr:spPr>
        <a:xfrm flipH="1">
          <a:off x="11601450" y="1933575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423333</xdr:colOff>
      <xdr:row>365</xdr:row>
      <xdr:rowOff>31750</xdr:rowOff>
    </xdr:from>
    <xdr:to>
      <xdr:col>9</xdr:col>
      <xdr:colOff>666750</xdr:colOff>
      <xdr:row>366</xdr:row>
      <xdr:rowOff>0</xdr:rowOff>
    </xdr:to>
    <xdr:sp macro="" textlink="">
      <xdr:nvSpPr>
        <xdr:cNvPr id="2" name="Flecha derecha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979333" y="64293750"/>
          <a:ext cx="243417" cy="158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9</xdr:col>
      <xdr:colOff>120650</xdr:colOff>
      <xdr:row>29</xdr:row>
      <xdr:rowOff>14817</xdr:rowOff>
    </xdr:from>
    <xdr:to>
      <xdr:col>10</xdr:col>
      <xdr:colOff>25400</xdr:colOff>
      <xdr:row>30</xdr:row>
      <xdr:rowOff>14817</xdr:rowOff>
    </xdr:to>
    <xdr:sp macro="" textlink="">
      <xdr:nvSpPr>
        <xdr:cNvPr id="35" name="Rectángulo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110567" y="4777317"/>
          <a:ext cx="582083" cy="1905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6</xdr:col>
      <xdr:colOff>38629</xdr:colOff>
      <xdr:row>18</xdr:row>
      <xdr:rowOff>2911</xdr:rowOff>
    </xdr:from>
    <xdr:to>
      <xdr:col>7</xdr:col>
      <xdr:colOff>2910</xdr:colOff>
      <xdr:row>19</xdr:row>
      <xdr:rowOff>2911</xdr:rowOff>
    </xdr:to>
    <xdr:sp macro="" textlink="">
      <xdr:nvSpPr>
        <xdr:cNvPr id="36" name="Rectángulo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3241410" y="3431911"/>
          <a:ext cx="583406" cy="1905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133350</xdr:colOff>
      <xdr:row>136</xdr:row>
      <xdr:rowOff>1</xdr:rowOff>
    </xdr:from>
    <xdr:to>
      <xdr:col>6</xdr:col>
      <xdr:colOff>752475</xdr:colOff>
      <xdr:row>137</xdr:row>
      <xdr:rowOff>19051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781550" y="28498801"/>
          <a:ext cx="619125" cy="22860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6</xdr:col>
      <xdr:colOff>133350</xdr:colOff>
      <xdr:row>143</xdr:row>
      <xdr:rowOff>200026</xdr:rowOff>
    </xdr:from>
    <xdr:to>
      <xdr:col>6</xdr:col>
      <xdr:colOff>752475</xdr:colOff>
      <xdr:row>145</xdr:row>
      <xdr:rowOff>9526</xdr:rowOff>
    </xdr:to>
    <xdr:sp macro="" textlink="">
      <xdr:nvSpPr>
        <xdr:cNvPr id="4" name="Rectángulo redondead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781550" y="30165676"/>
          <a:ext cx="619125" cy="22860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6</xdr:col>
      <xdr:colOff>123825</xdr:colOff>
      <xdr:row>127</xdr:row>
      <xdr:rowOff>200025</xdr:rowOff>
    </xdr:from>
    <xdr:to>
      <xdr:col>6</xdr:col>
      <xdr:colOff>752475</xdr:colOff>
      <xdr:row>129</xdr:row>
      <xdr:rowOff>9525</xdr:rowOff>
    </xdr:to>
    <xdr:sp macro="" textlink="">
      <xdr:nvSpPr>
        <xdr:cNvPr id="5" name="Rectángulo redondead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772025" y="26812875"/>
          <a:ext cx="628650" cy="22860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6</xdr:col>
      <xdr:colOff>752475</xdr:colOff>
      <xdr:row>136</xdr:row>
      <xdr:rowOff>114301</xdr:rowOff>
    </xdr:from>
    <xdr:to>
      <xdr:col>7</xdr:col>
      <xdr:colOff>3175</xdr:colOff>
      <xdr:row>144</xdr:row>
      <xdr:rowOff>104776</xdr:rowOff>
    </xdr:to>
    <xdr:cxnSp macro="">
      <xdr:nvCxnSpPr>
        <xdr:cNvPr id="7" name="Conector curvado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4" idx="3"/>
          <a:endCxn id="3" idx="3"/>
        </xdr:cNvCxnSpPr>
      </xdr:nvCxnSpPr>
      <xdr:spPr>
        <a:xfrm flipV="1">
          <a:off x="5400675" y="28613101"/>
          <a:ext cx="12700" cy="1666875"/>
        </a:xfrm>
        <a:prstGeom prst="curvedConnector3">
          <a:avLst>
            <a:gd name="adj1" fmla="val 180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752475</xdr:colOff>
      <xdr:row>128</xdr:row>
      <xdr:rowOff>104775</xdr:rowOff>
    </xdr:from>
    <xdr:to>
      <xdr:col>7</xdr:col>
      <xdr:colOff>3175</xdr:colOff>
      <xdr:row>136</xdr:row>
      <xdr:rowOff>114301</xdr:rowOff>
    </xdr:to>
    <xdr:cxnSp macro="">
      <xdr:nvCxnSpPr>
        <xdr:cNvPr id="9" name="Conector curvado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>
          <a:stCxn id="3" idx="3"/>
          <a:endCxn id="5" idx="3"/>
        </xdr:cNvCxnSpPr>
      </xdr:nvCxnSpPr>
      <xdr:spPr>
        <a:xfrm flipV="1">
          <a:off x="5400675" y="26927175"/>
          <a:ext cx="12700" cy="1685926"/>
        </a:xfrm>
        <a:prstGeom prst="curvedConnector3">
          <a:avLst>
            <a:gd name="adj1" fmla="val 1800000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68</xdr:row>
      <xdr:rowOff>47625</xdr:rowOff>
    </xdr:from>
    <xdr:to>
      <xdr:col>3</xdr:col>
      <xdr:colOff>400050</xdr:colOff>
      <xdr:row>68</xdr:row>
      <xdr:rowOff>161925</xdr:rowOff>
    </xdr:to>
    <xdr:sp macro="" textlink="">
      <xdr:nvSpPr>
        <xdr:cNvPr id="4" name="Flecha derecha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 flipH="1">
          <a:off x="3905250" y="11991975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3</xdr:col>
      <xdr:colOff>85725</xdr:colOff>
      <xdr:row>75</xdr:row>
      <xdr:rowOff>47625</xdr:rowOff>
    </xdr:from>
    <xdr:to>
      <xdr:col>3</xdr:col>
      <xdr:colOff>400050</xdr:colOff>
      <xdr:row>75</xdr:row>
      <xdr:rowOff>161925</xdr:rowOff>
    </xdr:to>
    <xdr:sp macro="" textlink="">
      <xdr:nvSpPr>
        <xdr:cNvPr id="5" name="Flecha derecha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 flipH="1">
          <a:off x="3905250" y="13458825"/>
          <a:ext cx="3143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179916</xdr:colOff>
      <xdr:row>95</xdr:row>
      <xdr:rowOff>190500</xdr:rowOff>
    </xdr:from>
    <xdr:to>
      <xdr:col>3</xdr:col>
      <xdr:colOff>21167</xdr:colOff>
      <xdr:row>102</xdr:row>
      <xdr:rowOff>201083</xdr:rowOff>
    </xdr:to>
    <xdr:sp macro="" textlink="">
      <xdr:nvSpPr>
        <xdr:cNvPr id="14" name="Rectángulo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/>
      </xdr:nvSpPr>
      <xdr:spPr>
        <a:xfrm>
          <a:off x="2361141" y="1238250"/>
          <a:ext cx="565151" cy="1477433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3</xdr:col>
      <xdr:colOff>317500</xdr:colOff>
      <xdr:row>95</xdr:row>
      <xdr:rowOff>194736</xdr:rowOff>
    </xdr:from>
    <xdr:to>
      <xdr:col>4</xdr:col>
      <xdr:colOff>31750</xdr:colOff>
      <xdr:row>102</xdr:row>
      <xdr:rowOff>205319</xdr:rowOff>
    </xdr:to>
    <xdr:sp macro="" textlink="">
      <xdr:nvSpPr>
        <xdr:cNvPr id="15" name="Rectángulo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/>
      </xdr:nvSpPr>
      <xdr:spPr>
        <a:xfrm>
          <a:off x="3222625" y="1242486"/>
          <a:ext cx="647700" cy="1477433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4</xdr:col>
      <xdr:colOff>275166</xdr:colOff>
      <xdr:row>95</xdr:row>
      <xdr:rowOff>188391</xdr:rowOff>
    </xdr:from>
    <xdr:to>
      <xdr:col>5</xdr:col>
      <xdr:colOff>25400</xdr:colOff>
      <xdr:row>102</xdr:row>
      <xdr:rowOff>198974</xdr:rowOff>
    </xdr:to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/>
      </xdr:nvSpPr>
      <xdr:spPr>
        <a:xfrm>
          <a:off x="4113741" y="1236141"/>
          <a:ext cx="597959" cy="1477433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3</xdr:col>
      <xdr:colOff>264583</xdr:colOff>
      <xdr:row>110</xdr:row>
      <xdr:rowOff>25403</xdr:rowOff>
    </xdr:from>
    <xdr:to>
      <xdr:col>4</xdr:col>
      <xdr:colOff>4232</xdr:colOff>
      <xdr:row>110</xdr:row>
      <xdr:rowOff>222251</xdr:rowOff>
    </xdr:to>
    <xdr:sp macro="" textlink="">
      <xdr:nvSpPr>
        <xdr:cNvPr id="17" name="Rectángulo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/>
      </xdr:nvSpPr>
      <xdr:spPr>
        <a:xfrm>
          <a:off x="3169708" y="4073528"/>
          <a:ext cx="673099" cy="196848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4</xdr:col>
      <xdr:colOff>213789</xdr:colOff>
      <xdr:row>110</xdr:row>
      <xdr:rowOff>29640</xdr:rowOff>
    </xdr:from>
    <xdr:to>
      <xdr:col>5</xdr:col>
      <xdr:colOff>19051</xdr:colOff>
      <xdr:row>110</xdr:row>
      <xdr:rowOff>330208</xdr:rowOff>
    </xdr:to>
    <xdr:sp macro="" textlink="">
      <xdr:nvSpPr>
        <xdr:cNvPr id="18" name="Rectángulo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/>
      </xdr:nvSpPr>
      <xdr:spPr>
        <a:xfrm>
          <a:off x="4052364" y="4077765"/>
          <a:ext cx="652987" cy="195793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2</xdr:col>
      <xdr:colOff>120657</xdr:colOff>
      <xdr:row>99</xdr:row>
      <xdr:rowOff>89957</xdr:rowOff>
    </xdr:from>
    <xdr:to>
      <xdr:col>2</xdr:col>
      <xdr:colOff>158752</xdr:colOff>
      <xdr:row>108</xdr:row>
      <xdr:rowOff>121708</xdr:rowOff>
    </xdr:to>
    <xdr:cxnSp macro="">
      <xdr:nvCxnSpPr>
        <xdr:cNvPr id="19" name="Conector angula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0800000" flipV="1">
          <a:off x="2301882" y="1975907"/>
          <a:ext cx="38095" cy="1917701"/>
        </a:xfrm>
        <a:prstGeom prst="bentConnector3">
          <a:avLst>
            <a:gd name="adj1" fmla="val 505610"/>
          </a:avLst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211665</xdr:colOff>
      <xdr:row>108</xdr:row>
      <xdr:rowOff>31749</xdr:rowOff>
    </xdr:from>
    <xdr:to>
      <xdr:col>5</xdr:col>
      <xdr:colOff>21166</xdr:colOff>
      <xdr:row>108</xdr:row>
      <xdr:rowOff>254000</xdr:rowOff>
    </xdr:to>
    <xdr:sp macro="" textlink="">
      <xdr:nvSpPr>
        <xdr:cNvPr id="20" name="Rectángulo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/>
      </xdr:nvSpPr>
      <xdr:spPr>
        <a:xfrm>
          <a:off x="4050240" y="3803649"/>
          <a:ext cx="657226" cy="222251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3</xdr:col>
      <xdr:colOff>283640</xdr:colOff>
      <xdr:row>99</xdr:row>
      <xdr:rowOff>94193</xdr:rowOff>
    </xdr:from>
    <xdr:to>
      <xdr:col>3</xdr:col>
      <xdr:colOff>321735</xdr:colOff>
      <xdr:row>108</xdr:row>
      <xdr:rowOff>114832</xdr:rowOff>
    </xdr:to>
    <xdr:cxnSp macro="">
      <xdr:nvCxnSpPr>
        <xdr:cNvPr id="21" name="Conector angula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0800000" flipV="1">
          <a:off x="3188765" y="1980143"/>
          <a:ext cx="38095" cy="1906589"/>
        </a:xfrm>
        <a:prstGeom prst="bentConnector3">
          <a:avLst>
            <a:gd name="adj1" fmla="val 450046"/>
          </a:avLst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224375</xdr:colOff>
      <xdr:row>99</xdr:row>
      <xdr:rowOff>98430</xdr:rowOff>
    </xdr:from>
    <xdr:to>
      <xdr:col>4</xdr:col>
      <xdr:colOff>262470</xdr:colOff>
      <xdr:row>108</xdr:row>
      <xdr:rowOff>119069</xdr:rowOff>
    </xdr:to>
    <xdr:cxnSp macro="">
      <xdr:nvCxnSpPr>
        <xdr:cNvPr id="22" name="Conector angula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0800000" flipV="1">
          <a:off x="4062950" y="1984380"/>
          <a:ext cx="38095" cy="1906589"/>
        </a:xfrm>
        <a:prstGeom prst="bentConnector3">
          <a:avLst>
            <a:gd name="adj1" fmla="val 450046"/>
          </a:avLst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264589</xdr:colOff>
      <xdr:row>108</xdr:row>
      <xdr:rowOff>42332</xdr:rowOff>
    </xdr:from>
    <xdr:to>
      <xdr:col>3</xdr:col>
      <xdr:colOff>920756</xdr:colOff>
      <xdr:row>108</xdr:row>
      <xdr:rowOff>243415</xdr:rowOff>
    </xdr:to>
    <xdr:sp macro="" textlink="">
      <xdr:nvSpPr>
        <xdr:cNvPr id="23" name="Rectángulo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/>
      </xdr:nvSpPr>
      <xdr:spPr>
        <a:xfrm>
          <a:off x="3169714" y="3814232"/>
          <a:ext cx="656167" cy="201083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2</xdr:col>
      <xdr:colOff>105833</xdr:colOff>
      <xdr:row>108</xdr:row>
      <xdr:rowOff>31750</xdr:rowOff>
    </xdr:from>
    <xdr:to>
      <xdr:col>3</xdr:col>
      <xdr:colOff>42334</xdr:colOff>
      <xdr:row>108</xdr:row>
      <xdr:rowOff>243412</xdr:rowOff>
    </xdr:to>
    <xdr:sp macro="" textlink="">
      <xdr:nvSpPr>
        <xdr:cNvPr id="24" name="Rectángulo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/>
      </xdr:nvSpPr>
      <xdr:spPr>
        <a:xfrm>
          <a:off x="2287058" y="3803650"/>
          <a:ext cx="660401" cy="211662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2</xdr:col>
      <xdr:colOff>105833</xdr:colOff>
      <xdr:row>110</xdr:row>
      <xdr:rowOff>25403</xdr:rowOff>
    </xdr:from>
    <xdr:to>
      <xdr:col>3</xdr:col>
      <xdr:colOff>4232</xdr:colOff>
      <xdr:row>110</xdr:row>
      <xdr:rowOff>211666</xdr:rowOff>
    </xdr:to>
    <xdr:sp macro="" textlink="">
      <xdr:nvSpPr>
        <xdr:cNvPr id="25" name="Rectángulo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/>
      </xdr:nvSpPr>
      <xdr:spPr>
        <a:xfrm>
          <a:off x="2287058" y="4073528"/>
          <a:ext cx="622299" cy="186263"/>
        </a:xfrm>
        <a:prstGeom prst="rect">
          <a:avLst/>
        </a:prstGeom>
        <a:noFill/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357187</xdr:colOff>
      <xdr:row>13</xdr:row>
      <xdr:rowOff>35718</xdr:rowOff>
    </xdr:from>
    <xdr:to>
      <xdr:col>6</xdr:col>
      <xdr:colOff>607218</xdr:colOff>
      <xdr:row>13</xdr:row>
      <xdr:rowOff>202406</xdr:rowOff>
    </xdr:to>
    <xdr:sp macro="" textlink="">
      <xdr:nvSpPr>
        <xdr:cNvPr id="2" name="Flecha abaj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5155406" y="2297906"/>
          <a:ext cx="250031" cy="16668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6</xdr:col>
      <xdr:colOff>357187</xdr:colOff>
      <xdr:row>6</xdr:row>
      <xdr:rowOff>35718</xdr:rowOff>
    </xdr:from>
    <xdr:to>
      <xdr:col>6</xdr:col>
      <xdr:colOff>607218</xdr:colOff>
      <xdr:row>6</xdr:row>
      <xdr:rowOff>202406</xdr:rowOff>
    </xdr:to>
    <xdr:sp macro="" textlink="">
      <xdr:nvSpPr>
        <xdr:cNvPr id="3" name="Flecha abaj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5155406" y="2297906"/>
          <a:ext cx="250031" cy="16668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6</xdr:col>
      <xdr:colOff>381001</xdr:colOff>
      <xdr:row>18</xdr:row>
      <xdr:rowOff>59531</xdr:rowOff>
    </xdr:from>
    <xdr:to>
      <xdr:col>6</xdr:col>
      <xdr:colOff>619126</xdr:colOff>
      <xdr:row>19</xdr:row>
      <xdr:rowOff>23813</xdr:rowOff>
    </xdr:to>
    <xdr:sp macro="" textlink="">
      <xdr:nvSpPr>
        <xdr:cNvPr id="4" name="Flecha arriba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5179220" y="3226594"/>
          <a:ext cx="238125" cy="1905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"/>
  <sheetViews>
    <sheetView tabSelected="1" zoomScale="70" zoomScaleNormal="70" workbookViewId="0">
      <selection activeCell="E8" sqref="E8"/>
    </sheetView>
  </sheetViews>
  <sheetFormatPr baseColWidth="10" defaultColWidth="0" defaultRowHeight="15" zeroHeight="1" x14ac:dyDescent="0.25"/>
  <cols>
    <col min="1" max="1" width="5.85546875" customWidth="1"/>
    <col min="2" max="7" width="11.42578125" customWidth="1"/>
    <col min="8" max="8" width="6.140625" customWidth="1"/>
    <col min="9" max="9" width="3.28515625" customWidth="1"/>
    <col min="10" max="15" width="11.42578125" customWidth="1"/>
    <col min="16" max="16" width="6.7109375" customWidth="1"/>
    <col min="17" max="17" width="4.85546875" customWidth="1"/>
    <col min="19" max="16384" width="11.42578125" hidden="1"/>
  </cols>
  <sheetData>
    <row r="1" spans="1:17" x14ac:dyDescent="0.25">
      <c r="A1" s="396"/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</row>
    <row r="2" spans="1:17" x14ac:dyDescent="0.25">
      <c r="A2" s="396"/>
      <c r="B2" s="396"/>
      <c r="C2" s="396"/>
      <c r="D2" s="396"/>
      <c r="E2" s="396"/>
      <c r="F2" s="396"/>
      <c r="G2" s="396"/>
      <c r="H2" s="396"/>
      <c r="I2" s="396"/>
      <c r="J2" s="397" t="s">
        <v>791</v>
      </c>
      <c r="K2" s="396"/>
      <c r="L2" s="396"/>
      <c r="M2" s="396"/>
      <c r="N2" s="396"/>
      <c r="O2" s="396"/>
      <c r="P2" s="396"/>
      <c r="Q2" s="396"/>
    </row>
    <row r="3" spans="1:17" x14ac:dyDescent="0.25">
      <c r="A3" s="396"/>
      <c r="I3" s="396"/>
      <c r="Q3" s="396"/>
    </row>
    <row r="4" spans="1:17" x14ac:dyDescent="0.25">
      <c r="A4" s="396"/>
      <c r="I4" s="396"/>
      <c r="Q4" s="396"/>
    </row>
    <row r="5" spans="1:17" x14ac:dyDescent="0.25">
      <c r="A5" s="396"/>
      <c r="I5" s="396"/>
      <c r="Q5" s="396"/>
    </row>
    <row r="6" spans="1:17" x14ac:dyDescent="0.25">
      <c r="A6" s="396"/>
      <c r="I6" s="396"/>
      <c r="Q6" s="396"/>
    </row>
    <row r="7" spans="1:17" x14ac:dyDescent="0.25">
      <c r="A7" s="396"/>
      <c r="I7" s="396"/>
      <c r="Q7" s="396"/>
    </row>
    <row r="8" spans="1:17" x14ac:dyDescent="0.25">
      <c r="A8" s="396"/>
      <c r="I8" s="396"/>
      <c r="Q8" s="396"/>
    </row>
    <row r="9" spans="1:17" x14ac:dyDescent="0.25">
      <c r="A9" s="396"/>
      <c r="I9" s="396"/>
      <c r="Q9" s="396"/>
    </row>
    <row r="10" spans="1:17" x14ac:dyDescent="0.25">
      <c r="A10" s="396"/>
      <c r="I10" s="396"/>
      <c r="Q10" s="396"/>
    </row>
    <row r="11" spans="1:17" x14ac:dyDescent="0.25">
      <c r="A11" s="396"/>
      <c r="I11" s="396"/>
      <c r="Q11" s="396"/>
    </row>
    <row r="12" spans="1:17" x14ac:dyDescent="0.25">
      <c r="A12" s="396"/>
      <c r="I12" s="396"/>
      <c r="Q12" s="396"/>
    </row>
    <row r="13" spans="1:17" x14ac:dyDescent="0.25">
      <c r="A13" s="396"/>
      <c r="I13" s="396"/>
      <c r="Q13" s="396"/>
    </row>
    <row r="14" spans="1:17" x14ac:dyDescent="0.25">
      <c r="A14" s="396"/>
      <c r="I14" s="396"/>
      <c r="Q14" s="396"/>
    </row>
    <row r="15" spans="1:17" x14ac:dyDescent="0.25">
      <c r="A15" s="396"/>
      <c r="I15" s="396"/>
      <c r="Q15" s="396"/>
    </row>
    <row r="16" spans="1:17" x14ac:dyDescent="0.25">
      <c r="A16" s="396"/>
      <c r="I16" s="396"/>
      <c r="Q16" s="396"/>
    </row>
    <row r="17" spans="1:17" x14ac:dyDescent="0.25">
      <c r="A17" s="396"/>
      <c r="I17" s="396"/>
      <c r="Q17" s="396"/>
    </row>
    <row r="18" spans="1:17" x14ac:dyDescent="0.25">
      <c r="A18" s="396"/>
      <c r="I18" s="396"/>
      <c r="Q18" s="396"/>
    </row>
    <row r="19" spans="1:17" x14ac:dyDescent="0.25">
      <c r="A19" s="396"/>
      <c r="I19" s="396"/>
      <c r="Q19" s="396"/>
    </row>
    <row r="20" spans="1:17" x14ac:dyDescent="0.25">
      <c r="A20" s="396"/>
      <c r="I20" s="396"/>
      <c r="Q20" s="396"/>
    </row>
    <row r="21" spans="1:17" x14ac:dyDescent="0.25">
      <c r="A21" s="396"/>
      <c r="I21" s="396"/>
      <c r="Q21" s="396"/>
    </row>
    <row r="22" spans="1:17" x14ac:dyDescent="0.25">
      <c r="A22" s="396"/>
      <c r="I22" s="396"/>
      <c r="Q22" s="396"/>
    </row>
    <row r="23" spans="1:17" x14ac:dyDescent="0.25">
      <c r="A23" s="396"/>
      <c r="I23" s="396"/>
      <c r="Q23" s="396"/>
    </row>
    <row r="24" spans="1:17" x14ac:dyDescent="0.25">
      <c r="A24" s="396"/>
      <c r="I24" s="396"/>
      <c r="Q24" s="396"/>
    </row>
    <row r="25" spans="1:17" x14ac:dyDescent="0.25">
      <c r="A25" s="396"/>
      <c r="I25" s="396"/>
      <c r="Q25" s="396"/>
    </row>
    <row r="26" spans="1:17" x14ac:dyDescent="0.25">
      <c r="A26" s="396"/>
      <c r="I26" s="396"/>
      <c r="Q26" s="396"/>
    </row>
    <row r="27" spans="1:17" x14ac:dyDescent="0.25">
      <c r="A27" s="396"/>
      <c r="I27" s="396"/>
      <c r="Q27" s="396"/>
    </row>
    <row r="28" spans="1:17" x14ac:dyDescent="0.25">
      <c r="A28" s="396"/>
      <c r="I28" s="396"/>
      <c r="Q28" s="396"/>
    </row>
    <row r="29" spans="1:17" x14ac:dyDescent="0.25">
      <c r="A29" s="396"/>
      <c r="I29" s="396"/>
      <c r="Q29" s="396"/>
    </row>
    <row r="30" spans="1:17" x14ac:dyDescent="0.25">
      <c r="A30" s="396"/>
      <c r="I30" s="396"/>
      <c r="Q30" s="396"/>
    </row>
    <row r="31" spans="1:17" x14ac:dyDescent="0.25">
      <c r="A31" s="396"/>
      <c r="I31" s="396"/>
      <c r="Q31" s="396"/>
    </row>
    <row r="32" spans="1:17" x14ac:dyDescent="0.25">
      <c r="A32" s="396"/>
      <c r="I32" s="396"/>
      <c r="Q32" s="396"/>
    </row>
    <row r="33" spans="1:17" x14ac:dyDescent="0.25">
      <c r="A33" s="396"/>
      <c r="I33" s="396"/>
      <c r="Q33" s="396"/>
    </row>
    <row r="34" spans="1:17" x14ac:dyDescent="0.25">
      <c r="A34" s="396"/>
      <c r="I34" s="396"/>
      <c r="Q34" s="396"/>
    </row>
    <row r="35" spans="1:17" x14ac:dyDescent="0.25">
      <c r="A35" s="396"/>
      <c r="I35" s="396"/>
      <c r="Q35" s="396"/>
    </row>
    <row r="36" spans="1:17" x14ac:dyDescent="0.25">
      <c r="A36" s="396"/>
      <c r="I36" s="396"/>
      <c r="Q36" s="396"/>
    </row>
    <row r="37" spans="1:17" x14ac:dyDescent="0.25">
      <c r="A37" s="396"/>
      <c r="I37" s="396"/>
      <c r="Q37" s="396"/>
    </row>
    <row r="38" spans="1:17" x14ac:dyDescent="0.25">
      <c r="A38" s="396"/>
      <c r="B38" s="396"/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6"/>
    </row>
    <row r="39" spans="1:17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324"/>
  <sheetViews>
    <sheetView zoomScale="80" zoomScaleNormal="80" workbookViewId="0">
      <selection sqref="A1:XFD3"/>
    </sheetView>
  </sheetViews>
  <sheetFormatPr baseColWidth="10" defaultColWidth="0" defaultRowHeight="17.25" customHeight="1" zeroHeight="1" x14ac:dyDescent="0.25"/>
  <cols>
    <col min="1" max="1" width="1.5703125" style="42" customWidth="1"/>
    <col min="2" max="2" width="21.42578125" style="42" customWidth="1"/>
    <col min="3" max="6" width="11.140625" style="42" customWidth="1"/>
    <col min="7" max="7" width="12" style="42" customWidth="1"/>
    <col min="8" max="8" width="4" style="42" customWidth="1"/>
    <col min="9" max="19" width="0" style="42" hidden="1" customWidth="1"/>
    <col min="20" max="20" width="0" style="1" hidden="1" customWidth="1"/>
    <col min="21" max="16384" width="11.42578125" style="1" hidden="1"/>
  </cols>
  <sheetData>
    <row r="1" spans="1:8" s="420" customFormat="1" ht="15" x14ac:dyDescent="0.25">
      <c r="A1" s="420" t="s">
        <v>917</v>
      </c>
    </row>
    <row r="2" spans="1:8" s="420" customFormat="1" ht="15" x14ac:dyDescent="0.25"/>
    <row r="3" spans="1:8" s="420" customFormat="1" ht="15" x14ac:dyDescent="0.25"/>
    <row r="4" spans="1:8" customFormat="1" ht="15" x14ac:dyDescent="0.25">
      <c r="A4" s="403" t="s">
        <v>861</v>
      </c>
      <c r="B4" s="403"/>
      <c r="C4" s="403"/>
      <c r="D4" s="403"/>
      <c r="E4" s="403"/>
      <c r="F4" s="403"/>
      <c r="G4" s="403"/>
      <c r="H4" s="403"/>
    </row>
    <row r="5" spans="1:8" ht="18" x14ac:dyDescent="0.25">
      <c r="A5" s="198"/>
      <c r="B5" s="198"/>
      <c r="C5" s="198"/>
      <c r="D5" s="198"/>
      <c r="E5" s="198"/>
      <c r="F5" s="199">
        <v>0.3</v>
      </c>
      <c r="G5" s="200"/>
      <c r="H5" s="196"/>
    </row>
    <row r="6" spans="1:8" ht="18" x14ac:dyDescent="0.25">
      <c r="A6" s="98"/>
      <c r="B6" s="98"/>
      <c r="C6" s="54"/>
      <c r="D6" s="54"/>
      <c r="E6" s="54"/>
      <c r="F6" s="423" t="s">
        <v>509</v>
      </c>
      <c r="G6" s="423"/>
      <c r="H6" s="196"/>
    </row>
    <row r="7" spans="1:8" ht="18" x14ac:dyDescent="0.25">
      <c r="A7" s="98"/>
      <c r="B7" s="98"/>
      <c r="C7" s="54"/>
      <c r="D7" s="54"/>
      <c r="E7" s="98" t="s">
        <v>33</v>
      </c>
      <c r="F7" s="422" t="s">
        <v>189</v>
      </c>
      <c r="G7" s="422"/>
      <c r="H7" s="196"/>
    </row>
    <row r="8" spans="1:8" ht="18" x14ac:dyDescent="0.25">
      <c r="A8" s="98"/>
      <c r="B8" s="98"/>
      <c r="C8" s="54"/>
      <c r="D8" s="54"/>
      <c r="E8" s="98" t="s">
        <v>78</v>
      </c>
      <c r="F8" s="98" t="s">
        <v>508</v>
      </c>
      <c r="G8" s="98" t="s">
        <v>6</v>
      </c>
      <c r="H8" s="196"/>
    </row>
    <row r="9" spans="1:8" ht="18" x14ac:dyDescent="0.25">
      <c r="A9" s="201" t="s">
        <v>219</v>
      </c>
      <c r="B9" s="201"/>
      <c r="C9" s="198"/>
      <c r="D9" s="198"/>
      <c r="E9" s="200" t="s">
        <v>1</v>
      </c>
      <c r="F9" s="200" t="s">
        <v>1</v>
      </c>
      <c r="G9" s="200" t="s">
        <v>1</v>
      </c>
      <c r="H9" s="196"/>
    </row>
    <row r="10" spans="1:8" ht="18" x14ac:dyDescent="0.25">
      <c r="A10" s="145" t="s">
        <v>198</v>
      </c>
      <c r="B10" s="145"/>
      <c r="C10" s="48"/>
      <c r="D10" s="48"/>
      <c r="E10" s="48">
        <v>500000</v>
      </c>
      <c r="F10" s="48">
        <f>+E10*$F$5</f>
        <v>150000</v>
      </c>
      <c r="G10" s="48">
        <f>+F10</f>
        <v>150000</v>
      </c>
      <c r="H10" s="196"/>
    </row>
    <row r="11" spans="1:8" ht="18" x14ac:dyDescent="0.25">
      <c r="A11" s="145" t="s">
        <v>199</v>
      </c>
      <c r="B11" s="145"/>
      <c r="C11" s="48"/>
      <c r="D11" s="48"/>
      <c r="E11" s="48">
        <v>600000</v>
      </c>
      <c r="F11" s="48">
        <f>+E11*$F$5</f>
        <v>180000</v>
      </c>
      <c r="G11" s="48">
        <f>+F11+G10</f>
        <v>330000</v>
      </c>
      <c r="H11" s="196"/>
    </row>
    <row r="12" spans="1:8" ht="18" x14ac:dyDescent="0.25">
      <c r="A12" s="145" t="s">
        <v>200</v>
      </c>
      <c r="B12" s="145"/>
      <c r="C12" s="48"/>
      <c r="D12" s="48"/>
      <c r="E12" s="48">
        <v>700000</v>
      </c>
      <c r="F12" s="48">
        <f>+E12*$F$5</f>
        <v>210000</v>
      </c>
      <c r="G12" s="48">
        <f>+F12+G11</f>
        <v>540000</v>
      </c>
      <c r="H12" s="196"/>
    </row>
    <row r="13" spans="1:8" ht="18" x14ac:dyDescent="0.25">
      <c r="A13" s="142"/>
      <c r="B13" s="142"/>
      <c r="C13" s="48"/>
      <c r="D13" s="75"/>
      <c r="E13" s="75"/>
      <c r="F13" s="75"/>
      <c r="G13" s="75"/>
      <c r="H13" s="196"/>
    </row>
    <row r="14" spans="1:8" s="42" customFormat="1" ht="15" x14ac:dyDescent="0.2">
      <c r="A14" s="98"/>
      <c r="B14" s="54"/>
      <c r="C14" s="54"/>
      <c r="D14" s="98" t="s">
        <v>213</v>
      </c>
      <c r="E14" s="98" t="s">
        <v>214</v>
      </c>
      <c r="F14" s="98" t="s">
        <v>276</v>
      </c>
      <c r="G14" s="98" t="s">
        <v>277</v>
      </c>
      <c r="H14" s="196"/>
    </row>
    <row r="15" spans="1:8" s="42" customFormat="1" ht="15" x14ac:dyDescent="0.2">
      <c r="A15" s="149" t="s">
        <v>220</v>
      </c>
      <c r="B15" s="54"/>
      <c r="C15" s="54"/>
      <c r="D15" s="98" t="s">
        <v>1</v>
      </c>
      <c r="E15" s="98" t="s">
        <v>1</v>
      </c>
      <c r="F15" s="98" t="s">
        <v>1</v>
      </c>
      <c r="G15" s="98" t="s">
        <v>1</v>
      </c>
      <c r="H15" s="196"/>
    </row>
    <row r="16" spans="1:8" s="42" customFormat="1" ht="15" x14ac:dyDescent="0.2">
      <c r="A16" s="145" t="s">
        <v>221</v>
      </c>
      <c r="B16" s="47"/>
      <c r="C16" s="47"/>
      <c r="D16" s="48">
        <v>0</v>
      </c>
      <c r="E16" s="48">
        <f>+'S-5'!E10</f>
        <v>500000</v>
      </c>
      <c r="F16" s="48">
        <f>+E16-D16</f>
        <v>500000</v>
      </c>
      <c r="G16" s="48">
        <f>+F16*0.3</f>
        <v>150000</v>
      </c>
      <c r="H16" s="196"/>
    </row>
    <row r="17" spans="1:8" s="42" customFormat="1" ht="15" x14ac:dyDescent="0.2">
      <c r="A17" s="145" t="s">
        <v>222</v>
      </c>
      <c r="B17" s="47"/>
      <c r="C17" s="47"/>
      <c r="D17" s="48">
        <v>0</v>
      </c>
      <c r="E17" s="48">
        <f>+E16+'S-5'!E11</f>
        <v>1100000</v>
      </c>
      <c r="F17" s="48">
        <f>+E17-D17</f>
        <v>1100000</v>
      </c>
      <c r="G17" s="48">
        <f>+F17*0.3</f>
        <v>330000</v>
      </c>
      <c r="H17" s="196"/>
    </row>
    <row r="18" spans="1:8" s="42" customFormat="1" ht="15" x14ac:dyDescent="0.2">
      <c r="A18" s="145" t="s">
        <v>223</v>
      </c>
      <c r="B18" s="47"/>
      <c r="C18" s="47"/>
      <c r="D18" s="48">
        <v>0</v>
      </c>
      <c r="E18" s="48">
        <f>+E17+'S-5'!E12</f>
        <v>1800000</v>
      </c>
      <c r="F18" s="48">
        <f>+E18-D18</f>
        <v>1800000</v>
      </c>
      <c r="G18" s="48">
        <f>+F18*0.3</f>
        <v>540000</v>
      </c>
      <c r="H18" s="196"/>
    </row>
    <row r="19" spans="1:8" s="42" customFormat="1" ht="15.75" x14ac:dyDescent="0.25">
      <c r="A19" s="47"/>
      <c r="B19" s="47"/>
      <c r="C19" s="47"/>
      <c r="D19" s="47"/>
      <c r="E19" s="48"/>
      <c r="F19" s="48"/>
      <c r="G19" s="52"/>
      <c r="H19" s="196"/>
    </row>
    <row r="20" spans="1:8" s="42" customFormat="1" ht="15.75" x14ac:dyDescent="0.25">
      <c r="A20" s="47" t="s">
        <v>487</v>
      </c>
      <c r="B20" s="47"/>
      <c r="C20" s="47"/>
      <c r="D20" s="47"/>
      <c r="E20" s="48"/>
      <c r="F20" s="48"/>
      <c r="G20" s="52"/>
      <c r="H20" s="196"/>
    </row>
    <row r="21" spans="1:8" s="42" customFormat="1" ht="15.75" x14ac:dyDescent="0.25">
      <c r="A21" s="47" t="s">
        <v>488</v>
      </c>
      <c r="B21" s="47"/>
      <c r="C21" s="47"/>
      <c r="D21" s="47"/>
      <c r="E21" s="48"/>
      <c r="F21" s="48"/>
      <c r="G21" s="52"/>
      <c r="H21" s="196"/>
    </row>
    <row r="22" spans="1:8" s="42" customFormat="1" ht="15.75" x14ac:dyDescent="0.25">
      <c r="A22" s="47" t="s">
        <v>406</v>
      </c>
      <c r="B22" s="47"/>
      <c r="C22" s="47"/>
      <c r="D22" s="47"/>
      <c r="E22" s="48"/>
      <c r="F22" s="48"/>
      <c r="G22" s="52"/>
      <c r="H22" s="196"/>
    </row>
    <row r="23" spans="1:8" s="42" customFormat="1" ht="15.75" x14ac:dyDescent="0.25">
      <c r="A23" s="47" t="s">
        <v>407</v>
      </c>
      <c r="B23" s="47"/>
      <c r="C23" s="47"/>
      <c r="D23" s="47"/>
      <c r="E23" s="48"/>
      <c r="F23" s="48"/>
      <c r="G23" s="52"/>
      <c r="H23" s="196"/>
    </row>
    <row r="24" spans="1:8" s="42" customFormat="1" ht="15.75" x14ac:dyDescent="0.25">
      <c r="A24" s="47"/>
      <c r="B24" s="47"/>
      <c r="C24" s="47"/>
      <c r="D24" s="47"/>
      <c r="E24" s="48"/>
      <c r="F24" s="48"/>
      <c r="G24" s="52"/>
      <c r="H24" s="196"/>
    </row>
    <row r="25" spans="1:8" customFormat="1" ht="15" x14ac:dyDescent="0.25">
      <c r="A25" s="403" t="s">
        <v>862</v>
      </c>
      <c r="B25" s="403"/>
      <c r="C25" s="403"/>
      <c r="D25" s="403"/>
      <c r="E25" s="403"/>
      <c r="F25" s="403"/>
      <c r="G25" s="403"/>
      <c r="H25" s="403"/>
    </row>
    <row r="26" spans="1:8" s="42" customFormat="1" ht="15.75" x14ac:dyDescent="0.25">
      <c r="A26" s="142" t="s">
        <v>221</v>
      </c>
      <c r="B26" s="48"/>
      <c r="C26" s="47"/>
      <c r="D26" s="47"/>
      <c r="E26" s="75" t="s">
        <v>68</v>
      </c>
      <c r="F26" s="75" t="s">
        <v>28</v>
      </c>
      <c r="G26" s="75" t="s">
        <v>277</v>
      </c>
      <c r="H26" s="196"/>
    </row>
    <row r="27" spans="1:8" s="42" customFormat="1" ht="15" x14ac:dyDescent="0.2">
      <c r="A27" s="145" t="s">
        <v>240</v>
      </c>
      <c r="B27" s="48"/>
      <c r="C27" s="47"/>
      <c r="D27" s="47"/>
      <c r="E27" s="48">
        <f>+G16</f>
        <v>150000</v>
      </c>
      <c r="F27" s="48"/>
      <c r="G27" s="48"/>
      <c r="H27" s="196"/>
    </row>
    <row r="28" spans="1:8" s="42" customFormat="1" ht="15.75" x14ac:dyDescent="0.25">
      <c r="A28" s="145" t="s">
        <v>63</v>
      </c>
      <c r="B28" s="48"/>
      <c r="C28" s="47"/>
      <c r="D28" s="47"/>
      <c r="E28" s="48"/>
      <c r="F28" s="48">
        <f>+E27</f>
        <v>150000</v>
      </c>
      <c r="G28" s="52">
        <f>+F28</f>
        <v>150000</v>
      </c>
      <c r="H28" s="196"/>
    </row>
    <row r="29" spans="1:8" s="42" customFormat="1" ht="15.75" x14ac:dyDescent="0.25">
      <c r="A29" s="145"/>
      <c r="B29" s="48"/>
      <c r="C29" s="47"/>
      <c r="D29" s="47"/>
      <c r="E29" s="48"/>
      <c r="F29" s="48"/>
      <c r="G29" s="52"/>
      <c r="H29" s="196"/>
    </row>
    <row r="30" spans="1:8" s="42" customFormat="1" ht="15.75" x14ac:dyDescent="0.25">
      <c r="A30" s="142" t="s">
        <v>222</v>
      </c>
      <c r="B30" s="48"/>
      <c r="C30" s="47"/>
      <c r="D30" s="47"/>
      <c r="E30" s="75" t="s">
        <v>68</v>
      </c>
      <c r="F30" s="75" t="s">
        <v>28</v>
      </c>
      <c r="G30" s="52"/>
      <c r="H30" s="196"/>
    </row>
    <row r="31" spans="1:8" s="42" customFormat="1" ht="15.75" x14ac:dyDescent="0.25">
      <c r="A31" s="145" t="s">
        <v>240</v>
      </c>
      <c r="B31" s="48"/>
      <c r="C31" s="47"/>
      <c r="D31" s="47"/>
      <c r="E31" s="48">
        <f>+G17-G28</f>
        <v>180000</v>
      </c>
      <c r="F31" s="48"/>
      <c r="G31" s="52"/>
      <c r="H31" s="196"/>
    </row>
    <row r="32" spans="1:8" s="42" customFormat="1" ht="15.75" x14ac:dyDescent="0.25">
      <c r="A32" s="145" t="s">
        <v>63</v>
      </c>
      <c r="B32" s="48"/>
      <c r="C32" s="47"/>
      <c r="D32" s="47"/>
      <c r="E32" s="48"/>
      <c r="F32" s="48">
        <f>+E31</f>
        <v>180000</v>
      </c>
      <c r="G32" s="52">
        <f>+F32+G28</f>
        <v>330000</v>
      </c>
      <c r="H32" s="196"/>
    </row>
    <row r="33" spans="1:8" s="42" customFormat="1" ht="15.75" x14ac:dyDescent="0.25">
      <c r="A33" s="145"/>
      <c r="B33" s="48"/>
      <c r="C33" s="47"/>
      <c r="D33" s="47"/>
      <c r="E33" s="48"/>
      <c r="F33" s="48"/>
      <c r="G33" s="52"/>
      <c r="H33" s="196"/>
    </row>
    <row r="34" spans="1:8" s="42" customFormat="1" ht="15.75" x14ac:dyDescent="0.25">
      <c r="A34" s="142" t="s">
        <v>223</v>
      </c>
      <c r="B34" s="48"/>
      <c r="C34" s="47"/>
      <c r="D34" s="47"/>
      <c r="E34" s="75" t="s">
        <v>68</v>
      </c>
      <c r="F34" s="75" t="s">
        <v>28</v>
      </c>
      <c r="G34" s="52"/>
      <c r="H34" s="196"/>
    </row>
    <row r="35" spans="1:8" s="42" customFormat="1" ht="15.75" x14ac:dyDescent="0.25">
      <c r="A35" s="145" t="s">
        <v>240</v>
      </c>
      <c r="B35" s="48"/>
      <c r="C35" s="47"/>
      <c r="D35" s="47"/>
      <c r="E35" s="48">
        <f>+G18-G32</f>
        <v>210000</v>
      </c>
      <c r="F35" s="48"/>
      <c r="G35" s="52"/>
      <c r="H35" s="196"/>
    </row>
    <row r="36" spans="1:8" s="42" customFormat="1" ht="15.75" x14ac:dyDescent="0.25">
      <c r="A36" s="145" t="s">
        <v>63</v>
      </c>
      <c r="B36" s="48"/>
      <c r="C36" s="47"/>
      <c r="D36" s="47"/>
      <c r="E36" s="48"/>
      <c r="F36" s="48">
        <f>+E35</f>
        <v>210000</v>
      </c>
      <c r="G36" s="52">
        <f>+F36+G32</f>
        <v>540000</v>
      </c>
      <c r="H36" s="196"/>
    </row>
    <row r="37" spans="1:8" s="42" customFormat="1" ht="15" x14ac:dyDescent="0.2">
      <c r="A37" s="145"/>
      <c r="B37" s="93"/>
      <c r="C37" s="145"/>
      <c r="D37" s="83"/>
      <c r="E37" s="78"/>
      <c r="F37" s="78"/>
      <c r="G37" s="78"/>
      <c r="H37" s="196"/>
    </row>
    <row r="38" spans="1:8" customFormat="1" ht="15" x14ac:dyDescent="0.25">
      <c r="A38" s="403" t="s">
        <v>863</v>
      </c>
      <c r="B38" s="403"/>
      <c r="C38" s="403"/>
      <c r="D38" s="403"/>
      <c r="E38" s="403"/>
      <c r="F38" s="403"/>
      <c r="G38" s="403"/>
      <c r="H38" s="403"/>
    </row>
    <row r="39" spans="1:8" s="42" customFormat="1" ht="15" x14ac:dyDescent="0.2">
      <c r="A39" s="149" t="s">
        <v>229</v>
      </c>
      <c r="B39" s="98"/>
      <c r="C39" s="200"/>
      <c r="D39" s="200"/>
      <c r="E39" s="200"/>
      <c r="F39" s="200"/>
      <c r="G39" s="200"/>
      <c r="H39" s="196"/>
    </row>
    <row r="40" spans="1:8" s="42" customFormat="1" ht="15" x14ac:dyDescent="0.2">
      <c r="A40" s="98"/>
      <c r="B40" s="98"/>
      <c r="C40" s="98" t="s">
        <v>226</v>
      </c>
      <c r="D40" s="98" t="s">
        <v>37</v>
      </c>
      <c r="E40" s="98" t="s">
        <v>228</v>
      </c>
      <c r="F40" s="422" t="s">
        <v>639</v>
      </c>
      <c r="G40" s="422"/>
      <c r="H40" s="196"/>
    </row>
    <row r="41" spans="1:8" s="42" customFormat="1" ht="15" x14ac:dyDescent="0.2">
      <c r="A41" s="98"/>
      <c r="B41" s="98"/>
      <c r="C41" s="200" t="s">
        <v>227</v>
      </c>
      <c r="D41" s="200" t="s">
        <v>227</v>
      </c>
      <c r="E41" s="200" t="s">
        <v>227</v>
      </c>
      <c r="F41" s="202" t="s">
        <v>640</v>
      </c>
      <c r="G41" s="202" t="s">
        <v>6</v>
      </c>
      <c r="H41" s="196"/>
    </row>
    <row r="42" spans="1:8" s="42" customFormat="1" ht="15" x14ac:dyDescent="0.2">
      <c r="A42" s="98"/>
      <c r="B42" s="149" t="s">
        <v>219</v>
      </c>
      <c r="C42" s="98" t="s">
        <v>1</v>
      </c>
      <c r="D42" s="98" t="s">
        <v>1</v>
      </c>
      <c r="E42" s="98" t="s">
        <v>1</v>
      </c>
      <c r="F42" s="98" t="s">
        <v>1</v>
      </c>
      <c r="G42" s="98" t="s">
        <v>1</v>
      </c>
      <c r="H42" s="196"/>
    </row>
    <row r="43" spans="1:8" s="42" customFormat="1" ht="15" x14ac:dyDescent="0.2">
      <c r="A43" s="70">
        <v>1994</v>
      </c>
      <c r="B43" s="145">
        <v>1994</v>
      </c>
      <c r="C43" s="48">
        <v>100000</v>
      </c>
      <c r="D43" s="48">
        <f t="shared" ref="D43:D49" si="0">+C43*80%</f>
        <v>80000</v>
      </c>
      <c r="E43" s="48">
        <f t="shared" ref="E43:E49" si="1">+C43-D43</f>
        <v>20000</v>
      </c>
      <c r="F43" s="48">
        <f t="shared" ref="F43:F49" si="2">+E43*30%</f>
        <v>6000</v>
      </c>
      <c r="G43" s="48">
        <f>+F43</f>
        <v>6000</v>
      </c>
      <c r="H43" s="196"/>
    </row>
    <row r="44" spans="1:8" s="42" customFormat="1" ht="15" x14ac:dyDescent="0.2">
      <c r="A44" s="70">
        <f t="shared" ref="A44:B49" si="3">+A43+1</f>
        <v>1995</v>
      </c>
      <c r="B44" s="145">
        <f t="shared" si="3"/>
        <v>1995</v>
      </c>
      <c r="C44" s="48">
        <v>120000</v>
      </c>
      <c r="D44" s="48">
        <f t="shared" si="0"/>
        <v>96000</v>
      </c>
      <c r="E44" s="48">
        <f t="shared" si="1"/>
        <v>24000</v>
      </c>
      <c r="F44" s="48">
        <f t="shared" si="2"/>
        <v>7200</v>
      </c>
      <c r="G44" s="48">
        <f t="shared" ref="G44:G49" si="4">+F44+G43</f>
        <v>13200</v>
      </c>
      <c r="H44" s="196"/>
    </row>
    <row r="45" spans="1:8" s="42" customFormat="1" ht="15" x14ac:dyDescent="0.2">
      <c r="A45" s="70">
        <f t="shared" si="3"/>
        <v>1996</v>
      </c>
      <c r="B45" s="145">
        <f t="shared" si="3"/>
        <v>1996</v>
      </c>
      <c r="C45" s="48">
        <v>150000</v>
      </c>
      <c r="D45" s="48">
        <f t="shared" si="0"/>
        <v>120000</v>
      </c>
      <c r="E45" s="48">
        <f t="shared" si="1"/>
        <v>30000</v>
      </c>
      <c r="F45" s="48">
        <f t="shared" si="2"/>
        <v>9000</v>
      </c>
      <c r="G45" s="48">
        <f t="shared" si="4"/>
        <v>22200</v>
      </c>
      <c r="H45" s="196"/>
    </row>
    <row r="46" spans="1:8" s="42" customFormat="1" ht="15" x14ac:dyDescent="0.2">
      <c r="A46" s="70">
        <f t="shared" si="3"/>
        <v>1997</v>
      </c>
      <c r="B46" s="145">
        <f t="shared" si="3"/>
        <v>1997</v>
      </c>
      <c r="C46" s="48">
        <v>130000</v>
      </c>
      <c r="D46" s="48">
        <f t="shared" si="0"/>
        <v>104000</v>
      </c>
      <c r="E46" s="48">
        <f t="shared" si="1"/>
        <v>26000</v>
      </c>
      <c r="F46" s="48">
        <f t="shared" si="2"/>
        <v>7800</v>
      </c>
      <c r="G46" s="48">
        <f t="shared" si="4"/>
        <v>30000</v>
      </c>
      <c r="H46" s="196"/>
    </row>
    <row r="47" spans="1:8" s="42" customFormat="1" ht="15" x14ac:dyDescent="0.2">
      <c r="A47" s="70">
        <f t="shared" si="3"/>
        <v>1998</v>
      </c>
      <c r="B47" s="145">
        <f t="shared" si="3"/>
        <v>1998</v>
      </c>
      <c r="C47" s="48">
        <v>140000</v>
      </c>
      <c r="D47" s="48">
        <f t="shared" si="0"/>
        <v>112000</v>
      </c>
      <c r="E47" s="48">
        <f t="shared" si="1"/>
        <v>28000</v>
      </c>
      <c r="F47" s="48">
        <f t="shared" si="2"/>
        <v>8400</v>
      </c>
      <c r="G47" s="48">
        <f t="shared" si="4"/>
        <v>38400</v>
      </c>
      <c r="H47" s="196"/>
    </row>
    <row r="48" spans="1:8" s="42" customFormat="1" ht="15" x14ac:dyDescent="0.2">
      <c r="A48" s="70">
        <f t="shared" si="3"/>
        <v>1999</v>
      </c>
      <c r="B48" s="145">
        <f t="shared" si="3"/>
        <v>1999</v>
      </c>
      <c r="C48" s="48">
        <v>200000</v>
      </c>
      <c r="D48" s="48">
        <f t="shared" si="0"/>
        <v>160000</v>
      </c>
      <c r="E48" s="48">
        <f t="shared" si="1"/>
        <v>40000</v>
      </c>
      <c r="F48" s="48">
        <f t="shared" si="2"/>
        <v>12000</v>
      </c>
      <c r="G48" s="48">
        <f t="shared" si="4"/>
        <v>50400</v>
      </c>
      <c r="H48" s="196"/>
    </row>
    <row r="49" spans="1:8" s="42" customFormat="1" ht="15" x14ac:dyDescent="0.2">
      <c r="A49" s="70">
        <f t="shared" si="3"/>
        <v>2000</v>
      </c>
      <c r="B49" s="145">
        <f t="shared" si="3"/>
        <v>2000</v>
      </c>
      <c r="C49" s="48">
        <v>200000</v>
      </c>
      <c r="D49" s="48">
        <f t="shared" si="0"/>
        <v>160000</v>
      </c>
      <c r="E49" s="48">
        <f t="shared" si="1"/>
        <v>40000</v>
      </c>
      <c r="F49" s="48">
        <f t="shared" si="2"/>
        <v>12000</v>
      </c>
      <c r="G49" s="48">
        <f t="shared" si="4"/>
        <v>62400</v>
      </c>
      <c r="H49" s="196"/>
    </row>
    <row r="50" spans="1:8" s="42" customFormat="1" ht="15" x14ac:dyDescent="0.2">
      <c r="A50" s="70"/>
      <c r="B50" s="145"/>
      <c r="C50" s="48"/>
      <c r="D50" s="48"/>
      <c r="E50" s="48"/>
      <c r="F50" s="48"/>
      <c r="G50" s="48"/>
      <c r="H50" s="196"/>
    </row>
    <row r="51" spans="1:8" s="42" customFormat="1" ht="15" x14ac:dyDescent="0.2">
      <c r="A51" s="145" t="s">
        <v>638</v>
      </c>
      <c r="B51" s="145"/>
      <c r="C51" s="48"/>
      <c r="D51" s="48"/>
      <c r="E51" s="48"/>
      <c r="F51" s="48"/>
      <c r="G51" s="48"/>
      <c r="H51" s="196"/>
    </row>
    <row r="52" spans="1:8" s="42" customFormat="1" ht="15" x14ac:dyDescent="0.2">
      <c r="A52" s="145" t="s">
        <v>641</v>
      </c>
      <c r="B52" s="145"/>
      <c r="C52" s="48"/>
      <c r="D52" s="48"/>
      <c r="E52" s="48"/>
      <c r="F52" s="48"/>
      <c r="G52" s="48"/>
      <c r="H52" s="196"/>
    </row>
    <row r="53" spans="1:8" s="42" customFormat="1" ht="15.75" x14ac:dyDescent="0.25">
      <c r="A53" s="70"/>
      <c r="B53" s="48"/>
      <c r="C53" s="48"/>
      <c r="D53" s="48"/>
      <c r="E53" s="48"/>
      <c r="F53" s="48"/>
      <c r="G53" s="52"/>
      <c r="H53" s="196"/>
    </row>
    <row r="54" spans="1:8" customFormat="1" ht="15" x14ac:dyDescent="0.25">
      <c r="A54" s="403" t="s">
        <v>864</v>
      </c>
      <c r="B54" s="403"/>
      <c r="C54" s="403"/>
      <c r="D54" s="403"/>
      <c r="E54" s="403"/>
      <c r="F54" s="403"/>
      <c r="G54" s="403"/>
      <c r="H54" s="403"/>
    </row>
    <row r="55" spans="1:8" s="42" customFormat="1" ht="15" x14ac:dyDescent="0.2">
      <c r="A55" s="149" t="s">
        <v>511</v>
      </c>
      <c r="B55" s="98"/>
      <c r="C55" s="98"/>
      <c r="D55" s="98"/>
      <c r="E55" s="98"/>
      <c r="F55" s="98"/>
      <c r="G55" s="98"/>
      <c r="H55" s="196"/>
    </row>
    <row r="56" spans="1:8" s="42" customFormat="1" ht="15" x14ac:dyDescent="0.2">
      <c r="A56" s="98"/>
      <c r="B56" s="98"/>
      <c r="C56" s="98"/>
      <c r="D56" s="98"/>
      <c r="E56" s="98"/>
      <c r="F56" s="98"/>
      <c r="G56" s="98" t="s">
        <v>277</v>
      </c>
      <c r="H56" s="196"/>
    </row>
    <row r="57" spans="1:8" s="42" customFormat="1" ht="15" x14ac:dyDescent="0.2">
      <c r="A57" s="98"/>
      <c r="B57" s="98"/>
      <c r="C57" s="98"/>
      <c r="D57" s="98" t="s">
        <v>213</v>
      </c>
      <c r="E57" s="98" t="s">
        <v>214</v>
      </c>
      <c r="F57" s="98" t="s">
        <v>276</v>
      </c>
      <c r="G57" s="202" t="s">
        <v>510</v>
      </c>
      <c r="H57" s="196"/>
    </row>
    <row r="58" spans="1:8" s="42" customFormat="1" ht="15" x14ac:dyDescent="0.2">
      <c r="A58" s="98"/>
      <c r="B58" s="149" t="s">
        <v>489</v>
      </c>
      <c r="C58" s="98"/>
      <c r="D58" s="98" t="s">
        <v>1</v>
      </c>
      <c r="E58" s="98" t="s">
        <v>1</v>
      </c>
      <c r="F58" s="98" t="s">
        <v>1</v>
      </c>
      <c r="G58" s="98" t="s">
        <v>1</v>
      </c>
      <c r="H58" s="196"/>
    </row>
    <row r="59" spans="1:8" s="42" customFormat="1" ht="15" x14ac:dyDescent="0.2">
      <c r="A59" s="70">
        <v>1994</v>
      </c>
      <c r="B59" s="145" t="s">
        <v>230</v>
      </c>
      <c r="C59" s="48"/>
      <c r="D59" s="48">
        <v>0</v>
      </c>
      <c r="E59" s="48">
        <f>+E43</f>
        <v>20000</v>
      </c>
      <c r="F59" s="48">
        <f>+E59-D59</f>
        <v>20000</v>
      </c>
      <c r="G59" s="48">
        <f t="shared" ref="G59:G65" si="5">+F59*0.3</f>
        <v>6000</v>
      </c>
      <c r="H59" s="196"/>
    </row>
    <row r="60" spans="1:8" s="42" customFormat="1" ht="15" x14ac:dyDescent="0.2">
      <c r="A60" s="70">
        <f t="shared" ref="A60:A65" si="6">+A59+1</f>
        <v>1995</v>
      </c>
      <c r="B60" s="145" t="s">
        <v>231</v>
      </c>
      <c r="C60" s="48"/>
      <c r="D60" s="48">
        <v>0</v>
      </c>
      <c r="E60" s="48">
        <f t="shared" ref="E60:E65" si="7">+E59+E44</f>
        <v>44000</v>
      </c>
      <c r="F60" s="48">
        <f>+E60-D60</f>
        <v>44000</v>
      </c>
      <c r="G60" s="48">
        <f t="shared" si="5"/>
        <v>13200</v>
      </c>
      <c r="H60" s="196"/>
    </row>
    <row r="61" spans="1:8" s="42" customFormat="1" ht="15" x14ac:dyDescent="0.2">
      <c r="A61" s="70">
        <f t="shared" si="6"/>
        <v>1996</v>
      </c>
      <c r="B61" s="145" t="s">
        <v>232</v>
      </c>
      <c r="C61" s="48"/>
      <c r="D61" s="48">
        <v>0</v>
      </c>
      <c r="E61" s="48">
        <f t="shared" si="7"/>
        <v>74000</v>
      </c>
      <c r="F61" s="48">
        <f t="shared" ref="F61:F65" si="8">+E61-D61</f>
        <v>74000</v>
      </c>
      <c r="G61" s="48">
        <f t="shared" si="5"/>
        <v>22200</v>
      </c>
      <c r="H61" s="196"/>
    </row>
    <row r="62" spans="1:8" s="42" customFormat="1" ht="15" x14ac:dyDescent="0.2">
      <c r="A62" s="70">
        <f t="shared" si="6"/>
        <v>1997</v>
      </c>
      <c r="B62" s="145" t="s">
        <v>233</v>
      </c>
      <c r="C62" s="48"/>
      <c r="D62" s="48">
        <v>0</v>
      </c>
      <c r="E62" s="48">
        <f t="shared" si="7"/>
        <v>100000</v>
      </c>
      <c r="F62" s="48">
        <f t="shared" si="8"/>
        <v>100000</v>
      </c>
      <c r="G62" s="48">
        <f t="shared" si="5"/>
        <v>30000</v>
      </c>
      <c r="H62" s="196"/>
    </row>
    <row r="63" spans="1:8" s="42" customFormat="1" ht="15" x14ac:dyDescent="0.2">
      <c r="A63" s="70">
        <f t="shared" si="6"/>
        <v>1998</v>
      </c>
      <c r="B63" s="145" t="s">
        <v>234</v>
      </c>
      <c r="C63" s="48"/>
      <c r="D63" s="48">
        <v>0</v>
      </c>
      <c r="E63" s="48">
        <f t="shared" si="7"/>
        <v>128000</v>
      </c>
      <c r="F63" s="48">
        <f t="shared" si="8"/>
        <v>128000</v>
      </c>
      <c r="G63" s="48">
        <f t="shared" si="5"/>
        <v>38400</v>
      </c>
      <c r="H63" s="196"/>
    </row>
    <row r="64" spans="1:8" s="42" customFormat="1" ht="15" x14ac:dyDescent="0.2">
      <c r="A64" s="70">
        <f t="shared" si="6"/>
        <v>1999</v>
      </c>
      <c r="B64" s="145" t="s">
        <v>235</v>
      </c>
      <c r="C64" s="48"/>
      <c r="D64" s="48">
        <v>0</v>
      </c>
      <c r="E64" s="48">
        <f t="shared" si="7"/>
        <v>168000</v>
      </c>
      <c r="F64" s="48">
        <f t="shared" si="8"/>
        <v>168000</v>
      </c>
      <c r="G64" s="48">
        <f t="shared" si="5"/>
        <v>50400</v>
      </c>
      <c r="H64" s="196"/>
    </row>
    <row r="65" spans="1:8" s="42" customFormat="1" ht="15" x14ac:dyDescent="0.2">
      <c r="A65" s="70">
        <f t="shared" si="6"/>
        <v>2000</v>
      </c>
      <c r="B65" s="145" t="s">
        <v>236</v>
      </c>
      <c r="C65" s="48"/>
      <c r="D65" s="48">
        <v>0</v>
      </c>
      <c r="E65" s="48">
        <f t="shared" si="7"/>
        <v>208000</v>
      </c>
      <c r="F65" s="48">
        <f t="shared" si="8"/>
        <v>208000</v>
      </c>
      <c r="G65" s="48">
        <f t="shared" si="5"/>
        <v>62400</v>
      </c>
      <c r="H65" s="196"/>
    </row>
    <row r="66" spans="1:8" s="42" customFormat="1" ht="15.75" x14ac:dyDescent="0.25">
      <c r="A66" s="70"/>
      <c r="B66" s="48"/>
      <c r="C66" s="48"/>
      <c r="D66" s="48"/>
      <c r="E66" s="48"/>
      <c r="F66" s="48"/>
      <c r="G66" s="52"/>
      <c r="H66" s="196"/>
    </row>
    <row r="67" spans="1:8" s="42" customFormat="1" ht="15.75" x14ac:dyDescent="0.25">
      <c r="A67" s="70"/>
      <c r="B67" s="48"/>
      <c r="C67" s="48"/>
      <c r="D67" s="48"/>
      <c r="E67" s="48"/>
      <c r="F67" s="48"/>
      <c r="G67" s="52"/>
      <c r="H67" s="196"/>
    </row>
    <row r="68" spans="1:8" customFormat="1" ht="15" x14ac:dyDescent="0.25">
      <c r="A68" s="403" t="s">
        <v>865</v>
      </c>
      <c r="B68" s="403"/>
      <c r="C68" s="403"/>
      <c r="D68" s="403"/>
      <c r="E68" s="403"/>
      <c r="F68" s="403"/>
      <c r="G68" s="403"/>
      <c r="H68" s="403"/>
    </row>
    <row r="69" spans="1:8" s="42" customFormat="1" ht="15.75" x14ac:dyDescent="0.25">
      <c r="A69" s="70"/>
      <c r="B69" s="48"/>
      <c r="C69" s="48"/>
      <c r="D69" s="48"/>
      <c r="E69" s="48"/>
      <c r="F69" s="48"/>
      <c r="G69" s="71" t="s">
        <v>277</v>
      </c>
      <c r="H69" s="196"/>
    </row>
    <row r="70" spans="1:8" s="42" customFormat="1" ht="15.75" x14ac:dyDescent="0.25">
      <c r="A70" s="142" t="s">
        <v>266</v>
      </c>
      <c r="B70" s="48"/>
      <c r="C70" s="48"/>
      <c r="D70" s="48"/>
      <c r="E70" s="75" t="s">
        <v>68</v>
      </c>
      <c r="F70" s="75" t="s">
        <v>28</v>
      </c>
      <c r="G70" s="71" t="s">
        <v>510</v>
      </c>
      <c r="H70" s="196"/>
    </row>
    <row r="71" spans="1:8" s="42" customFormat="1" ht="15" x14ac:dyDescent="0.2">
      <c r="A71" s="145" t="s">
        <v>240</v>
      </c>
      <c r="B71" s="48"/>
      <c r="C71" s="48"/>
      <c r="D71" s="48"/>
      <c r="E71" s="48">
        <f>+G43</f>
        <v>6000</v>
      </c>
      <c r="F71" s="48"/>
      <c r="G71" s="48"/>
      <c r="H71" s="196"/>
    </row>
    <row r="72" spans="1:8" s="42" customFormat="1" ht="15.75" x14ac:dyDescent="0.25">
      <c r="A72" s="145" t="s">
        <v>63</v>
      </c>
      <c r="B72" s="48"/>
      <c r="C72" s="48"/>
      <c r="D72" s="48"/>
      <c r="E72" s="48"/>
      <c r="F72" s="48">
        <f>+E71</f>
        <v>6000</v>
      </c>
      <c r="G72" s="52">
        <f>+F72</f>
        <v>6000</v>
      </c>
      <c r="H72" s="196"/>
    </row>
    <row r="73" spans="1:8" s="42" customFormat="1" ht="15.75" x14ac:dyDescent="0.25">
      <c r="A73" s="145"/>
      <c r="B73" s="48"/>
      <c r="C73" s="48"/>
      <c r="D73" s="48"/>
      <c r="E73" s="48"/>
      <c r="F73" s="48"/>
      <c r="G73" s="52"/>
      <c r="H73" s="196"/>
    </row>
    <row r="74" spans="1:8" s="42" customFormat="1" ht="15.75" x14ac:dyDescent="0.25">
      <c r="A74" s="142" t="s">
        <v>267</v>
      </c>
      <c r="B74" s="48"/>
      <c r="C74" s="48"/>
      <c r="D74" s="48"/>
      <c r="E74" s="75" t="s">
        <v>68</v>
      </c>
      <c r="F74" s="75" t="s">
        <v>28</v>
      </c>
      <c r="G74" s="52"/>
      <c r="H74" s="196"/>
    </row>
    <row r="75" spans="1:8" s="42" customFormat="1" ht="15.75" x14ac:dyDescent="0.25">
      <c r="A75" s="145" t="s">
        <v>240</v>
      </c>
      <c r="B75" s="48"/>
      <c r="C75" s="48"/>
      <c r="D75" s="48"/>
      <c r="E75" s="48">
        <f>+G44-G43</f>
        <v>7200</v>
      </c>
      <c r="F75" s="48"/>
      <c r="G75" s="52"/>
      <c r="H75" s="196"/>
    </row>
    <row r="76" spans="1:8" s="42" customFormat="1" ht="15.75" x14ac:dyDescent="0.25">
      <c r="A76" s="145" t="s">
        <v>63</v>
      </c>
      <c r="B76" s="48"/>
      <c r="C76" s="48"/>
      <c r="D76" s="48"/>
      <c r="E76" s="48"/>
      <c r="F76" s="48">
        <f>+E75</f>
        <v>7200</v>
      </c>
      <c r="G76" s="52">
        <f>+F76+G72</f>
        <v>13200</v>
      </c>
      <c r="H76" s="196"/>
    </row>
    <row r="77" spans="1:8" s="42" customFormat="1" ht="15.75" x14ac:dyDescent="0.25">
      <c r="A77" s="145"/>
      <c r="B77" s="48"/>
      <c r="C77" s="48"/>
      <c r="D77" s="48"/>
      <c r="E77" s="48"/>
      <c r="F77" s="48"/>
      <c r="G77" s="52"/>
      <c r="H77" s="196"/>
    </row>
    <row r="78" spans="1:8" s="42" customFormat="1" ht="15.75" x14ac:dyDescent="0.25">
      <c r="A78" s="142" t="s">
        <v>268</v>
      </c>
      <c r="B78" s="48"/>
      <c r="C78" s="48"/>
      <c r="D78" s="48"/>
      <c r="E78" s="75" t="s">
        <v>68</v>
      </c>
      <c r="F78" s="75" t="s">
        <v>28</v>
      </c>
      <c r="G78" s="52"/>
      <c r="H78" s="196"/>
    </row>
    <row r="79" spans="1:8" s="42" customFormat="1" ht="15.75" x14ac:dyDescent="0.25">
      <c r="A79" s="145" t="s">
        <v>240</v>
      </c>
      <c r="B79" s="48"/>
      <c r="C79" s="48"/>
      <c r="D79" s="48"/>
      <c r="E79" s="48">
        <f>+G45-G44</f>
        <v>9000</v>
      </c>
      <c r="F79" s="48"/>
      <c r="G79" s="52"/>
      <c r="H79" s="196"/>
    </row>
    <row r="80" spans="1:8" s="42" customFormat="1" ht="15.75" x14ac:dyDescent="0.25">
      <c r="A80" s="145" t="s">
        <v>63</v>
      </c>
      <c r="B80" s="48"/>
      <c r="C80" s="48"/>
      <c r="D80" s="48"/>
      <c r="E80" s="48"/>
      <c r="F80" s="48">
        <f>+E79</f>
        <v>9000</v>
      </c>
      <c r="G80" s="52">
        <f>+F80+G76</f>
        <v>22200</v>
      </c>
      <c r="H80" s="196"/>
    </row>
    <row r="81" spans="1:8" s="42" customFormat="1" ht="15.75" x14ac:dyDescent="0.25">
      <c r="A81" s="145"/>
      <c r="B81" s="48"/>
      <c r="C81" s="48"/>
      <c r="D81" s="48"/>
      <c r="E81" s="48"/>
      <c r="F81" s="48"/>
      <c r="G81" s="52"/>
      <c r="H81" s="196"/>
    </row>
    <row r="82" spans="1:8" s="42" customFormat="1" ht="17.25" customHeight="1" x14ac:dyDescent="0.25">
      <c r="A82" s="142" t="s">
        <v>269</v>
      </c>
      <c r="B82" s="48"/>
      <c r="C82" s="48"/>
      <c r="D82" s="48"/>
      <c r="E82" s="75" t="s">
        <v>68</v>
      </c>
      <c r="F82" s="75" t="s">
        <v>28</v>
      </c>
      <c r="G82" s="52"/>
      <c r="H82" s="196"/>
    </row>
    <row r="83" spans="1:8" s="42" customFormat="1" ht="17.25" customHeight="1" x14ac:dyDescent="0.25">
      <c r="A83" s="145" t="s">
        <v>240</v>
      </c>
      <c r="B83" s="48"/>
      <c r="C83" s="48"/>
      <c r="D83" s="48"/>
      <c r="E83" s="48">
        <f>+G46-G45</f>
        <v>7800</v>
      </c>
      <c r="F83" s="48"/>
      <c r="G83" s="52"/>
      <c r="H83" s="196"/>
    </row>
    <row r="84" spans="1:8" s="42" customFormat="1" ht="17.25" customHeight="1" x14ac:dyDescent="0.25">
      <c r="A84" s="145" t="s">
        <v>63</v>
      </c>
      <c r="B84" s="48"/>
      <c r="C84" s="48"/>
      <c r="D84" s="48"/>
      <c r="E84" s="48"/>
      <c r="F84" s="48">
        <f>+E83</f>
        <v>7800</v>
      </c>
      <c r="G84" s="52">
        <f>+F84+G80</f>
        <v>30000</v>
      </c>
      <c r="H84" s="196"/>
    </row>
    <row r="85" spans="1:8" s="42" customFormat="1" ht="17.25" customHeight="1" x14ac:dyDescent="0.25">
      <c r="A85" s="145"/>
      <c r="B85" s="145"/>
      <c r="C85" s="83"/>
      <c r="D85" s="78"/>
      <c r="E85" s="48"/>
      <c r="F85" s="48"/>
      <c r="G85" s="52"/>
      <c r="H85" s="196"/>
    </row>
    <row r="86" spans="1:8" customFormat="1" ht="15" x14ac:dyDescent="0.25">
      <c r="A86" s="403" t="s">
        <v>866</v>
      </c>
      <c r="B86" s="403"/>
      <c r="C86" s="403"/>
      <c r="D86" s="403"/>
      <c r="E86" s="403"/>
      <c r="F86" s="403"/>
      <c r="G86" s="403"/>
      <c r="H86" s="403"/>
    </row>
    <row r="87" spans="1:8" s="42" customFormat="1" ht="17.25" customHeight="1" x14ac:dyDescent="0.25">
      <c r="A87" s="70"/>
      <c r="B87" s="48"/>
      <c r="C87" s="48"/>
      <c r="D87" s="75"/>
      <c r="E87" s="75"/>
      <c r="F87" s="75" t="s">
        <v>68</v>
      </c>
      <c r="G87" s="75" t="s">
        <v>28</v>
      </c>
      <c r="H87" s="196"/>
    </row>
    <row r="88" spans="1:8" s="42" customFormat="1" ht="17.25" customHeight="1" x14ac:dyDescent="0.2">
      <c r="A88" s="145" t="s">
        <v>237</v>
      </c>
      <c r="B88" s="48"/>
      <c r="C88" s="48"/>
      <c r="D88" s="48"/>
      <c r="E88" s="48"/>
      <c r="F88" s="48">
        <v>5000000</v>
      </c>
      <c r="G88" s="48"/>
      <c r="H88" s="196"/>
    </row>
    <row r="89" spans="1:8" s="42" customFormat="1" ht="17.25" customHeight="1" x14ac:dyDescent="0.2">
      <c r="A89" s="145" t="s">
        <v>238</v>
      </c>
      <c r="B89" s="48"/>
      <c r="C89" s="48"/>
      <c r="D89" s="48"/>
      <c r="E89" s="48"/>
      <c r="F89" s="48">
        <v>50000</v>
      </c>
      <c r="G89" s="48"/>
      <c r="H89" s="196"/>
    </row>
    <row r="90" spans="1:8" s="42" customFormat="1" ht="17.25" customHeight="1" x14ac:dyDescent="0.2">
      <c r="A90" s="145" t="s">
        <v>90</v>
      </c>
      <c r="B90" s="48"/>
      <c r="C90" s="48"/>
      <c r="D90" s="48"/>
      <c r="E90" s="48"/>
      <c r="F90" s="48"/>
      <c r="G90" s="48">
        <f>+F88+F89</f>
        <v>5050000</v>
      </c>
      <c r="H90" s="196"/>
    </row>
    <row r="91" spans="1:8" s="42" customFormat="1" ht="17.25" customHeight="1" x14ac:dyDescent="0.2">
      <c r="A91" s="145"/>
      <c r="B91" s="48"/>
      <c r="C91" s="48"/>
      <c r="D91" s="48"/>
      <c r="E91" s="48"/>
      <c r="F91" s="48"/>
      <c r="G91" s="48"/>
      <c r="H91" s="196"/>
    </row>
    <row r="92" spans="1:8" customFormat="1" ht="15" x14ac:dyDescent="0.25">
      <c r="A92" s="403" t="s">
        <v>867</v>
      </c>
      <c r="B92" s="403"/>
      <c r="C92" s="403"/>
      <c r="D92" s="403"/>
      <c r="E92" s="403"/>
      <c r="F92" s="403"/>
      <c r="G92" s="403"/>
      <c r="H92" s="403"/>
    </row>
    <row r="93" spans="1:8" s="42" customFormat="1" ht="17.25" customHeight="1" x14ac:dyDescent="0.25">
      <c r="A93" s="70"/>
      <c r="B93" s="48"/>
      <c r="C93" s="48"/>
      <c r="D93" s="75"/>
      <c r="E93" s="75"/>
      <c r="F93" s="75" t="s">
        <v>68</v>
      </c>
      <c r="G93" s="75" t="s">
        <v>28</v>
      </c>
      <c r="H93" s="196"/>
    </row>
    <row r="94" spans="1:8" s="42" customFormat="1" ht="17.25" customHeight="1" x14ac:dyDescent="0.2">
      <c r="A94" s="145" t="s">
        <v>237</v>
      </c>
      <c r="B94" s="48"/>
      <c r="C94" s="48"/>
      <c r="D94" s="48"/>
      <c r="E94" s="48"/>
      <c r="F94" s="48">
        <v>100000</v>
      </c>
      <c r="G94" s="48"/>
      <c r="H94" s="196"/>
    </row>
    <row r="95" spans="1:8" s="42" customFormat="1" ht="17.25" customHeight="1" x14ac:dyDescent="0.2">
      <c r="A95" s="145" t="s">
        <v>239</v>
      </c>
      <c r="B95" s="48"/>
      <c r="C95" s="48"/>
      <c r="D95" s="48"/>
      <c r="E95" s="48"/>
      <c r="F95" s="48"/>
      <c r="G95" s="48">
        <f>+F94</f>
        <v>100000</v>
      </c>
      <c r="H95" s="196"/>
    </row>
    <row r="96" spans="1:8" s="42" customFormat="1" ht="17.25" customHeight="1" x14ac:dyDescent="0.2">
      <c r="A96" s="145"/>
      <c r="B96" s="48"/>
      <c r="C96" s="48"/>
      <c r="D96" s="48"/>
      <c r="E96" s="48"/>
      <c r="F96" s="48"/>
      <c r="G96" s="48"/>
      <c r="H96" s="196"/>
    </row>
    <row r="97" spans="1:8" s="42" customFormat="1" ht="17.25" customHeight="1" x14ac:dyDescent="0.25">
      <c r="A97" s="70"/>
      <c r="B97" s="48"/>
      <c r="C97" s="48"/>
      <c r="D97" s="75"/>
      <c r="E97" s="75"/>
      <c r="F97" s="75" t="s">
        <v>68</v>
      </c>
      <c r="G97" s="75" t="s">
        <v>28</v>
      </c>
      <c r="H97" s="196"/>
    </row>
    <row r="98" spans="1:8" s="42" customFormat="1" ht="17.25" customHeight="1" x14ac:dyDescent="0.2">
      <c r="A98" s="145" t="s">
        <v>237</v>
      </c>
      <c r="B98" s="48"/>
      <c r="C98" s="48"/>
      <c r="D98" s="48"/>
      <c r="E98" s="48"/>
      <c r="F98" s="48">
        <v>500000</v>
      </c>
      <c r="G98" s="48"/>
      <c r="H98" s="196"/>
    </row>
    <row r="99" spans="1:8" s="42" customFormat="1" ht="17.25" customHeight="1" x14ac:dyDescent="0.2">
      <c r="A99" s="145" t="s">
        <v>239</v>
      </c>
      <c r="B99" s="48"/>
      <c r="C99" s="48"/>
      <c r="D99" s="48"/>
      <c r="E99" s="48"/>
      <c r="F99" s="48"/>
      <c r="G99" s="48">
        <f>+F98</f>
        <v>500000</v>
      </c>
      <c r="H99" s="196"/>
    </row>
    <row r="100" spans="1:8" s="42" customFormat="1" ht="17.25" customHeight="1" x14ac:dyDescent="0.2">
      <c r="A100" s="145"/>
      <c r="B100" s="48"/>
      <c r="C100" s="48"/>
      <c r="D100" s="48"/>
      <c r="E100" s="48"/>
      <c r="F100" s="48"/>
      <c r="G100" s="48"/>
      <c r="H100" s="196"/>
    </row>
    <row r="101" spans="1:8" s="42" customFormat="1" ht="17.25" customHeight="1" x14ac:dyDescent="0.25">
      <c r="A101" s="70"/>
      <c r="B101" s="48"/>
      <c r="C101" s="48"/>
      <c r="D101" s="75"/>
      <c r="E101" s="75"/>
      <c r="F101" s="75" t="s">
        <v>68</v>
      </c>
      <c r="G101" s="75" t="s">
        <v>28</v>
      </c>
      <c r="H101" s="196"/>
    </row>
    <row r="102" spans="1:8" s="42" customFormat="1" ht="17.25" customHeight="1" x14ac:dyDescent="0.2">
      <c r="A102" s="145" t="s">
        <v>237</v>
      </c>
      <c r="B102" s="48"/>
      <c r="C102" s="48"/>
      <c r="D102" s="48"/>
      <c r="E102" s="48"/>
      <c r="F102" s="48">
        <v>300000</v>
      </c>
      <c r="G102" s="48"/>
      <c r="H102" s="196"/>
    </row>
    <row r="103" spans="1:8" ht="17.25" customHeight="1" x14ac:dyDescent="0.25">
      <c r="A103" s="145" t="s">
        <v>239</v>
      </c>
      <c r="B103" s="48"/>
      <c r="C103" s="48"/>
      <c r="D103" s="48"/>
      <c r="E103" s="48"/>
      <c r="F103" s="48"/>
      <c r="G103" s="48">
        <f>+F102</f>
        <v>300000</v>
      </c>
      <c r="H103" s="196"/>
    </row>
    <row r="104" spans="1:8" ht="17.25" customHeight="1" x14ac:dyDescent="0.25">
      <c r="A104" s="145"/>
      <c r="B104" s="48"/>
      <c r="C104" s="48"/>
      <c r="D104" s="48"/>
      <c r="E104" s="48"/>
      <c r="F104" s="48"/>
      <c r="G104" s="48"/>
      <c r="H104" s="196"/>
    </row>
    <row r="105" spans="1:8" ht="17.25" customHeight="1" x14ac:dyDescent="0.25">
      <c r="A105" s="145"/>
      <c r="B105" s="48"/>
      <c r="C105" s="48"/>
      <c r="D105" s="48"/>
      <c r="E105" s="48"/>
      <c r="F105" s="48"/>
      <c r="G105" s="48"/>
      <c r="H105" s="196"/>
    </row>
    <row r="106" spans="1:8" ht="17.25" customHeight="1" x14ac:dyDescent="0.25">
      <c r="A106" s="142" t="s">
        <v>512</v>
      </c>
      <c r="B106" s="48"/>
      <c r="C106" s="48"/>
      <c r="D106" s="48"/>
      <c r="E106" s="48"/>
      <c r="F106" s="48"/>
      <c r="G106" s="48"/>
      <c r="H106" s="196"/>
    </row>
    <row r="107" spans="1:8" ht="17.25" customHeight="1" x14ac:dyDescent="0.25">
      <c r="A107" s="145" t="s">
        <v>513</v>
      </c>
      <c r="B107" s="48"/>
      <c r="C107" s="48"/>
      <c r="D107" s="48"/>
      <c r="E107" s="48"/>
      <c r="F107" s="48"/>
      <c r="G107" s="48"/>
      <c r="H107" s="196"/>
    </row>
    <row r="108" spans="1:8" ht="17.25" customHeight="1" x14ac:dyDescent="0.25">
      <c r="A108" s="145"/>
      <c r="B108" s="48"/>
      <c r="C108" s="48"/>
      <c r="D108" s="48"/>
      <c r="E108" s="48"/>
      <c r="F108" s="48"/>
      <c r="G108" s="48"/>
      <c r="H108" s="196"/>
    </row>
    <row r="109" spans="1:8" ht="17.25" customHeight="1" x14ac:dyDescent="0.25">
      <c r="A109" s="67"/>
      <c r="B109" s="67"/>
      <c r="C109" s="67"/>
      <c r="D109" s="69" t="s">
        <v>213</v>
      </c>
      <c r="E109" s="69" t="s">
        <v>214</v>
      </c>
      <c r="F109" s="69" t="s">
        <v>276</v>
      </c>
      <c r="G109" s="69" t="s">
        <v>277</v>
      </c>
      <c r="H109" s="196"/>
    </row>
    <row r="110" spans="1:8" ht="17.25" customHeight="1" x14ac:dyDescent="0.25">
      <c r="A110" s="67" t="s">
        <v>489</v>
      </c>
      <c r="B110" s="67"/>
      <c r="C110" s="67"/>
      <c r="D110" s="69" t="s">
        <v>1</v>
      </c>
      <c r="E110" s="69" t="s">
        <v>1</v>
      </c>
      <c r="F110" s="69" t="s">
        <v>1</v>
      </c>
      <c r="G110" s="69" t="s">
        <v>1</v>
      </c>
      <c r="H110" s="196"/>
    </row>
    <row r="111" spans="1:8" ht="17.25" customHeight="1" x14ac:dyDescent="0.25">
      <c r="A111" s="48" t="s">
        <v>514</v>
      </c>
      <c r="B111" s="48"/>
      <c r="C111" s="48"/>
      <c r="D111" s="48">
        <f>+F88+F94</f>
        <v>5100000</v>
      </c>
      <c r="E111" s="48">
        <f>+F88+F89</f>
        <v>5050000</v>
      </c>
      <c r="F111" s="48">
        <f>+D111-E111</f>
        <v>50000</v>
      </c>
      <c r="G111" s="48">
        <f>+F111*0.3</f>
        <v>15000</v>
      </c>
      <c r="H111" s="196"/>
    </row>
    <row r="112" spans="1:8" ht="17.25" customHeight="1" x14ac:dyDescent="0.25">
      <c r="A112" s="48" t="s">
        <v>515</v>
      </c>
      <c r="B112" s="48"/>
      <c r="C112" s="48"/>
      <c r="D112" s="48">
        <f>+D111+F98</f>
        <v>5600000</v>
      </c>
      <c r="E112" s="48">
        <f>+E111</f>
        <v>5050000</v>
      </c>
      <c r="F112" s="48">
        <f>+D112-E112</f>
        <v>550000</v>
      </c>
      <c r="G112" s="48">
        <f>+F112*0.3</f>
        <v>165000</v>
      </c>
      <c r="H112" s="196"/>
    </row>
    <row r="113" spans="1:8" ht="17.25" customHeight="1" x14ac:dyDescent="0.25">
      <c r="A113" s="48" t="s">
        <v>516</v>
      </c>
      <c r="B113" s="48"/>
      <c r="C113" s="48"/>
      <c r="D113" s="48">
        <f>+D112+F102</f>
        <v>5900000</v>
      </c>
      <c r="E113" s="48">
        <f>+E112</f>
        <v>5050000</v>
      </c>
      <c r="F113" s="48">
        <f>+D113-E113</f>
        <v>850000</v>
      </c>
      <c r="G113" s="48">
        <f>+F113*0.3</f>
        <v>255000</v>
      </c>
      <c r="H113" s="196"/>
    </row>
    <row r="114" spans="1:8" ht="17.25" customHeight="1" x14ac:dyDescent="0.25">
      <c r="A114" s="145"/>
      <c r="B114" s="48"/>
      <c r="C114" s="48"/>
      <c r="D114" s="48"/>
      <c r="E114" s="48"/>
      <c r="F114" s="48"/>
      <c r="G114" s="48"/>
      <c r="H114" s="196"/>
    </row>
    <row r="115" spans="1:8" ht="17.25" customHeight="1" x14ac:dyDescent="0.25">
      <c r="A115" s="145"/>
      <c r="B115" s="48" t="s">
        <v>487</v>
      </c>
      <c r="C115" s="48"/>
      <c r="D115" s="48"/>
      <c r="E115" s="48"/>
      <c r="F115" s="48"/>
      <c r="G115" s="48"/>
      <c r="H115" s="196"/>
    </row>
    <row r="116" spans="1:8" ht="17.25" customHeight="1" x14ac:dyDescent="0.25">
      <c r="A116" s="145"/>
      <c r="B116" s="48" t="s">
        <v>517</v>
      </c>
      <c r="C116" s="48"/>
      <c r="D116" s="48"/>
      <c r="E116" s="48"/>
      <c r="F116" s="48"/>
      <c r="G116" s="48"/>
      <c r="H116" s="196"/>
    </row>
    <row r="117" spans="1:8" ht="17.25" customHeight="1" x14ac:dyDescent="0.25">
      <c r="A117" s="145"/>
      <c r="B117" s="48" t="s">
        <v>406</v>
      </c>
      <c r="C117" s="48"/>
      <c r="D117" s="48"/>
      <c r="E117" s="48"/>
      <c r="F117" s="48"/>
      <c r="G117" s="48"/>
      <c r="H117" s="196"/>
    </row>
    <row r="118" spans="1:8" ht="17.25" customHeight="1" x14ac:dyDescent="0.25">
      <c r="A118" s="145"/>
      <c r="B118" s="48" t="s">
        <v>407</v>
      </c>
      <c r="C118" s="48"/>
      <c r="D118" s="48"/>
      <c r="E118" s="48"/>
      <c r="F118" s="48"/>
      <c r="G118" s="48"/>
      <c r="H118" s="196"/>
    </row>
    <row r="119" spans="1:8" ht="17.25" customHeight="1" x14ac:dyDescent="0.25">
      <c r="A119" s="145"/>
      <c r="B119" s="48"/>
      <c r="C119" s="48"/>
      <c r="D119" s="48"/>
      <c r="E119" s="48"/>
      <c r="F119" s="48"/>
      <c r="G119" s="48"/>
      <c r="H119" s="196"/>
    </row>
    <row r="120" spans="1:8" customFormat="1" ht="15" x14ac:dyDescent="0.25">
      <c r="A120" s="403" t="s">
        <v>868</v>
      </c>
      <c r="B120" s="403"/>
      <c r="C120" s="403"/>
      <c r="D120" s="403"/>
      <c r="E120" s="403"/>
      <c r="F120" s="403"/>
      <c r="G120" s="403"/>
      <c r="H120" s="403"/>
    </row>
    <row r="121" spans="1:8" s="42" customFormat="1" ht="17.25" customHeight="1" x14ac:dyDescent="0.25">
      <c r="A121" s="70"/>
      <c r="B121" s="48"/>
      <c r="C121" s="48"/>
      <c r="D121" s="75"/>
      <c r="E121" s="75" t="s">
        <v>68</v>
      </c>
      <c r="F121" s="75" t="s">
        <v>28</v>
      </c>
      <c r="G121" s="75" t="s">
        <v>277</v>
      </c>
      <c r="H121" s="196"/>
    </row>
    <row r="122" spans="1:8" s="42" customFormat="1" ht="17.25" customHeight="1" x14ac:dyDescent="0.2">
      <c r="A122" s="145" t="s">
        <v>240</v>
      </c>
      <c r="B122" s="48"/>
      <c r="C122" s="48"/>
      <c r="D122" s="48"/>
      <c r="E122" s="48">
        <f>+G111</f>
        <v>15000</v>
      </c>
      <c r="F122" s="48"/>
      <c r="G122" s="48"/>
      <c r="H122" s="196"/>
    </row>
    <row r="123" spans="1:8" s="42" customFormat="1" ht="17.25" customHeight="1" x14ac:dyDescent="0.2">
      <c r="A123" s="145" t="s">
        <v>63</v>
      </c>
      <c r="B123" s="48"/>
      <c r="C123" s="48"/>
      <c r="D123" s="48"/>
      <c r="E123" s="48"/>
      <c r="F123" s="48">
        <f>+E122</f>
        <v>15000</v>
      </c>
      <c r="G123" s="48">
        <f>+F123</f>
        <v>15000</v>
      </c>
      <c r="H123" s="196"/>
    </row>
    <row r="124" spans="1:8" s="42" customFormat="1" ht="17.25" customHeight="1" x14ac:dyDescent="0.2">
      <c r="A124" s="145"/>
      <c r="B124" s="48"/>
      <c r="C124" s="48"/>
      <c r="D124" s="48"/>
      <c r="E124" s="48"/>
      <c r="F124" s="48"/>
      <c r="G124" s="48"/>
      <c r="H124" s="196"/>
    </row>
    <row r="125" spans="1:8" s="42" customFormat="1" ht="17.25" customHeight="1" x14ac:dyDescent="0.25">
      <c r="A125" s="70"/>
      <c r="B125" s="48"/>
      <c r="C125" s="48"/>
      <c r="D125" s="75"/>
      <c r="E125" s="75" t="s">
        <v>68</v>
      </c>
      <c r="F125" s="75" t="s">
        <v>28</v>
      </c>
      <c r="G125" s="48"/>
      <c r="H125" s="196"/>
    </row>
    <row r="126" spans="1:8" s="42" customFormat="1" ht="17.25" customHeight="1" x14ac:dyDescent="0.2">
      <c r="A126" s="145" t="s">
        <v>240</v>
      </c>
      <c r="B126" s="48"/>
      <c r="C126" s="48"/>
      <c r="D126" s="48"/>
      <c r="E126" s="48">
        <f>+G112-G111</f>
        <v>150000</v>
      </c>
      <c r="F126" s="48"/>
      <c r="G126" s="48"/>
      <c r="H126" s="196"/>
    </row>
    <row r="127" spans="1:8" s="42" customFormat="1" ht="17.25" customHeight="1" x14ac:dyDescent="0.2">
      <c r="A127" s="145" t="s">
        <v>63</v>
      </c>
      <c r="B127" s="48"/>
      <c r="C127" s="48"/>
      <c r="D127" s="48"/>
      <c r="E127" s="48"/>
      <c r="F127" s="48">
        <f>+E126</f>
        <v>150000</v>
      </c>
      <c r="G127" s="48">
        <f>+F127+G123</f>
        <v>165000</v>
      </c>
      <c r="H127" s="196"/>
    </row>
    <row r="128" spans="1:8" s="42" customFormat="1" ht="17.25" customHeight="1" x14ac:dyDescent="0.2">
      <c r="A128" s="145"/>
      <c r="B128" s="48"/>
      <c r="C128" s="48"/>
      <c r="D128" s="48"/>
      <c r="E128" s="48"/>
      <c r="F128" s="48"/>
      <c r="G128" s="48"/>
      <c r="H128" s="196"/>
    </row>
    <row r="129" spans="1:8" s="42" customFormat="1" ht="17.25" customHeight="1" x14ac:dyDescent="0.25">
      <c r="A129" s="70"/>
      <c r="B129" s="48"/>
      <c r="C129" s="48"/>
      <c r="D129" s="75"/>
      <c r="E129" s="75" t="s">
        <v>68</v>
      </c>
      <c r="F129" s="75" t="s">
        <v>28</v>
      </c>
      <c r="G129" s="48"/>
      <c r="H129" s="196"/>
    </row>
    <row r="130" spans="1:8" s="42" customFormat="1" ht="17.25" customHeight="1" x14ac:dyDescent="0.2">
      <c r="A130" s="145" t="s">
        <v>240</v>
      </c>
      <c r="B130" s="48"/>
      <c r="C130" s="48"/>
      <c r="D130" s="48"/>
      <c r="E130" s="48">
        <f>+G113-G112</f>
        <v>90000</v>
      </c>
      <c r="F130" s="48"/>
      <c r="G130" s="48"/>
      <c r="H130" s="196"/>
    </row>
    <row r="131" spans="1:8" ht="17.25" customHeight="1" x14ac:dyDescent="0.25">
      <c r="A131" s="145" t="s">
        <v>63</v>
      </c>
      <c r="B131" s="48"/>
      <c r="C131" s="48"/>
      <c r="D131" s="48"/>
      <c r="E131" s="48"/>
      <c r="F131" s="48">
        <f>+E130</f>
        <v>90000</v>
      </c>
      <c r="G131" s="48">
        <f>+F131+G127</f>
        <v>255000</v>
      </c>
      <c r="H131" s="196"/>
    </row>
    <row r="132" spans="1:8" ht="17.25" customHeight="1" x14ac:dyDescent="0.25">
      <c r="A132" s="145"/>
      <c r="B132" s="48"/>
      <c r="C132" s="48"/>
      <c r="D132" s="48"/>
      <c r="E132" s="48"/>
      <c r="F132" s="48"/>
      <c r="G132" s="48"/>
      <c r="H132" s="196"/>
    </row>
    <row r="133" spans="1:8" ht="17.25" customHeight="1" x14ac:dyDescent="0.25">
      <c r="A133" s="145" t="s">
        <v>637</v>
      </c>
      <c r="B133" s="48"/>
      <c r="C133" s="48"/>
      <c r="D133" s="48"/>
      <c r="E133" s="48"/>
      <c r="F133" s="48"/>
      <c r="G133" s="48"/>
      <c r="H133" s="196"/>
    </row>
    <row r="134" spans="1:8" ht="17.25" customHeight="1" x14ac:dyDescent="0.25">
      <c r="A134" s="145"/>
      <c r="B134" s="48"/>
      <c r="C134" s="48"/>
      <c r="D134" s="48"/>
      <c r="E134" s="48"/>
      <c r="F134" s="48"/>
      <c r="G134" s="48"/>
      <c r="H134" s="196"/>
    </row>
    <row r="135" spans="1:8" customFormat="1" ht="15" x14ac:dyDescent="0.25">
      <c r="A135" s="403" t="s">
        <v>869</v>
      </c>
      <c r="B135" s="403"/>
      <c r="C135" s="403"/>
      <c r="D135" s="403"/>
      <c r="E135" s="403"/>
      <c r="F135" s="403"/>
      <c r="G135" s="403"/>
      <c r="H135" s="403"/>
    </row>
    <row r="136" spans="1:8" s="42" customFormat="1" ht="17.25" customHeight="1" x14ac:dyDescent="0.25">
      <c r="A136" s="145" t="s">
        <v>523</v>
      </c>
      <c r="B136" s="107"/>
      <c r="C136" s="78">
        <v>300000</v>
      </c>
      <c r="D136" s="78"/>
      <c r="E136" s="48"/>
      <c r="F136" s="48"/>
      <c r="G136" s="52"/>
      <c r="H136" s="196"/>
    </row>
    <row r="137" spans="1:8" s="42" customFormat="1" ht="17.25" customHeight="1" x14ac:dyDescent="0.25">
      <c r="A137" s="145" t="s">
        <v>241</v>
      </c>
      <c r="B137" s="107"/>
      <c r="C137" s="207">
        <v>0.9</v>
      </c>
      <c r="D137" s="78"/>
      <c r="E137" s="48"/>
      <c r="F137" s="48"/>
      <c r="G137" s="52"/>
      <c r="H137" s="196"/>
    </row>
    <row r="138" spans="1:8" s="42" customFormat="1" ht="17.25" customHeight="1" x14ac:dyDescent="0.25">
      <c r="A138" s="107" t="s">
        <v>37</v>
      </c>
      <c r="B138" s="107"/>
      <c r="C138" s="78">
        <v>900000</v>
      </c>
      <c r="D138" s="78"/>
      <c r="E138" s="48"/>
      <c r="F138" s="48"/>
      <c r="G138" s="52"/>
      <c r="H138" s="196"/>
    </row>
    <row r="139" spans="1:8" s="42" customFormat="1" ht="17.25" customHeight="1" x14ac:dyDescent="0.25">
      <c r="A139" s="70"/>
      <c r="B139" s="48"/>
      <c r="C139" s="48"/>
      <c r="D139" s="75"/>
      <c r="E139" s="75"/>
      <c r="F139" s="75" t="s">
        <v>68</v>
      </c>
      <c r="G139" s="75" t="s">
        <v>28</v>
      </c>
      <c r="H139" s="196"/>
    </row>
    <row r="140" spans="1:8" s="42" customFormat="1" ht="17.25" customHeight="1" x14ac:dyDescent="0.2">
      <c r="A140" s="145" t="s">
        <v>242</v>
      </c>
      <c r="B140" s="48"/>
      <c r="C140" s="48"/>
      <c r="D140" s="48"/>
      <c r="E140" s="48"/>
      <c r="F140" s="48">
        <f>+C136*C137</f>
        <v>270000</v>
      </c>
      <c r="G140" s="48"/>
      <c r="H140" s="196"/>
    </row>
    <row r="141" spans="1:8" s="42" customFormat="1" ht="17.25" customHeight="1" x14ac:dyDescent="0.2">
      <c r="A141" s="145" t="s">
        <v>243</v>
      </c>
      <c r="B141" s="48"/>
      <c r="C141" s="48"/>
      <c r="D141" s="48"/>
      <c r="E141" s="48"/>
      <c r="F141" s="48"/>
      <c r="G141" s="48">
        <f>+F140</f>
        <v>270000</v>
      </c>
      <c r="H141" s="196"/>
    </row>
    <row r="142" spans="1:8" s="42" customFormat="1" ht="17.25" customHeight="1" x14ac:dyDescent="0.2">
      <c r="A142" s="145"/>
      <c r="B142" s="48"/>
      <c r="C142" s="48"/>
      <c r="D142" s="48"/>
      <c r="E142" s="48"/>
      <c r="F142" s="48"/>
      <c r="G142" s="48"/>
      <c r="H142" s="196"/>
    </row>
    <row r="143" spans="1:8" customFormat="1" ht="15" x14ac:dyDescent="0.25">
      <c r="A143" s="403" t="s">
        <v>870</v>
      </c>
      <c r="B143" s="403"/>
      <c r="C143" s="403"/>
      <c r="D143" s="403"/>
      <c r="E143" s="403"/>
      <c r="F143" s="403"/>
      <c r="G143" s="403"/>
      <c r="H143" s="403"/>
    </row>
    <row r="144" spans="1:8" ht="17.25" customHeight="1" x14ac:dyDescent="0.25">
      <c r="A144" s="67"/>
      <c r="B144" s="67"/>
      <c r="C144" s="67"/>
      <c r="D144" s="69" t="s">
        <v>213</v>
      </c>
      <c r="E144" s="69" t="s">
        <v>214</v>
      </c>
      <c r="F144" s="69" t="s">
        <v>276</v>
      </c>
      <c r="G144" s="69" t="s">
        <v>277</v>
      </c>
      <c r="H144" s="196"/>
    </row>
    <row r="145" spans="1:8" ht="17.25" customHeight="1" x14ac:dyDescent="0.25">
      <c r="A145" s="67"/>
      <c r="B145" s="67"/>
      <c r="C145" s="67"/>
      <c r="D145" s="69" t="s">
        <v>1</v>
      </c>
      <c r="E145" s="69" t="s">
        <v>1</v>
      </c>
      <c r="F145" s="69" t="s">
        <v>1</v>
      </c>
      <c r="G145" s="69" t="s">
        <v>1</v>
      </c>
      <c r="H145" s="196"/>
    </row>
    <row r="146" spans="1:8" ht="17.25" customHeight="1" x14ac:dyDescent="0.25">
      <c r="A146" s="48" t="s">
        <v>518</v>
      </c>
      <c r="B146" s="48"/>
      <c r="C146" s="48"/>
      <c r="D146" s="48">
        <f>+C138+F140</f>
        <v>1170000</v>
      </c>
      <c r="E146" s="48">
        <f>+C138</f>
        <v>900000</v>
      </c>
      <c r="F146" s="48">
        <f>+D146-E146</f>
        <v>270000</v>
      </c>
      <c r="G146" s="48">
        <f>+F146*0.3</f>
        <v>81000</v>
      </c>
      <c r="H146" s="196"/>
    </row>
    <row r="147" spans="1:8" ht="17.25" customHeight="1" x14ac:dyDescent="0.25">
      <c r="A147" s="145"/>
      <c r="B147" s="48"/>
      <c r="C147" s="48"/>
      <c r="D147" s="48"/>
      <c r="E147" s="48"/>
      <c r="F147" s="48"/>
      <c r="G147" s="48"/>
      <c r="H147" s="196"/>
    </row>
    <row r="148" spans="1:8" ht="17.25" customHeight="1" x14ac:dyDescent="0.25">
      <c r="A148" s="145"/>
      <c r="B148" s="48" t="s">
        <v>487</v>
      </c>
      <c r="C148" s="48"/>
      <c r="D148" s="48"/>
      <c r="E148" s="48"/>
      <c r="F148" s="48"/>
      <c r="G148" s="48"/>
      <c r="H148" s="196"/>
    </row>
    <row r="149" spans="1:8" ht="17.25" customHeight="1" x14ac:dyDescent="0.25">
      <c r="A149" s="145"/>
      <c r="B149" s="48" t="s">
        <v>517</v>
      </c>
      <c r="C149" s="48"/>
      <c r="D149" s="48"/>
      <c r="E149" s="48"/>
      <c r="F149" s="48"/>
      <c r="G149" s="48"/>
      <c r="H149" s="196"/>
    </row>
    <row r="150" spans="1:8" ht="17.25" customHeight="1" x14ac:dyDescent="0.25">
      <c r="A150" s="145"/>
      <c r="B150" s="48" t="s">
        <v>406</v>
      </c>
      <c r="C150" s="48"/>
      <c r="D150" s="48"/>
      <c r="E150" s="48"/>
      <c r="F150" s="48"/>
      <c r="G150" s="48"/>
      <c r="H150" s="196"/>
    </row>
    <row r="151" spans="1:8" ht="17.25" customHeight="1" x14ac:dyDescent="0.25">
      <c r="A151" s="145"/>
      <c r="B151" s="48" t="s">
        <v>407</v>
      </c>
      <c r="C151" s="48"/>
      <c r="D151" s="48"/>
      <c r="E151" s="48"/>
      <c r="F151" s="48"/>
      <c r="G151" s="48"/>
      <c r="H151" s="196"/>
    </row>
    <row r="152" spans="1:8" ht="17.25" customHeight="1" x14ac:dyDescent="0.25">
      <c r="A152" s="145"/>
      <c r="B152" s="48"/>
      <c r="C152" s="48"/>
      <c r="D152" s="48"/>
      <c r="E152" s="75" t="s">
        <v>68</v>
      </c>
      <c r="F152" s="75" t="s">
        <v>28</v>
      </c>
      <c r="G152" s="48"/>
      <c r="H152" s="196"/>
    </row>
    <row r="153" spans="1:8" ht="17.25" customHeight="1" x14ac:dyDescent="0.25">
      <c r="A153" s="145"/>
      <c r="B153" s="48" t="s">
        <v>871</v>
      </c>
      <c r="C153" s="48"/>
      <c r="D153" s="48"/>
      <c r="E153" s="48">
        <f>+G146</f>
        <v>81000</v>
      </c>
      <c r="F153" s="48"/>
      <c r="G153" s="48"/>
      <c r="H153" s="196"/>
    </row>
    <row r="154" spans="1:8" ht="17.25" customHeight="1" x14ac:dyDescent="0.25">
      <c r="A154" s="145"/>
      <c r="B154" s="48" t="s">
        <v>872</v>
      </c>
      <c r="C154" s="48"/>
      <c r="D154" s="48"/>
      <c r="E154" s="48"/>
      <c r="F154" s="48">
        <f>+E153</f>
        <v>81000</v>
      </c>
      <c r="G154" s="48"/>
      <c r="H154" s="196"/>
    </row>
    <row r="155" spans="1:8" ht="17.25" customHeight="1" x14ac:dyDescent="0.25">
      <c r="A155" s="145"/>
      <c r="B155" s="48"/>
      <c r="C155" s="48"/>
      <c r="D155" s="48"/>
      <c r="E155" s="48"/>
      <c r="F155" s="48"/>
      <c r="G155" s="48"/>
      <c r="H155" s="196"/>
    </row>
    <row r="156" spans="1:8" customFormat="1" ht="15" x14ac:dyDescent="0.25">
      <c r="A156" s="403" t="s">
        <v>874</v>
      </c>
      <c r="B156" s="403"/>
      <c r="C156" s="403"/>
      <c r="D156" s="403"/>
      <c r="E156" s="403"/>
      <c r="F156" s="403"/>
      <c r="G156" s="403"/>
      <c r="H156" s="403"/>
    </row>
    <row r="157" spans="1:8" ht="17.25" customHeight="1" x14ac:dyDescent="0.25">
      <c r="A157" s="147" t="s">
        <v>254</v>
      </c>
      <c r="B157" s="45"/>
      <c r="C157" s="68"/>
      <c r="D157" s="77" t="s">
        <v>198</v>
      </c>
      <c r="E157" s="77" t="s">
        <v>199</v>
      </c>
      <c r="F157" s="77" t="s">
        <v>200</v>
      </c>
      <c r="G157" s="77" t="s">
        <v>201</v>
      </c>
      <c r="H157" s="196"/>
    </row>
    <row r="158" spans="1:8" ht="17.25" customHeight="1" x14ac:dyDescent="0.25">
      <c r="A158" s="147" t="s">
        <v>873</v>
      </c>
      <c r="B158" s="45"/>
      <c r="C158" s="68"/>
      <c r="D158" s="412">
        <v>6.6666699999999995E-2</v>
      </c>
      <c r="E158" s="412">
        <v>0.1444445</v>
      </c>
      <c r="F158" s="412">
        <v>0.23333300000000001</v>
      </c>
      <c r="G158" s="412">
        <v>0.33333299999999999</v>
      </c>
      <c r="H158" s="196"/>
    </row>
    <row r="159" spans="1:8" ht="17.25" customHeight="1" x14ac:dyDescent="0.25">
      <c r="A159" s="92" t="s">
        <v>37</v>
      </c>
      <c r="B159" s="47"/>
      <c r="C159" s="48"/>
      <c r="D159" s="48">
        <v>900000</v>
      </c>
      <c r="E159" s="48">
        <v>900000</v>
      </c>
      <c r="F159" s="48">
        <v>900000</v>
      </c>
      <c r="G159" s="48">
        <v>900000</v>
      </c>
      <c r="H159" s="196"/>
    </row>
    <row r="160" spans="1:8" ht="17.25" customHeight="1" x14ac:dyDescent="0.25">
      <c r="A160" s="92" t="s">
        <v>245</v>
      </c>
      <c r="B160" s="47"/>
      <c r="C160" s="48"/>
      <c r="D160" s="76">
        <f>-ROUND(D159*D158,0)</f>
        <v>-60000</v>
      </c>
      <c r="E160" s="76">
        <f>-ROUND(E159*E158,0)</f>
        <v>-130000</v>
      </c>
      <c r="F160" s="76">
        <f>-ROUND(F159*F158,0)</f>
        <v>-210000</v>
      </c>
      <c r="G160" s="76">
        <f>-ROUND(G159*G158,0)</f>
        <v>-300000</v>
      </c>
      <c r="H160" s="196"/>
    </row>
    <row r="161" spans="1:8" ht="17.25" customHeight="1" x14ac:dyDescent="0.25">
      <c r="A161" s="203" t="s">
        <v>155</v>
      </c>
      <c r="B161" s="54"/>
      <c r="C161" s="67" t="s">
        <v>14</v>
      </c>
      <c r="D161" s="204">
        <f>+D159+D160</f>
        <v>840000</v>
      </c>
      <c r="E161" s="204">
        <f>+E159+E160</f>
        <v>770000</v>
      </c>
      <c r="F161" s="204">
        <f>+F159+F160</f>
        <v>690000</v>
      </c>
      <c r="G161" s="204">
        <f>+G159+G160</f>
        <v>600000</v>
      </c>
      <c r="H161" s="196"/>
    </row>
    <row r="162" spans="1:8" ht="17.25" customHeight="1" x14ac:dyDescent="0.25">
      <c r="A162" s="92"/>
      <c r="B162" s="47"/>
      <c r="C162" s="48"/>
      <c r="D162" s="48"/>
      <c r="E162" s="48"/>
      <c r="F162" s="48"/>
      <c r="G162" s="48"/>
      <c r="H162" s="196"/>
    </row>
    <row r="163" spans="1:8" ht="17.25" customHeight="1" x14ac:dyDescent="0.25">
      <c r="A163" s="92" t="s">
        <v>493</v>
      </c>
      <c r="B163" s="47"/>
      <c r="C163" s="48" t="s">
        <v>17</v>
      </c>
      <c r="D163" s="78">
        <v>-60000</v>
      </c>
      <c r="E163" s="78">
        <f>+E160-D160</f>
        <v>-70000</v>
      </c>
      <c r="F163" s="78">
        <f>+F160-E160</f>
        <v>-80000</v>
      </c>
      <c r="G163" s="78">
        <f>+G160-F160</f>
        <v>-90000</v>
      </c>
      <c r="H163" s="196"/>
    </row>
    <row r="164" spans="1:8" ht="17.25" customHeight="1" x14ac:dyDescent="0.25">
      <c r="A164" s="145"/>
      <c r="B164" s="47"/>
      <c r="C164" s="48"/>
      <c r="D164" s="48"/>
      <c r="E164" s="48"/>
      <c r="F164" s="48"/>
      <c r="G164" s="48"/>
      <c r="H164" s="196"/>
    </row>
    <row r="165" spans="1:8" ht="17.25" customHeight="1" x14ac:dyDescent="0.25">
      <c r="A165" s="147" t="s">
        <v>253</v>
      </c>
      <c r="B165" s="45"/>
      <c r="C165" s="68"/>
      <c r="D165" s="77" t="s">
        <v>198</v>
      </c>
      <c r="E165" s="77" t="s">
        <v>199</v>
      </c>
      <c r="F165" s="77" t="s">
        <v>200</v>
      </c>
      <c r="G165" s="77" t="s">
        <v>201</v>
      </c>
      <c r="H165" s="196"/>
    </row>
    <row r="166" spans="1:8" ht="17.25" customHeight="1" x14ac:dyDescent="0.25">
      <c r="A166" s="92" t="s">
        <v>37</v>
      </c>
      <c r="B166" s="47"/>
      <c r="C166" s="48"/>
      <c r="D166" s="48">
        <f>+D159</f>
        <v>900000</v>
      </c>
      <c r="E166" s="48">
        <f>+E159</f>
        <v>900000</v>
      </c>
      <c r="F166" s="48">
        <f>+F159</f>
        <v>900000</v>
      </c>
      <c r="G166" s="48">
        <f>+G159</f>
        <v>900000</v>
      </c>
      <c r="H166" s="196"/>
    </row>
    <row r="167" spans="1:8" ht="17.25" customHeight="1" x14ac:dyDescent="0.25">
      <c r="A167" s="92" t="s">
        <v>245</v>
      </c>
      <c r="B167" s="47"/>
      <c r="C167" s="48"/>
      <c r="D167" s="76">
        <f>+-D166/3</f>
        <v>-300000</v>
      </c>
      <c r="E167" s="76">
        <f>+D167*2</f>
        <v>-600000</v>
      </c>
      <c r="F167" s="76">
        <f>D167*3</f>
        <v>-900000</v>
      </c>
      <c r="G167" s="76">
        <f>+F167</f>
        <v>-900000</v>
      </c>
      <c r="H167" s="196"/>
    </row>
    <row r="168" spans="1:8" ht="17.25" customHeight="1" x14ac:dyDescent="0.25">
      <c r="A168" s="203" t="s">
        <v>244</v>
      </c>
      <c r="B168" s="54"/>
      <c r="C168" s="67" t="s">
        <v>15</v>
      </c>
      <c r="D168" s="191">
        <f>+D166+D167</f>
        <v>600000</v>
      </c>
      <c r="E168" s="191">
        <f>+E166+E167</f>
        <v>300000</v>
      </c>
      <c r="F168" s="191">
        <f>+F166+F167</f>
        <v>0</v>
      </c>
      <c r="G168" s="191">
        <f>+G166+G167</f>
        <v>0</v>
      </c>
      <c r="H168" s="196"/>
    </row>
    <row r="169" spans="1:8" ht="17.25" customHeight="1" x14ac:dyDescent="0.25">
      <c r="A169" s="92"/>
      <c r="B169" s="47"/>
      <c r="C169" s="48"/>
      <c r="D169" s="48"/>
      <c r="E169" s="48"/>
      <c r="F169" s="48"/>
      <c r="G169" s="48"/>
      <c r="H169" s="196"/>
    </row>
    <row r="170" spans="1:8" ht="17.25" customHeight="1" x14ac:dyDescent="0.25">
      <c r="A170" s="145" t="s">
        <v>493</v>
      </c>
      <c r="B170" s="47"/>
      <c r="C170" s="48" t="s">
        <v>64</v>
      </c>
      <c r="D170" s="78">
        <f>+D167</f>
        <v>-300000</v>
      </c>
      <c r="E170" s="78">
        <f>+E167-D167</f>
        <v>-300000</v>
      </c>
      <c r="F170" s="78">
        <f>+F167-E167</f>
        <v>-300000</v>
      </c>
      <c r="G170" s="78">
        <f>+G167-F167</f>
        <v>0</v>
      </c>
      <c r="H170" s="196"/>
    </row>
    <row r="171" spans="1:8" ht="17.25" customHeight="1" x14ac:dyDescent="0.25">
      <c r="A171" s="145"/>
      <c r="B171" s="47"/>
      <c r="C171" s="52"/>
      <c r="D171" s="78"/>
      <c r="E171" s="78"/>
      <c r="F171" s="78"/>
      <c r="G171" s="78"/>
      <c r="H171" s="196"/>
    </row>
    <row r="172" spans="1:8" ht="17.25" customHeight="1" x14ac:dyDescent="0.25">
      <c r="A172" s="413" t="s">
        <v>9</v>
      </c>
      <c r="B172" s="281"/>
      <c r="C172" s="280" t="s">
        <v>250</v>
      </c>
      <c r="D172" s="280">
        <f>+D161-D168</f>
        <v>240000</v>
      </c>
      <c r="E172" s="280">
        <f>+E161-E168</f>
        <v>470000</v>
      </c>
      <c r="F172" s="280">
        <f>+F161-F168</f>
        <v>690000</v>
      </c>
      <c r="G172" s="280">
        <f>+G161-G168</f>
        <v>600000</v>
      </c>
      <c r="H172" s="196"/>
    </row>
    <row r="173" spans="1:8" ht="17.25" customHeight="1" x14ac:dyDescent="0.25">
      <c r="A173" s="413" t="s">
        <v>246</v>
      </c>
      <c r="B173" s="281"/>
      <c r="C173" s="280" t="s">
        <v>251</v>
      </c>
      <c r="D173" s="280">
        <f>+D172*0.3</f>
        <v>72000</v>
      </c>
      <c r="E173" s="280">
        <f>+E172*0.3</f>
        <v>141000</v>
      </c>
      <c r="F173" s="280">
        <f>+F172*0.3</f>
        <v>207000</v>
      </c>
      <c r="G173" s="280">
        <f>+G172*0.3</f>
        <v>180000</v>
      </c>
      <c r="H173" s="196"/>
    </row>
    <row r="174" spans="1:8" ht="17.25" customHeight="1" x14ac:dyDescent="0.25">
      <c r="A174" s="145"/>
      <c r="B174" s="47"/>
      <c r="C174" s="52"/>
      <c r="D174" s="48"/>
      <c r="E174" s="48"/>
      <c r="F174" s="48"/>
      <c r="G174" s="48"/>
      <c r="H174" s="196"/>
    </row>
    <row r="175" spans="1:8" ht="17.25" customHeight="1" x14ac:dyDescent="0.25">
      <c r="A175" s="147" t="s">
        <v>255</v>
      </c>
      <c r="B175" s="54"/>
      <c r="C175" s="67"/>
      <c r="D175" s="67"/>
      <c r="E175" s="67"/>
      <c r="F175" s="67"/>
      <c r="G175" s="67"/>
      <c r="H175" s="196"/>
    </row>
    <row r="176" spans="1:8" ht="17.25" customHeight="1" x14ac:dyDescent="0.25">
      <c r="A176" s="149"/>
      <c r="B176" s="54"/>
      <c r="C176" s="67"/>
      <c r="D176" s="77" t="s">
        <v>198</v>
      </c>
      <c r="E176" s="77" t="s">
        <v>199</v>
      </c>
      <c r="F176" s="77" t="s">
        <v>200</v>
      </c>
      <c r="G176" s="77" t="s">
        <v>201</v>
      </c>
      <c r="H176" s="196"/>
    </row>
    <row r="177" spans="1:8" ht="17.25" customHeight="1" x14ac:dyDescent="0.25">
      <c r="A177" s="142" t="s">
        <v>256</v>
      </c>
      <c r="B177" s="47"/>
      <c r="C177" s="52"/>
      <c r="D177" s="75"/>
      <c r="E177" s="75"/>
      <c r="F177" s="75"/>
      <c r="G177" s="75"/>
      <c r="H177" s="196"/>
    </row>
    <row r="178" spans="1:8" ht="17.25" customHeight="1" x14ac:dyDescent="0.25">
      <c r="A178" s="145" t="s">
        <v>249</v>
      </c>
      <c r="B178" s="47"/>
      <c r="C178" s="52"/>
      <c r="D178" s="48"/>
      <c r="E178" s="48"/>
      <c r="F178" s="48"/>
      <c r="G178" s="48"/>
      <c r="H178" s="196"/>
    </row>
    <row r="179" spans="1:8" ht="17.25" customHeight="1" x14ac:dyDescent="0.25">
      <c r="A179" s="145" t="s">
        <v>248</v>
      </c>
      <c r="B179" s="47"/>
      <c r="C179" s="48" t="s">
        <v>252</v>
      </c>
      <c r="D179" s="78">
        <f>+D167-D160</f>
        <v>-240000</v>
      </c>
      <c r="E179" s="78">
        <f>+E167-E160-D179</f>
        <v>-230000</v>
      </c>
      <c r="F179" s="78">
        <f>+F167-F160-E179-D179</f>
        <v>-220000</v>
      </c>
      <c r="G179" s="78">
        <v>0</v>
      </c>
      <c r="H179" s="196"/>
    </row>
    <row r="180" spans="1:8" ht="17.25" customHeight="1" x14ac:dyDescent="0.25">
      <c r="A180" s="142" t="s">
        <v>191</v>
      </c>
      <c r="B180" s="47"/>
      <c r="C180" s="48"/>
      <c r="D180" s="48"/>
      <c r="E180" s="48"/>
      <c r="F180" s="48"/>
      <c r="G180" s="48"/>
      <c r="H180" s="196"/>
    </row>
    <row r="181" spans="1:8" ht="17.25" customHeight="1" x14ac:dyDescent="0.25">
      <c r="A181" s="145" t="s">
        <v>247</v>
      </c>
      <c r="B181" s="47"/>
      <c r="C181" s="48"/>
      <c r="D181" s="48"/>
      <c r="E181" s="48"/>
      <c r="F181" s="48"/>
      <c r="G181" s="48"/>
      <c r="H181" s="196"/>
    </row>
    <row r="182" spans="1:8" ht="17.25" customHeight="1" x14ac:dyDescent="0.25">
      <c r="A182" s="145" t="s">
        <v>248</v>
      </c>
      <c r="B182" s="47"/>
      <c r="C182" s="48" t="s">
        <v>252</v>
      </c>
      <c r="D182" s="78">
        <v>0</v>
      </c>
      <c r="E182" s="78">
        <v>0</v>
      </c>
      <c r="F182" s="78">
        <v>0</v>
      </c>
      <c r="G182" s="78">
        <f>+G167-G160-F179-E179-D179</f>
        <v>90000</v>
      </c>
      <c r="H182" s="196"/>
    </row>
    <row r="183" spans="1:8" ht="17.25" customHeight="1" x14ac:dyDescent="0.25">
      <c r="A183" s="145"/>
      <c r="B183" s="47"/>
      <c r="C183" s="47"/>
      <c r="D183" s="78"/>
      <c r="E183" s="78"/>
      <c r="F183" s="78"/>
      <c r="G183" s="78"/>
      <c r="H183" s="196"/>
    </row>
    <row r="184" spans="1:8" customFormat="1" ht="15" x14ac:dyDescent="0.25">
      <c r="A184" s="403" t="s">
        <v>875</v>
      </c>
      <c r="B184" s="403"/>
      <c r="C184" s="403"/>
      <c r="D184" s="403"/>
      <c r="E184" s="403"/>
      <c r="F184" s="403"/>
      <c r="G184" s="403"/>
      <c r="H184" s="403"/>
    </row>
    <row r="185" spans="1:8" ht="17.25" customHeight="1" x14ac:dyDescent="0.25">
      <c r="A185" s="145"/>
      <c r="B185" s="47"/>
      <c r="C185" s="47"/>
      <c r="D185" s="78"/>
      <c r="E185" s="78"/>
      <c r="F185" s="78"/>
      <c r="G185" s="75" t="s">
        <v>277</v>
      </c>
      <c r="H185" s="196"/>
    </row>
    <row r="186" spans="1:8" ht="17.25" customHeight="1" x14ac:dyDescent="0.25">
      <c r="A186" s="142" t="s">
        <v>262</v>
      </c>
      <c r="B186" s="47"/>
      <c r="C186" s="47"/>
      <c r="D186" s="47"/>
      <c r="E186" s="75" t="s">
        <v>68</v>
      </c>
      <c r="F186" s="75" t="s">
        <v>28</v>
      </c>
      <c r="G186" s="47"/>
      <c r="H186" s="196"/>
    </row>
    <row r="187" spans="1:8" ht="17.25" customHeight="1" x14ac:dyDescent="0.25">
      <c r="A187" s="145" t="s">
        <v>240</v>
      </c>
      <c r="B187" s="47"/>
      <c r="C187" s="47"/>
      <c r="D187" s="47"/>
      <c r="E187" s="48">
        <f>+D173</f>
        <v>72000</v>
      </c>
      <c r="F187" s="48"/>
      <c r="G187" s="48"/>
      <c r="H187" s="196"/>
    </row>
    <row r="188" spans="1:8" ht="17.25" customHeight="1" x14ac:dyDescent="0.25">
      <c r="A188" s="145" t="s">
        <v>63</v>
      </c>
      <c r="B188" s="47"/>
      <c r="C188" s="47"/>
      <c r="D188" s="47"/>
      <c r="E188" s="48"/>
      <c r="F188" s="48">
        <f>+E187</f>
        <v>72000</v>
      </c>
      <c r="G188" s="52">
        <f>+F188</f>
        <v>72000</v>
      </c>
      <c r="H188" s="196"/>
    </row>
    <row r="189" spans="1:8" ht="17.25" customHeight="1" x14ac:dyDescent="0.25">
      <c r="A189" s="145"/>
      <c r="B189" s="47"/>
      <c r="C189" s="47"/>
      <c r="D189" s="47"/>
      <c r="E189" s="48"/>
      <c r="F189" s="48"/>
      <c r="G189" s="52"/>
      <c r="H189" s="196"/>
    </row>
    <row r="190" spans="1:8" ht="17.25" customHeight="1" x14ac:dyDescent="0.25">
      <c r="A190" s="142" t="s">
        <v>263</v>
      </c>
      <c r="B190" s="47"/>
      <c r="C190" s="47"/>
      <c r="D190" s="47"/>
      <c r="E190" s="75" t="s">
        <v>68</v>
      </c>
      <c r="F190" s="75" t="s">
        <v>28</v>
      </c>
      <c r="G190" s="52"/>
      <c r="H190" s="196"/>
    </row>
    <row r="191" spans="1:8" ht="17.25" customHeight="1" x14ac:dyDescent="0.25">
      <c r="A191" s="145" t="s">
        <v>240</v>
      </c>
      <c r="B191" s="47"/>
      <c r="C191" s="47"/>
      <c r="D191" s="47"/>
      <c r="E191" s="48">
        <f>+E173-G188</f>
        <v>69000</v>
      </c>
      <c r="F191" s="48"/>
      <c r="G191" s="52"/>
      <c r="H191" s="196"/>
    </row>
    <row r="192" spans="1:8" ht="17.25" customHeight="1" x14ac:dyDescent="0.25">
      <c r="A192" s="145" t="s">
        <v>63</v>
      </c>
      <c r="B192" s="47"/>
      <c r="C192" s="47"/>
      <c r="D192" s="47"/>
      <c r="E192" s="48"/>
      <c r="F192" s="48">
        <f>+E191</f>
        <v>69000</v>
      </c>
      <c r="G192" s="52">
        <f>+F192+G188</f>
        <v>141000</v>
      </c>
      <c r="H192" s="196"/>
    </row>
    <row r="193" spans="1:8" ht="17.25" customHeight="1" x14ac:dyDescent="0.25">
      <c r="A193" s="145"/>
      <c r="B193" s="47"/>
      <c r="C193" s="47"/>
      <c r="D193" s="47"/>
      <c r="E193" s="48"/>
      <c r="F193" s="48"/>
      <c r="G193" s="52"/>
      <c r="H193" s="196"/>
    </row>
    <row r="194" spans="1:8" ht="17.25" customHeight="1" x14ac:dyDescent="0.25">
      <c r="A194" s="142" t="s">
        <v>264</v>
      </c>
      <c r="B194" s="47"/>
      <c r="C194" s="47"/>
      <c r="D194" s="47"/>
      <c r="E194" s="75" t="s">
        <v>68</v>
      </c>
      <c r="F194" s="75" t="s">
        <v>28</v>
      </c>
      <c r="G194" s="52"/>
      <c r="H194" s="196"/>
    </row>
    <row r="195" spans="1:8" ht="17.25" customHeight="1" x14ac:dyDescent="0.25">
      <c r="A195" s="145" t="s">
        <v>240</v>
      </c>
      <c r="B195" s="47"/>
      <c r="C195" s="47"/>
      <c r="D195" s="47"/>
      <c r="E195" s="48">
        <f>+F173-G192</f>
        <v>66000</v>
      </c>
      <c r="F195" s="48"/>
      <c r="G195" s="52"/>
      <c r="H195" s="196"/>
    </row>
    <row r="196" spans="1:8" ht="17.25" customHeight="1" x14ac:dyDescent="0.25">
      <c r="A196" s="145" t="s">
        <v>63</v>
      </c>
      <c r="B196" s="47"/>
      <c r="C196" s="47"/>
      <c r="D196" s="47"/>
      <c r="E196" s="48"/>
      <c r="F196" s="48">
        <f>+E195</f>
        <v>66000</v>
      </c>
      <c r="G196" s="52">
        <f>+F196+G192</f>
        <v>207000</v>
      </c>
      <c r="H196" s="196"/>
    </row>
    <row r="197" spans="1:8" ht="17.25" customHeight="1" x14ac:dyDescent="0.25">
      <c r="A197" s="145"/>
      <c r="B197" s="47"/>
      <c r="C197" s="47"/>
      <c r="D197" s="47"/>
      <c r="E197" s="48"/>
      <c r="F197" s="48"/>
      <c r="G197" s="52"/>
      <c r="H197" s="196"/>
    </row>
    <row r="198" spans="1:8" ht="17.25" customHeight="1" x14ac:dyDescent="0.25">
      <c r="A198" s="142" t="s">
        <v>265</v>
      </c>
      <c r="B198" s="47"/>
      <c r="C198" s="47"/>
      <c r="D198" s="47"/>
      <c r="E198" s="75" t="s">
        <v>68</v>
      </c>
      <c r="F198" s="75" t="s">
        <v>28</v>
      </c>
      <c r="G198" s="52"/>
      <c r="H198" s="196"/>
    </row>
    <row r="199" spans="1:8" ht="17.25" customHeight="1" x14ac:dyDescent="0.25">
      <c r="A199" s="145" t="s">
        <v>63</v>
      </c>
      <c r="B199" s="47"/>
      <c r="C199" s="47"/>
      <c r="D199" s="47"/>
      <c r="E199" s="48">
        <f>+G196-G173</f>
        <v>27000</v>
      </c>
      <c r="F199" s="48"/>
      <c r="G199" s="52">
        <f>+G196-E199</f>
        <v>180000</v>
      </c>
      <c r="H199" s="196"/>
    </row>
    <row r="200" spans="1:8" ht="17.25" customHeight="1" x14ac:dyDescent="0.25">
      <c r="A200" s="145" t="s">
        <v>270</v>
      </c>
      <c r="B200" s="47"/>
      <c r="C200" s="47"/>
      <c r="D200" s="47"/>
      <c r="E200" s="48"/>
      <c r="F200" s="48">
        <f>+E199</f>
        <v>27000</v>
      </c>
      <c r="G200" s="52"/>
      <c r="H200" s="196"/>
    </row>
    <row r="201" spans="1:8" ht="17.25" customHeight="1" x14ac:dyDescent="0.25">
      <c r="A201" s="145"/>
      <c r="B201" s="47"/>
      <c r="C201" s="47"/>
      <c r="D201" s="47"/>
      <c r="E201" s="48"/>
      <c r="F201" s="48"/>
      <c r="G201" s="52"/>
      <c r="H201" s="196"/>
    </row>
    <row r="202" spans="1:8" ht="17.25" customHeight="1" x14ac:dyDescent="0.25">
      <c r="A202" s="145" t="s">
        <v>638</v>
      </c>
      <c r="B202" s="47"/>
      <c r="C202" s="47"/>
      <c r="D202" s="47"/>
      <c r="E202" s="48"/>
      <c r="F202" s="48"/>
      <c r="G202" s="52"/>
      <c r="H202" s="196"/>
    </row>
    <row r="203" spans="1:8" ht="17.25" customHeight="1" x14ac:dyDescent="0.25">
      <c r="A203" s="145"/>
      <c r="B203" s="47"/>
      <c r="C203" s="47"/>
      <c r="D203" s="47"/>
      <c r="E203" s="48"/>
      <c r="F203" s="48"/>
      <c r="G203" s="52"/>
      <c r="H203" s="196"/>
    </row>
    <row r="204" spans="1:8" customFormat="1" ht="15" x14ac:dyDescent="0.25">
      <c r="A204" s="403" t="s">
        <v>876</v>
      </c>
      <c r="B204" s="403"/>
      <c r="C204" s="403"/>
      <c r="D204" s="403"/>
      <c r="E204" s="403"/>
      <c r="F204" s="403"/>
      <c r="G204" s="403"/>
      <c r="H204" s="403"/>
    </row>
    <row r="205" spans="1:8" ht="17.25" customHeight="1" x14ac:dyDescent="0.25">
      <c r="A205" s="145"/>
      <c r="B205" s="47"/>
      <c r="C205" s="47"/>
      <c r="D205" s="47"/>
      <c r="E205" s="48"/>
      <c r="F205" s="48"/>
      <c r="G205" s="52"/>
      <c r="H205" s="196"/>
    </row>
    <row r="206" spans="1:8" ht="17.25" customHeight="1" x14ac:dyDescent="0.25">
      <c r="A206" s="149" t="s">
        <v>254</v>
      </c>
      <c r="B206" s="41"/>
      <c r="C206" s="41"/>
      <c r="D206" s="69" t="s">
        <v>198</v>
      </c>
      <c r="E206" s="69" t="s">
        <v>199</v>
      </c>
      <c r="F206" s="69" t="s">
        <v>200</v>
      </c>
      <c r="G206" s="69" t="s">
        <v>201</v>
      </c>
      <c r="H206" s="196"/>
    </row>
    <row r="207" spans="1:8" ht="17.25" customHeight="1" x14ac:dyDescent="0.25">
      <c r="A207" s="203" t="s">
        <v>0</v>
      </c>
      <c r="B207" s="41"/>
      <c r="C207" s="41"/>
      <c r="D207" s="67">
        <v>100000</v>
      </c>
      <c r="E207" s="67">
        <f>+D210</f>
        <v>105000</v>
      </c>
      <c r="F207" s="67">
        <f>+E210</f>
        <v>105000</v>
      </c>
      <c r="G207" s="67">
        <f>+F210</f>
        <v>105000</v>
      </c>
      <c r="H207" s="196"/>
    </row>
    <row r="208" spans="1:8" ht="17.25" customHeight="1" x14ac:dyDescent="0.25">
      <c r="A208" s="92" t="s">
        <v>258</v>
      </c>
      <c r="B208" s="40"/>
      <c r="C208" s="40"/>
      <c r="D208" s="78">
        <v>5000</v>
      </c>
      <c r="E208" s="78">
        <f>+D208*2</f>
        <v>10000</v>
      </c>
      <c r="F208" s="78">
        <f>+E208</f>
        <v>10000</v>
      </c>
      <c r="G208" s="78">
        <v>5000</v>
      </c>
      <c r="H208" s="196"/>
    </row>
    <row r="209" spans="1:8" ht="17.25" customHeight="1" x14ac:dyDescent="0.25">
      <c r="A209" s="92" t="s">
        <v>259</v>
      </c>
      <c r="B209" s="40"/>
      <c r="C209" s="40"/>
      <c r="D209" s="78">
        <v>0</v>
      </c>
      <c r="E209" s="78">
        <f>-E208</f>
        <v>-10000</v>
      </c>
      <c r="F209" s="78">
        <f>+E209</f>
        <v>-10000</v>
      </c>
      <c r="G209" s="78">
        <f>+F209-D207</f>
        <v>-110000</v>
      </c>
      <c r="H209" s="196"/>
    </row>
    <row r="210" spans="1:8" ht="17.25" customHeight="1" x14ac:dyDescent="0.25">
      <c r="A210" s="203" t="s">
        <v>2</v>
      </c>
      <c r="B210" s="41"/>
      <c r="C210" s="67" t="s">
        <v>14</v>
      </c>
      <c r="D210" s="67">
        <f>SUM(D207:D209)</f>
        <v>105000</v>
      </c>
      <c r="E210" s="67">
        <f>SUM(E207:E209)</f>
        <v>105000</v>
      </c>
      <c r="F210" s="67">
        <f>SUM(F207:F209)</f>
        <v>105000</v>
      </c>
      <c r="G210" s="67">
        <f>SUM(G207:G209)</f>
        <v>0</v>
      </c>
      <c r="H210" s="196"/>
    </row>
    <row r="211" spans="1:8" ht="17.25" customHeight="1" x14ac:dyDescent="0.25">
      <c r="A211" s="203" t="s">
        <v>257</v>
      </c>
      <c r="B211" s="41"/>
      <c r="C211" s="67" t="s">
        <v>17</v>
      </c>
      <c r="D211" s="85">
        <f>+D208</f>
        <v>5000</v>
      </c>
      <c r="E211" s="85">
        <f>+E208</f>
        <v>10000</v>
      </c>
      <c r="F211" s="85">
        <f>+F208</f>
        <v>10000</v>
      </c>
      <c r="G211" s="85">
        <f>+G208</f>
        <v>5000</v>
      </c>
      <c r="H211" s="196"/>
    </row>
    <row r="212" spans="1:8" ht="17.25" customHeight="1" x14ac:dyDescent="0.25">
      <c r="A212" s="145"/>
      <c r="B212" s="40"/>
      <c r="C212" s="48"/>
      <c r="D212" s="48"/>
      <c r="E212" s="48"/>
      <c r="F212" s="48"/>
      <c r="G212" s="48"/>
      <c r="H212" s="196"/>
    </row>
    <row r="213" spans="1:8" ht="17.25" customHeight="1" x14ac:dyDescent="0.25">
      <c r="A213" s="149" t="s">
        <v>253</v>
      </c>
      <c r="B213" s="41"/>
      <c r="C213" s="67"/>
      <c r="D213" s="69" t="s">
        <v>198</v>
      </c>
      <c r="E213" s="69" t="s">
        <v>199</v>
      </c>
      <c r="F213" s="69" t="s">
        <v>200</v>
      </c>
      <c r="G213" s="69" t="s">
        <v>201</v>
      </c>
      <c r="H213" s="196"/>
    </row>
    <row r="214" spans="1:8" ht="17.25" customHeight="1" x14ac:dyDescent="0.25">
      <c r="A214" s="203" t="s">
        <v>0</v>
      </c>
      <c r="B214" s="41"/>
      <c r="C214" s="67"/>
      <c r="D214" s="67">
        <v>100000</v>
      </c>
      <c r="E214" s="67">
        <f>+D217</f>
        <v>100000</v>
      </c>
      <c r="F214" s="67">
        <f>+E217</f>
        <v>100000</v>
      </c>
      <c r="G214" s="67">
        <f>+F217</f>
        <v>100000</v>
      </c>
      <c r="H214" s="196"/>
    </row>
    <row r="215" spans="1:8" ht="17.25" customHeight="1" x14ac:dyDescent="0.25">
      <c r="A215" s="92" t="s">
        <v>258</v>
      </c>
      <c r="B215" s="47"/>
      <c r="C215" s="48"/>
      <c r="D215" s="78">
        <v>0</v>
      </c>
      <c r="E215" s="78">
        <f>+E208</f>
        <v>10000</v>
      </c>
      <c r="F215" s="78">
        <f>+E215</f>
        <v>10000</v>
      </c>
      <c r="G215" s="78">
        <f>+F215</f>
        <v>10000</v>
      </c>
      <c r="H215" s="196"/>
    </row>
    <row r="216" spans="1:8" ht="17.25" customHeight="1" x14ac:dyDescent="0.25">
      <c r="A216" s="92" t="s">
        <v>259</v>
      </c>
      <c r="B216" s="47"/>
      <c r="C216" s="48"/>
      <c r="D216" s="78">
        <v>0</v>
      </c>
      <c r="E216" s="78">
        <f>+E209</f>
        <v>-10000</v>
      </c>
      <c r="F216" s="78">
        <f>+E216</f>
        <v>-10000</v>
      </c>
      <c r="G216" s="78">
        <f>+F216-D214</f>
        <v>-110000</v>
      </c>
      <c r="H216" s="196"/>
    </row>
    <row r="217" spans="1:8" ht="17.25" customHeight="1" x14ac:dyDescent="0.25">
      <c r="A217" s="203" t="s">
        <v>2</v>
      </c>
      <c r="B217" s="54"/>
      <c r="C217" s="67" t="s">
        <v>15</v>
      </c>
      <c r="D217" s="67">
        <f>SUM(D214:D216)</f>
        <v>100000</v>
      </c>
      <c r="E217" s="67">
        <f>SUM(E214:E216)</f>
        <v>100000</v>
      </c>
      <c r="F217" s="67">
        <f>SUM(F214:F216)</f>
        <v>100000</v>
      </c>
      <c r="G217" s="67">
        <f>SUM(G214:G216)</f>
        <v>0</v>
      </c>
      <c r="H217" s="196"/>
    </row>
    <row r="218" spans="1:8" ht="17.25" customHeight="1" x14ac:dyDescent="0.25">
      <c r="A218" s="203" t="s">
        <v>257</v>
      </c>
      <c r="B218" s="54"/>
      <c r="C218" s="67" t="s">
        <v>64</v>
      </c>
      <c r="D218" s="85">
        <f>+D215</f>
        <v>0</v>
      </c>
      <c r="E218" s="85">
        <f>+E215</f>
        <v>10000</v>
      </c>
      <c r="F218" s="85">
        <f>+F215</f>
        <v>10000</v>
      </c>
      <c r="G218" s="85">
        <f>+G215</f>
        <v>10000</v>
      </c>
      <c r="H218" s="196"/>
    </row>
    <row r="219" spans="1:8" ht="17.25" customHeight="1" x14ac:dyDescent="0.25">
      <c r="A219" s="92"/>
      <c r="B219" s="47"/>
      <c r="C219" s="48"/>
      <c r="D219" s="78"/>
      <c r="E219" s="78"/>
      <c r="F219" s="78"/>
      <c r="G219" s="78"/>
      <c r="H219" s="196"/>
    </row>
    <row r="220" spans="1:8" ht="17.25" customHeight="1" x14ac:dyDescent="0.25">
      <c r="A220" s="145" t="s">
        <v>9</v>
      </c>
      <c r="B220" s="47"/>
      <c r="C220" s="48" t="s">
        <v>250</v>
      </c>
      <c r="D220" s="48">
        <f>+D210-D217</f>
        <v>5000</v>
      </c>
      <c r="E220" s="48">
        <f>+E210-E217</f>
        <v>5000</v>
      </c>
      <c r="F220" s="48">
        <f>+F210-F217</f>
        <v>5000</v>
      </c>
      <c r="G220" s="48">
        <f>+G210-G217</f>
        <v>0</v>
      </c>
      <c r="H220" s="196"/>
    </row>
    <row r="221" spans="1:8" ht="17.25" customHeight="1" x14ac:dyDescent="0.25">
      <c r="A221" s="145" t="s">
        <v>246</v>
      </c>
      <c r="B221" s="47"/>
      <c r="C221" s="48" t="s">
        <v>251</v>
      </c>
      <c r="D221" s="48">
        <f>+D220*0.3</f>
        <v>1500</v>
      </c>
      <c r="E221" s="48">
        <f>+E220*0.3</f>
        <v>1500</v>
      </c>
      <c r="F221" s="48">
        <f>+F220*0.3</f>
        <v>1500</v>
      </c>
      <c r="G221" s="48">
        <f>+G220*0.3</f>
        <v>0</v>
      </c>
      <c r="H221" s="196"/>
    </row>
    <row r="222" spans="1:8" ht="17.25" customHeight="1" x14ac:dyDescent="0.25">
      <c r="A222" s="47"/>
      <c r="B222" s="47"/>
      <c r="C222" s="47"/>
      <c r="D222" s="47"/>
      <c r="E222" s="47"/>
      <c r="F222" s="47"/>
      <c r="G222" s="47"/>
      <c r="H222" s="196"/>
    </row>
    <row r="223" spans="1:8" ht="17.25" customHeight="1" x14ac:dyDescent="0.25">
      <c r="A223" s="149" t="s">
        <v>260</v>
      </c>
      <c r="B223" s="54"/>
      <c r="C223" s="67"/>
      <c r="D223" s="69" t="s">
        <v>198</v>
      </c>
      <c r="E223" s="69" t="s">
        <v>199</v>
      </c>
      <c r="F223" s="69" t="s">
        <v>200</v>
      </c>
      <c r="G223" s="69" t="s">
        <v>201</v>
      </c>
      <c r="H223" s="196"/>
    </row>
    <row r="224" spans="1:8" ht="17.25" customHeight="1" x14ac:dyDescent="0.25">
      <c r="A224" s="145" t="s">
        <v>256</v>
      </c>
      <c r="B224" s="47"/>
      <c r="C224" s="48" t="s">
        <v>252</v>
      </c>
      <c r="D224" s="78">
        <f>-D208+D215</f>
        <v>-5000</v>
      </c>
      <c r="E224" s="78">
        <f>-E208+E215</f>
        <v>0</v>
      </c>
      <c r="F224" s="78">
        <f>-F208+F215</f>
        <v>0</v>
      </c>
      <c r="G224" s="78">
        <v>0</v>
      </c>
      <c r="H224" s="196"/>
    </row>
    <row r="225" spans="1:8" ht="17.25" customHeight="1" x14ac:dyDescent="0.25">
      <c r="A225" s="145" t="s">
        <v>191</v>
      </c>
      <c r="B225" s="47"/>
      <c r="C225" s="48" t="s">
        <v>252</v>
      </c>
      <c r="D225" s="78">
        <v>0</v>
      </c>
      <c r="E225" s="78">
        <v>0</v>
      </c>
      <c r="F225" s="78">
        <v>0</v>
      </c>
      <c r="G225" s="78">
        <f>-G208+G215</f>
        <v>5000</v>
      </c>
      <c r="H225" s="196"/>
    </row>
    <row r="226" spans="1:8" ht="17.25" customHeight="1" x14ac:dyDescent="0.25">
      <c r="A226" s="47"/>
      <c r="B226" s="47"/>
      <c r="C226" s="47"/>
      <c r="D226" s="47"/>
      <c r="E226" s="47"/>
      <c r="F226" s="47"/>
      <c r="G226" s="47"/>
      <c r="H226" s="196"/>
    </row>
    <row r="227" spans="1:8" customFormat="1" ht="15" x14ac:dyDescent="0.25">
      <c r="A227" s="403" t="s">
        <v>877</v>
      </c>
      <c r="B227" s="403"/>
      <c r="C227" s="403"/>
      <c r="D227" s="403"/>
      <c r="E227" s="403"/>
      <c r="F227" s="403"/>
      <c r="G227" s="403"/>
      <c r="H227" s="403"/>
    </row>
    <row r="228" spans="1:8" ht="17.25" customHeight="1" x14ac:dyDescent="0.25">
      <c r="A228" s="145" t="s">
        <v>262</v>
      </c>
      <c r="B228" s="40"/>
      <c r="C228" s="40"/>
      <c r="D228" s="40"/>
      <c r="E228" s="75" t="s">
        <v>68</v>
      </c>
      <c r="F228" s="75" t="s">
        <v>28</v>
      </c>
      <c r="G228" s="75" t="s">
        <v>277</v>
      </c>
      <c r="H228" s="196"/>
    </row>
    <row r="229" spans="1:8" ht="17.25" customHeight="1" x14ac:dyDescent="0.25">
      <c r="A229" s="145" t="s">
        <v>240</v>
      </c>
      <c r="B229" s="40"/>
      <c r="C229" s="40"/>
      <c r="D229" s="40"/>
      <c r="E229" s="48">
        <f>+D221</f>
        <v>1500</v>
      </c>
      <c r="F229" s="48"/>
      <c r="G229" s="48"/>
      <c r="H229" s="196"/>
    </row>
    <row r="230" spans="1:8" ht="17.25" customHeight="1" x14ac:dyDescent="0.25">
      <c r="A230" s="145" t="s">
        <v>63</v>
      </c>
      <c r="B230" s="40"/>
      <c r="C230" s="40"/>
      <c r="D230" s="40"/>
      <c r="E230" s="48"/>
      <c r="F230" s="48">
        <f>+E229</f>
        <v>1500</v>
      </c>
      <c r="G230" s="52">
        <f>+F230</f>
        <v>1500</v>
      </c>
      <c r="H230" s="196"/>
    </row>
    <row r="231" spans="1:8" ht="17.25" customHeight="1" x14ac:dyDescent="0.25">
      <c r="A231" s="145"/>
      <c r="B231" s="40"/>
      <c r="C231" s="40"/>
      <c r="D231" s="40"/>
      <c r="E231" s="48"/>
      <c r="F231" s="48"/>
      <c r="G231" s="52"/>
      <c r="H231" s="196"/>
    </row>
    <row r="232" spans="1:8" ht="17.25" customHeight="1" x14ac:dyDescent="0.25">
      <c r="A232" s="145" t="s">
        <v>263</v>
      </c>
      <c r="B232" s="40"/>
      <c r="C232" s="40"/>
      <c r="D232" s="40"/>
      <c r="E232" s="66" t="s">
        <v>68</v>
      </c>
      <c r="F232" s="66" t="s">
        <v>28</v>
      </c>
      <c r="G232" s="52"/>
      <c r="H232" s="196"/>
    </row>
    <row r="233" spans="1:8" ht="17.25" customHeight="1" x14ac:dyDescent="0.25">
      <c r="A233" s="145" t="s">
        <v>240</v>
      </c>
      <c r="B233" s="40"/>
      <c r="C233" s="40"/>
      <c r="D233" s="40"/>
      <c r="E233" s="48">
        <f>+E221-E229</f>
        <v>0</v>
      </c>
      <c r="F233" s="48"/>
      <c r="G233" s="52"/>
      <c r="H233" s="196"/>
    </row>
    <row r="234" spans="1:8" ht="17.25" customHeight="1" x14ac:dyDescent="0.25">
      <c r="A234" s="145" t="s">
        <v>63</v>
      </c>
      <c r="B234" s="40"/>
      <c r="C234" s="40"/>
      <c r="D234" s="40"/>
      <c r="E234" s="48"/>
      <c r="F234" s="48">
        <f>+E233</f>
        <v>0</v>
      </c>
      <c r="G234" s="52">
        <f>+F234+G230</f>
        <v>1500</v>
      </c>
      <c r="H234" s="196"/>
    </row>
    <row r="235" spans="1:8" ht="17.25" customHeight="1" x14ac:dyDescent="0.25">
      <c r="A235" s="145"/>
      <c r="B235" s="40"/>
      <c r="C235" s="40"/>
      <c r="D235" s="40"/>
      <c r="E235" s="48"/>
      <c r="F235" s="48"/>
      <c r="G235" s="52"/>
      <c r="H235" s="196"/>
    </row>
    <row r="236" spans="1:8" ht="17.25" customHeight="1" x14ac:dyDescent="0.25">
      <c r="A236" s="145" t="s">
        <v>264</v>
      </c>
      <c r="B236" s="40"/>
      <c r="C236" s="40"/>
      <c r="D236" s="40"/>
      <c r="E236" s="66" t="s">
        <v>68</v>
      </c>
      <c r="F236" s="66" t="s">
        <v>28</v>
      </c>
      <c r="G236" s="52"/>
      <c r="H236" s="196"/>
    </row>
    <row r="237" spans="1:8" ht="17.25" customHeight="1" x14ac:dyDescent="0.25">
      <c r="A237" s="145" t="s">
        <v>240</v>
      </c>
      <c r="B237" s="40"/>
      <c r="C237" s="40"/>
      <c r="D237" s="40"/>
      <c r="E237" s="48">
        <f>+F221-E221</f>
        <v>0</v>
      </c>
      <c r="F237" s="48"/>
      <c r="G237" s="52"/>
      <c r="H237" s="196"/>
    </row>
    <row r="238" spans="1:8" ht="17.25" customHeight="1" x14ac:dyDescent="0.25">
      <c r="A238" s="145" t="s">
        <v>63</v>
      </c>
      <c r="B238" s="40"/>
      <c r="C238" s="40"/>
      <c r="D238" s="40"/>
      <c r="E238" s="48"/>
      <c r="F238" s="48">
        <f>+E237</f>
        <v>0</v>
      </c>
      <c r="G238" s="52">
        <f>+F238+G234</f>
        <v>1500</v>
      </c>
      <c r="H238" s="196"/>
    </row>
    <row r="239" spans="1:8" ht="17.25" customHeight="1" x14ac:dyDescent="0.25">
      <c r="A239" s="145"/>
      <c r="B239" s="40"/>
      <c r="C239" s="40"/>
      <c r="D239" s="40"/>
      <c r="E239" s="48"/>
      <c r="F239" s="48"/>
      <c r="G239" s="52"/>
      <c r="H239" s="196"/>
    </row>
    <row r="240" spans="1:8" ht="17.25" customHeight="1" x14ac:dyDescent="0.25">
      <c r="A240" s="145" t="s">
        <v>271</v>
      </c>
      <c r="B240" s="40"/>
      <c r="C240" s="40"/>
      <c r="D240" s="40"/>
      <c r="E240" s="66" t="s">
        <v>68</v>
      </c>
      <c r="F240" s="66" t="s">
        <v>28</v>
      </c>
      <c r="G240" s="52"/>
      <c r="H240" s="196"/>
    </row>
    <row r="241" spans="1:8" ht="17.25" customHeight="1" x14ac:dyDescent="0.25">
      <c r="A241" s="145" t="s">
        <v>63</v>
      </c>
      <c r="B241" s="40"/>
      <c r="C241" s="40"/>
      <c r="D241" s="40"/>
      <c r="E241" s="48">
        <f>+F221-G221</f>
        <v>1500</v>
      </c>
      <c r="F241" s="48"/>
      <c r="G241" s="52"/>
      <c r="H241" s="196"/>
    </row>
    <row r="242" spans="1:8" ht="17.25" customHeight="1" x14ac:dyDescent="0.25">
      <c r="A242" s="205" t="s">
        <v>270</v>
      </c>
      <c r="B242" s="40"/>
      <c r="C242" s="40"/>
      <c r="D242" s="40"/>
      <c r="E242" s="206"/>
      <c r="F242" s="48">
        <f>+E241</f>
        <v>1500</v>
      </c>
      <c r="G242" s="52">
        <f>+G238-E241</f>
        <v>0</v>
      </c>
      <c r="H242" s="196"/>
    </row>
    <row r="243" spans="1:8" ht="17.25" customHeight="1" x14ac:dyDescent="0.25">
      <c r="A243" s="47"/>
      <c r="B243" s="47"/>
      <c r="C243" s="47"/>
      <c r="D243" s="47"/>
      <c r="E243" s="47"/>
      <c r="F243" s="47"/>
      <c r="G243" s="47"/>
      <c r="H243" s="196"/>
    </row>
    <row r="244" spans="1:8" ht="17.25" customHeight="1" x14ac:dyDescent="0.25">
      <c r="A244" s="47"/>
      <c r="B244" s="47"/>
      <c r="C244" s="47"/>
      <c r="D244" s="47"/>
      <c r="E244" s="47"/>
      <c r="F244" s="47"/>
      <c r="G244" s="47"/>
      <c r="H244" s="196"/>
    </row>
    <row r="245" spans="1:8" customFormat="1" ht="15" x14ac:dyDescent="0.25">
      <c r="A245" s="403" t="s">
        <v>878</v>
      </c>
      <c r="B245" s="403"/>
      <c r="C245" s="403"/>
      <c r="D245" s="403"/>
      <c r="E245" s="403"/>
      <c r="F245" s="403"/>
      <c r="G245" s="403"/>
      <c r="H245" s="403"/>
    </row>
    <row r="246" spans="1:8" ht="17.25" customHeight="1" x14ac:dyDescent="0.25">
      <c r="A246" s="149" t="s">
        <v>254</v>
      </c>
      <c r="B246" s="67"/>
      <c r="C246" s="54"/>
      <c r="D246" s="69" t="s">
        <v>198</v>
      </c>
      <c r="E246" s="69" t="s">
        <v>199</v>
      </c>
      <c r="F246" s="69" t="s">
        <v>200</v>
      </c>
      <c r="G246" s="69" t="s">
        <v>201</v>
      </c>
      <c r="H246" s="196"/>
    </row>
    <row r="247" spans="1:8" ht="17.25" customHeight="1" x14ac:dyDescent="0.25">
      <c r="A247" s="92" t="s">
        <v>37</v>
      </c>
      <c r="B247" s="48"/>
      <c r="C247" s="47"/>
      <c r="D247" s="48">
        <v>2000000</v>
      </c>
      <c r="E247" s="48">
        <v>2000000</v>
      </c>
      <c r="F247" s="48">
        <v>2000000</v>
      </c>
      <c r="G247" s="48">
        <v>2000000</v>
      </c>
      <c r="H247" s="196"/>
    </row>
    <row r="248" spans="1:8" ht="17.25" customHeight="1" x14ac:dyDescent="0.25">
      <c r="A248" s="92" t="s">
        <v>642</v>
      </c>
      <c r="B248" s="48"/>
      <c r="C248" s="47"/>
      <c r="D248" s="78">
        <f>-D247*2.5%</f>
        <v>-50000</v>
      </c>
      <c r="E248" s="78">
        <f>+D248*2</f>
        <v>-100000</v>
      </c>
      <c r="F248" s="78">
        <f>+D248*3</f>
        <v>-150000</v>
      </c>
      <c r="G248" s="78">
        <f>+D248*4</f>
        <v>-200000</v>
      </c>
      <c r="H248" s="196"/>
    </row>
    <row r="249" spans="1:8" ht="17.25" customHeight="1" x14ac:dyDescent="0.25">
      <c r="A249" s="149" t="s">
        <v>155</v>
      </c>
      <c r="B249" s="54"/>
      <c r="C249" s="67" t="s">
        <v>14</v>
      </c>
      <c r="D249" s="67">
        <f>+D247+D248</f>
        <v>1950000</v>
      </c>
      <c r="E249" s="67">
        <f>+E247+E248</f>
        <v>1900000</v>
      </c>
      <c r="F249" s="67">
        <f>+F247+F248</f>
        <v>1850000</v>
      </c>
      <c r="G249" s="67">
        <f>+G247+G248</f>
        <v>1800000</v>
      </c>
      <c r="H249" s="196"/>
    </row>
    <row r="250" spans="1:8" ht="17.25" customHeight="1" x14ac:dyDescent="0.25">
      <c r="A250" s="149" t="s">
        <v>261</v>
      </c>
      <c r="B250" s="54"/>
      <c r="C250" s="67" t="s">
        <v>17</v>
      </c>
      <c r="D250" s="85">
        <f>+D248</f>
        <v>-50000</v>
      </c>
      <c r="E250" s="85">
        <f>+E248-D248</f>
        <v>-50000</v>
      </c>
      <c r="F250" s="85">
        <f>+F248-E248</f>
        <v>-50000</v>
      </c>
      <c r="G250" s="85">
        <f>+G248-F248</f>
        <v>-50000</v>
      </c>
      <c r="H250" s="196"/>
    </row>
    <row r="251" spans="1:8" ht="17.25" customHeight="1" x14ac:dyDescent="0.25">
      <c r="A251" s="145"/>
      <c r="B251" s="48"/>
      <c r="C251" s="47"/>
      <c r="D251" s="48"/>
      <c r="E251" s="48"/>
      <c r="F251" s="48"/>
      <c r="G251" s="48"/>
      <c r="H251" s="196"/>
    </row>
    <row r="252" spans="1:8" ht="17.25" customHeight="1" x14ac:dyDescent="0.25">
      <c r="A252" s="149" t="s">
        <v>253</v>
      </c>
      <c r="B252" s="67"/>
      <c r="C252" s="54"/>
      <c r="D252" s="69" t="s">
        <v>198</v>
      </c>
      <c r="E252" s="69" t="s">
        <v>199</v>
      </c>
      <c r="F252" s="69" t="s">
        <v>200</v>
      </c>
      <c r="G252" s="69" t="s">
        <v>201</v>
      </c>
      <c r="H252" s="196"/>
    </row>
    <row r="253" spans="1:8" ht="17.25" customHeight="1" x14ac:dyDescent="0.25">
      <c r="A253" s="92" t="s">
        <v>37</v>
      </c>
      <c r="B253" s="48"/>
      <c r="C253" s="47"/>
      <c r="D253" s="48">
        <f>+D247</f>
        <v>2000000</v>
      </c>
      <c r="E253" s="48">
        <f>+E247</f>
        <v>2000000</v>
      </c>
      <c r="F253" s="48">
        <f>+F247</f>
        <v>2000000</v>
      </c>
      <c r="G253" s="48">
        <f>+G247</f>
        <v>2000000</v>
      </c>
      <c r="H253" s="196"/>
    </row>
    <row r="254" spans="1:8" ht="17.25" customHeight="1" x14ac:dyDescent="0.25">
      <c r="A254" s="92" t="s">
        <v>643</v>
      </c>
      <c r="B254" s="48"/>
      <c r="C254" s="47"/>
      <c r="D254" s="78">
        <f>+-D253*5%</f>
        <v>-100000</v>
      </c>
      <c r="E254" s="78">
        <f>+D254*2</f>
        <v>-200000</v>
      </c>
      <c r="F254" s="78">
        <f>+D254*3</f>
        <v>-300000</v>
      </c>
      <c r="G254" s="78">
        <f>+D254*4</f>
        <v>-400000</v>
      </c>
      <c r="H254" s="196"/>
    </row>
    <row r="255" spans="1:8" ht="17.25" customHeight="1" x14ac:dyDescent="0.25">
      <c r="A255" s="149" t="s">
        <v>244</v>
      </c>
      <c r="B255" s="54"/>
      <c r="C255" s="67" t="s">
        <v>15</v>
      </c>
      <c r="D255" s="67">
        <f>+D253+D254</f>
        <v>1900000</v>
      </c>
      <c r="E255" s="67">
        <f>+E253+E254</f>
        <v>1800000</v>
      </c>
      <c r="F255" s="67">
        <f>+F253+F254</f>
        <v>1700000</v>
      </c>
      <c r="G255" s="67">
        <f>+G253+G254</f>
        <v>1600000</v>
      </c>
      <c r="H255" s="196"/>
    </row>
    <row r="256" spans="1:8" ht="17.25" customHeight="1" x14ac:dyDescent="0.25">
      <c r="A256" s="149" t="s">
        <v>261</v>
      </c>
      <c r="B256" s="54"/>
      <c r="C256" s="67" t="s">
        <v>64</v>
      </c>
      <c r="D256" s="85">
        <f>+D254</f>
        <v>-100000</v>
      </c>
      <c r="E256" s="85">
        <f>+E254-D254</f>
        <v>-100000</v>
      </c>
      <c r="F256" s="85">
        <f>+F254-E254</f>
        <v>-100000</v>
      </c>
      <c r="G256" s="85">
        <f>+G254-F254</f>
        <v>-100000</v>
      </c>
      <c r="H256" s="196"/>
    </row>
    <row r="257" spans="1:8" ht="17.25" customHeight="1" x14ac:dyDescent="0.25">
      <c r="A257" s="145"/>
      <c r="B257" s="48"/>
      <c r="C257" s="47"/>
      <c r="D257" s="78"/>
      <c r="E257" s="78"/>
      <c r="F257" s="78"/>
      <c r="G257" s="78"/>
      <c r="H257" s="196"/>
    </row>
    <row r="258" spans="1:8" ht="17.25" customHeight="1" x14ac:dyDescent="0.25">
      <c r="A258" s="149" t="s">
        <v>9</v>
      </c>
      <c r="B258" s="54"/>
      <c r="C258" s="67" t="s">
        <v>250</v>
      </c>
      <c r="D258" s="67">
        <f>+D249-D255</f>
        <v>50000</v>
      </c>
      <c r="E258" s="67">
        <f>+E249-E255</f>
        <v>100000</v>
      </c>
      <c r="F258" s="67">
        <f>+F249-F255</f>
        <v>150000</v>
      </c>
      <c r="G258" s="67">
        <f>+G249-G255</f>
        <v>200000</v>
      </c>
      <c r="H258" s="196"/>
    </row>
    <row r="259" spans="1:8" ht="17.25" customHeight="1" x14ac:dyDescent="0.25">
      <c r="A259" s="149" t="s">
        <v>246</v>
      </c>
      <c r="B259" s="54"/>
      <c r="C259" s="67" t="s">
        <v>251</v>
      </c>
      <c r="D259" s="67">
        <f>+D258*0.3</f>
        <v>15000</v>
      </c>
      <c r="E259" s="67">
        <f>+E258*0.3</f>
        <v>30000</v>
      </c>
      <c r="F259" s="67">
        <f>+F258*0.3</f>
        <v>45000</v>
      </c>
      <c r="G259" s="67">
        <f>+G258*0.3</f>
        <v>60000</v>
      </c>
      <c r="H259" s="196"/>
    </row>
    <row r="260" spans="1:8" ht="17.25" customHeight="1" x14ac:dyDescent="0.25">
      <c r="A260" s="145"/>
      <c r="B260" s="48"/>
      <c r="C260" s="47"/>
      <c r="D260" s="48"/>
      <c r="E260" s="48"/>
      <c r="F260" s="48"/>
      <c r="G260" s="48"/>
      <c r="H260" s="196"/>
    </row>
    <row r="261" spans="1:8" ht="17.25" customHeight="1" x14ac:dyDescent="0.25">
      <c r="A261" s="149" t="s">
        <v>255</v>
      </c>
      <c r="B261" s="67"/>
      <c r="C261" s="54"/>
      <c r="D261" s="67"/>
      <c r="E261" s="67"/>
      <c r="F261" s="67"/>
      <c r="G261" s="67"/>
      <c r="H261" s="196"/>
    </row>
    <row r="262" spans="1:8" ht="17.25" customHeight="1" x14ac:dyDescent="0.25">
      <c r="A262" s="149"/>
      <c r="B262" s="67"/>
      <c r="C262" s="54"/>
      <c r="D262" s="69" t="s">
        <v>198</v>
      </c>
      <c r="E262" s="69" t="s">
        <v>199</v>
      </c>
      <c r="F262" s="69" t="s">
        <v>200</v>
      </c>
      <c r="G262" s="69" t="s">
        <v>201</v>
      </c>
      <c r="H262" s="196"/>
    </row>
    <row r="263" spans="1:8" ht="17.25" customHeight="1" x14ac:dyDescent="0.25">
      <c r="A263" s="145" t="s">
        <v>256</v>
      </c>
      <c r="B263" s="48"/>
      <c r="C263" s="47"/>
      <c r="D263" s="75"/>
      <c r="E263" s="75"/>
      <c r="F263" s="75"/>
      <c r="G263" s="75"/>
      <c r="H263" s="196"/>
    </row>
    <row r="264" spans="1:8" ht="17.25" customHeight="1" x14ac:dyDescent="0.25">
      <c r="A264" s="145" t="s">
        <v>249</v>
      </c>
      <c r="B264" s="48"/>
      <c r="C264" s="47"/>
      <c r="D264" s="48"/>
      <c r="E264" s="48"/>
      <c r="F264" s="48"/>
      <c r="G264" s="48"/>
      <c r="H264" s="196"/>
    </row>
    <row r="265" spans="1:8" ht="17.25" customHeight="1" x14ac:dyDescent="0.25">
      <c r="A265" s="145" t="s">
        <v>248</v>
      </c>
      <c r="B265" s="47"/>
      <c r="C265" s="48" t="s">
        <v>252</v>
      </c>
      <c r="D265" s="78">
        <f>+D254-D248</f>
        <v>-50000</v>
      </c>
      <c r="E265" s="78">
        <f>+E254-E248-D265</f>
        <v>-50000</v>
      </c>
      <c r="F265" s="78">
        <f>+F254-F248-E265-D265</f>
        <v>-50000</v>
      </c>
      <c r="G265" s="78">
        <v>0</v>
      </c>
      <c r="H265" s="196"/>
    </row>
    <row r="266" spans="1:8" ht="17.25" customHeight="1" x14ac:dyDescent="0.25">
      <c r="A266" s="142"/>
      <c r="B266" s="52"/>
      <c r="C266" s="47"/>
      <c r="D266" s="48"/>
      <c r="E266" s="48"/>
      <c r="F266" s="48"/>
      <c r="G266" s="48"/>
      <c r="H266" s="196"/>
    </row>
    <row r="267" spans="1:8" ht="17.25" customHeight="1" x14ac:dyDescent="0.25">
      <c r="A267" s="142"/>
      <c r="B267" s="52"/>
      <c r="C267" s="47"/>
      <c r="D267" s="48"/>
      <c r="E267" s="48"/>
      <c r="F267" s="48"/>
      <c r="G267" s="48"/>
      <c r="H267" s="196"/>
    </row>
    <row r="268" spans="1:8" customFormat="1" ht="15" x14ac:dyDescent="0.25">
      <c r="A268" s="403" t="s">
        <v>879</v>
      </c>
      <c r="B268" s="403"/>
      <c r="C268" s="403"/>
      <c r="D268" s="403"/>
      <c r="E268" s="403"/>
      <c r="F268" s="403"/>
      <c r="G268" s="403"/>
      <c r="H268" s="403"/>
    </row>
    <row r="269" spans="1:8" ht="17.25" customHeight="1" x14ac:dyDescent="0.25">
      <c r="A269" s="142" t="s">
        <v>262</v>
      </c>
      <c r="B269" s="47"/>
      <c r="C269" s="47"/>
      <c r="D269" s="47"/>
      <c r="E269" s="75" t="s">
        <v>68</v>
      </c>
      <c r="F269" s="75" t="s">
        <v>28</v>
      </c>
      <c r="G269" s="75" t="s">
        <v>277</v>
      </c>
      <c r="H269" s="196"/>
    </row>
    <row r="270" spans="1:8" ht="17.25" customHeight="1" x14ac:dyDescent="0.25">
      <c r="A270" s="145" t="s">
        <v>240</v>
      </c>
      <c r="B270" s="47"/>
      <c r="C270" s="47"/>
      <c r="D270" s="47"/>
      <c r="E270" s="48">
        <f>+D259</f>
        <v>15000</v>
      </c>
      <c r="F270" s="48"/>
      <c r="G270" s="48"/>
      <c r="H270" s="196"/>
    </row>
    <row r="271" spans="1:8" ht="17.25" customHeight="1" x14ac:dyDescent="0.25">
      <c r="A271" s="145" t="s">
        <v>63</v>
      </c>
      <c r="B271" s="47"/>
      <c r="C271" s="47"/>
      <c r="D271" s="47"/>
      <c r="E271" s="48"/>
      <c r="F271" s="48">
        <f>+E270</f>
        <v>15000</v>
      </c>
      <c r="G271" s="52">
        <f>+F271</f>
        <v>15000</v>
      </c>
      <c r="H271" s="196"/>
    </row>
    <row r="272" spans="1:8" ht="17.25" customHeight="1" x14ac:dyDescent="0.25">
      <c r="A272" s="145"/>
      <c r="B272" s="47"/>
      <c r="C272" s="47"/>
      <c r="D272" s="47"/>
      <c r="E272" s="48"/>
      <c r="F272" s="48"/>
      <c r="G272" s="52"/>
      <c r="H272" s="196"/>
    </row>
    <row r="273" spans="1:8" ht="17.25" customHeight="1" x14ac:dyDescent="0.25">
      <c r="A273" s="142" t="s">
        <v>263</v>
      </c>
      <c r="B273" s="47"/>
      <c r="C273" s="47"/>
      <c r="D273" s="47"/>
      <c r="E273" s="75" t="s">
        <v>68</v>
      </c>
      <c r="F273" s="75" t="s">
        <v>28</v>
      </c>
      <c r="G273" s="52"/>
      <c r="H273" s="196"/>
    </row>
    <row r="274" spans="1:8" ht="17.25" customHeight="1" x14ac:dyDescent="0.25">
      <c r="A274" s="145" t="s">
        <v>240</v>
      </c>
      <c r="B274" s="47"/>
      <c r="C274" s="47"/>
      <c r="D274" s="47"/>
      <c r="E274" s="48">
        <f>+E259-G271</f>
        <v>15000</v>
      </c>
      <c r="F274" s="48"/>
      <c r="G274" s="52"/>
      <c r="H274" s="196"/>
    </row>
    <row r="275" spans="1:8" ht="17.25" customHeight="1" x14ac:dyDescent="0.25">
      <c r="A275" s="145" t="s">
        <v>63</v>
      </c>
      <c r="B275" s="47"/>
      <c r="C275" s="47"/>
      <c r="D275" s="47"/>
      <c r="E275" s="48"/>
      <c r="F275" s="48">
        <f>+E274</f>
        <v>15000</v>
      </c>
      <c r="G275" s="52">
        <f>+F275+G271</f>
        <v>30000</v>
      </c>
      <c r="H275" s="196"/>
    </row>
    <row r="276" spans="1:8" ht="17.25" customHeight="1" x14ac:dyDescent="0.25">
      <c r="A276" s="145"/>
      <c r="B276" s="47"/>
      <c r="C276" s="47"/>
      <c r="D276" s="47"/>
      <c r="E276" s="48"/>
      <c r="F276" s="48"/>
      <c r="G276" s="52"/>
      <c r="H276" s="196"/>
    </row>
    <row r="277" spans="1:8" ht="17.25" customHeight="1" x14ac:dyDescent="0.25">
      <c r="A277" s="142" t="s">
        <v>264</v>
      </c>
      <c r="B277" s="47"/>
      <c r="C277" s="47"/>
      <c r="D277" s="47"/>
      <c r="E277" s="75" t="s">
        <v>68</v>
      </c>
      <c r="F277" s="75" t="s">
        <v>28</v>
      </c>
      <c r="G277" s="52"/>
      <c r="H277" s="196"/>
    </row>
    <row r="278" spans="1:8" ht="17.25" customHeight="1" x14ac:dyDescent="0.25">
      <c r="A278" s="145" t="s">
        <v>240</v>
      </c>
      <c r="B278" s="47"/>
      <c r="C278" s="47"/>
      <c r="D278" s="47"/>
      <c r="E278" s="48">
        <f>+F259-G275</f>
        <v>15000</v>
      </c>
      <c r="F278" s="48"/>
      <c r="G278" s="52"/>
      <c r="H278" s="196"/>
    </row>
    <row r="279" spans="1:8" ht="17.25" customHeight="1" x14ac:dyDescent="0.25">
      <c r="A279" s="145" t="s">
        <v>63</v>
      </c>
      <c r="B279" s="47"/>
      <c r="C279" s="47"/>
      <c r="D279" s="47"/>
      <c r="E279" s="48"/>
      <c r="F279" s="48">
        <f>+E278</f>
        <v>15000</v>
      </c>
      <c r="G279" s="52">
        <f>+F279+G275</f>
        <v>45000</v>
      </c>
      <c r="H279" s="196"/>
    </row>
    <row r="280" spans="1:8" ht="17.25" customHeight="1" x14ac:dyDescent="0.25">
      <c r="A280" s="145"/>
      <c r="B280" s="47"/>
      <c r="C280" s="47"/>
      <c r="D280" s="47"/>
      <c r="E280" s="48"/>
      <c r="F280" s="48"/>
      <c r="G280" s="52"/>
      <c r="H280" s="196"/>
    </row>
    <row r="281" spans="1:8" ht="17.25" customHeight="1" x14ac:dyDescent="0.25">
      <c r="A281" s="142" t="s">
        <v>265</v>
      </c>
      <c r="B281" s="47"/>
      <c r="C281" s="47"/>
      <c r="D281" s="47"/>
      <c r="E281" s="75" t="s">
        <v>68</v>
      </c>
      <c r="F281" s="75" t="s">
        <v>28</v>
      </c>
      <c r="G281" s="52"/>
      <c r="H281" s="196"/>
    </row>
    <row r="282" spans="1:8" ht="17.25" customHeight="1" x14ac:dyDescent="0.25">
      <c r="A282" s="145" t="s">
        <v>240</v>
      </c>
      <c r="B282" s="47"/>
      <c r="C282" s="47"/>
      <c r="D282" s="47"/>
      <c r="E282" s="48">
        <f>+G259-G279</f>
        <v>15000</v>
      </c>
      <c r="F282" s="48"/>
      <c r="G282" s="52"/>
      <c r="H282" s="196"/>
    </row>
    <row r="283" spans="1:8" ht="17.25" customHeight="1" x14ac:dyDescent="0.25">
      <c r="A283" s="145" t="s">
        <v>63</v>
      </c>
      <c r="B283" s="47"/>
      <c r="C283" s="47"/>
      <c r="D283" s="47"/>
      <c r="E283" s="48"/>
      <c r="F283" s="48">
        <f>+E282</f>
        <v>15000</v>
      </c>
      <c r="G283" s="52">
        <f>+F283+G279</f>
        <v>60000</v>
      </c>
      <c r="H283" s="196"/>
    </row>
    <row r="284" spans="1:8" ht="17.25" customHeight="1" x14ac:dyDescent="0.25">
      <c r="A284" s="145"/>
      <c r="B284" s="47"/>
      <c r="C284" s="47"/>
      <c r="D284" s="47"/>
      <c r="E284" s="48"/>
      <c r="F284" s="48"/>
      <c r="G284" s="52"/>
      <c r="H284" s="196"/>
    </row>
    <row r="285" spans="1:8" customFormat="1" ht="15" x14ac:dyDescent="0.25">
      <c r="A285" s="403" t="s">
        <v>880</v>
      </c>
      <c r="B285" s="403"/>
      <c r="C285" s="403"/>
      <c r="D285" s="403"/>
      <c r="E285" s="403"/>
      <c r="F285" s="403"/>
      <c r="G285" s="403"/>
      <c r="H285" s="403"/>
    </row>
    <row r="286" spans="1:8" ht="17.25" customHeight="1" x14ac:dyDescent="0.25">
      <c r="A286" s="142" t="s">
        <v>262</v>
      </c>
      <c r="B286" s="47"/>
      <c r="C286" s="47"/>
      <c r="D286" s="142"/>
      <c r="E286" s="48"/>
      <c r="F286" s="75" t="s">
        <v>68</v>
      </c>
      <c r="G286" s="75" t="s">
        <v>28</v>
      </c>
      <c r="H286" s="196"/>
    </row>
    <row r="287" spans="1:8" ht="17.25" customHeight="1" x14ac:dyDescent="0.25">
      <c r="A287" s="145" t="s">
        <v>272</v>
      </c>
      <c r="B287" s="47"/>
      <c r="C287" s="47"/>
      <c r="D287" s="145"/>
      <c r="E287" s="145" t="s">
        <v>274</v>
      </c>
      <c r="F287" s="48">
        <v>200000</v>
      </c>
      <c r="G287" s="48"/>
      <c r="H287" s="196"/>
    </row>
    <row r="288" spans="1:8" ht="17.25" customHeight="1" x14ac:dyDescent="0.25">
      <c r="A288" s="145" t="s">
        <v>273</v>
      </c>
      <c r="B288" s="47"/>
      <c r="C288" s="47"/>
      <c r="D288" s="145"/>
      <c r="E288" s="145" t="s">
        <v>275</v>
      </c>
      <c r="F288" s="48"/>
      <c r="G288" s="48">
        <f>+F287</f>
        <v>200000</v>
      </c>
      <c r="H288" s="196"/>
    </row>
    <row r="289" spans="1:8" ht="17.25" customHeight="1" x14ac:dyDescent="0.25">
      <c r="A289" s="145"/>
      <c r="B289" s="47"/>
      <c r="C289" s="47"/>
      <c r="D289" s="145"/>
      <c r="E289" s="48"/>
      <c r="F289" s="48"/>
      <c r="G289" s="47"/>
      <c r="H289" s="196"/>
    </row>
    <row r="290" spans="1:8" ht="17.25" customHeight="1" x14ac:dyDescent="0.25">
      <c r="A290" s="142"/>
      <c r="B290" s="47"/>
      <c r="C290" s="47"/>
      <c r="D290" s="71" t="s">
        <v>213</v>
      </c>
      <c r="E290" s="75" t="s">
        <v>214</v>
      </c>
      <c r="F290" s="75" t="s">
        <v>276</v>
      </c>
      <c r="G290" s="75" t="s">
        <v>277</v>
      </c>
      <c r="H290" s="196"/>
    </row>
    <row r="291" spans="1:8" ht="17.25" customHeight="1" x14ac:dyDescent="0.25">
      <c r="A291" s="142"/>
      <c r="B291" s="47"/>
      <c r="C291" s="47"/>
      <c r="D291" s="71" t="s">
        <v>1</v>
      </c>
      <c r="E291" s="71" t="s">
        <v>1</v>
      </c>
      <c r="F291" s="71" t="s">
        <v>1</v>
      </c>
      <c r="G291" s="71" t="s">
        <v>1</v>
      </c>
      <c r="H291" s="196"/>
    </row>
    <row r="292" spans="1:8" ht="17.25" customHeight="1" x14ac:dyDescent="0.25">
      <c r="A292" s="145" t="s">
        <v>272</v>
      </c>
      <c r="B292" s="47"/>
      <c r="D292" s="48">
        <v>800000</v>
      </c>
      <c r="E292" s="48">
        <v>600000</v>
      </c>
      <c r="F292" s="48">
        <f>+D292-E292</f>
        <v>200000</v>
      </c>
      <c r="G292" s="48">
        <f>+F292*30%</f>
        <v>60000</v>
      </c>
      <c r="H292" s="196"/>
    </row>
    <row r="293" spans="1:8" ht="17.25" customHeight="1" x14ac:dyDescent="0.25">
      <c r="A293" s="145"/>
      <c r="B293" s="47"/>
      <c r="C293" s="47"/>
      <c r="D293" s="145"/>
      <c r="E293" s="48"/>
      <c r="F293" s="48"/>
      <c r="G293" s="47"/>
      <c r="H293" s="196"/>
    </row>
    <row r="294" spans="1:8" customFormat="1" ht="15" x14ac:dyDescent="0.25">
      <c r="A294" s="403" t="s">
        <v>881</v>
      </c>
      <c r="B294" s="403"/>
      <c r="C294" s="403"/>
      <c r="D294" s="403"/>
      <c r="E294" s="403"/>
      <c r="F294" s="403"/>
      <c r="G294" s="403"/>
      <c r="H294" s="403"/>
    </row>
    <row r="295" spans="1:8" ht="17.25" customHeight="1" x14ac:dyDescent="0.25">
      <c r="A295" s="142" t="s">
        <v>262</v>
      </c>
      <c r="B295" s="47"/>
      <c r="C295" s="47"/>
      <c r="D295" s="142"/>
      <c r="E295" s="142"/>
      <c r="F295" s="75" t="s">
        <v>68</v>
      </c>
      <c r="G295" s="75" t="s">
        <v>28</v>
      </c>
      <c r="H295" s="196"/>
    </row>
    <row r="296" spans="1:8" ht="17.25" customHeight="1" x14ac:dyDescent="0.25">
      <c r="A296" s="145" t="s">
        <v>273</v>
      </c>
      <c r="B296" s="47"/>
      <c r="C296" s="47"/>
      <c r="D296" s="145"/>
      <c r="E296" s="145" t="s">
        <v>275</v>
      </c>
      <c r="F296" s="48">
        <f>+F287*30%</f>
        <v>60000</v>
      </c>
      <c r="G296" s="48"/>
      <c r="H296" s="196"/>
    </row>
    <row r="297" spans="1:8" ht="17.25" customHeight="1" x14ac:dyDescent="0.25">
      <c r="A297" s="145" t="s">
        <v>63</v>
      </c>
      <c r="B297" s="47"/>
      <c r="C297" s="47"/>
      <c r="D297" s="145"/>
      <c r="E297" s="145" t="s">
        <v>275</v>
      </c>
      <c r="F297" s="48"/>
      <c r="G297" s="48">
        <f>+F296</f>
        <v>60000</v>
      </c>
      <c r="H297" s="196"/>
    </row>
    <row r="298" spans="1:8" ht="17.25" customHeight="1" x14ac:dyDescent="0.25">
      <c r="A298" s="47"/>
      <c r="B298" s="47"/>
      <c r="C298" s="47"/>
      <c r="D298" s="47"/>
      <c r="E298" s="47"/>
      <c r="F298" s="47"/>
      <c r="G298" s="47"/>
      <c r="H298" s="196"/>
    </row>
    <row r="299" spans="1:8" ht="17.25" customHeight="1" x14ac:dyDescent="0.25">
      <c r="A299" s="142" t="s">
        <v>262</v>
      </c>
      <c r="B299" s="47"/>
      <c r="C299" s="47"/>
      <c r="D299" s="142"/>
      <c r="E299" s="47"/>
      <c r="F299" s="75" t="s">
        <v>68</v>
      </c>
      <c r="G299" s="75" t="s">
        <v>28</v>
      </c>
      <c r="H299" s="196"/>
    </row>
    <row r="300" spans="1:8" ht="17.25" customHeight="1" x14ac:dyDescent="0.25">
      <c r="A300" s="145" t="s">
        <v>278</v>
      </c>
      <c r="B300" s="47"/>
      <c r="C300" s="47"/>
      <c r="D300" s="145"/>
      <c r="E300" s="145" t="s">
        <v>274</v>
      </c>
      <c r="F300" s="48">
        <v>200000</v>
      </c>
      <c r="G300" s="48"/>
      <c r="H300" s="196"/>
    </row>
    <row r="301" spans="1:8" ht="17.25" customHeight="1" x14ac:dyDescent="0.25">
      <c r="A301" s="145" t="s">
        <v>239</v>
      </c>
      <c r="B301" s="47"/>
      <c r="C301" s="47"/>
      <c r="D301" s="145"/>
      <c r="E301" s="145" t="s">
        <v>279</v>
      </c>
      <c r="F301" s="48"/>
      <c r="G301" s="48">
        <f>+F300</f>
        <v>200000</v>
      </c>
      <c r="H301" s="196"/>
    </row>
    <row r="302" spans="1:8" ht="17.25" customHeight="1" x14ac:dyDescent="0.25">
      <c r="A302" s="145"/>
      <c r="B302" s="47"/>
      <c r="C302" s="47"/>
      <c r="D302" s="145"/>
      <c r="E302" s="48"/>
      <c r="F302" s="48"/>
      <c r="G302" s="47"/>
      <c r="H302" s="196"/>
    </row>
    <row r="303" spans="1:8" customFormat="1" ht="15" x14ac:dyDescent="0.25">
      <c r="A303" s="403" t="s">
        <v>882</v>
      </c>
      <c r="B303" s="403"/>
      <c r="C303" s="403"/>
      <c r="D303" s="403"/>
      <c r="E303" s="403"/>
      <c r="F303" s="403"/>
      <c r="G303" s="403"/>
      <c r="H303" s="403"/>
    </row>
    <row r="304" spans="1:8" ht="17.25" customHeight="1" x14ac:dyDescent="0.25">
      <c r="A304" s="142"/>
      <c r="B304" s="47"/>
      <c r="C304" s="47"/>
      <c r="D304" s="71" t="s">
        <v>213</v>
      </c>
      <c r="E304" s="75" t="s">
        <v>214</v>
      </c>
      <c r="F304" s="75" t="s">
        <v>276</v>
      </c>
      <c r="G304" s="75" t="s">
        <v>277</v>
      </c>
      <c r="H304" s="196"/>
    </row>
    <row r="305" spans="1:8" ht="17.25" customHeight="1" x14ac:dyDescent="0.25">
      <c r="A305" s="142"/>
      <c r="B305" s="47"/>
      <c r="C305" s="47"/>
      <c r="D305" s="71" t="s">
        <v>1</v>
      </c>
      <c r="E305" s="71" t="s">
        <v>1</v>
      </c>
      <c r="F305" s="71" t="s">
        <v>1</v>
      </c>
      <c r="G305" s="71" t="s">
        <v>1</v>
      </c>
      <c r="H305" s="196"/>
    </row>
    <row r="306" spans="1:8" ht="17.25" customHeight="1" x14ac:dyDescent="0.25">
      <c r="A306" s="145" t="s">
        <v>278</v>
      </c>
      <c r="B306" s="47"/>
      <c r="C306" s="47"/>
      <c r="D306" s="48">
        <v>800000</v>
      </c>
      <c r="E306" s="48">
        <v>600000</v>
      </c>
      <c r="F306" s="48">
        <f>+D306-E306</f>
        <v>200000</v>
      </c>
      <c r="G306" s="48">
        <f>+F306*30%</f>
        <v>60000</v>
      </c>
      <c r="H306" s="196"/>
    </row>
    <row r="307" spans="1:8" ht="17.25" customHeight="1" x14ac:dyDescent="0.25">
      <c r="A307" s="145"/>
      <c r="B307" s="47"/>
      <c r="C307" s="47"/>
      <c r="E307" s="48"/>
      <c r="F307" s="48"/>
      <c r="G307" s="47"/>
      <c r="H307" s="196"/>
    </row>
    <row r="308" spans="1:8" ht="17.25" customHeight="1" x14ac:dyDescent="0.25">
      <c r="A308" s="142" t="s">
        <v>262</v>
      </c>
      <c r="B308" s="47"/>
      <c r="C308" s="47"/>
      <c r="D308" s="145"/>
      <c r="E308" s="47"/>
      <c r="F308" s="75" t="s">
        <v>68</v>
      </c>
      <c r="G308" s="75" t="s">
        <v>28</v>
      </c>
      <c r="H308" s="196"/>
    </row>
    <row r="309" spans="1:8" ht="17.25" customHeight="1" x14ac:dyDescent="0.25">
      <c r="A309" s="145" t="s">
        <v>280</v>
      </c>
      <c r="B309" s="47"/>
      <c r="C309" s="47"/>
      <c r="D309" s="145"/>
      <c r="E309" s="145" t="s">
        <v>279</v>
      </c>
      <c r="F309" s="48">
        <f>+F300*30%</f>
        <v>60000</v>
      </c>
      <c r="G309" s="48"/>
      <c r="H309" s="196"/>
    </row>
    <row r="310" spans="1:8" ht="17.25" customHeight="1" x14ac:dyDescent="0.25">
      <c r="A310" s="145" t="s">
        <v>63</v>
      </c>
      <c r="B310" s="47"/>
      <c r="C310" s="47"/>
      <c r="D310" s="145"/>
      <c r="E310" s="145" t="s">
        <v>274</v>
      </c>
      <c r="F310" s="48"/>
      <c r="G310" s="48">
        <f>+F309</f>
        <v>60000</v>
      </c>
      <c r="H310" s="196"/>
    </row>
    <row r="311" spans="1:8" ht="17.25" customHeight="1" x14ac:dyDescent="0.25">
      <c r="A311" s="47"/>
      <c r="B311" s="47"/>
      <c r="C311" s="47"/>
      <c r="D311" s="47"/>
      <c r="E311" s="47"/>
      <c r="F311" s="47"/>
      <c r="G311" s="47"/>
      <c r="H311" s="196"/>
    </row>
    <row r="312" spans="1:8" ht="17.25" customHeight="1" x14ac:dyDescent="0.25">
      <c r="A312" s="142" t="s">
        <v>262</v>
      </c>
      <c r="B312" s="47"/>
      <c r="C312" s="47"/>
      <c r="D312" s="142"/>
      <c r="E312" s="47"/>
      <c r="F312" s="75" t="s">
        <v>68</v>
      </c>
      <c r="G312" s="75" t="s">
        <v>28</v>
      </c>
      <c r="H312" s="196"/>
    </row>
    <row r="313" spans="1:8" ht="17.25" customHeight="1" x14ac:dyDescent="0.25">
      <c r="A313" s="145" t="s">
        <v>278</v>
      </c>
      <c r="B313" s="47"/>
      <c r="C313" s="47"/>
      <c r="D313" s="145"/>
      <c r="E313" s="145" t="s">
        <v>274</v>
      </c>
      <c r="F313" s="48">
        <v>200000</v>
      </c>
      <c r="G313" s="48"/>
      <c r="H313" s="196"/>
    </row>
    <row r="314" spans="1:8" ht="17.25" customHeight="1" x14ac:dyDescent="0.25">
      <c r="A314" s="145" t="s">
        <v>239</v>
      </c>
      <c r="B314" s="47"/>
      <c r="C314" s="47"/>
      <c r="D314" s="145"/>
      <c r="E314" s="145" t="s">
        <v>275</v>
      </c>
      <c r="F314" s="48"/>
      <c r="G314" s="48">
        <f>+F313</f>
        <v>200000</v>
      </c>
      <c r="H314" s="196"/>
    </row>
    <row r="315" spans="1:8" ht="17.25" customHeight="1" x14ac:dyDescent="0.25">
      <c r="A315" s="145"/>
      <c r="B315" s="47"/>
      <c r="C315" s="47"/>
      <c r="D315" s="145"/>
      <c r="E315" s="48"/>
      <c r="F315" s="48"/>
      <c r="G315" s="47"/>
      <c r="H315" s="196"/>
    </row>
    <row r="316" spans="1:8" ht="17.25" customHeight="1" x14ac:dyDescent="0.25">
      <c r="A316" s="142"/>
      <c r="B316" s="47"/>
      <c r="C316" s="47"/>
      <c r="D316" s="71" t="s">
        <v>213</v>
      </c>
      <c r="E316" s="75" t="s">
        <v>214</v>
      </c>
      <c r="F316" s="75" t="s">
        <v>276</v>
      </c>
      <c r="G316" s="75" t="s">
        <v>277</v>
      </c>
      <c r="H316" s="196"/>
    </row>
    <row r="317" spans="1:8" ht="17.25" customHeight="1" x14ac:dyDescent="0.25">
      <c r="A317" s="142"/>
      <c r="B317" s="47"/>
      <c r="C317" s="47"/>
      <c r="D317" s="71" t="s">
        <v>1</v>
      </c>
      <c r="E317" s="71" t="s">
        <v>1</v>
      </c>
      <c r="F317" s="71" t="s">
        <v>1</v>
      </c>
      <c r="G317" s="71" t="s">
        <v>1</v>
      </c>
      <c r="H317" s="196"/>
    </row>
    <row r="318" spans="1:8" ht="17.25" customHeight="1" x14ac:dyDescent="0.25">
      <c r="A318" s="145" t="s">
        <v>644</v>
      </c>
      <c r="B318" s="47"/>
      <c r="C318" s="47"/>
      <c r="D318" s="48">
        <v>800000</v>
      </c>
      <c r="E318" s="48">
        <v>600000</v>
      </c>
      <c r="F318" s="48">
        <f>+D318-E318</f>
        <v>200000</v>
      </c>
      <c r="G318" s="48">
        <f>+F318*30%</f>
        <v>60000</v>
      </c>
      <c r="H318" s="196"/>
    </row>
    <row r="319" spans="1:8" ht="17.25" customHeight="1" x14ac:dyDescent="0.25">
      <c r="A319" s="145"/>
      <c r="B319" s="47"/>
      <c r="C319" s="47"/>
      <c r="D319" s="145"/>
      <c r="F319" s="48"/>
      <c r="G319" s="47"/>
      <c r="H319" s="196"/>
    </row>
    <row r="320" spans="1:8" customFormat="1" ht="15" x14ac:dyDescent="0.25">
      <c r="A320" s="403" t="s">
        <v>883</v>
      </c>
      <c r="B320" s="403"/>
      <c r="C320" s="403"/>
      <c r="D320" s="403"/>
      <c r="E320" s="403"/>
      <c r="F320" s="403"/>
      <c r="G320" s="403"/>
      <c r="H320" s="403"/>
    </row>
    <row r="321" spans="1:8" ht="17.25" customHeight="1" x14ac:dyDescent="0.25">
      <c r="A321" s="142" t="s">
        <v>262</v>
      </c>
      <c r="B321" s="47"/>
      <c r="C321" s="47"/>
      <c r="D321" s="145"/>
      <c r="E321" s="47"/>
      <c r="F321" s="75" t="s">
        <v>68</v>
      </c>
      <c r="G321" s="75" t="s">
        <v>28</v>
      </c>
      <c r="H321" s="196"/>
    </row>
    <row r="322" spans="1:8" ht="17.25" customHeight="1" x14ac:dyDescent="0.25">
      <c r="A322" s="145" t="s">
        <v>239</v>
      </c>
      <c r="B322" s="47"/>
      <c r="C322" s="47"/>
      <c r="D322" s="145"/>
      <c r="E322" s="145" t="s">
        <v>275</v>
      </c>
      <c r="F322" s="48">
        <f>+F313*30%</f>
        <v>60000</v>
      </c>
      <c r="G322" s="48"/>
      <c r="H322" s="196"/>
    </row>
    <row r="323" spans="1:8" ht="17.25" customHeight="1" x14ac:dyDescent="0.25">
      <c r="A323" s="145" t="s">
        <v>63</v>
      </c>
      <c r="B323" s="47"/>
      <c r="C323" s="47"/>
      <c r="D323" s="145"/>
      <c r="E323" s="145" t="s">
        <v>274</v>
      </c>
      <c r="F323" s="48"/>
      <c r="G323" s="48">
        <f>+F322</f>
        <v>60000</v>
      </c>
      <c r="H323" s="196"/>
    </row>
    <row r="324" spans="1:8" ht="17.25" customHeight="1" x14ac:dyDescent="0.25">
      <c r="A324" s="196"/>
      <c r="B324" s="196"/>
      <c r="C324" s="196"/>
      <c r="D324" s="196"/>
      <c r="E324" s="196"/>
      <c r="F324" s="196"/>
      <c r="G324" s="196"/>
      <c r="H324" s="196"/>
    </row>
  </sheetData>
  <mergeCells count="4">
    <mergeCell ref="A1:XFD3"/>
    <mergeCell ref="F7:G7"/>
    <mergeCell ref="F6:G6"/>
    <mergeCell ref="F40:G40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221"/>
  <sheetViews>
    <sheetView zoomScale="80" zoomScaleNormal="80" workbookViewId="0">
      <selection sqref="A1:XFD3"/>
    </sheetView>
  </sheetViews>
  <sheetFormatPr baseColWidth="10" defaultColWidth="0" defaultRowHeight="15.95" customHeight="1" zeroHeight="1" x14ac:dyDescent="0.25"/>
  <cols>
    <col min="1" max="1" width="5" style="42" customWidth="1"/>
    <col min="2" max="2" width="7" style="42" customWidth="1"/>
    <col min="3" max="3" width="6.5703125" style="42" customWidth="1"/>
    <col min="4" max="4" width="10.7109375" style="42" customWidth="1"/>
    <col min="5" max="5" width="12" style="42" bestFit="1" customWidth="1"/>
    <col min="6" max="6" width="11.28515625" style="42" customWidth="1"/>
    <col min="7" max="7" width="12.42578125" style="42" customWidth="1"/>
    <col min="8" max="8" width="9.85546875" style="42" customWidth="1"/>
    <col min="9" max="9" width="10.5703125" style="42" bestFit="1" customWidth="1"/>
    <col min="10" max="10" width="4.7109375" style="42" bestFit="1" customWidth="1"/>
    <col min="11" max="11" width="3.7109375" customWidth="1"/>
    <col min="12" max="16384" width="11.42578125" hidden="1"/>
  </cols>
  <sheetData>
    <row r="1" spans="1:11" s="420" customFormat="1" ht="15" x14ac:dyDescent="0.25">
      <c r="A1" s="420" t="s">
        <v>918</v>
      </c>
    </row>
    <row r="2" spans="1:11" s="420" customFormat="1" ht="15" x14ac:dyDescent="0.25"/>
    <row r="3" spans="1:11" s="420" customFormat="1" ht="15" x14ac:dyDescent="0.25"/>
    <row r="4" spans="1:11" ht="15.95" customHeight="1" x14ac:dyDescent="0.25">
      <c r="A4" s="403" t="s">
        <v>861</v>
      </c>
      <c r="B4" s="403"/>
      <c r="C4" s="403"/>
      <c r="D4" s="403"/>
      <c r="E4" s="403"/>
      <c r="F4" s="403"/>
      <c r="G4" s="403"/>
      <c r="H4" s="403"/>
      <c r="I4" s="403"/>
      <c r="J4" s="403"/>
      <c r="K4" s="403"/>
    </row>
    <row r="5" spans="1:11" ht="15.95" customHeight="1" x14ac:dyDescent="0.25">
      <c r="A5" s="54"/>
      <c r="B5" s="54"/>
      <c r="C5" s="54"/>
      <c r="D5" s="54"/>
      <c r="E5" s="54"/>
      <c r="F5" s="98" t="s">
        <v>198</v>
      </c>
      <c r="G5" s="98" t="s">
        <v>199</v>
      </c>
      <c r="H5" s="98" t="s">
        <v>200</v>
      </c>
      <c r="I5" s="98" t="s">
        <v>201</v>
      </c>
      <c r="J5" s="47"/>
      <c r="K5" s="403"/>
    </row>
    <row r="6" spans="1:11" ht="15.95" customHeight="1" x14ac:dyDescent="0.25">
      <c r="A6" s="54" t="s">
        <v>4</v>
      </c>
      <c r="B6" s="54"/>
      <c r="C6" s="54"/>
      <c r="D6" s="54"/>
      <c r="E6" s="54"/>
      <c r="F6" s="98" t="s">
        <v>1</v>
      </c>
      <c r="G6" s="98" t="s">
        <v>1</v>
      </c>
      <c r="H6" s="98" t="s">
        <v>1</v>
      </c>
      <c r="I6" s="98" t="s">
        <v>1</v>
      </c>
      <c r="J6" s="47"/>
      <c r="K6" s="403"/>
    </row>
    <row r="7" spans="1:11" ht="15.95" customHeight="1" x14ac:dyDescent="0.25">
      <c r="A7" s="47" t="s">
        <v>0</v>
      </c>
      <c r="B7" s="47"/>
      <c r="C7" s="47"/>
      <c r="D7" s="47"/>
      <c r="E7" s="47"/>
      <c r="F7" s="78">
        <v>0</v>
      </c>
      <c r="G7" s="78">
        <f>+F9</f>
        <v>20000</v>
      </c>
      <c r="H7" s="78">
        <f>+G9</f>
        <v>30000</v>
      </c>
      <c r="I7" s="78">
        <f>+H9</f>
        <v>50000</v>
      </c>
      <c r="J7" s="47"/>
      <c r="K7" s="403"/>
    </row>
    <row r="8" spans="1:11" ht="15.95" customHeight="1" x14ac:dyDescent="0.25">
      <c r="A8" s="47" t="s">
        <v>133</v>
      </c>
      <c r="B8" s="47"/>
      <c r="C8" s="47"/>
      <c r="D8" s="47"/>
      <c r="E8" s="47"/>
      <c r="F8" s="78">
        <v>20000</v>
      </c>
      <c r="G8" s="78">
        <v>10000</v>
      </c>
      <c r="H8" s="78">
        <v>20000</v>
      </c>
      <c r="I8" s="78">
        <v>30000</v>
      </c>
      <c r="J8" s="47" t="s">
        <v>598</v>
      </c>
      <c r="K8" s="403"/>
    </row>
    <row r="9" spans="1:11" ht="15.95" customHeight="1" x14ac:dyDescent="0.25">
      <c r="A9" s="54" t="s">
        <v>2</v>
      </c>
      <c r="B9" s="54"/>
      <c r="C9" s="54"/>
      <c r="D9" s="54"/>
      <c r="E9" s="54" t="s">
        <v>64</v>
      </c>
      <c r="F9" s="85">
        <f>SUM(F7:F8)</f>
        <v>20000</v>
      </c>
      <c r="G9" s="85">
        <f t="shared" ref="G9:I9" si="0">SUM(G7:G8)</f>
        <v>30000</v>
      </c>
      <c r="H9" s="85">
        <f t="shared" si="0"/>
        <v>50000</v>
      </c>
      <c r="I9" s="85">
        <f t="shared" si="0"/>
        <v>80000</v>
      </c>
      <c r="J9" s="47"/>
      <c r="K9" s="403"/>
    </row>
    <row r="10" spans="1:11" ht="15.95" customHeight="1" x14ac:dyDescent="0.25">
      <c r="A10" s="47"/>
      <c r="B10" s="47"/>
      <c r="C10" s="47"/>
      <c r="D10" s="47"/>
      <c r="F10" s="78"/>
      <c r="G10" s="78"/>
      <c r="H10" s="78"/>
      <c r="I10" s="78"/>
      <c r="J10" s="47"/>
      <c r="K10" s="403"/>
    </row>
    <row r="11" spans="1:11" ht="15.95" customHeight="1" x14ac:dyDescent="0.25">
      <c r="A11" s="54" t="s">
        <v>100</v>
      </c>
      <c r="B11" s="54"/>
      <c r="C11" s="54"/>
      <c r="D11" s="54"/>
      <c r="E11" s="54"/>
      <c r="F11" s="98" t="s">
        <v>198</v>
      </c>
      <c r="G11" s="98" t="s">
        <v>199</v>
      </c>
      <c r="H11" s="98" t="s">
        <v>200</v>
      </c>
      <c r="I11" s="98" t="s">
        <v>201</v>
      </c>
      <c r="J11" s="47"/>
      <c r="K11" s="403"/>
    </row>
    <row r="12" spans="1:11" ht="15.95" customHeight="1" x14ac:dyDescent="0.25">
      <c r="A12" s="54" t="s">
        <v>645</v>
      </c>
      <c r="B12" s="54"/>
      <c r="C12" s="54"/>
      <c r="D12" s="54"/>
      <c r="E12" s="54"/>
      <c r="F12" s="98" t="s">
        <v>1</v>
      </c>
      <c r="G12" s="98" t="s">
        <v>1</v>
      </c>
      <c r="H12" s="98" t="s">
        <v>1</v>
      </c>
      <c r="I12" s="98" t="s">
        <v>1</v>
      </c>
      <c r="J12" s="47"/>
      <c r="K12" s="403"/>
    </row>
    <row r="13" spans="1:11" ht="15.95" customHeight="1" x14ac:dyDescent="0.25">
      <c r="A13" s="47" t="s">
        <v>0</v>
      </c>
      <c r="B13" s="47"/>
      <c r="C13" s="47"/>
      <c r="D13" s="47"/>
      <c r="E13" s="47"/>
      <c r="F13" s="78">
        <v>0</v>
      </c>
      <c r="G13" s="78">
        <f>+F15</f>
        <v>10000</v>
      </c>
      <c r="H13" s="78">
        <f>+G15</f>
        <v>30000</v>
      </c>
      <c r="I13" s="78">
        <f>+H15</f>
        <v>60000</v>
      </c>
      <c r="J13" s="47"/>
      <c r="K13" s="403"/>
    </row>
    <row r="14" spans="1:11" ht="15.95" customHeight="1" x14ac:dyDescent="0.25">
      <c r="A14" s="47" t="s">
        <v>133</v>
      </c>
      <c r="B14" s="47"/>
      <c r="C14" s="47"/>
      <c r="D14" s="47"/>
      <c r="E14" s="47"/>
      <c r="F14" s="78">
        <v>10000</v>
      </c>
      <c r="G14" s="78">
        <v>20000</v>
      </c>
      <c r="H14" s="78">
        <v>30000</v>
      </c>
      <c r="I14" s="78">
        <v>30000</v>
      </c>
      <c r="J14" s="47" t="s">
        <v>600</v>
      </c>
      <c r="K14" s="403"/>
    </row>
    <row r="15" spans="1:11" ht="15.95" customHeight="1" x14ac:dyDescent="0.25">
      <c r="A15" s="54" t="s">
        <v>2</v>
      </c>
      <c r="B15" s="54"/>
      <c r="C15" s="54"/>
      <c r="D15" s="54"/>
      <c r="E15" s="54" t="s">
        <v>17</v>
      </c>
      <c r="F15" s="85">
        <f>SUM(F13:F14)</f>
        <v>10000</v>
      </c>
      <c r="G15" s="85">
        <f t="shared" ref="G15" si="1">SUM(G13:G14)</f>
        <v>30000</v>
      </c>
      <c r="H15" s="85">
        <f t="shared" ref="H15" si="2">SUM(H13:H14)</f>
        <v>60000</v>
      </c>
      <c r="I15" s="85">
        <f t="shared" ref="I15" si="3">SUM(I13:I14)</f>
        <v>90000</v>
      </c>
      <c r="J15" s="47"/>
      <c r="K15" s="403"/>
    </row>
    <row r="16" spans="1:11" ht="15.95" customHeight="1" x14ac:dyDescent="0.25">
      <c r="A16" s="47"/>
      <c r="B16" s="47"/>
      <c r="C16" s="47"/>
      <c r="D16" s="47"/>
      <c r="F16" s="78"/>
      <c r="G16" s="78"/>
      <c r="H16" s="78"/>
      <c r="I16" s="78"/>
      <c r="J16" s="47"/>
      <c r="K16" s="403"/>
    </row>
    <row r="17" spans="1:11" ht="15.95" customHeight="1" x14ac:dyDescent="0.25">
      <c r="A17" s="403" t="s">
        <v>884</v>
      </c>
      <c r="B17" s="403"/>
      <c r="C17" s="403"/>
      <c r="D17" s="403"/>
      <c r="E17" s="403"/>
      <c r="F17" s="403"/>
      <c r="G17" s="403"/>
      <c r="H17" s="403"/>
      <c r="I17" s="403"/>
      <c r="J17" s="403"/>
      <c r="K17" s="403"/>
    </row>
    <row r="18" spans="1:11" ht="15.95" customHeight="1" x14ac:dyDescent="0.25">
      <c r="A18" s="54"/>
      <c r="B18" s="54"/>
      <c r="C18" s="54"/>
      <c r="D18" s="54"/>
      <c r="E18" s="54"/>
      <c r="F18" s="98" t="s">
        <v>198</v>
      </c>
      <c r="G18" s="98" t="s">
        <v>199</v>
      </c>
      <c r="H18" s="98" t="s">
        <v>200</v>
      </c>
      <c r="I18" s="98" t="s">
        <v>201</v>
      </c>
      <c r="J18" s="47"/>
      <c r="K18" s="403"/>
    </row>
    <row r="19" spans="1:11" ht="15.95" customHeight="1" x14ac:dyDescent="0.25">
      <c r="A19" s="54"/>
      <c r="B19" s="54"/>
      <c r="C19" s="54"/>
      <c r="D19" s="54"/>
      <c r="E19" s="54"/>
      <c r="F19" s="98" t="s">
        <v>1</v>
      </c>
      <c r="G19" s="98" t="s">
        <v>1</v>
      </c>
      <c r="H19" s="98" t="s">
        <v>1</v>
      </c>
      <c r="I19" s="98" t="s">
        <v>1</v>
      </c>
      <c r="J19" s="47"/>
      <c r="K19" s="403"/>
    </row>
    <row r="20" spans="1:11" s="15" customFormat="1" ht="15.95" customHeight="1" x14ac:dyDescent="0.25">
      <c r="A20" s="47" t="s">
        <v>163</v>
      </c>
      <c r="B20" s="47"/>
      <c r="C20" s="47"/>
      <c r="D20" s="47"/>
      <c r="E20" s="78"/>
      <c r="F20" s="78">
        <v>100000</v>
      </c>
      <c r="G20" s="78">
        <v>120000</v>
      </c>
      <c r="H20" s="78">
        <v>130000</v>
      </c>
      <c r="I20" s="78">
        <v>140000</v>
      </c>
      <c r="J20" s="47"/>
      <c r="K20" s="403"/>
    </row>
    <row r="21" spans="1:11" ht="15.95" customHeight="1" x14ac:dyDescent="0.25">
      <c r="A21" s="47" t="s">
        <v>780</v>
      </c>
      <c r="B21" s="47"/>
      <c r="C21" s="47"/>
      <c r="D21" s="47"/>
      <c r="E21" s="78"/>
      <c r="F21" s="78"/>
      <c r="G21" s="78"/>
      <c r="H21" s="78"/>
      <c r="I21" s="78"/>
      <c r="J21" s="47"/>
      <c r="K21" s="403"/>
    </row>
    <row r="22" spans="1:11" ht="15.95" customHeight="1" x14ac:dyDescent="0.25">
      <c r="A22" s="92" t="s">
        <v>519</v>
      </c>
      <c r="B22" s="47"/>
      <c r="C22" s="47"/>
      <c r="D22" s="47"/>
      <c r="E22" s="47" t="s">
        <v>14</v>
      </c>
      <c r="F22" s="78">
        <f>F8</f>
        <v>20000</v>
      </c>
      <c r="G22" s="78">
        <f>G8</f>
        <v>10000</v>
      </c>
      <c r="H22" s="78">
        <f>H8</f>
        <v>20000</v>
      </c>
      <c r="I22" s="78">
        <f>I8</f>
        <v>30000</v>
      </c>
      <c r="J22" s="47" t="s">
        <v>598</v>
      </c>
      <c r="K22" s="403"/>
    </row>
    <row r="23" spans="1:11" ht="15.95" customHeight="1" x14ac:dyDescent="0.25">
      <c r="A23" s="92" t="s">
        <v>520</v>
      </c>
      <c r="B23" s="47"/>
      <c r="C23" s="47"/>
      <c r="D23" s="47"/>
      <c r="E23" s="47" t="s">
        <v>15</v>
      </c>
      <c r="F23" s="78">
        <f>F14</f>
        <v>10000</v>
      </c>
      <c r="G23" s="78">
        <f>G14</f>
        <v>20000</v>
      </c>
      <c r="H23" s="78">
        <f>H14</f>
        <v>30000</v>
      </c>
      <c r="I23" s="78">
        <f>I14</f>
        <v>30000</v>
      </c>
      <c r="J23" s="47" t="s">
        <v>600</v>
      </c>
      <c r="K23" s="403"/>
    </row>
    <row r="24" spans="1:11" ht="15.95" customHeight="1" x14ac:dyDescent="0.25">
      <c r="A24" s="47"/>
      <c r="B24" s="47"/>
      <c r="C24" s="47"/>
      <c r="D24" s="47"/>
      <c r="E24" s="78"/>
      <c r="F24" s="78"/>
      <c r="G24" s="78"/>
      <c r="H24" s="78"/>
      <c r="I24" s="78"/>
      <c r="J24" s="47"/>
      <c r="K24" s="403"/>
    </row>
    <row r="25" spans="1:11" ht="15.95" customHeight="1" x14ac:dyDescent="0.25">
      <c r="A25" s="54" t="s">
        <v>5</v>
      </c>
      <c r="B25" s="54"/>
      <c r="C25" s="54"/>
      <c r="D25" s="54"/>
      <c r="E25" s="54" t="s">
        <v>208</v>
      </c>
      <c r="F25" s="85">
        <f>SUM(F20:F24)</f>
        <v>130000</v>
      </c>
      <c r="G25" s="85">
        <f>SUM(G20:G24)</f>
        <v>150000</v>
      </c>
      <c r="H25" s="85">
        <f>SUM(H20:H24)</f>
        <v>180000</v>
      </c>
      <c r="I25" s="85">
        <f>SUM(I20:I24)</f>
        <v>200000</v>
      </c>
      <c r="J25" s="47"/>
      <c r="K25" s="403"/>
    </row>
    <row r="26" spans="1:11" ht="15.95" customHeight="1" x14ac:dyDescent="0.25">
      <c r="A26" s="54" t="s">
        <v>34</v>
      </c>
      <c r="B26" s="54"/>
      <c r="C26" s="54"/>
      <c r="D26" s="54"/>
      <c r="E26" s="54" t="s">
        <v>209</v>
      </c>
      <c r="F26" s="85">
        <f>+F25*30%</f>
        <v>39000</v>
      </c>
      <c r="G26" s="85">
        <f t="shared" ref="G26:I26" si="4">+G25*30%</f>
        <v>45000</v>
      </c>
      <c r="H26" s="85">
        <f t="shared" si="4"/>
        <v>54000</v>
      </c>
      <c r="I26" s="85">
        <f t="shared" si="4"/>
        <v>60000</v>
      </c>
      <c r="J26" s="47"/>
      <c r="K26" s="403"/>
    </row>
    <row r="27" spans="1:11" ht="15.95" customHeight="1" x14ac:dyDescent="0.25">
      <c r="A27" s="145" t="s">
        <v>782</v>
      </c>
      <c r="B27" s="47"/>
      <c r="C27" s="47"/>
      <c r="D27" s="47"/>
      <c r="E27" s="78"/>
      <c r="F27" s="78"/>
      <c r="G27" s="78"/>
      <c r="H27" s="78"/>
      <c r="I27" s="78"/>
      <c r="J27" s="47"/>
      <c r="K27" s="403"/>
    </row>
    <row r="28" spans="1:11" ht="15.95" customHeight="1" x14ac:dyDescent="0.25">
      <c r="A28" s="92" t="s">
        <v>203</v>
      </c>
      <c r="B28" s="47"/>
      <c r="C28" s="47"/>
      <c r="D28" s="47"/>
      <c r="E28" s="47" t="s">
        <v>205</v>
      </c>
      <c r="F28" s="78">
        <f>(F22+F23)*0.3</f>
        <v>9000</v>
      </c>
      <c r="G28" s="78">
        <f t="shared" ref="G28:I28" si="5">(G22+G23)*0.3</f>
        <v>9000</v>
      </c>
      <c r="H28" s="78">
        <f t="shared" si="5"/>
        <v>15000</v>
      </c>
      <c r="I28" s="78">
        <f t="shared" si="5"/>
        <v>18000</v>
      </c>
      <c r="J28" s="47"/>
      <c r="K28" s="403"/>
    </row>
    <row r="29" spans="1:11" ht="15.95" customHeight="1" x14ac:dyDescent="0.25">
      <c r="A29" s="92" t="s">
        <v>521</v>
      </c>
      <c r="B29" s="47"/>
      <c r="C29" s="47"/>
      <c r="D29" s="47"/>
      <c r="E29" s="47" t="s">
        <v>204</v>
      </c>
      <c r="F29" s="78">
        <f>+F28</f>
        <v>9000</v>
      </c>
      <c r="G29" s="78">
        <f>+F28+G28</f>
        <v>18000</v>
      </c>
      <c r="H29" s="78">
        <f>+G29+H28</f>
        <v>33000</v>
      </c>
      <c r="I29" s="78">
        <f>+H29+I28</f>
        <v>51000</v>
      </c>
      <c r="J29" s="47"/>
      <c r="K29" s="403"/>
    </row>
    <row r="30" spans="1:11" ht="15.95" customHeight="1" x14ac:dyDescent="0.25">
      <c r="A30" s="92"/>
      <c r="B30" s="47"/>
      <c r="C30" s="47"/>
      <c r="D30" s="47"/>
      <c r="E30" s="78"/>
      <c r="F30" s="78"/>
      <c r="G30" s="78"/>
      <c r="H30" s="78"/>
      <c r="I30" s="78"/>
      <c r="J30" s="47"/>
      <c r="K30" s="403"/>
    </row>
    <row r="31" spans="1:11" ht="15.95" customHeight="1" x14ac:dyDescent="0.25">
      <c r="A31" s="92" t="s">
        <v>646</v>
      </c>
      <c r="B31" s="47"/>
      <c r="C31" s="47"/>
      <c r="D31" s="47"/>
      <c r="E31" s="47" t="s">
        <v>206</v>
      </c>
      <c r="F31" s="78">
        <f>+F9+F15</f>
        <v>30000</v>
      </c>
      <c r="G31" s="78">
        <f>+G9+G15</f>
        <v>60000</v>
      </c>
      <c r="H31" s="78">
        <f>+H9+H15</f>
        <v>110000</v>
      </c>
      <c r="I31" s="78">
        <f>+I9+I15</f>
        <v>170000</v>
      </c>
      <c r="J31" s="47"/>
      <c r="K31" s="403"/>
    </row>
    <row r="32" spans="1:11" ht="15.95" customHeight="1" x14ac:dyDescent="0.25">
      <c r="A32" s="92" t="s">
        <v>408</v>
      </c>
      <c r="B32" s="47"/>
      <c r="C32" s="47"/>
      <c r="D32" s="47"/>
      <c r="E32" s="47" t="s">
        <v>207</v>
      </c>
      <c r="F32" s="78">
        <f>+F31*30%</f>
        <v>9000</v>
      </c>
      <c r="G32" s="78">
        <f t="shared" ref="G32:I32" si="6">+G31*30%</f>
        <v>18000</v>
      </c>
      <c r="H32" s="78">
        <f t="shared" si="6"/>
        <v>33000</v>
      </c>
      <c r="I32" s="78">
        <f t="shared" si="6"/>
        <v>51000</v>
      </c>
      <c r="J32" s="47"/>
      <c r="K32" s="403"/>
    </row>
    <row r="33" spans="1:11" ht="15.95" customHeight="1" x14ac:dyDescent="0.25">
      <c r="A33" s="92"/>
      <c r="B33" s="47"/>
      <c r="C33" s="47"/>
      <c r="D33" s="47"/>
      <c r="E33" s="78"/>
      <c r="F33" s="78"/>
      <c r="G33" s="78"/>
      <c r="H33" s="78"/>
      <c r="I33" s="78"/>
      <c r="J33" s="47"/>
      <c r="K33" s="403"/>
    </row>
    <row r="34" spans="1:11" ht="15.95" customHeight="1" x14ac:dyDescent="0.25">
      <c r="A34" s="92" t="s">
        <v>522</v>
      </c>
      <c r="B34" s="47"/>
      <c r="C34" s="47"/>
      <c r="D34" s="47"/>
      <c r="E34" s="78"/>
      <c r="F34" s="78"/>
      <c r="G34" s="78"/>
      <c r="H34" s="78"/>
      <c r="I34" s="78"/>
      <c r="J34" s="47"/>
      <c r="K34" s="403"/>
    </row>
    <row r="35" spans="1:11" ht="15.95" customHeight="1" x14ac:dyDescent="0.25">
      <c r="A35" s="92" t="s">
        <v>406</v>
      </c>
      <c r="B35" s="47"/>
      <c r="C35" s="47"/>
      <c r="D35" s="47"/>
      <c r="E35" s="47"/>
      <c r="F35" s="78"/>
      <c r="G35" s="78"/>
      <c r="H35" s="78"/>
      <c r="I35" s="78"/>
      <c r="J35" s="47"/>
      <c r="K35" s="403"/>
    </row>
    <row r="36" spans="1:11" ht="15.95" customHeight="1" x14ac:dyDescent="0.25">
      <c r="A36" s="92"/>
      <c r="B36" s="47"/>
      <c r="C36" s="47"/>
      <c r="D36" s="47"/>
      <c r="E36" s="47"/>
      <c r="F36" s="78"/>
      <c r="G36" s="78"/>
      <c r="H36" s="78"/>
      <c r="I36" s="78"/>
      <c r="J36" s="47"/>
      <c r="K36" s="403"/>
    </row>
    <row r="37" spans="1:11" ht="15.95" customHeight="1" x14ac:dyDescent="0.25">
      <c r="A37" s="403" t="s">
        <v>885</v>
      </c>
      <c r="B37" s="403"/>
      <c r="C37" s="403"/>
      <c r="D37" s="403"/>
      <c r="E37" s="403"/>
      <c r="F37" s="403"/>
      <c r="G37" s="403"/>
      <c r="H37" s="403"/>
      <c r="I37" s="403"/>
      <c r="J37" s="403"/>
      <c r="K37" s="403"/>
    </row>
    <row r="38" spans="1:11" ht="15.95" customHeight="1" x14ac:dyDescent="0.25">
      <c r="A38" s="203"/>
      <c r="B38" s="54"/>
      <c r="C38" s="54"/>
      <c r="D38" s="54"/>
      <c r="E38" s="54"/>
      <c r="F38" s="54"/>
      <c r="G38" s="54"/>
      <c r="H38" s="98" t="s">
        <v>213</v>
      </c>
      <c r="I38" s="98" t="s">
        <v>214</v>
      </c>
      <c r="J38" s="47"/>
      <c r="K38" s="403"/>
    </row>
    <row r="39" spans="1:11" ht="15.95" customHeight="1" x14ac:dyDescent="0.25">
      <c r="A39" s="92" t="s">
        <v>210</v>
      </c>
      <c r="B39" s="47"/>
      <c r="C39" s="47"/>
      <c r="D39" s="47" t="s">
        <v>212</v>
      </c>
      <c r="E39" s="47"/>
      <c r="F39" s="47"/>
      <c r="G39" s="47"/>
      <c r="H39" s="78">
        <v>100000</v>
      </c>
      <c r="I39" s="78">
        <v>100000</v>
      </c>
      <c r="J39" s="47"/>
      <c r="K39" s="403"/>
    </row>
    <row r="40" spans="1:11" ht="15.95" customHeight="1" x14ac:dyDescent="0.25">
      <c r="A40" s="92" t="s">
        <v>211</v>
      </c>
      <c r="B40" s="47"/>
      <c r="C40" s="47"/>
      <c r="D40" s="47" t="s">
        <v>119</v>
      </c>
      <c r="E40" s="47"/>
      <c r="F40" s="47"/>
      <c r="G40" s="47"/>
      <c r="H40" s="78">
        <f>-F22</f>
        <v>-20000</v>
      </c>
      <c r="I40" s="78">
        <v>0</v>
      </c>
      <c r="J40" s="47"/>
      <c r="K40" s="403"/>
    </row>
    <row r="41" spans="1:11" ht="15.95" customHeight="1" x14ac:dyDescent="0.25">
      <c r="A41" s="203"/>
      <c r="B41" s="54"/>
      <c r="C41" s="54"/>
      <c r="D41" s="54" t="s">
        <v>38</v>
      </c>
      <c r="E41" s="54"/>
      <c r="F41" s="54"/>
      <c r="G41" s="54"/>
      <c r="H41" s="85">
        <f>+H39+H40</f>
        <v>80000</v>
      </c>
      <c r="I41" s="85">
        <f>+I39+I40</f>
        <v>100000</v>
      </c>
      <c r="J41" s="47"/>
      <c r="K41" s="403"/>
    </row>
    <row r="42" spans="1:11" ht="15.95" customHeight="1" x14ac:dyDescent="0.25">
      <c r="A42" s="92"/>
      <c r="B42" s="47"/>
      <c r="C42" s="47"/>
      <c r="D42" s="47"/>
      <c r="E42" s="47"/>
      <c r="F42" s="47"/>
      <c r="G42" s="47"/>
      <c r="H42" s="78"/>
      <c r="I42" s="78"/>
      <c r="J42" s="47"/>
      <c r="K42" s="403"/>
    </row>
    <row r="43" spans="1:11" ht="15.95" customHeight="1" x14ac:dyDescent="0.25">
      <c r="A43" s="92"/>
      <c r="B43" s="47"/>
      <c r="C43" s="47"/>
      <c r="D43" s="47" t="s">
        <v>9</v>
      </c>
      <c r="E43" s="47"/>
      <c r="F43" s="47"/>
      <c r="G43" s="47"/>
      <c r="H43" s="194" t="s">
        <v>215</v>
      </c>
      <c r="I43" s="78">
        <f>+I41-H41</f>
        <v>20000</v>
      </c>
      <c r="J43" s="47"/>
      <c r="K43" s="403"/>
    </row>
    <row r="44" spans="1:11" ht="15.95" customHeight="1" x14ac:dyDescent="0.25">
      <c r="A44" s="92"/>
      <c r="B44" s="47"/>
      <c r="C44" s="47"/>
      <c r="D44" s="47" t="s">
        <v>35</v>
      </c>
      <c r="E44" s="47"/>
      <c r="F44" s="47"/>
      <c r="G44" s="47"/>
      <c r="H44" s="194" t="s">
        <v>216</v>
      </c>
      <c r="I44" s="78">
        <f>+I43*0.3</f>
        <v>6000</v>
      </c>
      <c r="J44" s="47"/>
      <c r="K44" s="403"/>
    </row>
    <row r="45" spans="1:11" ht="15.95" customHeight="1" x14ac:dyDescent="0.25">
      <c r="A45" s="92"/>
      <c r="B45" s="47"/>
      <c r="C45" s="47"/>
      <c r="D45" s="47"/>
      <c r="E45" s="47"/>
      <c r="F45" s="47"/>
      <c r="G45" s="47"/>
      <c r="H45" s="78"/>
      <c r="I45" s="78"/>
      <c r="J45" s="47"/>
      <c r="K45" s="403"/>
    </row>
    <row r="46" spans="1:11" ht="15.95" customHeight="1" x14ac:dyDescent="0.25">
      <c r="A46" s="92"/>
      <c r="B46" s="47"/>
      <c r="C46" s="47"/>
      <c r="D46" s="47"/>
      <c r="E46" s="47"/>
      <c r="F46" s="47"/>
      <c r="G46" s="47"/>
      <c r="H46" s="78"/>
      <c r="I46" s="78"/>
      <c r="J46" s="47"/>
      <c r="K46" s="403"/>
    </row>
    <row r="47" spans="1:11" ht="15.95" customHeight="1" x14ac:dyDescent="0.25">
      <c r="A47" s="403" t="s">
        <v>886</v>
      </c>
      <c r="B47" s="403"/>
      <c r="C47" s="403"/>
      <c r="D47" s="403"/>
      <c r="E47" s="403"/>
      <c r="F47" s="403"/>
      <c r="G47" s="403"/>
      <c r="H47" s="403"/>
      <c r="I47" s="403"/>
      <c r="J47" s="403"/>
      <c r="K47" s="403"/>
    </row>
    <row r="48" spans="1:11" ht="15.95" customHeight="1" x14ac:dyDescent="0.25">
      <c r="A48" s="203"/>
      <c r="B48" s="54"/>
      <c r="C48" s="54"/>
      <c r="D48" s="54"/>
      <c r="E48" s="54"/>
      <c r="F48" s="54"/>
      <c r="G48" s="54"/>
      <c r="H48" s="98" t="s">
        <v>213</v>
      </c>
      <c r="I48" s="98" t="s">
        <v>214</v>
      </c>
      <c r="J48" s="47"/>
      <c r="K48" s="403"/>
    </row>
    <row r="49" spans="1:11" ht="15.95" customHeight="1" x14ac:dyDescent="0.25">
      <c r="A49" s="92" t="s">
        <v>217</v>
      </c>
      <c r="B49" s="47"/>
      <c r="C49" s="47"/>
      <c r="D49" s="47" t="s">
        <v>92</v>
      </c>
      <c r="E49" s="47"/>
      <c r="F49" s="47"/>
      <c r="G49" s="47"/>
      <c r="H49" s="78">
        <f>+I13</f>
        <v>60000</v>
      </c>
      <c r="I49" s="78">
        <f>+H49</f>
        <v>60000</v>
      </c>
      <c r="J49" s="47"/>
      <c r="K49" s="403"/>
    </row>
    <row r="50" spans="1:11" ht="15.95" customHeight="1" x14ac:dyDescent="0.25">
      <c r="A50" s="92" t="s">
        <v>218</v>
      </c>
      <c r="B50" s="47"/>
      <c r="C50" s="47"/>
      <c r="D50" s="47" t="s">
        <v>119</v>
      </c>
      <c r="E50" s="47"/>
      <c r="F50" s="47"/>
      <c r="G50" s="47"/>
      <c r="H50" s="78">
        <f>-F23</f>
        <v>-10000</v>
      </c>
      <c r="I50" s="78">
        <v>0</v>
      </c>
      <c r="J50" s="47"/>
      <c r="K50" s="403"/>
    </row>
    <row r="51" spans="1:11" ht="15.95" customHeight="1" x14ac:dyDescent="0.25">
      <c r="A51" s="203"/>
      <c r="B51" s="54"/>
      <c r="C51" s="54"/>
      <c r="D51" s="54" t="s">
        <v>38</v>
      </c>
      <c r="E51" s="54"/>
      <c r="F51" s="54"/>
      <c r="G51" s="54"/>
      <c r="H51" s="85">
        <f>+H49+H50</f>
        <v>50000</v>
      </c>
      <c r="I51" s="85">
        <f>+I49+I50</f>
        <v>60000</v>
      </c>
      <c r="J51" s="47"/>
      <c r="K51" s="403"/>
    </row>
    <row r="52" spans="1:11" ht="15.95" customHeight="1" x14ac:dyDescent="0.25">
      <c r="A52" s="92"/>
      <c r="B52" s="47"/>
      <c r="C52" s="47"/>
      <c r="D52" s="47"/>
      <c r="E52" s="47"/>
      <c r="F52" s="47"/>
      <c r="G52" s="47"/>
      <c r="H52" s="78"/>
      <c r="I52" s="78"/>
      <c r="J52" s="47"/>
      <c r="K52" s="403"/>
    </row>
    <row r="53" spans="1:11" ht="15.95" customHeight="1" x14ac:dyDescent="0.25">
      <c r="A53" s="92"/>
      <c r="B53" s="47"/>
      <c r="C53" s="47"/>
      <c r="D53" s="47" t="s">
        <v>9</v>
      </c>
      <c r="E53" s="47"/>
      <c r="F53" s="47"/>
      <c r="G53" s="47"/>
      <c r="H53" s="194" t="s">
        <v>215</v>
      </c>
      <c r="I53" s="78">
        <f>+I51-H51</f>
        <v>10000</v>
      </c>
      <c r="J53" s="47"/>
      <c r="K53" s="403"/>
    </row>
    <row r="54" spans="1:11" ht="15.95" customHeight="1" x14ac:dyDescent="0.25">
      <c r="A54" s="92"/>
      <c r="B54" s="47"/>
      <c r="C54" s="47"/>
      <c r="D54" s="47" t="s">
        <v>35</v>
      </c>
      <c r="E54" s="47"/>
      <c r="F54" s="47"/>
      <c r="G54" s="47"/>
      <c r="H54" s="194" t="s">
        <v>216</v>
      </c>
      <c r="I54" s="78">
        <f>+I53*0.3</f>
        <v>3000</v>
      </c>
      <c r="J54" s="47"/>
      <c r="K54" s="403"/>
    </row>
    <row r="55" spans="1:11" ht="15.95" customHeight="1" x14ac:dyDescent="0.25">
      <c r="A55" s="92"/>
      <c r="B55" s="47"/>
      <c r="C55" s="47"/>
      <c r="D55" s="47"/>
      <c r="E55" s="47"/>
      <c r="F55" s="47"/>
      <c r="G55" s="47"/>
      <c r="H55" s="78"/>
      <c r="I55" s="78"/>
      <c r="J55" s="47"/>
      <c r="K55" s="403"/>
    </row>
    <row r="56" spans="1:11" ht="15.95" customHeight="1" x14ac:dyDescent="0.25">
      <c r="A56" s="143"/>
      <c r="B56" s="51" t="s">
        <v>783</v>
      </c>
      <c r="C56" s="51"/>
      <c r="D56" s="51"/>
      <c r="E56" s="51"/>
      <c r="F56" s="51"/>
      <c r="G56" s="51"/>
      <c r="H56" s="89"/>
      <c r="I56" s="89">
        <f>+I44+I54</f>
        <v>9000</v>
      </c>
      <c r="J56" s="47"/>
      <c r="K56" s="403"/>
    </row>
    <row r="57" spans="1:11" ht="15.95" customHeight="1" x14ac:dyDescent="0.25">
      <c r="A57" s="92"/>
      <c r="B57" s="47"/>
      <c r="C57" s="47"/>
      <c r="D57" s="47"/>
      <c r="E57" s="47"/>
      <c r="F57" s="47"/>
      <c r="G57" s="47"/>
      <c r="H57" s="78"/>
      <c r="I57" s="78"/>
      <c r="J57" s="47"/>
      <c r="K57" s="403"/>
    </row>
    <row r="58" spans="1:11" ht="15.95" customHeight="1" x14ac:dyDescent="0.25">
      <c r="A58" s="403" t="s">
        <v>887</v>
      </c>
      <c r="B58" s="403"/>
      <c r="C58" s="403"/>
      <c r="D58" s="403"/>
      <c r="E58" s="403"/>
      <c r="F58" s="403"/>
      <c r="G58" s="403"/>
      <c r="H58" s="403"/>
      <c r="I58" s="403"/>
      <c r="J58" s="403"/>
      <c r="K58" s="403"/>
    </row>
    <row r="59" spans="1:11" ht="15.95" customHeight="1" x14ac:dyDescent="0.25">
      <c r="A59" s="54"/>
      <c r="B59" s="54"/>
      <c r="C59" s="54"/>
      <c r="D59" s="54"/>
      <c r="E59" s="54"/>
      <c r="F59" s="98" t="s">
        <v>198</v>
      </c>
      <c r="G59" s="98" t="s">
        <v>199</v>
      </c>
      <c r="H59" s="98" t="s">
        <v>200</v>
      </c>
      <c r="I59" s="98" t="s">
        <v>201</v>
      </c>
      <c r="J59" s="47"/>
      <c r="K59" s="403"/>
    </row>
    <row r="60" spans="1:11" ht="15.95" customHeight="1" x14ac:dyDescent="0.25">
      <c r="A60" s="54" t="s">
        <v>4</v>
      </c>
      <c r="B60" s="54"/>
      <c r="C60" s="54"/>
      <c r="D60" s="54"/>
      <c r="E60" s="54"/>
      <c r="F60" s="98" t="s">
        <v>1</v>
      </c>
      <c r="G60" s="98" t="s">
        <v>1</v>
      </c>
      <c r="H60" s="98" t="s">
        <v>1</v>
      </c>
      <c r="I60" s="98" t="s">
        <v>1</v>
      </c>
      <c r="J60" s="47"/>
      <c r="K60" s="403"/>
    </row>
    <row r="61" spans="1:11" ht="15.95" customHeight="1" x14ac:dyDescent="0.25">
      <c r="A61" s="47" t="s">
        <v>0</v>
      </c>
      <c r="B61" s="47"/>
      <c r="C61" s="47"/>
      <c r="D61" s="47"/>
      <c r="E61" s="47"/>
      <c r="F61" s="78">
        <f>+F7</f>
        <v>0</v>
      </c>
      <c r="G61" s="78">
        <f t="shared" ref="G61:I61" si="7">+G7</f>
        <v>20000</v>
      </c>
      <c r="H61" s="78">
        <f t="shared" si="7"/>
        <v>30000</v>
      </c>
      <c r="I61" s="78">
        <f t="shared" si="7"/>
        <v>50000</v>
      </c>
      <c r="J61" s="47"/>
      <c r="K61" s="403"/>
    </row>
    <row r="62" spans="1:11" ht="15.95" customHeight="1" x14ac:dyDescent="0.25">
      <c r="A62" s="47" t="s">
        <v>133</v>
      </c>
      <c r="B62" s="47"/>
      <c r="C62" s="47"/>
      <c r="D62" s="47"/>
      <c r="E62" s="47"/>
      <c r="F62" s="78">
        <f t="shared" ref="F62:I62" si="8">+F8</f>
        <v>20000</v>
      </c>
      <c r="G62" s="78">
        <f t="shared" si="8"/>
        <v>10000</v>
      </c>
      <c r="H62" s="78">
        <f t="shared" si="8"/>
        <v>20000</v>
      </c>
      <c r="I62" s="78">
        <f t="shared" si="8"/>
        <v>30000</v>
      </c>
      <c r="J62" s="47" t="s">
        <v>598</v>
      </c>
      <c r="K62" s="403"/>
    </row>
    <row r="63" spans="1:11" ht="15.95" customHeight="1" x14ac:dyDescent="0.25">
      <c r="A63" s="54" t="s">
        <v>2</v>
      </c>
      <c r="B63" s="54"/>
      <c r="C63" s="54"/>
      <c r="D63" s="54"/>
      <c r="E63" s="54" t="s">
        <v>64</v>
      </c>
      <c r="F63" s="85">
        <f>SUM(F61:F62)</f>
        <v>20000</v>
      </c>
      <c r="G63" s="85">
        <f t="shared" ref="G63:I63" si="9">SUM(G61:G62)</f>
        <v>30000</v>
      </c>
      <c r="H63" s="85">
        <f t="shared" si="9"/>
        <v>50000</v>
      </c>
      <c r="I63" s="85">
        <f t="shared" si="9"/>
        <v>80000</v>
      </c>
      <c r="J63" s="47"/>
      <c r="K63" s="403"/>
    </row>
    <row r="64" spans="1:11" ht="15.95" customHeight="1" x14ac:dyDescent="0.25">
      <c r="A64" s="47"/>
      <c r="B64" s="47"/>
      <c r="C64" s="47"/>
      <c r="D64" s="47"/>
      <c r="F64" s="78"/>
      <c r="G64" s="78"/>
      <c r="H64" s="78"/>
      <c r="I64" s="78"/>
      <c r="J64" s="47"/>
      <c r="K64" s="403"/>
    </row>
    <row r="65" spans="1:11" ht="15.95" customHeight="1" x14ac:dyDescent="0.25">
      <c r="A65" s="54" t="s">
        <v>100</v>
      </c>
      <c r="B65" s="54"/>
      <c r="C65" s="54"/>
      <c r="D65" s="54"/>
      <c r="E65" s="54"/>
      <c r="F65" s="98" t="s">
        <v>198</v>
      </c>
      <c r="G65" s="98" t="s">
        <v>199</v>
      </c>
      <c r="H65" s="98" t="s">
        <v>200</v>
      </c>
      <c r="I65" s="98" t="s">
        <v>201</v>
      </c>
      <c r="J65" s="47"/>
      <c r="K65" s="403"/>
    </row>
    <row r="66" spans="1:11" ht="15.95" customHeight="1" x14ac:dyDescent="0.25">
      <c r="A66" s="54" t="s">
        <v>645</v>
      </c>
      <c r="B66" s="54"/>
      <c r="C66" s="54"/>
      <c r="D66" s="54"/>
      <c r="E66" s="54"/>
      <c r="F66" s="98" t="s">
        <v>1</v>
      </c>
      <c r="G66" s="98" t="s">
        <v>1</v>
      </c>
      <c r="H66" s="98" t="s">
        <v>1</v>
      </c>
      <c r="I66" s="98" t="s">
        <v>1</v>
      </c>
      <c r="J66" s="47"/>
      <c r="K66" s="403"/>
    </row>
    <row r="67" spans="1:11" ht="15.95" customHeight="1" x14ac:dyDescent="0.25">
      <c r="A67" s="47" t="s">
        <v>0</v>
      </c>
      <c r="B67" s="47"/>
      <c r="C67" s="47"/>
      <c r="D67" s="47"/>
      <c r="E67" s="47"/>
      <c r="F67" s="78">
        <f>+F13</f>
        <v>0</v>
      </c>
      <c r="G67" s="78">
        <f t="shared" ref="G67:I67" si="10">+G13</f>
        <v>10000</v>
      </c>
      <c r="H67" s="78">
        <f t="shared" si="10"/>
        <v>30000</v>
      </c>
      <c r="I67" s="78">
        <f t="shared" si="10"/>
        <v>60000</v>
      </c>
      <c r="J67" s="47"/>
      <c r="K67" s="403"/>
    </row>
    <row r="68" spans="1:11" ht="15.95" customHeight="1" x14ac:dyDescent="0.25">
      <c r="A68" s="47" t="s">
        <v>133</v>
      </c>
      <c r="B68" s="47"/>
      <c r="C68" s="47"/>
      <c r="D68" s="47"/>
      <c r="E68" s="47"/>
      <c r="F68" s="78">
        <f t="shared" ref="F68:I68" si="11">+F14</f>
        <v>10000</v>
      </c>
      <c r="G68" s="78">
        <f t="shared" si="11"/>
        <v>20000</v>
      </c>
      <c r="H68" s="78">
        <f t="shared" si="11"/>
        <v>30000</v>
      </c>
      <c r="I68" s="78">
        <f t="shared" si="11"/>
        <v>30000</v>
      </c>
      <c r="J68" s="47" t="s">
        <v>600</v>
      </c>
      <c r="K68" s="403"/>
    </row>
    <row r="69" spans="1:11" ht="15.95" customHeight="1" x14ac:dyDescent="0.25">
      <c r="A69" s="54" t="s">
        <v>2</v>
      </c>
      <c r="B69" s="54"/>
      <c r="C69" s="54"/>
      <c r="D69" s="54"/>
      <c r="E69" s="54" t="s">
        <v>17</v>
      </c>
      <c r="F69" s="85">
        <f>SUM(F67:F68)</f>
        <v>10000</v>
      </c>
      <c r="G69" s="85">
        <f t="shared" ref="G69:I69" si="12">SUM(G67:G68)</f>
        <v>30000</v>
      </c>
      <c r="H69" s="85">
        <f t="shared" si="12"/>
        <v>60000</v>
      </c>
      <c r="I69" s="85">
        <f t="shared" si="12"/>
        <v>90000</v>
      </c>
      <c r="J69" s="47"/>
      <c r="K69" s="403"/>
    </row>
    <row r="70" spans="1:11" ht="15.95" customHeight="1" x14ac:dyDescent="0.25">
      <c r="A70" s="47"/>
      <c r="B70" s="47"/>
      <c r="C70" s="47"/>
      <c r="D70" s="47"/>
      <c r="E70" s="47"/>
      <c r="F70" s="78"/>
      <c r="G70" s="78"/>
      <c r="H70" s="78"/>
      <c r="I70" s="78"/>
      <c r="J70" s="47"/>
      <c r="K70" s="403"/>
    </row>
    <row r="71" spans="1:11" ht="15.95" customHeight="1" x14ac:dyDescent="0.25">
      <c r="A71" s="54" t="s">
        <v>888</v>
      </c>
      <c r="B71" s="54"/>
      <c r="C71" s="54"/>
      <c r="D71" s="54"/>
      <c r="E71" s="54"/>
      <c r="F71" s="85"/>
      <c r="G71" s="85"/>
      <c r="H71" s="85"/>
      <c r="I71" s="85"/>
      <c r="J71" s="47"/>
      <c r="K71" s="403"/>
    </row>
    <row r="72" spans="1:11" ht="15.95" customHeight="1" x14ac:dyDescent="0.25">
      <c r="A72" s="54" t="s">
        <v>889</v>
      </c>
      <c r="B72" s="54"/>
      <c r="C72" s="54"/>
      <c r="D72" s="54"/>
      <c r="E72" s="54" t="s">
        <v>890</v>
      </c>
      <c r="F72" s="85">
        <f>+F63+F69</f>
        <v>30000</v>
      </c>
      <c r="G72" s="85">
        <f t="shared" ref="G72:I72" si="13">+G63+G69</f>
        <v>60000</v>
      </c>
      <c r="H72" s="85">
        <f t="shared" si="13"/>
        <v>110000</v>
      </c>
      <c r="I72" s="85">
        <f t="shared" si="13"/>
        <v>170000</v>
      </c>
      <c r="J72" s="47"/>
      <c r="K72" s="403"/>
    </row>
    <row r="73" spans="1:11" ht="15.95" customHeight="1" x14ac:dyDescent="0.25">
      <c r="A73" s="47"/>
      <c r="B73" s="47"/>
      <c r="C73" s="47"/>
      <c r="D73" s="47"/>
      <c r="F73" s="78"/>
      <c r="G73" s="78"/>
      <c r="H73" s="78"/>
      <c r="I73" s="78"/>
      <c r="J73" s="47"/>
      <c r="K73" s="403"/>
    </row>
    <row r="74" spans="1:11" ht="15.95" customHeight="1" x14ac:dyDescent="0.25">
      <c r="A74" s="54"/>
      <c r="B74" s="54"/>
      <c r="C74" s="54"/>
      <c r="D74" s="54"/>
      <c r="E74" s="54"/>
      <c r="F74" s="98" t="s">
        <v>198</v>
      </c>
      <c r="G74" s="98" t="s">
        <v>199</v>
      </c>
      <c r="H74" s="98" t="s">
        <v>200</v>
      </c>
      <c r="I74" s="98" t="s">
        <v>201</v>
      </c>
      <c r="J74" s="47"/>
      <c r="K74" s="403"/>
    </row>
    <row r="75" spans="1:11" ht="15.95" customHeight="1" x14ac:dyDescent="0.25">
      <c r="A75" s="54"/>
      <c r="B75" s="54"/>
      <c r="C75" s="54"/>
      <c r="D75" s="54"/>
      <c r="E75" s="54"/>
      <c r="F75" s="98" t="s">
        <v>1</v>
      </c>
      <c r="G75" s="98" t="s">
        <v>1</v>
      </c>
      <c r="H75" s="98" t="s">
        <v>1</v>
      </c>
      <c r="I75" s="98" t="s">
        <v>1</v>
      </c>
      <c r="J75" s="47"/>
      <c r="K75" s="403"/>
    </row>
    <row r="76" spans="1:11" s="15" customFormat="1" ht="15.95" customHeight="1" x14ac:dyDescent="0.25">
      <c r="A76" s="47" t="s">
        <v>163</v>
      </c>
      <c r="B76" s="47"/>
      <c r="C76" s="47"/>
      <c r="D76" s="47"/>
      <c r="E76" s="78"/>
      <c r="F76" s="78">
        <f>+F20</f>
        <v>100000</v>
      </c>
      <c r="G76" s="78">
        <f t="shared" ref="G76:I76" si="14">+G20</f>
        <v>120000</v>
      </c>
      <c r="H76" s="78">
        <f t="shared" si="14"/>
        <v>130000</v>
      </c>
      <c r="I76" s="78">
        <f t="shared" si="14"/>
        <v>140000</v>
      </c>
      <c r="J76" s="47"/>
      <c r="K76" s="403"/>
    </row>
    <row r="77" spans="1:11" ht="15.95" customHeight="1" x14ac:dyDescent="0.25">
      <c r="A77" s="47" t="s">
        <v>780</v>
      </c>
      <c r="B77" s="47"/>
      <c r="C77" s="47"/>
      <c r="D77" s="47"/>
      <c r="E77" s="78"/>
      <c r="F77" s="78"/>
      <c r="G77" s="78"/>
      <c r="H77" s="78"/>
      <c r="I77" s="78"/>
      <c r="J77" s="47"/>
      <c r="K77" s="403"/>
    </row>
    <row r="78" spans="1:11" ht="15.95" customHeight="1" x14ac:dyDescent="0.25">
      <c r="A78" s="92" t="s">
        <v>519</v>
      </c>
      <c r="B78" s="47"/>
      <c r="C78" s="47"/>
      <c r="D78" s="47"/>
      <c r="E78" s="47" t="s">
        <v>14</v>
      </c>
      <c r="F78" s="78">
        <f>+F62</f>
        <v>20000</v>
      </c>
      <c r="G78" s="78">
        <f t="shared" ref="G78:I78" si="15">+G62</f>
        <v>10000</v>
      </c>
      <c r="H78" s="78">
        <f t="shared" si="15"/>
        <v>20000</v>
      </c>
      <c r="I78" s="78">
        <f t="shared" si="15"/>
        <v>30000</v>
      </c>
      <c r="J78" s="47" t="s">
        <v>598</v>
      </c>
      <c r="K78" s="403"/>
    </row>
    <row r="79" spans="1:11" ht="15.95" customHeight="1" x14ac:dyDescent="0.25">
      <c r="A79" s="92" t="s">
        <v>520</v>
      </c>
      <c r="B79" s="47"/>
      <c r="C79" s="47"/>
      <c r="D79" s="47"/>
      <c r="E79" s="47" t="s">
        <v>15</v>
      </c>
      <c r="F79" s="78">
        <f>+F68</f>
        <v>10000</v>
      </c>
      <c r="G79" s="78">
        <f t="shared" ref="G79:I79" si="16">+G68</f>
        <v>20000</v>
      </c>
      <c r="H79" s="78">
        <f t="shared" si="16"/>
        <v>30000</v>
      </c>
      <c r="I79" s="78">
        <f t="shared" si="16"/>
        <v>30000</v>
      </c>
      <c r="J79" s="47" t="s">
        <v>600</v>
      </c>
      <c r="K79" s="403"/>
    </row>
    <row r="80" spans="1:11" ht="15.95" customHeight="1" x14ac:dyDescent="0.25">
      <c r="A80" s="47"/>
      <c r="B80" s="47"/>
      <c r="C80" s="47"/>
      <c r="D80" s="47"/>
      <c r="E80" s="78"/>
      <c r="F80" s="78"/>
      <c r="G80" s="78"/>
      <c r="H80" s="78"/>
      <c r="I80" s="78"/>
      <c r="J80" s="47"/>
      <c r="K80" s="403"/>
    </row>
    <row r="81" spans="1:11" ht="15.95" customHeight="1" x14ac:dyDescent="0.25">
      <c r="A81" s="54" t="s">
        <v>5</v>
      </c>
      <c r="B81" s="54"/>
      <c r="C81" s="54"/>
      <c r="D81" s="54"/>
      <c r="E81" s="54" t="s">
        <v>208</v>
      </c>
      <c r="F81" s="85">
        <f>SUM(F76:F80)</f>
        <v>130000</v>
      </c>
      <c r="G81" s="85">
        <f>SUM(G76:G80)</f>
        <v>150000</v>
      </c>
      <c r="H81" s="85">
        <f>SUM(H76:H80)</f>
        <v>180000</v>
      </c>
      <c r="I81" s="85">
        <f>SUM(I76:I80)</f>
        <v>200000</v>
      </c>
      <c r="J81" s="47"/>
      <c r="K81" s="403"/>
    </row>
    <row r="82" spans="1:11" ht="15.95" customHeight="1" x14ac:dyDescent="0.25">
      <c r="A82" s="54" t="s">
        <v>34</v>
      </c>
      <c r="B82" s="54"/>
      <c r="C82" s="54"/>
      <c r="D82" s="54"/>
      <c r="E82" s="54" t="s">
        <v>209</v>
      </c>
      <c r="F82" s="85">
        <f>+F81*30%</f>
        <v>39000</v>
      </c>
      <c r="G82" s="85">
        <f t="shared" ref="G82:I82" si="17">+G81*30%</f>
        <v>45000</v>
      </c>
      <c r="H82" s="85">
        <f t="shared" si="17"/>
        <v>54000</v>
      </c>
      <c r="I82" s="85">
        <f t="shared" si="17"/>
        <v>60000</v>
      </c>
      <c r="J82" s="47"/>
      <c r="K82" s="403"/>
    </row>
    <row r="83" spans="1:11" ht="15.95" customHeight="1" x14ac:dyDescent="0.25">
      <c r="A83" s="145" t="s">
        <v>782</v>
      </c>
      <c r="B83" s="47"/>
      <c r="C83" s="47"/>
      <c r="D83" s="47"/>
      <c r="E83" s="78"/>
      <c r="F83" s="78"/>
      <c r="G83" s="78"/>
      <c r="H83" s="78"/>
      <c r="I83" s="78"/>
      <c r="J83" s="47"/>
      <c r="K83" s="403"/>
    </row>
    <row r="84" spans="1:11" ht="15.95" customHeight="1" x14ac:dyDescent="0.25">
      <c r="A84" s="92" t="s">
        <v>203</v>
      </c>
      <c r="B84" s="47"/>
      <c r="C84" s="47"/>
      <c r="D84" s="47"/>
      <c r="E84" s="47" t="s">
        <v>205</v>
      </c>
      <c r="F84" s="78">
        <f>(F78+F79)*0.3</f>
        <v>9000</v>
      </c>
      <c r="G84" s="78">
        <f t="shared" ref="G84:I84" si="18">(G78+G79)*0.3</f>
        <v>9000</v>
      </c>
      <c r="H84" s="78">
        <f t="shared" si="18"/>
        <v>15000</v>
      </c>
      <c r="I84" s="78">
        <f t="shared" si="18"/>
        <v>18000</v>
      </c>
      <c r="J84" s="47"/>
      <c r="K84" s="403"/>
    </row>
    <row r="85" spans="1:11" ht="15.95" customHeight="1" x14ac:dyDescent="0.25">
      <c r="A85" s="92" t="s">
        <v>521</v>
      </c>
      <c r="B85" s="47"/>
      <c r="C85" s="47"/>
      <c r="D85" s="47"/>
      <c r="E85" s="47" t="s">
        <v>204</v>
      </c>
      <c r="F85" s="78">
        <f>(F63+F69)*30%</f>
        <v>9000</v>
      </c>
      <c r="G85" s="78">
        <f t="shared" ref="G85:I85" si="19">(G63+G69)*30%</f>
        <v>18000</v>
      </c>
      <c r="H85" s="78">
        <f t="shared" si="19"/>
        <v>33000</v>
      </c>
      <c r="I85" s="78">
        <f t="shared" si="19"/>
        <v>51000</v>
      </c>
      <c r="J85" s="47"/>
      <c r="K85" s="403"/>
    </row>
    <row r="86" spans="1:11" ht="15.95" customHeight="1" x14ac:dyDescent="0.25">
      <c r="A86" s="92"/>
      <c r="B86" s="47"/>
      <c r="C86" s="47"/>
      <c r="D86" s="47"/>
      <c r="E86" s="78"/>
      <c r="F86" s="78"/>
      <c r="G86" s="78"/>
      <c r="H86" s="78"/>
      <c r="I86" s="78"/>
      <c r="J86" s="47"/>
      <c r="K86" s="403"/>
    </row>
    <row r="87" spans="1:11" ht="15.95" customHeight="1" x14ac:dyDescent="0.25">
      <c r="A87" s="414" t="s">
        <v>646</v>
      </c>
      <c r="B87" s="281"/>
      <c r="C87" s="281"/>
      <c r="D87" s="281"/>
      <c r="E87" s="281" t="s">
        <v>206</v>
      </c>
      <c r="F87" s="291">
        <f>+F63+F69</f>
        <v>30000</v>
      </c>
      <c r="G87" s="291">
        <f t="shared" ref="G87:I87" si="20">+G63+G69</f>
        <v>60000</v>
      </c>
      <c r="H87" s="291">
        <f t="shared" si="20"/>
        <v>110000</v>
      </c>
      <c r="I87" s="291">
        <f t="shared" si="20"/>
        <v>170000</v>
      </c>
      <c r="J87" s="47"/>
      <c r="K87" s="403"/>
    </row>
    <row r="88" spans="1:11" ht="15.95" customHeight="1" x14ac:dyDescent="0.25">
      <c r="A88" s="414" t="s">
        <v>408</v>
      </c>
      <c r="B88" s="281"/>
      <c r="C88" s="281"/>
      <c r="D88" s="281"/>
      <c r="E88" s="281" t="s">
        <v>207</v>
      </c>
      <c r="F88" s="291">
        <f>+F87*30%</f>
        <v>9000</v>
      </c>
      <c r="G88" s="291">
        <f t="shared" ref="G88:I88" si="21">+G87*30%</f>
        <v>18000</v>
      </c>
      <c r="H88" s="291">
        <f t="shared" si="21"/>
        <v>33000</v>
      </c>
      <c r="I88" s="291">
        <f t="shared" si="21"/>
        <v>51000</v>
      </c>
      <c r="J88" s="47"/>
      <c r="K88" s="403"/>
    </row>
    <row r="89" spans="1:11" ht="15.95" customHeight="1" x14ac:dyDescent="0.25">
      <c r="A89" s="92"/>
      <c r="B89" s="47"/>
      <c r="C89" s="47"/>
      <c r="D89" s="47"/>
      <c r="E89" s="78"/>
      <c r="F89" s="78"/>
      <c r="G89" s="78"/>
      <c r="H89" s="78"/>
      <c r="I89" s="78"/>
      <c r="J89" s="47"/>
      <c r="K89" s="403"/>
    </row>
    <row r="90" spans="1:11" ht="15.95" customHeight="1" x14ac:dyDescent="0.25">
      <c r="A90" s="92" t="s">
        <v>522</v>
      </c>
      <c r="B90" s="47"/>
      <c r="C90" s="47"/>
      <c r="D90" s="47"/>
      <c r="E90" s="78"/>
      <c r="F90" s="78"/>
      <c r="G90" s="78"/>
      <c r="H90" s="78"/>
      <c r="I90" s="78"/>
      <c r="J90" s="47"/>
      <c r="K90" s="403"/>
    </row>
    <row r="91" spans="1:11" ht="15.95" customHeight="1" x14ac:dyDescent="0.25">
      <c r="A91" s="92" t="s">
        <v>406</v>
      </c>
      <c r="B91" s="47"/>
      <c r="C91" s="47"/>
      <c r="D91" s="47"/>
      <c r="E91" s="47"/>
      <c r="F91" s="78"/>
      <c r="G91" s="78"/>
      <c r="H91" s="78"/>
      <c r="I91" s="78"/>
      <c r="J91" s="47"/>
      <c r="K91" s="403"/>
    </row>
    <row r="92" spans="1:11" ht="15.95" customHeight="1" x14ac:dyDescent="0.25">
      <c r="A92" s="92"/>
      <c r="B92" s="47"/>
      <c r="C92" s="47"/>
      <c r="D92" s="47"/>
      <c r="E92" s="47"/>
      <c r="F92" s="78"/>
      <c r="G92" s="78"/>
      <c r="H92" s="78"/>
      <c r="I92" s="78"/>
      <c r="J92" s="47"/>
      <c r="K92" s="403"/>
    </row>
    <row r="93" spans="1:11" ht="15.95" customHeight="1" x14ac:dyDescent="0.25">
      <c r="A93" s="403" t="s">
        <v>891</v>
      </c>
      <c r="B93" s="403"/>
      <c r="C93" s="403"/>
      <c r="D93" s="403"/>
      <c r="E93" s="403"/>
      <c r="F93" s="403"/>
      <c r="G93" s="403"/>
      <c r="H93" s="403"/>
      <c r="I93" s="403"/>
      <c r="J93" s="403"/>
      <c r="K93" s="403"/>
    </row>
    <row r="94" spans="1:11" ht="15.95" customHeight="1" x14ac:dyDescent="0.25">
      <c r="A94" s="47"/>
      <c r="B94" s="47"/>
      <c r="C94" s="47"/>
      <c r="D94" s="47" t="s">
        <v>172</v>
      </c>
      <c r="E94" s="47"/>
      <c r="F94" s="47"/>
      <c r="G94" s="194" t="s">
        <v>175</v>
      </c>
      <c r="H94" s="47"/>
      <c r="I94" s="47"/>
      <c r="J94" s="47"/>
      <c r="K94" s="403"/>
    </row>
    <row r="95" spans="1:11" ht="15.95" customHeight="1" x14ac:dyDescent="0.25">
      <c r="A95" s="47"/>
      <c r="B95" s="47"/>
      <c r="C95" s="47"/>
      <c r="D95" s="47" t="s">
        <v>173</v>
      </c>
      <c r="E95" s="47"/>
      <c r="F95" s="47"/>
      <c r="G95" s="194" t="s">
        <v>175</v>
      </c>
      <c r="H95" s="47"/>
      <c r="I95" s="47"/>
      <c r="J95" s="47"/>
      <c r="K95" s="403"/>
    </row>
    <row r="96" spans="1:11" ht="15.95" customHeight="1" x14ac:dyDescent="0.25">
      <c r="A96" s="47"/>
      <c r="B96" s="47"/>
      <c r="C96" s="47"/>
      <c r="D96" s="54" t="s">
        <v>174</v>
      </c>
      <c r="E96" s="54"/>
      <c r="F96" s="54"/>
      <c r="G96" s="208" t="s">
        <v>175</v>
      </c>
      <c r="H96" s="47"/>
      <c r="I96" s="47"/>
      <c r="J96" s="47"/>
      <c r="K96" s="403"/>
    </row>
    <row r="97" spans="1:11" ht="15.95" customHeight="1" x14ac:dyDescent="0.25">
      <c r="A97" s="47"/>
      <c r="B97" s="47"/>
      <c r="C97" s="47"/>
      <c r="D97" s="47" t="s">
        <v>185</v>
      </c>
      <c r="E97" s="47"/>
      <c r="F97" s="47"/>
      <c r="G97" s="194" t="s">
        <v>175</v>
      </c>
      <c r="H97" s="47"/>
      <c r="I97" s="47"/>
      <c r="J97" s="47"/>
      <c r="K97" s="403"/>
    </row>
    <row r="98" spans="1:11" ht="15.95" customHeight="1" x14ac:dyDescent="0.25">
      <c r="A98" s="47"/>
      <c r="B98" s="47"/>
      <c r="C98" s="47"/>
      <c r="D98" s="47" t="s">
        <v>186</v>
      </c>
      <c r="E98" s="47"/>
      <c r="F98" s="47"/>
      <c r="G98" s="194" t="s">
        <v>175</v>
      </c>
      <c r="H98" s="47"/>
      <c r="I98" s="47"/>
      <c r="J98" s="47"/>
      <c r="K98" s="403"/>
    </row>
    <row r="99" spans="1:11" ht="15.95" customHeight="1" x14ac:dyDescent="0.25">
      <c r="A99" s="47"/>
      <c r="B99" s="47"/>
      <c r="C99" s="47"/>
      <c r="D99" s="54" t="s">
        <v>187</v>
      </c>
      <c r="E99" s="54"/>
      <c r="F99" s="54"/>
      <c r="G99" s="208" t="s">
        <v>175</v>
      </c>
      <c r="H99" s="47"/>
      <c r="I99" s="47"/>
      <c r="J99" s="47"/>
      <c r="K99" s="403"/>
    </row>
    <row r="100" spans="1:11" ht="15.95" customHeight="1" x14ac:dyDescent="0.25">
      <c r="A100" s="47"/>
      <c r="B100" s="47"/>
      <c r="C100" s="47"/>
      <c r="D100" s="47" t="s">
        <v>188</v>
      </c>
      <c r="E100" s="47"/>
      <c r="F100" s="47"/>
      <c r="G100" s="194" t="s">
        <v>175</v>
      </c>
      <c r="H100" s="47"/>
      <c r="I100" s="47"/>
      <c r="J100" s="47"/>
      <c r="K100" s="403"/>
    </row>
    <row r="101" spans="1:11" ht="15.95" customHeight="1" x14ac:dyDescent="0.25">
      <c r="A101" s="47"/>
      <c r="B101" s="47"/>
      <c r="C101" s="47"/>
      <c r="D101" s="54" t="s">
        <v>163</v>
      </c>
      <c r="E101" s="54"/>
      <c r="F101" s="54"/>
      <c r="G101" s="85">
        <v>300000</v>
      </c>
      <c r="H101" s="47"/>
      <c r="I101" s="47"/>
      <c r="J101" s="47"/>
      <c r="K101" s="403"/>
    </row>
    <row r="102" spans="1:11" ht="15.95" customHeight="1" x14ac:dyDescent="0.25">
      <c r="A102" s="47"/>
      <c r="B102" s="47"/>
      <c r="C102" s="47"/>
      <c r="D102" s="47" t="s">
        <v>26</v>
      </c>
      <c r="E102" s="47"/>
      <c r="F102" s="47"/>
      <c r="G102" s="76">
        <f>+G108</f>
        <v>-120000</v>
      </c>
      <c r="H102" s="47"/>
      <c r="I102" s="47"/>
      <c r="J102" s="47"/>
      <c r="K102" s="403"/>
    </row>
    <row r="103" spans="1:11" ht="15.95" customHeight="1" x14ac:dyDescent="0.25">
      <c r="A103" s="47"/>
      <c r="B103" s="47"/>
      <c r="C103" s="47"/>
      <c r="D103" s="54" t="s">
        <v>176</v>
      </c>
      <c r="E103" s="54"/>
      <c r="F103" s="54"/>
      <c r="G103" s="85">
        <v>180000</v>
      </c>
      <c r="H103" s="47"/>
      <c r="I103" s="47"/>
      <c r="J103" s="47"/>
      <c r="K103" s="403"/>
    </row>
    <row r="104" spans="1:11" ht="15.95" customHeight="1" x14ac:dyDescent="0.2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03"/>
    </row>
    <row r="105" spans="1:11" ht="15.95" customHeight="1" x14ac:dyDescent="0.25">
      <c r="A105" s="54"/>
      <c r="B105" s="54"/>
      <c r="C105" s="54"/>
      <c r="D105" s="54" t="s">
        <v>190</v>
      </c>
      <c r="E105" s="54"/>
      <c r="F105" s="54"/>
      <c r="G105" s="98" t="s">
        <v>1</v>
      </c>
      <c r="H105" s="54"/>
      <c r="I105" s="54"/>
      <c r="J105" s="47"/>
      <c r="K105" s="403"/>
    </row>
    <row r="106" spans="1:11" ht="15.95" customHeight="1" x14ac:dyDescent="0.25">
      <c r="A106" s="47"/>
      <c r="B106" s="47"/>
      <c r="C106" s="47"/>
      <c r="D106" s="47" t="s">
        <v>142</v>
      </c>
      <c r="E106" s="47"/>
      <c r="F106" s="47"/>
      <c r="G106" s="78">
        <v>-150000</v>
      </c>
      <c r="H106" s="47"/>
      <c r="I106" s="47"/>
      <c r="J106" s="47"/>
      <c r="K106" s="403"/>
    </row>
    <row r="107" spans="1:11" ht="15.95" customHeight="1" x14ac:dyDescent="0.25">
      <c r="A107" s="47"/>
      <c r="B107" s="47"/>
      <c r="C107" s="47"/>
      <c r="D107" s="47" t="s">
        <v>189</v>
      </c>
      <c r="E107" s="47"/>
      <c r="F107" s="47"/>
      <c r="G107" s="78">
        <v>30000</v>
      </c>
      <c r="H107" s="47"/>
      <c r="I107" s="47"/>
      <c r="J107" s="47"/>
      <c r="K107" s="403"/>
    </row>
    <row r="108" spans="1:11" ht="15.95" customHeight="1" x14ac:dyDescent="0.25">
      <c r="A108" s="47"/>
      <c r="B108" s="47"/>
      <c r="C108" s="47"/>
      <c r="D108" s="54"/>
      <c r="E108" s="54"/>
      <c r="F108" s="54"/>
      <c r="G108" s="85">
        <f>+G106+G107</f>
        <v>-120000</v>
      </c>
      <c r="H108" s="47"/>
      <c r="I108" s="47"/>
      <c r="J108" s="47"/>
      <c r="K108" s="403"/>
    </row>
    <row r="109" spans="1:11" ht="15.95" customHeight="1" x14ac:dyDescent="0.25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03"/>
    </row>
    <row r="110" spans="1:11" ht="15.95" customHeight="1" x14ac:dyDescent="0.25">
      <c r="A110" s="403" t="s">
        <v>892</v>
      </c>
      <c r="B110" s="403"/>
      <c r="C110" s="403"/>
      <c r="D110" s="403"/>
      <c r="E110" s="403"/>
      <c r="F110" s="403"/>
      <c r="G110" s="403"/>
      <c r="H110" s="403"/>
      <c r="I110" s="403"/>
      <c r="J110" s="403"/>
      <c r="K110" s="403"/>
    </row>
    <row r="111" spans="1:11" ht="15.95" customHeight="1" x14ac:dyDescent="0.25">
      <c r="A111" s="54"/>
      <c r="B111" s="45"/>
      <c r="C111" s="54" t="s">
        <v>529</v>
      </c>
      <c r="D111" s="54"/>
      <c r="E111" s="54"/>
      <c r="F111" s="54"/>
      <c r="G111" s="209" t="s">
        <v>1</v>
      </c>
      <c r="H111" s="54"/>
      <c r="I111" s="54"/>
      <c r="J111" s="47"/>
      <c r="K111" s="403"/>
    </row>
    <row r="112" spans="1:11" ht="15.95" customHeight="1" x14ac:dyDescent="0.25">
      <c r="A112" s="54"/>
      <c r="B112" s="45"/>
      <c r="C112" s="54"/>
      <c r="D112" s="54"/>
      <c r="E112" s="54"/>
      <c r="F112" s="54"/>
      <c r="G112" s="209"/>
      <c r="H112" s="54"/>
      <c r="I112" s="54"/>
      <c r="J112" s="47"/>
      <c r="K112" s="403"/>
    </row>
    <row r="113" spans="1:11" ht="15.95" customHeight="1" x14ac:dyDescent="0.25">
      <c r="A113" s="54"/>
      <c r="B113" s="54"/>
      <c r="C113" s="54" t="s">
        <v>163</v>
      </c>
      <c r="D113" s="54"/>
      <c r="E113" s="54"/>
      <c r="F113" s="54"/>
      <c r="G113" s="85">
        <f>+G101</f>
        <v>300000</v>
      </c>
      <c r="H113" s="54"/>
      <c r="I113" s="54"/>
      <c r="J113" s="47"/>
      <c r="K113" s="403"/>
    </row>
    <row r="114" spans="1:11" ht="15.95" customHeight="1" x14ac:dyDescent="0.25">
      <c r="A114" s="47"/>
      <c r="B114" s="47"/>
      <c r="C114" s="47" t="s">
        <v>192</v>
      </c>
      <c r="D114" s="47"/>
      <c r="E114" s="47"/>
      <c r="F114" s="47"/>
      <c r="G114" s="78"/>
      <c r="H114" s="47"/>
      <c r="I114" s="47"/>
      <c r="J114" s="47"/>
      <c r="K114" s="403"/>
    </row>
    <row r="115" spans="1:11" ht="15.95" customHeight="1" x14ac:dyDescent="0.25">
      <c r="A115" s="47"/>
      <c r="B115" s="47"/>
      <c r="C115" s="47" t="s">
        <v>100</v>
      </c>
      <c r="D115" s="47"/>
      <c r="E115" s="47"/>
      <c r="F115" s="47"/>
      <c r="G115" s="78">
        <v>100000</v>
      </c>
      <c r="H115" s="47"/>
      <c r="I115" s="47"/>
      <c r="J115" s="47"/>
      <c r="K115" s="403"/>
    </row>
    <row r="116" spans="1:11" ht="15.95" customHeight="1" x14ac:dyDescent="0.25">
      <c r="A116" s="47"/>
      <c r="B116" s="47"/>
      <c r="C116" s="47" t="s">
        <v>4</v>
      </c>
      <c r="D116" s="47"/>
      <c r="E116" s="47"/>
      <c r="F116" s="47"/>
      <c r="G116" s="78">
        <v>80000</v>
      </c>
      <c r="H116" s="47"/>
      <c r="I116" s="47"/>
      <c r="J116" s="47"/>
      <c r="K116" s="403"/>
    </row>
    <row r="117" spans="1:11" ht="15.95" customHeight="1" x14ac:dyDescent="0.25">
      <c r="A117" s="54"/>
      <c r="B117" s="54"/>
      <c r="C117" s="54" t="s">
        <v>5</v>
      </c>
      <c r="D117" s="54"/>
      <c r="E117" s="54"/>
      <c r="F117" s="54"/>
      <c r="G117" s="85">
        <f>SUM(G113:G116)</f>
        <v>480000</v>
      </c>
      <c r="H117" s="54" t="s">
        <v>14</v>
      </c>
      <c r="I117" s="54"/>
      <c r="J117" s="47"/>
      <c r="K117" s="403"/>
    </row>
    <row r="118" spans="1:11" ht="15.95" customHeight="1" x14ac:dyDescent="0.25">
      <c r="A118" s="54"/>
      <c r="B118" s="54"/>
      <c r="C118" s="54" t="s">
        <v>26</v>
      </c>
      <c r="D118" s="54"/>
      <c r="E118" s="54"/>
      <c r="F118" s="54"/>
      <c r="G118" s="85">
        <f>+G117*30%</f>
        <v>144000</v>
      </c>
      <c r="H118" s="54" t="s">
        <v>524</v>
      </c>
      <c r="I118" s="54"/>
      <c r="J118" s="47"/>
      <c r="K118" s="403"/>
    </row>
    <row r="119" spans="1:11" ht="15.95" customHeight="1" x14ac:dyDescent="0.25">
      <c r="A119" s="47"/>
      <c r="B119" s="47"/>
      <c r="C119" s="47"/>
      <c r="D119" s="47"/>
      <c r="E119" s="47"/>
      <c r="F119" s="47"/>
      <c r="G119" s="78"/>
      <c r="H119" s="47"/>
      <c r="I119" s="47"/>
      <c r="J119" s="47"/>
      <c r="K119" s="403"/>
    </row>
    <row r="120" spans="1:11" ht="15.95" customHeight="1" x14ac:dyDescent="0.25">
      <c r="A120" s="54"/>
      <c r="B120" s="54"/>
      <c r="C120" s="54"/>
      <c r="D120" s="54"/>
      <c r="E120" s="54"/>
      <c r="F120" s="54"/>
      <c r="G120" s="54"/>
      <c r="H120" s="209" t="s">
        <v>68</v>
      </c>
      <c r="I120" s="209" t="s">
        <v>28</v>
      </c>
      <c r="J120" s="47"/>
      <c r="K120" s="403"/>
    </row>
    <row r="121" spans="1:11" ht="15.95" customHeight="1" x14ac:dyDescent="0.25">
      <c r="A121" s="47" t="s">
        <v>26</v>
      </c>
      <c r="B121" s="47"/>
      <c r="C121" s="47"/>
      <c r="D121" s="47"/>
      <c r="E121" s="47"/>
      <c r="F121" s="47" t="s">
        <v>525</v>
      </c>
      <c r="G121" s="78"/>
      <c r="H121" s="78">
        <f>+G118</f>
        <v>144000</v>
      </c>
      <c r="I121" s="78"/>
      <c r="J121" s="47"/>
      <c r="K121" s="403"/>
    </row>
    <row r="122" spans="1:11" ht="15.95" customHeight="1" x14ac:dyDescent="0.25">
      <c r="A122" s="47" t="s">
        <v>171</v>
      </c>
      <c r="B122" s="47"/>
      <c r="C122" s="47"/>
      <c r="D122" s="47"/>
      <c r="E122" s="47"/>
      <c r="F122" s="47" t="s">
        <v>526</v>
      </c>
      <c r="G122" s="78"/>
      <c r="H122" s="78"/>
      <c r="I122" s="78">
        <f>+H121</f>
        <v>144000</v>
      </c>
      <c r="J122" s="47"/>
      <c r="K122" s="403"/>
    </row>
    <row r="123" spans="1:11" ht="15.95" customHeight="1" x14ac:dyDescent="0.25">
      <c r="A123" s="47"/>
      <c r="B123" s="47"/>
      <c r="C123" s="47"/>
      <c r="D123" s="47"/>
      <c r="E123" s="47"/>
      <c r="F123" s="47"/>
      <c r="G123" s="78"/>
      <c r="H123" s="78"/>
      <c r="I123" s="47"/>
      <c r="J123" s="47"/>
      <c r="K123" s="403"/>
    </row>
    <row r="124" spans="1:11" ht="15.95" customHeight="1" x14ac:dyDescent="0.25">
      <c r="A124" s="47"/>
      <c r="B124" s="47" t="s">
        <v>527</v>
      </c>
      <c r="C124" s="47"/>
      <c r="D124" s="47"/>
      <c r="E124" s="47"/>
      <c r="F124" s="47"/>
      <c r="G124" s="78"/>
      <c r="H124" s="78"/>
      <c r="I124" s="47"/>
      <c r="J124" s="47"/>
      <c r="K124" s="403"/>
    </row>
    <row r="125" spans="1:11" ht="15.95" customHeight="1" x14ac:dyDescent="0.25">
      <c r="A125" s="47"/>
      <c r="B125" s="47" t="s">
        <v>528</v>
      </c>
      <c r="C125" s="47"/>
      <c r="D125" s="47"/>
      <c r="E125" s="47"/>
      <c r="F125" s="47"/>
      <c r="G125" s="78"/>
      <c r="H125" s="78"/>
      <c r="I125" s="47"/>
      <c r="J125" s="47"/>
      <c r="K125" s="403"/>
    </row>
    <row r="126" spans="1:11" ht="15.95" customHeight="1" x14ac:dyDescent="0.25">
      <c r="A126" s="47"/>
      <c r="B126" s="47"/>
      <c r="C126" s="47"/>
      <c r="D126" s="47"/>
      <c r="E126" s="47"/>
      <c r="F126" s="47"/>
      <c r="G126" s="78"/>
      <c r="H126" s="78"/>
      <c r="I126" s="47"/>
      <c r="J126" s="47"/>
      <c r="K126" s="403"/>
    </row>
    <row r="127" spans="1:11" ht="15.95" customHeight="1" x14ac:dyDescent="0.25">
      <c r="A127" s="403" t="s">
        <v>893</v>
      </c>
      <c r="B127" s="403"/>
      <c r="C127" s="403"/>
      <c r="D127" s="403"/>
      <c r="E127" s="403"/>
      <c r="F127" s="403"/>
      <c r="G127" s="403"/>
      <c r="H127" s="403"/>
      <c r="I127" s="403"/>
      <c r="J127" s="403"/>
      <c r="K127" s="403"/>
    </row>
    <row r="128" spans="1:11" ht="15.95" customHeight="1" x14ac:dyDescent="0.25">
      <c r="A128" s="54"/>
      <c r="B128" s="54"/>
      <c r="C128" s="54" t="s">
        <v>192</v>
      </c>
      <c r="D128" s="54"/>
      <c r="E128" s="54"/>
      <c r="F128" s="54"/>
      <c r="G128" s="85"/>
      <c r="H128" s="54"/>
      <c r="I128" s="54"/>
      <c r="J128" s="47"/>
      <c r="K128" s="403"/>
    </row>
    <row r="129" spans="1:11" ht="15.95" customHeight="1" x14ac:dyDescent="0.25">
      <c r="A129" s="47"/>
      <c r="B129" s="47"/>
      <c r="C129" s="47" t="s">
        <v>100</v>
      </c>
      <c r="D129" s="47"/>
      <c r="E129" s="47"/>
      <c r="F129" s="47"/>
      <c r="G129" s="78">
        <f>+G115</f>
        <v>100000</v>
      </c>
      <c r="H129" s="47"/>
      <c r="I129" s="47"/>
      <c r="J129" s="47"/>
      <c r="K129" s="403"/>
    </row>
    <row r="130" spans="1:11" ht="15.95" customHeight="1" x14ac:dyDescent="0.25">
      <c r="A130" s="47"/>
      <c r="B130" s="47"/>
      <c r="C130" s="47" t="s">
        <v>4</v>
      </c>
      <c r="D130" s="47"/>
      <c r="E130" s="47"/>
      <c r="F130" s="47"/>
      <c r="G130" s="78">
        <f>+G116</f>
        <v>80000</v>
      </c>
      <c r="H130" s="47"/>
      <c r="I130" s="47"/>
      <c r="J130" s="47"/>
      <c r="K130" s="403"/>
    </row>
    <row r="131" spans="1:11" ht="15.95" customHeight="1" x14ac:dyDescent="0.25">
      <c r="A131" s="54"/>
      <c r="B131" s="54"/>
      <c r="C131" s="54"/>
      <c r="D131" s="54"/>
      <c r="E131" s="54"/>
      <c r="F131" s="54"/>
      <c r="G131" s="85">
        <f>+G129+G130</f>
        <v>180000</v>
      </c>
      <c r="H131" s="54" t="s">
        <v>14</v>
      </c>
      <c r="I131" s="54"/>
      <c r="J131" s="47"/>
      <c r="K131" s="403"/>
    </row>
    <row r="132" spans="1:11" ht="15.95" customHeight="1" x14ac:dyDescent="0.25">
      <c r="A132" s="54"/>
      <c r="B132" s="54"/>
      <c r="C132" s="54" t="s">
        <v>530</v>
      </c>
      <c r="D132" s="54"/>
      <c r="E132" s="54"/>
      <c r="F132" s="54"/>
      <c r="G132" s="85">
        <f>+G131*30%</f>
        <v>54000</v>
      </c>
      <c r="H132" s="54" t="s">
        <v>524</v>
      </c>
      <c r="I132" s="54"/>
      <c r="J132" s="47"/>
      <c r="K132" s="403"/>
    </row>
    <row r="133" spans="1:11" ht="15.95" customHeight="1" x14ac:dyDescent="0.25">
      <c r="A133" s="47"/>
      <c r="B133" s="47"/>
      <c r="C133" s="47"/>
      <c r="D133" s="47"/>
      <c r="E133" s="47"/>
      <c r="F133" s="47"/>
      <c r="G133" s="78"/>
      <c r="H133" s="78"/>
      <c r="I133" s="47"/>
      <c r="J133" s="47"/>
      <c r="K133" s="403"/>
    </row>
    <row r="134" spans="1:11" ht="15.95" customHeight="1" x14ac:dyDescent="0.25">
      <c r="A134" s="54"/>
      <c r="B134" s="54"/>
      <c r="C134" s="54"/>
      <c r="D134" s="54"/>
      <c r="E134" s="54"/>
      <c r="F134" s="54"/>
      <c r="G134" s="209" t="s">
        <v>68</v>
      </c>
      <c r="H134" s="209" t="s">
        <v>28</v>
      </c>
      <c r="I134" s="54"/>
      <c r="J134" s="47"/>
      <c r="K134" s="403"/>
    </row>
    <row r="135" spans="1:11" ht="15.95" customHeight="1" x14ac:dyDescent="0.25">
      <c r="A135" s="47" t="s">
        <v>202</v>
      </c>
      <c r="B135" s="47"/>
      <c r="C135" s="47"/>
      <c r="D135" s="47"/>
      <c r="E135" s="47"/>
      <c r="F135" s="47" t="s">
        <v>526</v>
      </c>
      <c r="G135" s="78">
        <f>+G132</f>
        <v>54000</v>
      </c>
      <c r="H135" s="78"/>
      <c r="I135" s="47"/>
      <c r="J135" s="47"/>
      <c r="K135" s="403"/>
    </row>
    <row r="136" spans="1:11" ht="15.95" customHeight="1" x14ac:dyDescent="0.25">
      <c r="A136" s="47" t="s">
        <v>26</v>
      </c>
      <c r="B136" s="47"/>
      <c r="C136" s="47"/>
      <c r="D136" s="47"/>
      <c r="E136" s="47"/>
      <c r="F136" s="47" t="s">
        <v>525</v>
      </c>
      <c r="G136" s="78"/>
      <c r="H136" s="78">
        <f>+G135</f>
        <v>54000</v>
      </c>
      <c r="I136" s="47"/>
      <c r="J136" s="47"/>
      <c r="K136" s="403"/>
    </row>
    <row r="137" spans="1:11" ht="15.95" customHeight="1" x14ac:dyDescent="0.25">
      <c r="A137" s="47"/>
      <c r="B137" s="47"/>
      <c r="C137" s="47"/>
      <c r="D137" s="47"/>
      <c r="E137" s="47"/>
      <c r="F137" s="47"/>
      <c r="G137" s="78"/>
      <c r="H137" s="78"/>
      <c r="I137" s="47"/>
      <c r="J137" s="47"/>
      <c r="K137" s="403"/>
    </row>
    <row r="138" spans="1:11" ht="15.95" customHeight="1" x14ac:dyDescent="0.25">
      <c r="A138" s="47"/>
      <c r="B138" s="47" t="s">
        <v>527</v>
      </c>
      <c r="C138" s="47"/>
      <c r="D138" s="47"/>
      <c r="E138" s="47"/>
      <c r="F138" s="47"/>
      <c r="G138" s="78"/>
      <c r="H138" s="78"/>
      <c r="I138" s="47"/>
      <c r="J138" s="47"/>
      <c r="K138" s="403"/>
    </row>
    <row r="139" spans="1:11" ht="15.95" customHeight="1" x14ac:dyDescent="0.25">
      <c r="A139" s="47"/>
      <c r="B139" s="47" t="s">
        <v>528</v>
      </c>
      <c r="C139" s="47"/>
      <c r="D139" s="47"/>
      <c r="E139" s="47"/>
      <c r="F139" s="47"/>
      <c r="G139" s="78"/>
      <c r="H139" s="78"/>
      <c r="I139" s="47"/>
      <c r="J139" s="47"/>
      <c r="K139" s="403"/>
    </row>
    <row r="140" spans="1:11" ht="15.95" customHeight="1" x14ac:dyDescent="0.25">
      <c r="A140" s="47"/>
      <c r="B140" s="47"/>
      <c r="C140" s="47"/>
      <c r="D140" s="47"/>
      <c r="E140" s="47"/>
      <c r="F140" s="47"/>
      <c r="G140" s="78"/>
      <c r="H140" s="78"/>
      <c r="I140" s="47"/>
      <c r="J140" s="47"/>
      <c r="K140" s="403"/>
    </row>
    <row r="141" spans="1:11" ht="15.95" customHeight="1" x14ac:dyDescent="0.25">
      <c r="A141" s="54"/>
      <c r="B141" s="54"/>
      <c r="C141" s="54" t="s">
        <v>417</v>
      </c>
      <c r="D141" s="54"/>
      <c r="E141" s="54"/>
      <c r="F141" s="98" t="s">
        <v>1</v>
      </c>
      <c r="G141" s="54"/>
      <c r="H141" s="54"/>
      <c r="I141" s="54"/>
      <c r="J141" s="47"/>
      <c r="K141" s="403"/>
    </row>
    <row r="142" spans="1:11" ht="15.95" customHeight="1" x14ac:dyDescent="0.25">
      <c r="A142" s="47"/>
      <c r="B142" s="47"/>
      <c r="C142" s="47" t="s">
        <v>172</v>
      </c>
      <c r="D142" s="47"/>
      <c r="E142" s="47"/>
      <c r="F142" s="194" t="s">
        <v>175</v>
      </c>
      <c r="G142" s="47"/>
      <c r="H142" s="47"/>
      <c r="I142" s="47"/>
      <c r="J142" s="47"/>
      <c r="K142" s="403"/>
    </row>
    <row r="143" spans="1:11" ht="15.95" customHeight="1" x14ac:dyDescent="0.25">
      <c r="A143" s="47"/>
      <c r="B143" s="47"/>
      <c r="C143" s="47" t="s">
        <v>173</v>
      </c>
      <c r="D143" s="47"/>
      <c r="E143" s="47"/>
      <c r="F143" s="194" t="s">
        <v>175</v>
      </c>
      <c r="G143" s="47"/>
      <c r="H143" s="47"/>
      <c r="I143" s="47"/>
      <c r="J143" s="47"/>
      <c r="K143" s="403"/>
    </row>
    <row r="144" spans="1:11" ht="15.95" customHeight="1" x14ac:dyDescent="0.25">
      <c r="A144" s="47"/>
      <c r="B144" s="47"/>
      <c r="C144" s="54" t="s">
        <v>174</v>
      </c>
      <c r="D144" s="54"/>
      <c r="E144" s="54"/>
      <c r="F144" s="208" t="s">
        <v>175</v>
      </c>
      <c r="G144" s="47"/>
      <c r="H144" s="47"/>
      <c r="I144" s="47"/>
      <c r="J144" s="47"/>
      <c r="K144" s="403"/>
    </row>
    <row r="145" spans="1:11" ht="15.95" customHeight="1" x14ac:dyDescent="0.25">
      <c r="A145" s="47"/>
      <c r="B145" s="47"/>
      <c r="C145" s="47" t="s">
        <v>185</v>
      </c>
      <c r="D145" s="47"/>
      <c r="E145" s="47"/>
      <c r="F145" s="194" t="s">
        <v>175</v>
      </c>
      <c r="G145" s="47"/>
      <c r="H145" s="47"/>
      <c r="I145" s="47"/>
      <c r="J145" s="47"/>
      <c r="K145" s="403"/>
    </row>
    <row r="146" spans="1:11" ht="15.95" customHeight="1" x14ac:dyDescent="0.25">
      <c r="A146" s="47"/>
      <c r="B146" s="47"/>
      <c r="C146" s="47" t="s">
        <v>186</v>
      </c>
      <c r="D146" s="47"/>
      <c r="E146" s="47"/>
      <c r="F146" s="194" t="s">
        <v>175</v>
      </c>
      <c r="G146" s="47"/>
      <c r="H146" s="47"/>
      <c r="I146" s="47"/>
      <c r="J146" s="47"/>
      <c r="K146" s="403"/>
    </row>
    <row r="147" spans="1:11" ht="15.95" customHeight="1" x14ac:dyDescent="0.25">
      <c r="A147" s="47"/>
      <c r="B147" s="47"/>
      <c r="C147" s="54" t="s">
        <v>187</v>
      </c>
      <c r="D147" s="54"/>
      <c r="E147" s="54"/>
      <c r="F147" s="208" t="s">
        <v>175</v>
      </c>
      <c r="G147" s="47"/>
      <c r="H147" s="47"/>
      <c r="I147" s="47"/>
      <c r="J147" s="47"/>
      <c r="K147" s="403"/>
    </row>
    <row r="148" spans="1:11" ht="15.95" customHeight="1" x14ac:dyDescent="0.25">
      <c r="A148" s="47"/>
      <c r="B148" s="47"/>
      <c r="C148" s="47" t="s">
        <v>188</v>
      </c>
      <c r="D148" s="47"/>
      <c r="E148" s="47"/>
      <c r="F148" s="194" t="s">
        <v>175</v>
      </c>
      <c r="G148" s="47"/>
      <c r="H148" s="47"/>
      <c r="I148" s="47"/>
      <c r="J148" s="47"/>
      <c r="K148" s="403"/>
    </row>
    <row r="149" spans="1:11" ht="15.95" customHeight="1" x14ac:dyDescent="0.25">
      <c r="A149" s="47"/>
      <c r="B149" s="47"/>
      <c r="C149" s="54" t="s">
        <v>163</v>
      </c>
      <c r="D149" s="54"/>
      <c r="E149" s="54"/>
      <c r="F149" s="85">
        <f>+G113</f>
        <v>300000</v>
      </c>
      <c r="G149" s="47"/>
      <c r="H149" s="47"/>
      <c r="I149" s="47"/>
      <c r="J149" s="47"/>
      <c r="K149" s="403"/>
    </row>
    <row r="150" spans="1:11" ht="15.95" customHeight="1" x14ac:dyDescent="0.25">
      <c r="A150" s="47"/>
      <c r="B150" s="47"/>
      <c r="C150" s="47" t="s">
        <v>26</v>
      </c>
      <c r="D150" s="47"/>
      <c r="E150" s="47"/>
      <c r="F150" s="76">
        <f>+-H121+H136</f>
        <v>-90000</v>
      </c>
      <c r="G150" s="47" t="s">
        <v>531</v>
      </c>
      <c r="H150" s="47"/>
      <c r="I150" s="47"/>
      <c r="J150" s="47"/>
      <c r="K150" s="403"/>
    </row>
    <row r="151" spans="1:11" ht="15.95" customHeight="1" x14ac:dyDescent="0.25">
      <c r="A151" s="47"/>
      <c r="B151" s="47"/>
      <c r="C151" s="54" t="s">
        <v>176</v>
      </c>
      <c r="D151" s="54"/>
      <c r="E151" s="54"/>
      <c r="F151" s="85">
        <v>180000</v>
      </c>
      <c r="H151" s="47"/>
      <c r="I151" s="47"/>
      <c r="J151" s="47"/>
      <c r="K151" s="403"/>
    </row>
    <row r="152" spans="1:11" ht="15.95" customHeight="1" x14ac:dyDescent="0.25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03"/>
    </row>
    <row r="153" spans="1:11" ht="15.95" customHeight="1" x14ac:dyDescent="0.25">
      <c r="A153" s="403" t="s">
        <v>894</v>
      </c>
      <c r="B153" s="403"/>
      <c r="C153" s="403"/>
      <c r="D153" s="403"/>
      <c r="E153" s="403"/>
      <c r="F153" s="403"/>
      <c r="G153" s="403"/>
      <c r="H153" s="403"/>
      <c r="I153" s="403"/>
      <c r="J153" s="403"/>
      <c r="K153" s="403"/>
    </row>
    <row r="154" spans="1:11" ht="15.95" customHeight="1" x14ac:dyDescent="0.25">
      <c r="A154" s="47"/>
      <c r="B154" s="51"/>
      <c r="C154" s="47"/>
      <c r="D154" s="47"/>
      <c r="E154" s="47"/>
      <c r="F154" s="47"/>
      <c r="G154" s="47"/>
      <c r="H154" s="39"/>
      <c r="I154" s="39" t="s">
        <v>196</v>
      </c>
      <c r="J154" s="47"/>
      <c r="K154" s="403"/>
    </row>
    <row r="155" spans="1:11" ht="15.95" customHeight="1" x14ac:dyDescent="0.25">
      <c r="A155" s="47"/>
      <c r="B155" s="51"/>
      <c r="C155" s="47"/>
      <c r="D155" s="47"/>
      <c r="E155" s="47"/>
      <c r="F155" s="47"/>
      <c r="G155" s="47"/>
      <c r="H155" s="39" t="s">
        <v>1</v>
      </c>
      <c r="I155" s="39" t="s">
        <v>1</v>
      </c>
      <c r="J155" s="47"/>
      <c r="K155" s="403"/>
    </row>
    <row r="156" spans="1:11" ht="15.95" customHeight="1" x14ac:dyDescent="0.25">
      <c r="A156" s="54" t="s">
        <v>163</v>
      </c>
      <c r="B156" s="54"/>
      <c r="C156" s="54"/>
      <c r="D156" s="54"/>
      <c r="E156" s="54"/>
      <c r="F156" s="54"/>
      <c r="G156" s="54"/>
      <c r="H156" s="85">
        <f>+F149</f>
        <v>300000</v>
      </c>
      <c r="I156" s="85">
        <f>+H156*30%</f>
        <v>90000</v>
      </c>
      <c r="J156" s="47"/>
      <c r="K156" s="403"/>
    </row>
    <row r="157" spans="1:11" ht="15.95" customHeight="1" x14ac:dyDescent="0.25">
      <c r="A157" s="47" t="s">
        <v>192</v>
      </c>
      <c r="B157" s="47"/>
      <c r="C157" s="47"/>
      <c r="D157" s="47"/>
      <c r="E157" s="47"/>
      <c r="F157" s="47"/>
      <c r="G157" s="47"/>
      <c r="H157" s="78"/>
      <c r="I157" s="78"/>
      <c r="J157" s="47"/>
      <c r="K157" s="403"/>
    </row>
    <row r="158" spans="1:11" ht="15.95" customHeight="1" x14ac:dyDescent="0.25">
      <c r="A158" s="92" t="s">
        <v>100</v>
      </c>
      <c r="B158" s="47"/>
      <c r="C158" s="47"/>
      <c r="D158" s="47"/>
      <c r="E158" s="47"/>
      <c r="F158" s="47"/>
      <c r="G158" s="47"/>
      <c r="H158" s="78">
        <v>100000</v>
      </c>
      <c r="I158" s="78">
        <f>+H158*30%</f>
        <v>30000</v>
      </c>
      <c r="J158" s="47"/>
      <c r="K158" s="403"/>
    </row>
    <row r="159" spans="1:11" ht="15.95" customHeight="1" x14ac:dyDescent="0.25">
      <c r="A159" s="92" t="s">
        <v>4</v>
      </c>
      <c r="B159" s="47"/>
      <c r="C159" s="47"/>
      <c r="D159" s="47"/>
      <c r="E159" s="47"/>
      <c r="F159" s="47"/>
      <c r="G159" s="47"/>
      <c r="H159" s="78">
        <v>80000</v>
      </c>
      <c r="I159" s="78">
        <f>+H159*30%</f>
        <v>24000</v>
      </c>
      <c r="J159" s="47"/>
      <c r="K159" s="403"/>
    </row>
    <row r="160" spans="1:11" ht="15.95" customHeight="1" x14ac:dyDescent="0.25">
      <c r="A160" s="47" t="s">
        <v>193</v>
      </c>
      <c r="B160" s="47"/>
      <c r="C160" s="47"/>
      <c r="D160" s="47"/>
      <c r="E160" s="47"/>
      <c r="F160" s="47"/>
      <c r="G160" s="47"/>
      <c r="H160" s="78"/>
      <c r="I160" s="78"/>
      <c r="J160" s="47"/>
      <c r="K160" s="403"/>
    </row>
    <row r="161" spans="1:11" ht="15.95" customHeight="1" x14ac:dyDescent="0.25">
      <c r="A161" s="92" t="s">
        <v>194</v>
      </c>
      <c r="B161" s="47"/>
      <c r="C161" s="47"/>
      <c r="D161" s="47"/>
      <c r="E161" s="47"/>
      <c r="F161" s="47"/>
      <c r="G161" s="47"/>
      <c r="H161" s="78">
        <v>60000</v>
      </c>
      <c r="I161" s="78">
        <f>+H161*30%</f>
        <v>18000</v>
      </c>
      <c r="J161" s="47"/>
      <c r="K161" s="403"/>
    </row>
    <row r="162" spans="1:11" ht="15.95" customHeight="1" x14ac:dyDescent="0.25">
      <c r="A162" s="54" t="s">
        <v>5</v>
      </c>
      <c r="B162" s="54"/>
      <c r="C162" s="54"/>
      <c r="D162" s="54"/>
      <c r="E162" s="54"/>
      <c r="F162" s="54"/>
      <c r="G162" s="54"/>
      <c r="H162" s="85">
        <f>SUM(H156:H161)</f>
        <v>540000</v>
      </c>
      <c r="I162" s="85">
        <f>SUM(I156:I161)</f>
        <v>162000</v>
      </c>
      <c r="J162" s="47"/>
      <c r="K162" s="403"/>
    </row>
    <row r="163" spans="1:11" ht="15.95" customHeight="1" x14ac:dyDescent="0.25">
      <c r="A163" s="54" t="s">
        <v>34</v>
      </c>
      <c r="B163" s="54"/>
      <c r="C163" s="54"/>
      <c r="D163" s="54"/>
      <c r="E163" s="54"/>
      <c r="F163" s="54"/>
      <c r="G163" s="54"/>
      <c r="H163" s="85">
        <f>+H162*30%</f>
        <v>162000</v>
      </c>
      <c r="I163" s="85"/>
      <c r="J163" s="47"/>
      <c r="K163" s="403"/>
    </row>
    <row r="164" spans="1:11" ht="15.95" customHeight="1" x14ac:dyDescent="0.25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03"/>
    </row>
    <row r="165" spans="1:11" ht="15.95" customHeight="1" x14ac:dyDescent="0.25">
      <c r="A165" s="54"/>
      <c r="B165" s="54"/>
      <c r="C165" s="54"/>
      <c r="D165" s="54"/>
      <c r="E165" s="54"/>
      <c r="F165" s="54"/>
      <c r="G165" s="54"/>
      <c r="H165" s="209" t="s">
        <v>68</v>
      </c>
      <c r="I165" s="209" t="s">
        <v>28</v>
      </c>
      <c r="J165" s="47"/>
      <c r="K165" s="403"/>
    </row>
    <row r="166" spans="1:11" ht="15.95" customHeight="1" x14ac:dyDescent="0.25">
      <c r="A166" s="47" t="s">
        <v>26</v>
      </c>
      <c r="B166" s="47"/>
      <c r="C166" s="47"/>
      <c r="D166" s="47"/>
      <c r="E166" s="47"/>
      <c r="F166" s="47" t="s">
        <v>525</v>
      </c>
      <c r="G166" s="47"/>
      <c r="H166" s="78">
        <f>+H163</f>
        <v>162000</v>
      </c>
      <c r="I166" s="78"/>
      <c r="J166" s="47"/>
      <c r="K166" s="403"/>
    </row>
    <row r="167" spans="1:11" ht="15.95" customHeight="1" x14ac:dyDescent="0.25">
      <c r="A167" s="47" t="s">
        <v>171</v>
      </c>
      <c r="B167" s="47"/>
      <c r="C167" s="47"/>
      <c r="D167" s="47"/>
      <c r="E167" s="47"/>
      <c r="F167" s="47" t="s">
        <v>526</v>
      </c>
      <c r="G167" s="47"/>
      <c r="H167" s="78"/>
      <c r="I167" s="78">
        <f>+H166</f>
        <v>162000</v>
      </c>
      <c r="J167" s="47"/>
      <c r="K167" s="403"/>
    </row>
    <row r="168" spans="1:11" ht="15.95" customHeight="1" x14ac:dyDescent="0.25">
      <c r="A168" s="47"/>
      <c r="B168" s="47"/>
      <c r="C168" s="47"/>
      <c r="D168" s="47"/>
      <c r="E168" s="47"/>
      <c r="F168" s="47"/>
      <c r="G168" s="47"/>
      <c r="H168" s="78"/>
      <c r="I168" s="78"/>
      <c r="J168" s="47"/>
      <c r="K168" s="403"/>
    </row>
    <row r="169" spans="1:11" ht="15.95" customHeight="1" x14ac:dyDescent="0.25">
      <c r="A169" s="54"/>
      <c r="B169" s="54"/>
      <c r="C169" s="54"/>
      <c r="D169" s="54"/>
      <c r="E169" s="54"/>
      <c r="F169" s="54"/>
      <c r="G169" s="54"/>
      <c r="H169" s="209" t="s">
        <v>68</v>
      </c>
      <c r="I169" s="209" t="s">
        <v>28</v>
      </c>
      <c r="J169" s="47"/>
      <c r="K169" s="403"/>
    </row>
    <row r="170" spans="1:11" ht="15.95" customHeight="1" x14ac:dyDescent="0.25">
      <c r="A170" s="47" t="s">
        <v>202</v>
      </c>
      <c r="B170" s="47"/>
      <c r="C170" s="47"/>
      <c r="D170" s="47"/>
      <c r="E170" s="47"/>
      <c r="F170" s="47" t="s">
        <v>526</v>
      </c>
      <c r="G170" s="47"/>
      <c r="H170" s="78">
        <f>+G135</f>
        <v>54000</v>
      </c>
      <c r="I170" s="78"/>
      <c r="J170" s="47"/>
      <c r="K170" s="403"/>
    </row>
    <row r="171" spans="1:11" ht="15.95" customHeight="1" x14ac:dyDescent="0.25">
      <c r="A171" s="47" t="s">
        <v>26</v>
      </c>
      <c r="B171" s="47"/>
      <c r="C171" s="47"/>
      <c r="D171" s="47"/>
      <c r="E171" s="47"/>
      <c r="F171" s="47" t="s">
        <v>525</v>
      </c>
      <c r="G171" s="47"/>
      <c r="H171" s="78"/>
      <c r="I171" s="78">
        <f>+H170</f>
        <v>54000</v>
      </c>
      <c r="J171" s="47"/>
      <c r="K171" s="403"/>
    </row>
    <row r="172" spans="1:11" ht="15.95" customHeight="1" x14ac:dyDescent="0.25">
      <c r="A172" s="47"/>
      <c r="B172" s="47"/>
      <c r="C172" s="47"/>
      <c r="D172" s="47"/>
      <c r="E172" s="47"/>
      <c r="F172" s="47"/>
      <c r="G172" s="78"/>
      <c r="H172" s="78"/>
      <c r="I172" s="47"/>
      <c r="J172" s="47"/>
      <c r="K172" s="403"/>
    </row>
    <row r="173" spans="1:11" ht="15.95" customHeight="1" x14ac:dyDescent="0.25">
      <c r="A173" s="47"/>
      <c r="B173" s="47" t="s">
        <v>527</v>
      </c>
      <c r="C173" s="47"/>
      <c r="D173" s="47"/>
      <c r="E173" s="47"/>
      <c r="F173" s="47"/>
      <c r="G173" s="78"/>
      <c r="H173" s="78"/>
      <c r="I173" s="47"/>
      <c r="J173" s="47"/>
      <c r="K173" s="403"/>
    </row>
    <row r="174" spans="1:11" ht="15.95" customHeight="1" x14ac:dyDescent="0.25">
      <c r="A174" s="47"/>
      <c r="B174" s="47" t="s">
        <v>528</v>
      </c>
      <c r="C174" s="47"/>
      <c r="D174" s="47"/>
      <c r="E174" s="47"/>
      <c r="F174" s="47"/>
      <c r="G174" s="78"/>
      <c r="H174" s="78"/>
      <c r="I174" s="47"/>
      <c r="J174" s="47"/>
      <c r="K174" s="403"/>
    </row>
    <row r="175" spans="1:11" ht="15.95" customHeight="1" x14ac:dyDescent="0.25">
      <c r="A175" s="47"/>
      <c r="B175" s="47"/>
      <c r="C175" s="47"/>
      <c r="D175" s="47"/>
      <c r="E175" s="47"/>
      <c r="F175" s="47"/>
      <c r="G175" s="78"/>
      <c r="H175" s="78"/>
      <c r="I175" s="47"/>
      <c r="J175" s="47"/>
      <c r="K175" s="403"/>
    </row>
    <row r="176" spans="1:11" ht="15.95" customHeight="1" x14ac:dyDescent="0.25">
      <c r="A176" s="54"/>
      <c r="B176" s="54"/>
      <c r="C176" s="54" t="s">
        <v>417</v>
      </c>
      <c r="D176" s="54"/>
      <c r="E176" s="54"/>
      <c r="F176" s="54"/>
      <c r="G176" s="98" t="s">
        <v>1</v>
      </c>
      <c r="H176" s="54"/>
      <c r="I176" s="54"/>
      <c r="J176" s="47"/>
      <c r="K176" s="403"/>
    </row>
    <row r="177" spans="1:11" ht="15.95" customHeight="1" x14ac:dyDescent="0.25">
      <c r="A177" s="47"/>
      <c r="B177" s="47"/>
      <c r="C177" s="47" t="s">
        <v>172</v>
      </c>
      <c r="D177" s="47"/>
      <c r="E177" s="47"/>
      <c r="F177" s="47"/>
      <c r="G177" s="194" t="s">
        <v>175</v>
      </c>
      <c r="H177" s="47"/>
      <c r="I177" s="47"/>
      <c r="J177" s="47"/>
      <c r="K177" s="403"/>
    </row>
    <row r="178" spans="1:11" ht="15.95" customHeight="1" x14ac:dyDescent="0.25">
      <c r="A178" s="47"/>
      <c r="B178" s="47"/>
      <c r="C178" s="47" t="s">
        <v>173</v>
      </c>
      <c r="D178" s="47"/>
      <c r="E178" s="47"/>
      <c r="F178" s="47"/>
      <c r="G178" s="194" t="s">
        <v>175</v>
      </c>
      <c r="H178" s="47"/>
      <c r="I178" s="47"/>
      <c r="J178" s="47"/>
      <c r="K178" s="403"/>
    </row>
    <row r="179" spans="1:11" ht="15.95" customHeight="1" x14ac:dyDescent="0.25">
      <c r="A179" s="47"/>
      <c r="B179" s="47"/>
      <c r="C179" s="54" t="s">
        <v>174</v>
      </c>
      <c r="D179" s="54"/>
      <c r="E179" s="54"/>
      <c r="F179" s="54"/>
      <c r="G179" s="208" t="s">
        <v>175</v>
      </c>
      <c r="H179" s="47"/>
      <c r="I179" s="47"/>
      <c r="J179" s="47"/>
      <c r="K179" s="403"/>
    </row>
    <row r="180" spans="1:11" ht="15.95" customHeight="1" x14ac:dyDescent="0.25">
      <c r="A180" s="47"/>
      <c r="B180" s="47"/>
      <c r="C180" s="47" t="s">
        <v>185</v>
      </c>
      <c r="D180" s="47"/>
      <c r="E180" s="47"/>
      <c r="F180" s="47"/>
      <c r="G180" s="194" t="s">
        <v>175</v>
      </c>
      <c r="H180" s="47"/>
      <c r="I180" s="47"/>
      <c r="J180" s="47"/>
      <c r="K180" s="403"/>
    </row>
    <row r="181" spans="1:11" ht="15.95" customHeight="1" x14ac:dyDescent="0.25">
      <c r="A181" s="47"/>
      <c r="B181" s="47"/>
      <c r="C181" s="47" t="s">
        <v>186</v>
      </c>
      <c r="D181" s="47"/>
      <c r="E181" s="47"/>
      <c r="F181" s="47"/>
      <c r="G181" s="194" t="s">
        <v>175</v>
      </c>
      <c r="H181" s="47"/>
      <c r="I181" s="47"/>
      <c r="J181" s="47"/>
      <c r="K181" s="403"/>
    </row>
    <row r="182" spans="1:11" ht="15.95" customHeight="1" x14ac:dyDescent="0.25">
      <c r="A182" s="47"/>
      <c r="B182" s="47"/>
      <c r="C182" s="54" t="s">
        <v>187</v>
      </c>
      <c r="D182" s="54"/>
      <c r="E182" s="54"/>
      <c r="F182" s="54"/>
      <c r="G182" s="208" t="s">
        <v>175</v>
      </c>
      <c r="H182" s="47"/>
      <c r="I182" s="47"/>
      <c r="J182" s="47"/>
      <c r="K182" s="403"/>
    </row>
    <row r="183" spans="1:11" ht="15.95" customHeight="1" x14ac:dyDescent="0.25">
      <c r="A183" s="47"/>
      <c r="B183" s="47"/>
      <c r="C183" s="47" t="s">
        <v>188</v>
      </c>
      <c r="D183" s="47"/>
      <c r="E183" s="47"/>
      <c r="F183" s="47"/>
      <c r="G183" s="194" t="s">
        <v>175</v>
      </c>
      <c r="H183" s="47"/>
      <c r="I183" s="47"/>
      <c r="J183" s="47"/>
      <c r="K183" s="403"/>
    </row>
    <row r="184" spans="1:11" ht="15.95" customHeight="1" x14ac:dyDescent="0.25">
      <c r="A184" s="47"/>
      <c r="B184" s="47"/>
      <c r="C184" s="54" t="s">
        <v>163</v>
      </c>
      <c r="D184" s="54"/>
      <c r="E184" s="54"/>
      <c r="F184" s="54"/>
      <c r="G184" s="85">
        <f>+F149</f>
        <v>300000</v>
      </c>
      <c r="H184" s="47"/>
      <c r="I184" s="47"/>
      <c r="J184" s="47"/>
      <c r="K184" s="403"/>
    </row>
    <row r="185" spans="1:11" ht="15.95" customHeight="1" x14ac:dyDescent="0.25">
      <c r="A185" s="47"/>
      <c r="B185" s="47"/>
      <c r="C185" s="47" t="s">
        <v>26</v>
      </c>
      <c r="D185" s="47"/>
      <c r="E185" s="47"/>
      <c r="F185" s="47"/>
      <c r="G185" s="76">
        <f>-H166+I171</f>
        <v>-108000</v>
      </c>
      <c r="H185" s="47" t="s">
        <v>532</v>
      </c>
      <c r="I185" s="47"/>
      <c r="J185" s="47"/>
      <c r="K185" s="403"/>
    </row>
    <row r="186" spans="1:11" ht="15.95" customHeight="1" x14ac:dyDescent="0.25">
      <c r="A186" s="47"/>
      <c r="B186" s="47"/>
      <c r="C186" s="54" t="s">
        <v>176</v>
      </c>
      <c r="D186" s="54"/>
      <c r="E186" s="54"/>
      <c r="F186" s="54"/>
      <c r="G186" s="85">
        <v>180000</v>
      </c>
      <c r="I186" s="47"/>
      <c r="J186" s="47"/>
      <c r="K186" s="403"/>
    </row>
    <row r="187" spans="1:11" ht="15.95" customHeight="1" x14ac:dyDescent="0.25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03"/>
    </row>
    <row r="188" spans="1:11" ht="15.95" customHeight="1" x14ac:dyDescent="0.25">
      <c r="A188" s="403" t="s">
        <v>895</v>
      </c>
      <c r="B188" s="403"/>
      <c r="C188" s="403"/>
      <c r="D188" s="403"/>
      <c r="E188" s="403"/>
      <c r="F188" s="403"/>
      <c r="G188" s="403"/>
      <c r="H188" s="403"/>
      <c r="I188" s="403"/>
      <c r="J188" s="403"/>
      <c r="K188" s="403"/>
    </row>
    <row r="189" spans="1:11" ht="15.95" customHeight="1" x14ac:dyDescent="0.25">
      <c r="A189" s="54"/>
      <c r="B189" s="54"/>
      <c r="C189" s="54"/>
      <c r="D189" s="45"/>
      <c r="E189" s="54"/>
      <c r="F189" s="209"/>
      <c r="G189" s="209" t="s">
        <v>405</v>
      </c>
      <c r="H189" s="209" t="s">
        <v>196</v>
      </c>
      <c r="I189" s="54"/>
      <c r="J189" s="47"/>
      <c r="K189" s="403"/>
    </row>
    <row r="190" spans="1:11" ht="15.95" customHeight="1" x14ac:dyDescent="0.25">
      <c r="A190" s="54"/>
      <c r="B190" s="54"/>
      <c r="C190" s="54"/>
      <c r="D190" s="45"/>
      <c r="E190" s="54"/>
      <c r="F190" s="209" t="s">
        <v>1</v>
      </c>
      <c r="G190" s="209" t="s">
        <v>1</v>
      </c>
      <c r="H190" s="209" t="s">
        <v>1</v>
      </c>
      <c r="I190" s="54"/>
      <c r="J190" s="47"/>
      <c r="K190" s="403"/>
    </row>
    <row r="191" spans="1:11" ht="15.95" customHeight="1" x14ac:dyDescent="0.25">
      <c r="A191" s="47" t="s">
        <v>163</v>
      </c>
      <c r="B191" s="47"/>
      <c r="C191" s="47"/>
      <c r="D191" s="47"/>
      <c r="E191" s="47"/>
      <c r="F191" s="78">
        <f>+G184</f>
        <v>300000</v>
      </c>
      <c r="G191" s="78">
        <f>+F191*-30%</f>
        <v>-90000</v>
      </c>
      <c r="H191" s="78"/>
      <c r="I191" s="47" t="s">
        <v>647</v>
      </c>
      <c r="J191" s="47"/>
      <c r="K191" s="403"/>
    </row>
    <row r="192" spans="1:11" ht="15.95" customHeight="1" x14ac:dyDescent="0.25">
      <c r="A192" s="47" t="s">
        <v>192</v>
      </c>
      <c r="B192" s="47"/>
      <c r="C192" s="47"/>
      <c r="D192" s="47"/>
      <c r="E192" s="47"/>
      <c r="F192" s="78"/>
      <c r="G192" s="78"/>
      <c r="H192" s="78"/>
      <c r="I192" s="47"/>
      <c r="J192" s="47"/>
      <c r="K192" s="403"/>
    </row>
    <row r="193" spans="1:11" ht="15.95" customHeight="1" x14ac:dyDescent="0.25">
      <c r="A193" s="92" t="s">
        <v>100</v>
      </c>
      <c r="B193" s="92"/>
      <c r="C193" s="92"/>
      <c r="D193" s="47"/>
      <c r="E193" s="47"/>
      <c r="F193" s="78">
        <f>+H158</f>
        <v>100000</v>
      </c>
      <c r="G193" s="78">
        <f>+F193*-30%</f>
        <v>-30000</v>
      </c>
      <c r="H193" s="78">
        <f>+F193*30%</f>
        <v>30000</v>
      </c>
      <c r="I193" s="47" t="s">
        <v>648</v>
      </c>
      <c r="J193" s="47"/>
      <c r="K193" s="403"/>
    </row>
    <row r="194" spans="1:11" ht="15.95" customHeight="1" x14ac:dyDescent="0.25">
      <c r="A194" s="92" t="s">
        <v>4</v>
      </c>
      <c r="B194" s="92"/>
      <c r="C194" s="92"/>
      <c r="D194" s="47"/>
      <c r="E194" s="47"/>
      <c r="F194" s="78">
        <f>+H159</f>
        <v>80000</v>
      </c>
      <c r="G194" s="78">
        <f>+F194*-30%</f>
        <v>-24000</v>
      </c>
      <c r="H194" s="78">
        <f>+F194*30%</f>
        <v>24000</v>
      </c>
      <c r="I194" s="47" t="s">
        <v>649</v>
      </c>
      <c r="J194" s="47"/>
      <c r="K194" s="403"/>
    </row>
    <row r="195" spans="1:11" ht="15.95" customHeight="1" x14ac:dyDescent="0.25">
      <c r="A195" s="47" t="s">
        <v>193</v>
      </c>
      <c r="B195" s="47"/>
      <c r="C195" s="47"/>
      <c r="D195" s="47"/>
      <c r="E195" s="47"/>
      <c r="F195" s="78"/>
      <c r="G195" s="78"/>
      <c r="H195" s="78"/>
      <c r="I195" s="47"/>
      <c r="J195" s="47"/>
      <c r="K195" s="403"/>
    </row>
    <row r="196" spans="1:11" ht="15.95" customHeight="1" x14ac:dyDescent="0.25">
      <c r="A196" s="92" t="s">
        <v>194</v>
      </c>
      <c r="B196" s="92"/>
      <c r="C196" s="92"/>
      <c r="D196" s="47"/>
      <c r="E196" s="47"/>
      <c r="F196" s="78">
        <f>+H161</f>
        <v>60000</v>
      </c>
      <c r="G196" s="78">
        <f>+F196*-30%</f>
        <v>-18000</v>
      </c>
      <c r="H196" s="78"/>
      <c r="I196" s="47" t="s">
        <v>650</v>
      </c>
      <c r="J196" s="47"/>
      <c r="K196" s="403"/>
    </row>
    <row r="197" spans="1:11" ht="15.95" customHeight="1" x14ac:dyDescent="0.25">
      <c r="A197" s="54" t="s">
        <v>5</v>
      </c>
      <c r="B197" s="54"/>
      <c r="C197" s="54"/>
      <c r="D197" s="54"/>
      <c r="E197" s="54"/>
      <c r="F197" s="85">
        <f>SUM(F191:F196)</f>
        <v>540000</v>
      </c>
      <c r="G197" s="85">
        <f>SUM(G191:G196)</f>
        <v>-162000</v>
      </c>
      <c r="H197" s="85">
        <f>SUM(H191:H196)</f>
        <v>54000</v>
      </c>
      <c r="I197" s="54"/>
      <c r="J197" s="47"/>
      <c r="K197" s="403"/>
    </row>
    <row r="198" spans="1:11" ht="15.95" customHeight="1" x14ac:dyDescent="0.25">
      <c r="A198" s="47" t="s">
        <v>34</v>
      </c>
      <c r="B198" s="47"/>
      <c r="C198" s="47"/>
      <c r="D198" s="47"/>
      <c r="E198" s="47"/>
      <c r="F198" s="78">
        <f>+-F197*30%</f>
        <v>-162000</v>
      </c>
      <c r="G198" s="78"/>
      <c r="H198" s="78"/>
      <c r="I198" s="47"/>
      <c r="J198" s="47"/>
      <c r="K198" s="403"/>
    </row>
    <row r="199" spans="1:11" ht="15.95" customHeight="1" x14ac:dyDescent="0.25">
      <c r="A199" s="47" t="s">
        <v>35</v>
      </c>
      <c r="B199" s="47"/>
      <c r="C199" s="47"/>
      <c r="D199" s="47"/>
      <c r="E199" s="47"/>
      <c r="F199" s="78">
        <f>+I171</f>
        <v>54000</v>
      </c>
      <c r="G199" s="78"/>
      <c r="H199"/>
      <c r="I199" s="47"/>
      <c r="J199" s="47"/>
      <c r="K199" s="403"/>
    </row>
    <row r="200" spans="1:11" ht="15.95" customHeight="1" x14ac:dyDescent="0.25">
      <c r="A200" s="54" t="s">
        <v>195</v>
      </c>
      <c r="B200" s="54"/>
      <c r="C200" s="54"/>
      <c r="D200" s="54"/>
      <c r="E200" s="54"/>
      <c r="F200" s="85">
        <f>+F198+F199</f>
        <v>-108000</v>
      </c>
      <c r="G200" s="85"/>
      <c r="H200" s="74"/>
      <c r="I200" s="85"/>
      <c r="J200" s="47"/>
      <c r="K200" s="403"/>
    </row>
    <row r="201" spans="1:11" ht="15.95" customHeight="1" x14ac:dyDescent="0.25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03"/>
    </row>
    <row r="202" spans="1:11" ht="15.95" customHeight="1" x14ac:dyDescent="0.25">
      <c r="A202" s="403" t="s">
        <v>896</v>
      </c>
      <c r="B202" s="403"/>
      <c r="C202" s="403"/>
      <c r="D202" s="403"/>
      <c r="E202" s="403"/>
      <c r="F202" s="403"/>
      <c r="G202" s="403"/>
      <c r="H202" s="403"/>
      <c r="I202" s="403"/>
      <c r="J202" s="403"/>
      <c r="K202" s="403"/>
    </row>
    <row r="203" spans="1:11" ht="15.95" customHeight="1" x14ac:dyDescent="0.25">
      <c r="A203" s="54"/>
      <c r="B203" s="54"/>
      <c r="C203" s="54"/>
      <c r="D203" s="45"/>
      <c r="E203" s="209"/>
      <c r="F203" s="209" t="s">
        <v>405</v>
      </c>
      <c r="G203" s="209"/>
      <c r="H203" s="209"/>
      <c r="I203" s="54"/>
      <c r="J203" s="47"/>
      <c r="K203" s="403"/>
    </row>
    <row r="204" spans="1:11" ht="15.95" customHeight="1" x14ac:dyDescent="0.25">
      <c r="A204" s="54"/>
      <c r="B204" s="54"/>
      <c r="C204" s="54"/>
      <c r="D204" s="45"/>
      <c r="E204" s="209"/>
      <c r="F204" s="209" t="s">
        <v>197</v>
      </c>
      <c r="G204" s="209"/>
      <c r="H204" s="209"/>
      <c r="I204" s="54"/>
      <c r="J204" s="47"/>
      <c r="K204" s="403"/>
    </row>
    <row r="205" spans="1:11" ht="15.95" customHeight="1" x14ac:dyDescent="0.25">
      <c r="A205" s="54"/>
      <c r="B205" s="54"/>
      <c r="C205" s="54"/>
      <c r="D205" s="45"/>
      <c r="E205" s="209"/>
      <c r="F205" s="209" t="s">
        <v>277</v>
      </c>
      <c r="G205" s="209"/>
      <c r="H205" s="209"/>
      <c r="I205" s="54"/>
      <c r="J205" s="47"/>
      <c r="K205" s="403"/>
    </row>
    <row r="206" spans="1:11" ht="15.95" customHeight="1" x14ac:dyDescent="0.25">
      <c r="A206" s="54"/>
      <c r="B206" s="54"/>
      <c r="C206" s="54"/>
      <c r="D206" s="45"/>
      <c r="E206" s="209" t="s">
        <v>1</v>
      </c>
      <c r="F206" s="209" t="s">
        <v>1</v>
      </c>
      <c r="G206" s="209"/>
      <c r="H206" s="209"/>
      <c r="I206" s="54"/>
      <c r="J206" s="47"/>
      <c r="K206" s="403"/>
    </row>
    <row r="207" spans="1:11" ht="15.95" customHeight="1" x14ac:dyDescent="0.25">
      <c r="A207" s="47" t="s">
        <v>163</v>
      </c>
      <c r="B207" s="47"/>
      <c r="C207" s="47"/>
      <c r="D207" s="47"/>
      <c r="E207" s="78">
        <f>+F191</f>
        <v>300000</v>
      </c>
      <c r="F207" s="78">
        <f>+E207*-30%</f>
        <v>-90000</v>
      </c>
      <c r="G207" s="47" t="s">
        <v>647</v>
      </c>
      <c r="H207" s="47"/>
      <c r="I207" s="47"/>
      <c r="J207" s="47"/>
      <c r="K207" s="403"/>
    </row>
    <row r="208" spans="1:11" ht="15.95" customHeight="1" x14ac:dyDescent="0.25">
      <c r="A208" s="47" t="s">
        <v>193</v>
      </c>
      <c r="B208" s="47"/>
      <c r="C208" s="47"/>
      <c r="D208" s="47"/>
      <c r="E208" s="78"/>
      <c r="F208" s="78"/>
      <c r="G208" s="47"/>
      <c r="H208" s="47"/>
      <c r="I208" s="47"/>
      <c r="J208" s="47"/>
      <c r="K208" s="403"/>
    </row>
    <row r="209" spans="1:11" ht="15.95" customHeight="1" x14ac:dyDescent="0.25">
      <c r="A209" s="92" t="s">
        <v>194</v>
      </c>
      <c r="B209" s="92"/>
      <c r="C209" s="92"/>
      <c r="D209" s="47"/>
      <c r="E209" s="78">
        <f>+F196</f>
        <v>60000</v>
      </c>
      <c r="F209" s="78">
        <f>+G196</f>
        <v>-18000</v>
      </c>
      <c r="G209" s="47" t="s">
        <v>650</v>
      </c>
      <c r="H209" s="424" t="s">
        <v>897</v>
      </c>
      <c r="I209" s="424"/>
      <c r="J209" s="47"/>
      <c r="K209" s="403"/>
    </row>
    <row r="210" spans="1:11" ht="15.95" customHeight="1" x14ac:dyDescent="0.25">
      <c r="A210" s="54" t="s">
        <v>5</v>
      </c>
      <c r="B210" s="54"/>
      <c r="C210" s="54"/>
      <c r="D210" s="54"/>
      <c r="E210" s="85">
        <f>SUM(E207:E209)</f>
        <v>360000</v>
      </c>
      <c r="F210" s="85">
        <f>SUM(F207:F209)</f>
        <v>-108000</v>
      </c>
      <c r="G210" s="98" t="s">
        <v>651</v>
      </c>
      <c r="H210" s="149" t="s">
        <v>652</v>
      </c>
      <c r="I210" s="54"/>
      <c r="J210" s="47"/>
      <c r="K210" s="403"/>
    </row>
    <row r="211" spans="1:11" ht="15.95" customHeight="1" x14ac:dyDescent="0.25">
      <c r="A211" s="47"/>
      <c r="B211" s="92"/>
      <c r="C211" s="92"/>
      <c r="D211" s="47"/>
      <c r="E211" s="47"/>
      <c r="F211" s="78"/>
      <c r="G211" s="78"/>
      <c r="H211" s="78"/>
      <c r="I211" s="78"/>
      <c r="J211" s="47"/>
      <c r="K211" s="403"/>
    </row>
    <row r="212" spans="1:11" ht="15.95" customHeight="1" x14ac:dyDescent="0.25">
      <c r="A212" s="54"/>
      <c r="B212" s="54"/>
      <c r="C212" s="54"/>
      <c r="D212" s="45"/>
      <c r="E212" s="209"/>
      <c r="F212" s="98" t="s">
        <v>533</v>
      </c>
      <c r="G212" s="98"/>
      <c r="H212" s="98"/>
      <c r="I212" s="98"/>
      <c r="J212" s="47"/>
      <c r="K212" s="403"/>
    </row>
    <row r="213" spans="1:11" ht="15.95" customHeight="1" x14ac:dyDescent="0.25">
      <c r="A213" s="54"/>
      <c r="B213" s="54"/>
      <c r="C213" s="54"/>
      <c r="D213" s="45"/>
      <c r="E213" s="209"/>
      <c r="F213" s="98" t="s">
        <v>197</v>
      </c>
      <c r="G213" s="98"/>
      <c r="H213" s="98"/>
      <c r="I213" s="98"/>
      <c r="J213" s="47"/>
      <c r="K213" s="403"/>
    </row>
    <row r="214" spans="1:11" ht="15.95" customHeight="1" x14ac:dyDescent="0.25">
      <c r="A214" s="54"/>
      <c r="B214" s="54"/>
      <c r="C214" s="54"/>
      <c r="D214" s="45"/>
      <c r="E214" s="209"/>
      <c r="F214" s="98" t="s">
        <v>277</v>
      </c>
      <c r="G214" s="98"/>
      <c r="H214" s="98"/>
      <c r="I214" s="98"/>
      <c r="J214" s="47"/>
      <c r="K214" s="403"/>
    </row>
    <row r="215" spans="1:11" ht="15.95" customHeight="1" x14ac:dyDescent="0.25">
      <c r="A215" s="54"/>
      <c r="B215" s="54"/>
      <c r="C215" s="54"/>
      <c r="D215" s="45"/>
      <c r="E215" s="209" t="s">
        <v>1</v>
      </c>
      <c r="F215" s="209" t="s">
        <v>1</v>
      </c>
      <c r="G215" s="209"/>
      <c r="H215" s="209"/>
      <c r="I215" s="209"/>
      <c r="J215" s="47"/>
      <c r="K215" s="403"/>
    </row>
    <row r="216" spans="1:11" ht="15.95" customHeight="1" x14ac:dyDescent="0.25">
      <c r="A216" s="47" t="s">
        <v>163</v>
      </c>
      <c r="B216" s="47"/>
      <c r="C216" s="47"/>
      <c r="D216" s="47"/>
      <c r="E216" s="78">
        <f>+F191</f>
        <v>300000</v>
      </c>
      <c r="F216" s="78">
        <f>+F207</f>
        <v>-90000</v>
      </c>
      <c r="G216" s="95">
        <f>-F216/E216</f>
        <v>0.3</v>
      </c>
      <c r="H216" s="47" t="s">
        <v>534</v>
      </c>
      <c r="I216" s="47"/>
      <c r="J216" s="47"/>
      <c r="K216" s="403"/>
    </row>
    <row r="217" spans="1:11" ht="15.95" customHeight="1" x14ac:dyDescent="0.25">
      <c r="A217" s="47" t="s">
        <v>193</v>
      </c>
      <c r="B217" s="47"/>
      <c r="C217" s="47"/>
      <c r="D217" s="47"/>
      <c r="E217" s="78"/>
      <c r="F217" s="47"/>
      <c r="G217" s="47"/>
      <c r="H217" s="47"/>
      <c r="I217" s="47"/>
      <c r="J217" s="47"/>
      <c r="K217" s="403"/>
    </row>
    <row r="218" spans="1:11" ht="15.95" customHeight="1" x14ac:dyDescent="0.25">
      <c r="A218" s="92" t="s">
        <v>194</v>
      </c>
      <c r="B218" s="92"/>
      <c r="C218" s="92"/>
      <c r="D218" s="47"/>
      <c r="E218" s="78">
        <f>+F196</f>
        <v>60000</v>
      </c>
      <c r="F218" s="78">
        <f>+F209</f>
        <v>-18000</v>
      </c>
      <c r="G218" s="95">
        <f>-F218/E216</f>
        <v>0.06</v>
      </c>
      <c r="H218" s="47" t="s">
        <v>535</v>
      </c>
      <c r="I218" s="47"/>
      <c r="J218" s="47"/>
      <c r="K218" s="403"/>
    </row>
    <row r="219" spans="1:11" ht="15.95" customHeight="1" x14ac:dyDescent="0.25">
      <c r="A219" s="54"/>
      <c r="B219" s="54"/>
      <c r="C219" s="54"/>
      <c r="D219" s="54"/>
      <c r="E219" s="85">
        <f>SUM(E216:E218)</f>
        <v>360000</v>
      </c>
      <c r="F219" s="85">
        <f>SUM(F216:F218)</f>
        <v>-108000</v>
      </c>
      <c r="G219" s="102">
        <f>+G216+G218</f>
        <v>0.36</v>
      </c>
      <c r="H219" s="85"/>
      <c r="I219" s="85"/>
      <c r="J219" s="47"/>
      <c r="K219" s="403"/>
    </row>
    <row r="220" spans="1:11" ht="15.95" customHeight="1" x14ac:dyDescent="0.25">
      <c r="A220" s="47"/>
      <c r="B220" s="92"/>
      <c r="C220" s="92"/>
      <c r="D220" s="47"/>
      <c r="E220" s="47"/>
      <c r="F220" s="78"/>
      <c r="G220" s="78"/>
      <c r="H220" s="47"/>
      <c r="I220" s="47"/>
      <c r="J220" s="47"/>
      <c r="K220" s="403"/>
    </row>
    <row r="221" spans="1:11" ht="15.95" customHeight="1" x14ac:dyDescent="0.25">
      <c r="A221" s="403"/>
      <c r="B221" s="403"/>
      <c r="C221" s="403"/>
      <c r="D221" s="403"/>
      <c r="E221" s="403"/>
      <c r="F221" s="403"/>
      <c r="G221" s="403"/>
      <c r="H221" s="403"/>
      <c r="I221" s="403"/>
      <c r="J221" s="403"/>
      <c r="K221" s="403"/>
    </row>
  </sheetData>
  <mergeCells count="2">
    <mergeCell ref="H209:I209"/>
    <mergeCell ref="A1:XFD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07"/>
  <sheetViews>
    <sheetView zoomScale="80" zoomScaleNormal="80" workbookViewId="0">
      <selection sqref="A1:XFD3"/>
    </sheetView>
  </sheetViews>
  <sheetFormatPr baseColWidth="10" defaultColWidth="0" defaultRowHeight="15" zeroHeight="1" x14ac:dyDescent="0.25"/>
  <cols>
    <col min="1" max="1" width="5" style="42" customWidth="1"/>
    <col min="2" max="2" width="7" style="42" customWidth="1"/>
    <col min="3" max="3" width="9" style="42" customWidth="1"/>
    <col min="4" max="4" width="10.7109375" style="42" customWidth="1"/>
    <col min="5" max="5" width="12" style="42" bestFit="1" customWidth="1"/>
    <col min="6" max="6" width="13.7109375" style="42" bestFit="1" customWidth="1"/>
    <col min="7" max="8" width="12.5703125" style="42" bestFit="1" customWidth="1"/>
    <col min="9" max="9" width="12.140625" style="42" customWidth="1"/>
    <col min="10" max="10" width="4" customWidth="1"/>
    <col min="11" max="17" width="0" hidden="1" customWidth="1"/>
    <col min="18" max="16384" width="11.42578125" hidden="1"/>
  </cols>
  <sheetData>
    <row r="1" spans="1:10" s="420" customFormat="1" x14ac:dyDescent="0.25">
      <c r="A1" s="420" t="s">
        <v>919</v>
      </c>
    </row>
    <row r="2" spans="1:10" s="420" customFormat="1" x14ac:dyDescent="0.25"/>
    <row r="3" spans="1:10" s="420" customFormat="1" x14ac:dyDescent="0.25"/>
    <row r="4" spans="1:10" ht="15.95" customHeight="1" x14ac:dyDescent="0.25">
      <c r="A4" s="403" t="s">
        <v>898</v>
      </c>
      <c r="B4" s="403"/>
      <c r="C4" s="403"/>
      <c r="D4" s="403"/>
      <c r="E4" s="403"/>
      <c r="F4" s="403"/>
      <c r="G4" s="403"/>
      <c r="H4" s="403"/>
      <c r="I4" s="403"/>
      <c r="J4" s="415"/>
    </row>
    <row r="5" spans="1:10" x14ac:dyDescent="0.25">
      <c r="A5" s="54"/>
      <c r="B5" s="54"/>
      <c r="C5" s="54"/>
      <c r="D5" s="98">
        <v>2012</v>
      </c>
      <c r="E5" s="98">
        <f>+D5+1</f>
        <v>2013</v>
      </c>
      <c r="F5" s="98">
        <f>+E5+1</f>
        <v>2014</v>
      </c>
      <c r="G5" s="98">
        <f>+F5+1</f>
        <v>2015</v>
      </c>
      <c r="H5" s="98">
        <f>+G5+1</f>
        <v>2016</v>
      </c>
      <c r="I5" s="98">
        <f>+H5+1</f>
        <v>2017</v>
      </c>
      <c r="J5" s="415"/>
    </row>
    <row r="6" spans="1:10" x14ac:dyDescent="0.25">
      <c r="A6" s="54" t="s">
        <v>155</v>
      </c>
      <c r="B6" s="54"/>
      <c r="C6" s="54"/>
      <c r="D6" s="98" t="s">
        <v>1</v>
      </c>
      <c r="E6" s="98" t="s">
        <v>1</v>
      </c>
      <c r="F6" s="98" t="s">
        <v>1</v>
      </c>
      <c r="G6" s="98" t="s">
        <v>1</v>
      </c>
      <c r="H6" s="98" t="s">
        <v>1</v>
      </c>
      <c r="I6" s="98" t="s">
        <v>1</v>
      </c>
      <c r="J6" s="415"/>
    </row>
    <row r="7" spans="1:10" x14ac:dyDescent="0.25">
      <c r="A7" s="47" t="s">
        <v>37</v>
      </c>
      <c r="B7" s="47"/>
      <c r="C7" s="47"/>
      <c r="D7" s="48">
        <v>900000</v>
      </c>
      <c r="E7" s="48">
        <f>+D7</f>
        <v>900000</v>
      </c>
      <c r="F7" s="48">
        <f>+E7</f>
        <v>900000</v>
      </c>
      <c r="G7" s="48">
        <f>+F7</f>
        <v>900000</v>
      </c>
      <c r="H7" s="48">
        <f>+G7</f>
        <v>900000</v>
      </c>
      <c r="I7" s="48">
        <f>+H7</f>
        <v>900000</v>
      </c>
      <c r="J7" s="415"/>
    </row>
    <row r="8" spans="1:10" x14ac:dyDescent="0.25">
      <c r="A8" s="47" t="s">
        <v>537</v>
      </c>
      <c r="B8" s="47"/>
      <c r="C8" s="47"/>
      <c r="D8" s="78">
        <f>-D7*1/6</f>
        <v>-150000</v>
      </c>
      <c r="E8" s="78">
        <f>-E7*2/6</f>
        <v>-300000</v>
      </c>
      <c r="F8" s="78">
        <f>-F7*3/6</f>
        <v>-450000</v>
      </c>
      <c r="G8" s="78">
        <f>-G7*4/6</f>
        <v>-600000</v>
      </c>
      <c r="H8" s="78">
        <f>-H7*5/6</f>
        <v>-750000</v>
      </c>
      <c r="I8" s="78">
        <f>-I7</f>
        <v>-900000</v>
      </c>
      <c r="J8" s="415"/>
    </row>
    <row r="9" spans="1:10" x14ac:dyDescent="0.25">
      <c r="A9" s="54"/>
      <c r="B9" s="54"/>
      <c r="C9" s="54" t="s">
        <v>14</v>
      </c>
      <c r="D9" s="85">
        <f t="shared" ref="D9:I9" si="0">+D7+D8</f>
        <v>750000</v>
      </c>
      <c r="E9" s="85">
        <f t="shared" si="0"/>
        <v>600000</v>
      </c>
      <c r="F9" s="85">
        <f t="shared" si="0"/>
        <v>450000</v>
      </c>
      <c r="G9" s="85">
        <f t="shared" si="0"/>
        <v>300000</v>
      </c>
      <c r="H9" s="85">
        <f t="shared" si="0"/>
        <v>150000</v>
      </c>
      <c r="I9" s="85">
        <f t="shared" si="0"/>
        <v>0</v>
      </c>
      <c r="J9" s="415"/>
    </row>
    <row r="10" spans="1:10" x14ac:dyDescent="0.25">
      <c r="A10" s="47"/>
      <c r="B10" s="47"/>
      <c r="C10" s="47"/>
      <c r="D10" s="47"/>
      <c r="E10" s="47"/>
      <c r="F10" s="47"/>
      <c r="G10" s="47"/>
      <c r="H10" s="47"/>
      <c r="I10" s="47"/>
      <c r="J10" s="415"/>
    </row>
    <row r="11" spans="1:10" x14ac:dyDescent="0.25">
      <c r="A11" s="54"/>
      <c r="B11" s="54"/>
      <c r="C11" s="54"/>
      <c r="D11" s="98">
        <v>2012</v>
      </c>
      <c r="E11" s="98">
        <f>+D11+1</f>
        <v>2013</v>
      </c>
      <c r="F11" s="98">
        <f>+E11+1</f>
        <v>2014</v>
      </c>
      <c r="G11" s="98">
        <f>+F11+1</f>
        <v>2015</v>
      </c>
      <c r="H11" s="98">
        <f>+G11+1</f>
        <v>2016</v>
      </c>
      <c r="I11" s="98">
        <f>+H11+1</f>
        <v>2017</v>
      </c>
      <c r="J11" s="415"/>
    </row>
    <row r="12" spans="1:10" x14ac:dyDescent="0.25">
      <c r="A12" s="54" t="s">
        <v>157</v>
      </c>
      <c r="B12" s="54"/>
      <c r="C12" s="54"/>
      <c r="D12" s="98" t="s">
        <v>1</v>
      </c>
      <c r="E12" s="98" t="s">
        <v>1</v>
      </c>
      <c r="F12" s="98" t="s">
        <v>1</v>
      </c>
      <c r="G12" s="98" t="s">
        <v>1</v>
      </c>
      <c r="H12" s="98" t="s">
        <v>1</v>
      </c>
      <c r="I12" s="98" t="s">
        <v>1</v>
      </c>
      <c r="J12" s="415"/>
    </row>
    <row r="13" spans="1:10" x14ac:dyDescent="0.25">
      <c r="A13" s="47" t="s">
        <v>37</v>
      </c>
      <c r="B13" s="47"/>
      <c r="C13" s="47"/>
      <c r="D13" s="48">
        <v>900000</v>
      </c>
      <c r="E13" s="48">
        <f>+D13</f>
        <v>900000</v>
      </c>
      <c r="F13" s="48">
        <f>+E13</f>
        <v>900000</v>
      </c>
      <c r="G13" s="48">
        <f>+F13</f>
        <v>900000</v>
      </c>
      <c r="H13" s="48">
        <f>+G13</f>
        <v>900000</v>
      </c>
      <c r="I13" s="48">
        <f>+H13</f>
        <v>900000</v>
      </c>
      <c r="J13" s="415"/>
    </row>
    <row r="14" spans="1:10" x14ac:dyDescent="0.25">
      <c r="A14" s="47" t="s">
        <v>537</v>
      </c>
      <c r="B14" s="47"/>
      <c r="C14" s="47"/>
      <c r="D14" s="78">
        <f>-D13/3</f>
        <v>-300000</v>
      </c>
      <c r="E14" s="78">
        <f>-E13*2/3</f>
        <v>-600000</v>
      </c>
      <c r="F14" s="78">
        <f>-F13*3/3</f>
        <v>-900000</v>
      </c>
      <c r="G14" s="78">
        <f>+F14</f>
        <v>-900000</v>
      </c>
      <c r="H14" s="78">
        <f>+G14</f>
        <v>-900000</v>
      </c>
      <c r="I14" s="78">
        <f>+H14</f>
        <v>-900000</v>
      </c>
      <c r="J14" s="415"/>
    </row>
    <row r="15" spans="1:10" x14ac:dyDescent="0.25">
      <c r="A15" s="54"/>
      <c r="B15" s="54"/>
      <c r="C15" s="54" t="s">
        <v>15</v>
      </c>
      <c r="D15" s="85">
        <f t="shared" ref="D15:I15" si="1">+D13+D14</f>
        <v>600000</v>
      </c>
      <c r="E15" s="85">
        <f t="shared" si="1"/>
        <v>300000</v>
      </c>
      <c r="F15" s="85">
        <f t="shared" si="1"/>
        <v>0</v>
      </c>
      <c r="G15" s="85">
        <f t="shared" si="1"/>
        <v>0</v>
      </c>
      <c r="H15" s="85">
        <f t="shared" si="1"/>
        <v>0</v>
      </c>
      <c r="I15" s="85">
        <f t="shared" si="1"/>
        <v>0</v>
      </c>
      <c r="J15" s="415"/>
    </row>
    <row r="16" spans="1:10" x14ac:dyDescent="0.25">
      <c r="A16" s="47"/>
      <c r="B16" s="47"/>
      <c r="C16" s="47"/>
      <c r="D16" s="47"/>
      <c r="E16" s="47"/>
      <c r="F16" s="47"/>
      <c r="G16" s="47"/>
      <c r="H16" s="47"/>
      <c r="I16" s="47"/>
      <c r="J16" s="415"/>
    </row>
    <row r="17" spans="1:16" s="42" customFormat="1" x14ac:dyDescent="0.25">
      <c r="A17" s="45" t="s">
        <v>785</v>
      </c>
      <c r="B17" s="54"/>
      <c r="C17" s="54"/>
      <c r="D17" s="85">
        <f t="shared" ref="D17:I17" si="2">+D9-D15</f>
        <v>150000</v>
      </c>
      <c r="E17" s="85">
        <f t="shared" si="2"/>
        <v>300000</v>
      </c>
      <c r="F17" s="85">
        <f t="shared" si="2"/>
        <v>450000</v>
      </c>
      <c r="G17" s="85">
        <f t="shared" si="2"/>
        <v>300000</v>
      </c>
      <c r="H17" s="85">
        <f t="shared" si="2"/>
        <v>150000</v>
      </c>
      <c r="I17" s="85">
        <f t="shared" si="2"/>
        <v>0</v>
      </c>
      <c r="J17" s="415"/>
      <c r="K17"/>
      <c r="L17"/>
      <c r="M17"/>
      <c r="N17"/>
      <c r="O17"/>
      <c r="P17"/>
    </row>
    <row r="18" spans="1:16" s="42" customFormat="1" x14ac:dyDescent="0.25">
      <c r="A18" s="47"/>
      <c r="B18" s="47"/>
      <c r="C18" s="47"/>
      <c r="D18" s="47"/>
      <c r="E18" s="47"/>
      <c r="F18" s="47"/>
      <c r="G18" s="47"/>
      <c r="H18" s="47"/>
      <c r="I18" s="47"/>
      <c r="J18" s="415"/>
      <c r="K18"/>
      <c r="L18"/>
      <c r="M18"/>
      <c r="N18"/>
      <c r="O18"/>
      <c r="P18"/>
    </row>
    <row r="19" spans="1:16" s="42" customFormat="1" x14ac:dyDescent="0.25">
      <c r="A19" s="45"/>
      <c r="B19" s="54"/>
      <c r="C19" s="54"/>
      <c r="D19" s="98">
        <v>2012</v>
      </c>
      <c r="E19" s="98">
        <f>+D19+1</f>
        <v>2013</v>
      </c>
      <c r="F19" s="98">
        <f>+E19+1</f>
        <v>2014</v>
      </c>
      <c r="G19" s="98">
        <f>+F19+1</f>
        <v>2015</v>
      </c>
      <c r="H19" s="98">
        <f>+G19+1</f>
        <v>2016</v>
      </c>
      <c r="I19" s="98">
        <f>+H19+1</f>
        <v>2017</v>
      </c>
      <c r="J19" s="415"/>
      <c r="K19"/>
      <c r="L19"/>
      <c r="M19"/>
      <c r="N19"/>
      <c r="O19"/>
      <c r="P19"/>
    </row>
    <row r="20" spans="1:16" s="42" customFormat="1" x14ac:dyDescent="0.25">
      <c r="A20" s="45"/>
      <c r="B20" s="54"/>
      <c r="C20" s="54"/>
      <c r="D20" s="98" t="s">
        <v>1</v>
      </c>
      <c r="E20" s="98" t="s">
        <v>1</v>
      </c>
      <c r="F20" s="98" t="s">
        <v>1</v>
      </c>
      <c r="G20" s="98" t="s">
        <v>1</v>
      </c>
      <c r="H20" s="98" t="s">
        <v>1</v>
      </c>
      <c r="I20" s="98" t="s">
        <v>1</v>
      </c>
      <c r="J20" s="415"/>
      <c r="K20"/>
      <c r="L20"/>
      <c r="M20"/>
      <c r="N20"/>
      <c r="O20"/>
      <c r="P20"/>
    </row>
    <row r="21" spans="1:16" s="42" customFormat="1" x14ac:dyDescent="0.25">
      <c r="A21" s="45" t="s">
        <v>538</v>
      </c>
      <c r="B21" s="54"/>
      <c r="C21" s="54" t="s">
        <v>58</v>
      </c>
      <c r="D21" s="67">
        <v>550000</v>
      </c>
      <c r="E21" s="67">
        <v>550000</v>
      </c>
      <c r="F21" s="67">
        <v>550000</v>
      </c>
      <c r="G21" s="67">
        <v>550000</v>
      </c>
      <c r="H21" s="67">
        <v>550000</v>
      </c>
      <c r="I21" s="67">
        <v>550000</v>
      </c>
      <c r="J21" s="415"/>
      <c r="K21"/>
      <c r="L21"/>
      <c r="M21"/>
      <c r="N21"/>
      <c r="O21"/>
      <c r="P21"/>
    </row>
    <row r="22" spans="1:16" s="42" customFormat="1" x14ac:dyDescent="0.25">
      <c r="A22" s="47"/>
      <c r="B22" s="47"/>
      <c r="C22" s="47"/>
      <c r="D22" s="47"/>
      <c r="E22" s="47"/>
      <c r="F22" s="47"/>
      <c r="G22" s="47"/>
      <c r="H22" s="47"/>
      <c r="I22" s="47"/>
      <c r="J22" s="415"/>
      <c r="K22"/>
      <c r="L22"/>
      <c r="M22"/>
      <c r="N22"/>
      <c r="O22"/>
      <c r="P22"/>
    </row>
    <row r="23" spans="1:16" s="42" customFormat="1" x14ac:dyDescent="0.25">
      <c r="A23" s="47" t="s">
        <v>540</v>
      </c>
      <c r="B23" s="47"/>
      <c r="C23" s="47" t="s">
        <v>59</v>
      </c>
      <c r="D23" s="78">
        <v>-150000</v>
      </c>
      <c r="E23" s="78">
        <v>-150000</v>
      </c>
      <c r="F23" s="78">
        <v>-150000</v>
      </c>
      <c r="G23" s="47"/>
      <c r="H23" s="47"/>
      <c r="I23" s="47"/>
      <c r="J23" s="415"/>
      <c r="K23"/>
      <c r="L23"/>
      <c r="M23"/>
      <c r="N23"/>
      <c r="O23"/>
      <c r="P23"/>
    </row>
    <row r="24" spans="1:16" s="42" customFormat="1" x14ac:dyDescent="0.25">
      <c r="A24" s="47" t="s">
        <v>541</v>
      </c>
      <c r="B24" s="47"/>
      <c r="C24" s="47" t="s">
        <v>20</v>
      </c>
      <c r="D24" s="47"/>
      <c r="E24" s="47"/>
      <c r="F24" s="47"/>
      <c r="G24" s="48">
        <v>150000</v>
      </c>
      <c r="H24" s="48">
        <v>150000</v>
      </c>
      <c r="I24" s="48">
        <v>150000</v>
      </c>
      <c r="J24" s="415"/>
      <c r="K24"/>
      <c r="L24"/>
      <c r="M24"/>
      <c r="N24"/>
      <c r="O24"/>
      <c r="P24"/>
    </row>
    <row r="25" spans="1:16" s="42" customFormat="1" x14ac:dyDescent="0.25">
      <c r="A25" s="47"/>
      <c r="B25" s="47"/>
      <c r="C25" s="47"/>
      <c r="D25" s="47"/>
      <c r="E25" s="47"/>
      <c r="F25" s="47"/>
      <c r="G25" s="47"/>
      <c r="H25" s="47"/>
      <c r="I25" s="47"/>
      <c r="J25" s="415"/>
      <c r="K25"/>
      <c r="L25"/>
      <c r="M25"/>
      <c r="N25"/>
      <c r="O25"/>
      <c r="P25"/>
    </row>
    <row r="26" spans="1:16" s="42" customFormat="1" x14ac:dyDescent="0.25">
      <c r="A26" s="45" t="s">
        <v>421</v>
      </c>
      <c r="B26" s="54"/>
      <c r="C26" s="54" t="s">
        <v>22</v>
      </c>
      <c r="D26" s="67">
        <f t="shared" ref="D26:I26" si="3">SUM(D21:D25)</f>
        <v>400000</v>
      </c>
      <c r="E26" s="67">
        <f t="shared" si="3"/>
        <v>400000</v>
      </c>
      <c r="F26" s="67">
        <f t="shared" si="3"/>
        <v>400000</v>
      </c>
      <c r="G26" s="67">
        <f t="shared" si="3"/>
        <v>700000</v>
      </c>
      <c r="H26" s="67">
        <f t="shared" si="3"/>
        <v>700000</v>
      </c>
      <c r="I26" s="67">
        <f t="shared" si="3"/>
        <v>700000</v>
      </c>
      <c r="J26" s="415"/>
      <c r="K26"/>
      <c r="L26"/>
      <c r="M26"/>
      <c r="N26"/>
      <c r="O26"/>
      <c r="P26"/>
    </row>
    <row r="27" spans="1:16" s="42" customFormat="1" x14ac:dyDescent="0.25">
      <c r="A27" s="45" t="s">
        <v>539</v>
      </c>
      <c r="B27" s="54"/>
      <c r="C27" s="54" t="s">
        <v>60</v>
      </c>
      <c r="D27" s="218">
        <v>0.3</v>
      </c>
      <c r="E27" s="218">
        <v>0.3</v>
      </c>
      <c r="F27" s="218">
        <v>0.3</v>
      </c>
      <c r="G27" s="218">
        <v>0.28000000000000003</v>
      </c>
      <c r="H27" s="218">
        <v>0.28000000000000003</v>
      </c>
      <c r="I27" s="218">
        <v>0.27</v>
      </c>
      <c r="J27" s="415"/>
      <c r="K27"/>
      <c r="L27"/>
      <c r="M27"/>
      <c r="N27"/>
      <c r="O27"/>
      <c r="P27"/>
    </row>
    <row r="28" spans="1:16" s="42" customFormat="1" x14ac:dyDescent="0.25">
      <c r="A28" s="47" t="s">
        <v>536</v>
      </c>
      <c r="B28" s="47"/>
      <c r="C28" s="47"/>
      <c r="D28" s="197"/>
      <c r="E28" s="197"/>
      <c r="F28" s="197"/>
      <c r="G28" s="197"/>
      <c r="H28" s="197"/>
      <c r="I28" s="197"/>
      <c r="J28" s="415"/>
      <c r="K28"/>
      <c r="L28"/>
      <c r="M28"/>
      <c r="N28"/>
      <c r="O28"/>
      <c r="P28"/>
    </row>
    <row r="29" spans="1:16" s="42" customFormat="1" ht="27.75" customHeight="1" x14ac:dyDescent="0.25">
      <c r="A29" s="54" t="s">
        <v>203</v>
      </c>
      <c r="B29" s="54"/>
      <c r="C29" s="54"/>
      <c r="D29" s="54"/>
      <c r="E29" s="54"/>
      <c r="F29" s="54" t="s">
        <v>61</v>
      </c>
      <c r="G29" s="67">
        <f>+G24*G27</f>
        <v>42000.000000000007</v>
      </c>
      <c r="H29" s="67">
        <f>+H24*H27</f>
        <v>42000.000000000007</v>
      </c>
      <c r="I29" s="67">
        <f>+I24*I27</f>
        <v>40500</v>
      </c>
      <c r="J29" s="415"/>
      <c r="K29"/>
      <c r="L29"/>
      <c r="M29"/>
      <c r="N29"/>
      <c r="O29"/>
      <c r="P29"/>
    </row>
    <row r="30" spans="1:16" s="42" customFormat="1" ht="30" customHeight="1" x14ac:dyDescent="0.25">
      <c r="A30" s="54" t="s">
        <v>784</v>
      </c>
      <c r="B30" s="54"/>
      <c r="C30" s="54"/>
      <c r="D30" s="54"/>
      <c r="E30" s="54"/>
      <c r="F30" s="54" t="s">
        <v>62</v>
      </c>
      <c r="G30" s="67">
        <f>+G29+H29+I29</f>
        <v>124500.00000000001</v>
      </c>
      <c r="H30" s="67">
        <f>+I29+H29</f>
        <v>82500</v>
      </c>
      <c r="I30" s="67">
        <f>+I29</f>
        <v>40500</v>
      </c>
      <c r="J30" s="415"/>
      <c r="K30"/>
      <c r="L30"/>
      <c r="M30"/>
      <c r="N30"/>
      <c r="O30"/>
      <c r="P30"/>
    </row>
    <row r="31" spans="1:16" s="42" customFormat="1" x14ac:dyDescent="0.25">
      <c r="A31" s="47"/>
      <c r="B31" s="47"/>
      <c r="C31" s="47"/>
      <c r="D31" s="47"/>
      <c r="E31" s="47"/>
      <c r="F31" s="47"/>
      <c r="G31" s="47"/>
      <c r="H31" s="47"/>
      <c r="I31" s="47"/>
      <c r="J31" s="415"/>
      <c r="K31"/>
      <c r="L31"/>
      <c r="M31"/>
      <c r="N31"/>
      <c r="O31"/>
      <c r="P31"/>
    </row>
    <row r="32" spans="1:16" s="42" customFormat="1" x14ac:dyDescent="0.25">
      <c r="A32" s="51"/>
      <c r="B32" s="47"/>
      <c r="C32" s="47"/>
      <c r="D32" s="70"/>
      <c r="E32" s="70"/>
      <c r="F32" s="70"/>
      <c r="G32" s="70"/>
      <c r="H32" s="70"/>
      <c r="I32" s="70"/>
      <c r="J32" s="415"/>
      <c r="K32"/>
      <c r="L32"/>
      <c r="M32"/>
      <c r="N32"/>
      <c r="O32"/>
      <c r="P32"/>
    </row>
    <row r="33" spans="1:16" s="42" customFormat="1" x14ac:dyDescent="0.25">
      <c r="A33" s="51"/>
      <c r="B33" s="47"/>
      <c r="C33" s="47"/>
      <c r="D33" s="70"/>
      <c r="E33" s="70"/>
      <c r="F33" s="70"/>
      <c r="G33" s="70"/>
      <c r="H33" s="70"/>
      <c r="I33" s="70"/>
      <c r="J33" s="415"/>
      <c r="K33"/>
      <c r="L33"/>
      <c r="M33"/>
      <c r="N33"/>
      <c r="O33"/>
      <c r="P33"/>
    </row>
    <row r="34" spans="1:16" s="42" customFormat="1" x14ac:dyDescent="0.25">
      <c r="A34" s="47"/>
      <c r="B34" s="47"/>
      <c r="C34" s="47"/>
      <c r="D34" s="70">
        <v>2012</v>
      </c>
      <c r="E34" s="70">
        <f>+D34+1</f>
        <v>2013</v>
      </c>
      <c r="F34" s="70">
        <f>+E34+1</f>
        <v>2014</v>
      </c>
      <c r="G34" s="70">
        <f>+F34+1</f>
        <v>2015</v>
      </c>
      <c r="H34" s="70">
        <f>+G34+1</f>
        <v>2016</v>
      </c>
      <c r="I34" s="70">
        <f>+H34+1</f>
        <v>2017</v>
      </c>
      <c r="J34" s="415"/>
      <c r="K34"/>
      <c r="L34"/>
      <c r="M34"/>
      <c r="N34"/>
      <c r="O34"/>
      <c r="P34"/>
    </row>
    <row r="35" spans="1:16" s="42" customFormat="1" x14ac:dyDescent="0.25">
      <c r="A35" s="47"/>
      <c r="B35" s="47"/>
      <c r="C35" s="47"/>
      <c r="D35" s="70" t="s">
        <v>1</v>
      </c>
      <c r="E35" s="70" t="s">
        <v>1</v>
      </c>
      <c r="F35" s="70" t="s">
        <v>1</v>
      </c>
      <c r="G35" s="70" t="s">
        <v>1</v>
      </c>
      <c r="H35" s="70" t="s">
        <v>1</v>
      </c>
      <c r="I35" s="70" t="s">
        <v>1</v>
      </c>
      <c r="J35" s="415"/>
      <c r="K35"/>
      <c r="L35"/>
      <c r="M35"/>
      <c r="N35"/>
      <c r="O35"/>
      <c r="P35"/>
    </row>
    <row r="36" spans="1:16" s="42" customFormat="1" x14ac:dyDescent="0.25">
      <c r="A36" s="45" t="s">
        <v>111</v>
      </c>
      <c r="B36" s="54"/>
      <c r="C36" s="54" t="s">
        <v>64</v>
      </c>
      <c r="D36" s="85">
        <f t="shared" ref="D36:I36" si="4">+D17</f>
        <v>150000</v>
      </c>
      <c r="E36" s="85">
        <f t="shared" si="4"/>
        <v>300000</v>
      </c>
      <c r="F36" s="85">
        <f t="shared" si="4"/>
        <v>450000</v>
      </c>
      <c r="G36" s="85">
        <f t="shared" si="4"/>
        <v>300000</v>
      </c>
      <c r="H36" s="85">
        <f t="shared" si="4"/>
        <v>150000</v>
      </c>
      <c r="I36" s="85">
        <f t="shared" si="4"/>
        <v>0</v>
      </c>
      <c r="J36" s="415"/>
      <c r="K36"/>
      <c r="L36"/>
      <c r="M36"/>
      <c r="N36"/>
      <c r="O36"/>
      <c r="P36"/>
    </row>
    <row r="37" spans="1:16" s="42" customFormat="1" x14ac:dyDescent="0.25">
      <c r="A37" s="47" t="s">
        <v>409</v>
      </c>
      <c r="B37" s="47"/>
      <c r="C37" s="54" t="s">
        <v>17</v>
      </c>
      <c r="D37" s="48">
        <f>+D36*30%</f>
        <v>45000</v>
      </c>
      <c r="E37" s="48">
        <f>+E36*30%</f>
        <v>90000</v>
      </c>
      <c r="F37" s="70"/>
      <c r="G37" s="70"/>
      <c r="H37" s="70"/>
      <c r="I37" s="70"/>
      <c r="J37" s="415"/>
      <c r="K37"/>
      <c r="L37"/>
      <c r="M37"/>
      <c r="N37"/>
      <c r="O37"/>
      <c r="P37"/>
    </row>
    <row r="38" spans="1:16" s="42" customFormat="1" x14ac:dyDescent="0.25">
      <c r="A38" s="47" t="s">
        <v>409</v>
      </c>
      <c r="B38" s="47"/>
      <c r="C38" s="54" t="s">
        <v>65</v>
      </c>
      <c r="D38" s="70"/>
      <c r="E38" s="70"/>
      <c r="F38" s="48">
        <f>+G29+H29+I29</f>
        <v>124500.00000000001</v>
      </c>
      <c r="H38" s="48"/>
      <c r="I38" s="48"/>
      <c r="J38" s="415"/>
      <c r="K38"/>
      <c r="L38"/>
      <c r="M38"/>
      <c r="N38"/>
      <c r="O38"/>
      <c r="P38"/>
    </row>
    <row r="39" spans="1:16" s="42" customFormat="1" x14ac:dyDescent="0.25">
      <c r="A39" s="47" t="s">
        <v>409</v>
      </c>
      <c r="B39" s="47"/>
      <c r="C39" s="54" t="s">
        <v>66</v>
      </c>
      <c r="D39" s="70"/>
      <c r="E39" s="70"/>
      <c r="F39" s="70"/>
      <c r="G39" s="48">
        <f>+H29+I29</f>
        <v>82500</v>
      </c>
      <c r="H39" s="48"/>
      <c r="I39" s="48"/>
      <c r="J39" s="415"/>
      <c r="K39"/>
      <c r="L39"/>
      <c r="M39"/>
      <c r="N39"/>
      <c r="O39"/>
      <c r="P39"/>
    </row>
    <row r="40" spans="1:16" s="42" customFormat="1" x14ac:dyDescent="0.25">
      <c r="A40" s="47" t="s">
        <v>409</v>
      </c>
      <c r="B40" s="47"/>
      <c r="C40" s="54" t="s">
        <v>67</v>
      </c>
      <c r="D40" s="48"/>
      <c r="E40" s="48"/>
      <c r="F40" s="70"/>
      <c r="G40" s="70"/>
      <c r="H40" s="48">
        <f>+I29</f>
        <v>40500</v>
      </c>
      <c r="I40" s="47">
        <v>0</v>
      </c>
      <c r="J40" s="415"/>
      <c r="K40"/>
      <c r="L40"/>
      <c r="M40"/>
      <c r="N40"/>
      <c r="O40"/>
      <c r="P40"/>
    </row>
    <row r="41" spans="1:16" s="42" customFormat="1" x14ac:dyDescent="0.25">
      <c r="A41" s="47"/>
      <c r="B41" s="47"/>
      <c r="C41" s="47"/>
      <c r="D41" s="47"/>
      <c r="E41" s="47"/>
      <c r="F41" s="47"/>
      <c r="G41" s="194"/>
      <c r="H41" s="47"/>
      <c r="I41" s="47"/>
      <c r="J41" s="415"/>
      <c r="K41"/>
      <c r="L41"/>
      <c r="M41"/>
      <c r="N41"/>
      <c r="O41"/>
      <c r="P41"/>
    </row>
    <row r="42" spans="1:16" ht="15.95" customHeight="1" x14ac:dyDescent="0.25">
      <c r="A42" s="403" t="s">
        <v>899</v>
      </c>
      <c r="B42" s="403"/>
      <c r="C42" s="403"/>
      <c r="D42" s="403"/>
      <c r="E42" s="403"/>
      <c r="F42" s="403"/>
      <c r="G42" s="403"/>
      <c r="H42" s="403"/>
      <c r="I42" s="403"/>
      <c r="J42" s="415"/>
    </row>
    <row r="43" spans="1:16" s="42" customFormat="1" x14ac:dyDescent="0.25">
      <c r="A43" s="47"/>
      <c r="B43" s="47"/>
      <c r="C43" s="47"/>
      <c r="D43" s="47"/>
      <c r="E43" s="47"/>
      <c r="F43" s="47"/>
      <c r="G43" s="78"/>
      <c r="H43" s="78"/>
      <c r="I43" s="220" t="s">
        <v>77</v>
      </c>
      <c r="J43" s="415"/>
      <c r="K43"/>
      <c r="L43"/>
      <c r="M43"/>
      <c r="N43"/>
      <c r="O43"/>
      <c r="P43"/>
    </row>
    <row r="44" spans="1:16" s="42" customFormat="1" x14ac:dyDescent="0.25">
      <c r="A44" s="219" t="s">
        <v>71</v>
      </c>
      <c r="B44" s="47"/>
      <c r="C44" s="47"/>
      <c r="D44" s="47"/>
      <c r="E44" s="47"/>
      <c r="F44" s="47"/>
      <c r="G44" s="220" t="s">
        <v>68</v>
      </c>
      <c r="H44" s="220" t="s">
        <v>28</v>
      </c>
      <c r="I44" s="220" t="s">
        <v>409</v>
      </c>
      <c r="J44" s="415"/>
      <c r="K44"/>
      <c r="L44"/>
      <c r="M44"/>
      <c r="N44"/>
      <c r="O44"/>
      <c r="P44"/>
    </row>
    <row r="45" spans="1:16" s="42" customFormat="1" x14ac:dyDescent="0.25">
      <c r="A45" s="47" t="s">
        <v>69</v>
      </c>
      <c r="B45" s="47"/>
      <c r="C45" s="47"/>
      <c r="D45" s="47"/>
      <c r="E45" s="47"/>
      <c r="F45" s="47"/>
      <c r="G45" s="48">
        <f>+H46</f>
        <v>45000</v>
      </c>
      <c r="H45" s="47"/>
      <c r="I45" s="78"/>
      <c r="J45" s="415"/>
      <c r="K45"/>
      <c r="L45"/>
      <c r="M45"/>
      <c r="N45"/>
      <c r="O45"/>
      <c r="P45"/>
    </row>
    <row r="46" spans="1:16" s="42" customFormat="1" x14ac:dyDescent="0.25">
      <c r="A46" s="47" t="s">
        <v>70</v>
      </c>
      <c r="B46" s="47"/>
      <c r="C46" s="47"/>
      <c r="D46" s="47"/>
      <c r="E46" s="47"/>
      <c r="F46" s="47"/>
      <c r="G46" s="47"/>
      <c r="H46" s="48">
        <f>+'S-7'!D37</f>
        <v>45000</v>
      </c>
      <c r="I46" s="78">
        <f>+H46</f>
        <v>45000</v>
      </c>
      <c r="J46" s="415"/>
      <c r="K46"/>
      <c r="L46"/>
      <c r="M46"/>
      <c r="N46"/>
      <c r="O46"/>
      <c r="P46"/>
    </row>
    <row r="47" spans="1:16" s="42" customFormat="1" x14ac:dyDescent="0.25">
      <c r="A47" s="219" t="s">
        <v>72</v>
      </c>
      <c r="B47" s="47"/>
      <c r="C47" s="47"/>
      <c r="D47" s="47"/>
      <c r="E47" s="47"/>
      <c r="F47" s="47"/>
      <c r="G47" s="78"/>
      <c r="H47" s="78"/>
      <c r="I47" s="78"/>
      <c r="J47" s="415"/>
      <c r="K47"/>
      <c r="L47"/>
      <c r="M47"/>
      <c r="N47"/>
      <c r="O47"/>
      <c r="P47"/>
    </row>
    <row r="48" spans="1:16" s="42" customFormat="1" x14ac:dyDescent="0.25">
      <c r="A48" s="47" t="s">
        <v>69</v>
      </c>
      <c r="B48" s="47"/>
      <c r="C48" s="47"/>
      <c r="D48" s="47"/>
      <c r="E48" s="47"/>
      <c r="F48" s="47"/>
      <c r="G48" s="48">
        <f>+H49</f>
        <v>45000</v>
      </c>
      <c r="H48" s="47"/>
      <c r="I48" s="78"/>
      <c r="J48" s="415"/>
      <c r="K48"/>
      <c r="L48"/>
      <c r="M48"/>
      <c r="N48"/>
      <c r="O48"/>
      <c r="P48"/>
    </row>
    <row r="49" spans="1:16" s="42" customFormat="1" x14ac:dyDescent="0.25">
      <c r="A49" s="47" t="s">
        <v>70</v>
      </c>
      <c r="B49" s="47"/>
      <c r="C49" s="47"/>
      <c r="D49" s="47"/>
      <c r="E49" s="47"/>
      <c r="F49" s="47"/>
      <c r="G49" s="47"/>
      <c r="H49" s="48">
        <f>+'S-7'!E37-'S-7'!D37</f>
        <v>45000</v>
      </c>
      <c r="I49" s="78">
        <f>+I46+H49</f>
        <v>90000</v>
      </c>
      <c r="J49" s="415"/>
      <c r="K49"/>
      <c r="L49"/>
      <c r="M49"/>
      <c r="N49"/>
      <c r="O49"/>
      <c r="P49"/>
    </row>
    <row r="50" spans="1:16" s="42" customFormat="1" x14ac:dyDescent="0.25">
      <c r="A50" s="219" t="s">
        <v>73</v>
      </c>
      <c r="B50" s="47"/>
      <c r="C50" s="47"/>
      <c r="D50" s="47"/>
      <c r="E50" s="47"/>
      <c r="F50" s="47"/>
      <c r="G50" s="78"/>
      <c r="H50" s="78"/>
      <c r="I50" s="78"/>
      <c r="J50" s="415"/>
      <c r="K50"/>
      <c r="L50"/>
      <c r="M50"/>
      <c r="N50"/>
      <c r="O50"/>
      <c r="P50"/>
    </row>
    <row r="51" spans="1:16" s="42" customFormat="1" x14ac:dyDescent="0.25">
      <c r="A51" s="47" t="s">
        <v>69</v>
      </c>
      <c r="B51" s="47"/>
      <c r="C51" s="47"/>
      <c r="D51" s="47"/>
      <c r="E51" s="47"/>
      <c r="F51" s="47"/>
      <c r="G51" s="48">
        <f>+'S-7'!F38-G48-G45</f>
        <v>34500.000000000015</v>
      </c>
      <c r="H51" s="47"/>
      <c r="I51" s="78"/>
      <c r="J51" s="415"/>
      <c r="K51"/>
      <c r="L51"/>
      <c r="M51"/>
      <c r="N51"/>
      <c r="O51"/>
      <c r="P51"/>
    </row>
    <row r="52" spans="1:16" s="42" customFormat="1" x14ac:dyDescent="0.25">
      <c r="A52" s="47" t="s">
        <v>70</v>
      </c>
      <c r="B52" s="47"/>
      <c r="C52" s="47"/>
      <c r="D52" s="47"/>
      <c r="E52" s="47"/>
      <c r="F52" s="47"/>
      <c r="G52" s="47"/>
      <c r="H52" s="48">
        <f>+'S-7'!F38-'S-7'!E37</f>
        <v>34500.000000000015</v>
      </c>
      <c r="I52" s="78">
        <f>+I49+H52</f>
        <v>124500.00000000001</v>
      </c>
      <c r="J52" s="415"/>
      <c r="K52"/>
      <c r="L52"/>
      <c r="M52"/>
      <c r="N52"/>
      <c r="O52"/>
      <c r="P52"/>
    </row>
    <row r="53" spans="1:16" s="42" customFormat="1" x14ac:dyDescent="0.25">
      <c r="A53" s="219" t="s">
        <v>74</v>
      </c>
      <c r="B53" s="47"/>
      <c r="C53" s="47"/>
      <c r="D53" s="47"/>
      <c r="E53" s="47"/>
      <c r="F53" s="47"/>
      <c r="G53" s="78"/>
      <c r="H53" s="78"/>
      <c r="I53" s="78"/>
      <c r="J53" s="415"/>
      <c r="K53"/>
      <c r="L53"/>
      <c r="M53"/>
      <c r="N53"/>
      <c r="O53"/>
      <c r="P53"/>
    </row>
    <row r="54" spans="1:16" s="42" customFormat="1" x14ac:dyDescent="0.25">
      <c r="A54" s="47" t="s">
        <v>70</v>
      </c>
      <c r="B54" s="47"/>
      <c r="C54" s="47"/>
      <c r="D54" s="47"/>
      <c r="E54" s="47"/>
      <c r="F54" s="47"/>
      <c r="G54" s="48">
        <f>+'S-7'!F38-'S-7'!G39</f>
        <v>42000.000000000015</v>
      </c>
      <c r="H54" s="47"/>
      <c r="I54" s="78">
        <f>+I52-G54</f>
        <v>82500</v>
      </c>
      <c r="J54" s="415"/>
      <c r="K54"/>
      <c r="L54"/>
      <c r="M54"/>
      <c r="N54"/>
      <c r="O54"/>
      <c r="P54"/>
    </row>
    <row r="55" spans="1:16" s="42" customFormat="1" x14ac:dyDescent="0.25">
      <c r="A55" s="47" t="s">
        <v>69</v>
      </c>
      <c r="B55" s="47"/>
      <c r="C55" s="47"/>
      <c r="D55" s="47"/>
      <c r="E55" s="47"/>
      <c r="F55" s="47"/>
      <c r="G55" s="47"/>
      <c r="H55" s="48">
        <f>+'S-7'!F38-'S-7'!G39</f>
        <v>42000.000000000015</v>
      </c>
      <c r="I55" s="47"/>
      <c r="J55" s="415"/>
      <c r="K55"/>
      <c r="L55"/>
      <c r="M55"/>
      <c r="N55"/>
      <c r="O55"/>
      <c r="P55"/>
    </row>
    <row r="56" spans="1:16" s="42" customFormat="1" x14ac:dyDescent="0.25">
      <c r="A56" s="219" t="s">
        <v>75</v>
      </c>
      <c r="B56" s="47"/>
      <c r="C56" s="47"/>
      <c r="D56" s="47"/>
      <c r="E56" s="47"/>
      <c r="F56" s="47"/>
      <c r="G56" s="78"/>
      <c r="H56" s="78"/>
      <c r="I56" s="78"/>
      <c r="J56" s="415"/>
      <c r="K56"/>
      <c r="L56"/>
      <c r="M56"/>
      <c r="N56"/>
      <c r="O56"/>
      <c r="P56"/>
    </row>
    <row r="57" spans="1:16" s="42" customFormat="1" x14ac:dyDescent="0.25">
      <c r="A57" s="47" t="s">
        <v>70</v>
      </c>
      <c r="B57" s="47"/>
      <c r="C57" s="47"/>
      <c r="D57" s="47"/>
      <c r="E57" s="47"/>
      <c r="F57" s="47"/>
      <c r="G57" s="48">
        <f>+H58</f>
        <v>42000</v>
      </c>
      <c r="H57" s="47"/>
      <c r="I57" s="78">
        <f>+I54-G57</f>
        <v>40500</v>
      </c>
      <c r="J57" s="415"/>
      <c r="K57"/>
      <c r="L57"/>
      <c r="M57"/>
      <c r="N57"/>
      <c r="O57"/>
      <c r="P57"/>
    </row>
    <row r="58" spans="1:16" s="42" customFormat="1" x14ac:dyDescent="0.25">
      <c r="A58" s="47" t="s">
        <v>69</v>
      </c>
      <c r="B58" s="47"/>
      <c r="C58" s="47"/>
      <c r="D58" s="47"/>
      <c r="E58" s="47"/>
      <c r="F58" s="47"/>
      <c r="G58" s="47"/>
      <c r="H58" s="48">
        <f>+'S-7'!G39-'S-7'!H40</f>
        <v>42000</v>
      </c>
      <c r="I58" s="78"/>
      <c r="J58" s="415"/>
      <c r="K58"/>
      <c r="L58"/>
      <c r="M58"/>
      <c r="N58"/>
      <c r="O58"/>
      <c r="P58"/>
    </row>
    <row r="59" spans="1:16" s="42" customFormat="1" x14ac:dyDescent="0.25">
      <c r="A59" s="219" t="s">
        <v>76</v>
      </c>
      <c r="B59" s="47"/>
      <c r="C59" s="47"/>
      <c r="D59" s="47"/>
      <c r="E59" s="47"/>
      <c r="F59" s="47"/>
      <c r="G59" s="78"/>
      <c r="H59" s="78"/>
      <c r="I59" s="78"/>
      <c r="J59" s="415"/>
      <c r="K59"/>
      <c r="L59"/>
      <c r="M59"/>
      <c r="N59"/>
      <c r="O59"/>
      <c r="P59"/>
    </row>
    <row r="60" spans="1:16" s="42" customFormat="1" x14ac:dyDescent="0.25">
      <c r="A60" s="47" t="s">
        <v>70</v>
      </c>
      <c r="B60" s="47"/>
      <c r="C60" s="47"/>
      <c r="D60" s="47"/>
      <c r="E60" s="47"/>
      <c r="F60" s="47"/>
      <c r="G60" s="48">
        <f>+H61</f>
        <v>40500</v>
      </c>
      <c r="H60" s="47"/>
      <c r="I60" s="78">
        <f>+I57-G60</f>
        <v>0</v>
      </c>
      <c r="J60" s="415"/>
      <c r="K60"/>
      <c r="L60"/>
      <c r="M60"/>
      <c r="N60"/>
      <c r="O60"/>
      <c r="P60"/>
    </row>
    <row r="61" spans="1:16" s="42" customFormat="1" x14ac:dyDescent="0.25">
      <c r="A61" s="47" t="s">
        <v>69</v>
      </c>
      <c r="B61" s="47"/>
      <c r="C61" s="47"/>
      <c r="D61" s="47"/>
      <c r="E61" s="47"/>
      <c r="F61" s="47"/>
      <c r="G61" s="47"/>
      <c r="H61" s="48">
        <f>+'S-7'!H40-'S-7'!I40</f>
        <v>40500</v>
      </c>
      <c r="I61" s="78"/>
      <c r="J61" s="415"/>
      <c r="K61"/>
      <c r="L61"/>
      <c r="M61"/>
      <c r="N61"/>
      <c r="O61"/>
      <c r="P61"/>
    </row>
    <row r="62" spans="1:16" s="42" customFormat="1" x14ac:dyDescent="0.25">
      <c r="A62" s="47"/>
      <c r="B62" s="47"/>
      <c r="C62" s="47"/>
      <c r="D62" s="47"/>
      <c r="E62" s="47"/>
      <c r="F62" s="47"/>
      <c r="G62" s="78"/>
      <c r="H62" s="78"/>
      <c r="I62" s="47"/>
      <c r="J62" s="415"/>
      <c r="K62"/>
      <c r="L62"/>
      <c r="M62"/>
      <c r="N62"/>
      <c r="O62"/>
      <c r="P62"/>
    </row>
    <row r="63" spans="1:16" ht="15.95" hidden="1" customHeight="1" x14ac:dyDescent="0.25">
      <c r="A63" s="403" t="s">
        <v>900</v>
      </c>
      <c r="B63" s="403"/>
      <c r="C63" s="403"/>
      <c r="D63" s="403"/>
      <c r="E63" s="403"/>
      <c r="F63" s="403"/>
      <c r="G63" s="403"/>
      <c r="H63" s="403"/>
      <c r="I63" s="403"/>
      <c r="J63" s="415"/>
    </row>
    <row r="64" spans="1:16" hidden="1" x14ac:dyDescent="0.25">
      <c r="A64" s="47"/>
      <c r="B64" s="47"/>
      <c r="C64" s="47"/>
      <c r="D64" s="210" t="s">
        <v>56</v>
      </c>
      <c r="E64" s="211"/>
      <c r="F64" s="211"/>
      <c r="G64" s="211" t="s">
        <v>57</v>
      </c>
      <c r="H64" s="78"/>
      <c r="I64" s="47"/>
      <c r="J64" s="415"/>
    </row>
    <row r="65" spans="1:14" hidden="1" x14ac:dyDescent="0.25">
      <c r="A65" s="47"/>
      <c r="B65" s="47"/>
      <c r="C65" s="47"/>
      <c r="D65" s="216">
        <v>2015</v>
      </c>
      <c r="E65" s="212"/>
      <c r="F65" s="212"/>
      <c r="G65" s="212">
        <v>0.28000000000000003</v>
      </c>
      <c r="H65" s="78"/>
      <c r="I65" s="47"/>
      <c r="J65" s="415"/>
    </row>
    <row r="66" spans="1:14" hidden="1" x14ac:dyDescent="0.25">
      <c r="A66" s="47"/>
      <c r="B66" s="47"/>
      <c r="C66" s="47"/>
      <c r="D66" s="217">
        <v>2016</v>
      </c>
      <c r="E66" s="212"/>
      <c r="F66" s="212"/>
      <c r="G66" s="212">
        <v>0.25</v>
      </c>
      <c r="H66" s="78"/>
      <c r="I66" s="47"/>
      <c r="J66" s="415"/>
    </row>
    <row r="67" spans="1:14" hidden="1" x14ac:dyDescent="0.25">
      <c r="A67" s="47"/>
      <c r="B67" s="47"/>
      <c r="C67" s="47"/>
      <c r="D67" s="217">
        <v>2017</v>
      </c>
      <c r="E67" s="212"/>
      <c r="F67" s="212"/>
      <c r="G67" s="212">
        <v>0.22</v>
      </c>
      <c r="H67" s="78"/>
      <c r="I67" s="47"/>
      <c r="J67" s="415"/>
    </row>
    <row r="68" spans="1:14" s="15" customFormat="1" hidden="1" x14ac:dyDescent="0.25">
      <c r="A68" s="47"/>
      <c r="B68" s="47"/>
      <c r="C68" s="47"/>
      <c r="D68" s="217">
        <v>2018</v>
      </c>
      <c r="E68" s="212"/>
      <c r="F68" s="212"/>
      <c r="G68" s="212">
        <v>0.2</v>
      </c>
      <c r="H68" s="78"/>
      <c r="I68" s="47"/>
      <c r="J68" s="415"/>
    </row>
    <row r="69" spans="1:14" hidden="1" x14ac:dyDescent="0.25">
      <c r="A69" s="92"/>
      <c r="B69" s="47"/>
      <c r="C69" s="47"/>
      <c r="D69" s="47"/>
      <c r="E69" s="47"/>
      <c r="F69" s="78"/>
      <c r="G69" s="78"/>
      <c r="H69" s="78"/>
      <c r="I69" s="47"/>
      <c r="J69" s="415"/>
    </row>
    <row r="70" spans="1:14" hidden="1" x14ac:dyDescent="0.25">
      <c r="A70" s="47"/>
      <c r="B70" s="47"/>
      <c r="C70" s="368"/>
      <c r="D70" s="222"/>
      <c r="E70" s="222"/>
      <c r="F70" s="222" t="s">
        <v>33</v>
      </c>
      <c r="G70" s="222" t="s">
        <v>738</v>
      </c>
      <c r="H70" s="222"/>
      <c r="I70" s="47"/>
      <c r="J70" s="415"/>
    </row>
    <row r="71" spans="1:14" hidden="1" x14ac:dyDescent="0.25">
      <c r="A71" s="47"/>
      <c r="B71" s="47"/>
      <c r="C71" s="368" t="s">
        <v>56</v>
      </c>
      <c r="D71" s="222" t="s">
        <v>57</v>
      </c>
      <c r="E71" s="222"/>
      <c r="F71" s="222" t="s">
        <v>78</v>
      </c>
      <c r="G71" s="222" t="s">
        <v>739</v>
      </c>
      <c r="H71" s="222" t="s">
        <v>408</v>
      </c>
      <c r="I71" s="47"/>
      <c r="J71" s="415"/>
      <c r="N71" s="324"/>
    </row>
    <row r="72" spans="1:14" hidden="1" x14ac:dyDescent="0.25">
      <c r="A72" s="47"/>
      <c r="B72" s="47"/>
      <c r="C72" s="366">
        <v>2015</v>
      </c>
      <c r="D72" s="212">
        <v>0.28000000000000003</v>
      </c>
      <c r="E72" s="212"/>
      <c r="F72" s="221">
        <v>2000000</v>
      </c>
      <c r="G72" s="221">
        <f>+F72</f>
        <v>2000000</v>
      </c>
      <c r="H72" s="369">
        <f>+D72*G72</f>
        <v>560000</v>
      </c>
      <c r="I72" s="47"/>
      <c r="J72" s="415"/>
      <c r="N72" s="324"/>
    </row>
    <row r="73" spans="1:14" hidden="1" x14ac:dyDescent="0.25">
      <c r="A73" s="47"/>
      <c r="B73" s="47"/>
      <c r="C73" s="367">
        <v>2016</v>
      </c>
      <c r="D73" s="212">
        <v>0.25</v>
      </c>
      <c r="E73" s="212"/>
      <c r="F73" s="221">
        <v>3000000</v>
      </c>
      <c r="G73" s="221">
        <f>+F73</f>
        <v>3000000</v>
      </c>
      <c r="H73" s="370">
        <f>+D73*G73</f>
        <v>750000</v>
      </c>
      <c r="I73" s="47"/>
      <c r="J73" s="415"/>
    </row>
    <row r="74" spans="1:14" hidden="1" x14ac:dyDescent="0.25">
      <c r="A74" s="47"/>
      <c r="B74" s="47"/>
      <c r="C74" s="367">
        <v>2017</v>
      </c>
      <c r="D74" s="212">
        <v>0.22</v>
      </c>
      <c r="E74" s="212"/>
      <c r="F74" s="221">
        <v>3000000</v>
      </c>
      <c r="G74" s="221">
        <f>+F74</f>
        <v>3000000</v>
      </c>
      <c r="H74" s="371">
        <f>+D74*G74</f>
        <v>660000</v>
      </c>
      <c r="I74" s="372">
        <f>SUM(H72:H74)</f>
        <v>1970000</v>
      </c>
      <c r="J74" s="415"/>
    </row>
    <row r="75" spans="1:14" hidden="1" x14ac:dyDescent="0.25">
      <c r="A75" s="47"/>
      <c r="B75" s="47"/>
      <c r="C75" s="367">
        <v>2018</v>
      </c>
      <c r="D75" s="212">
        <v>0.2</v>
      </c>
      <c r="E75" s="212"/>
      <c r="F75" s="221">
        <v>4000000</v>
      </c>
      <c r="G75" s="221">
        <v>2000000</v>
      </c>
      <c r="H75" s="221">
        <f>+D75*G75</f>
        <v>400000</v>
      </c>
      <c r="I75" s="47"/>
      <c r="J75" s="415"/>
    </row>
    <row r="76" spans="1:14" hidden="1" x14ac:dyDescent="0.25">
      <c r="A76" s="47"/>
      <c r="B76" s="47"/>
      <c r="C76" s="213"/>
      <c r="D76" s="222"/>
      <c r="E76" s="222"/>
      <c r="F76" s="223">
        <f>SUM(F72:F75)</f>
        <v>12000000</v>
      </c>
      <c r="G76" s="223">
        <f>SUM(G72:G75)</f>
        <v>10000000</v>
      </c>
      <c r="H76" s="223">
        <f>SUM(H72:H75)</f>
        <v>2370000</v>
      </c>
      <c r="I76" s="47"/>
      <c r="J76" s="415"/>
    </row>
    <row r="77" spans="1:14" hidden="1" x14ac:dyDescent="0.25">
      <c r="A77" s="47"/>
      <c r="B77" s="47"/>
      <c r="C77" s="47"/>
      <c r="D77" s="47"/>
      <c r="E77" s="47"/>
      <c r="F77" s="47"/>
      <c r="G77" s="47"/>
      <c r="H77" s="47"/>
      <c r="I77" s="47"/>
      <c r="J77" s="415"/>
    </row>
    <row r="78" spans="1:14" ht="15.95" hidden="1" customHeight="1" x14ac:dyDescent="0.25">
      <c r="A78" s="403" t="s">
        <v>900</v>
      </c>
      <c r="B78" s="403"/>
      <c r="C78" s="403"/>
      <c r="D78" s="403"/>
      <c r="E78" s="403"/>
      <c r="F78" s="403"/>
      <c r="G78" s="403"/>
      <c r="H78" s="403"/>
      <c r="I78" s="403"/>
      <c r="J78" s="415"/>
    </row>
    <row r="79" spans="1:14" hidden="1" x14ac:dyDescent="0.25">
      <c r="A79" s="54"/>
      <c r="B79" s="54"/>
      <c r="C79" s="54"/>
      <c r="D79" s="54"/>
      <c r="E79" s="54"/>
      <c r="F79" s="54"/>
      <c r="G79" s="98">
        <v>2013</v>
      </c>
      <c r="H79" s="98">
        <f>+G79+1</f>
        <v>2014</v>
      </c>
      <c r="I79" s="54"/>
      <c r="J79" s="415"/>
    </row>
    <row r="80" spans="1:14" hidden="1" x14ac:dyDescent="0.25">
      <c r="A80" s="54"/>
      <c r="B80" s="54"/>
      <c r="C80" s="54" t="s">
        <v>80</v>
      </c>
      <c r="D80" s="54"/>
      <c r="E80" s="54"/>
      <c r="F80" s="54"/>
      <c r="G80" s="98" t="s">
        <v>1</v>
      </c>
      <c r="H80" s="98" t="s">
        <v>1</v>
      </c>
      <c r="I80" s="54"/>
      <c r="J80" s="415"/>
    </row>
    <row r="81" spans="1:10" hidden="1" x14ac:dyDescent="0.25">
      <c r="A81" s="54"/>
      <c r="B81" s="54"/>
      <c r="C81" s="54" t="s">
        <v>0</v>
      </c>
      <c r="D81" s="54"/>
      <c r="E81" s="54"/>
      <c r="F81" s="54"/>
      <c r="G81" s="67">
        <v>300000</v>
      </c>
      <c r="H81" s="67">
        <f>+G84</f>
        <v>500000</v>
      </c>
      <c r="I81" s="54"/>
      <c r="J81" s="415"/>
    </row>
    <row r="82" spans="1:10" hidden="1" x14ac:dyDescent="0.25">
      <c r="A82" s="47"/>
      <c r="B82" s="47"/>
      <c r="C82" s="47" t="s">
        <v>81</v>
      </c>
      <c r="D82" s="47"/>
      <c r="E82" s="47"/>
      <c r="F82" s="47"/>
      <c r="G82" s="48">
        <v>200000</v>
      </c>
      <c r="H82" s="48">
        <v>300000</v>
      </c>
      <c r="I82" s="47"/>
      <c r="J82" s="415"/>
    </row>
    <row r="83" spans="1:10" hidden="1" x14ac:dyDescent="0.25">
      <c r="A83" s="47"/>
      <c r="B83" s="47"/>
      <c r="C83" s="47" t="s">
        <v>83</v>
      </c>
      <c r="D83" s="47"/>
      <c r="E83" s="47"/>
      <c r="F83" s="47"/>
      <c r="G83" s="78">
        <v>0</v>
      </c>
      <c r="H83" s="78">
        <f>-G82</f>
        <v>-200000</v>
      </c>
      <c r="I83" s="47"/>
      <c r="J83" s="415"/>
    </row>
    <row r="84" spans="1:10" hidden="1" x14ac:dyDescent="0.25">
      <c r="A84" s="54"/>
      <c r="B84" s="54"/>
      <c r="C84" s="54" t="s">
        <v>2</v>
      </c>
      <c r="D84" s="54"/>
      <c r="E84" s="54"/>
      <c r="F84" s="54"/>
      <c r="G84" s="67">
        <f>SUM(G81:G83)</f>
        <v>500000</v>
      </c>
      <c r="H84" s="67">
        <f>SUM(H81:H83)</f>
        <v>600000</v>
      </c>
      <c r="I84" s="54"/>
      <c r="J84" s="415"/>
    </row>
    <row r="85" spans="1:10" hidden="1" x14ac:dyDescent="0.25">
      <c r="A85" s="47"/>
      <c r="B85" s="47"/>
      <c r="C85" s="47"/>
      <c r="D85" s="47"/>
      <c r="E85" s="47"/>
      <c r="F85" s="47"/>
      <c r="G85" s="47"/>
      <c r="H85" s="47"/>
      <c r="I85" s="47"/>
      <c r="J85" s="415"/>
    </row>
    <row r="86" spans="1:10" hidden="1" x14ac:dyDescent="0.25">
      <c r="A86" s="54"/>
      <c r="B86" s="54"/>
      <c r="C86" s="54"/>
      <c r="D86" s="54"/>
      <c r="E86" s="54"/>
      <c r="F86" s="98">
        <v>2012</v>
      </c>
      <c r="G86" s="98">
        <f>+F86+1</f>
        <v>2013</v>
      </c>
      <c r="H86" s="98">
        <f>+G86+1</f>
        <v>2014</v>
      </c>
      <c r="I86" s="54"/>
      <c r="J86" s="415"/>
    </row>
    <row r="87" spans="1:10" hidden="1" x14ac:dyDescent="0.25">
      <c r="A87" s="54"/>
      <c r="B87" s="54"/>
      <c r="C87" s="54"/>
      <c r="D87" s="54"/>
      <c r="E87" s="54"/>
      <c r="F87" s="98" t="s">
        <v>1</v>
      </c>
      <c r="G87" s="98" t="s">
        <v>1</v>
      </c>
      <c r="H87" s="98" t="s">
        <v>1</v>
      </c>
      <c r="I87" s="54"/>
      <c r="J87" s="415"/>
    </row>
    <row r="88" spans="1:10" hidden="1" x14ac:dyDescent="0.25">
      <c r="A88" s="47"/>
      <c r="B88" s="47" t="s">
        <v>9</v>
      </c>
      <c r="C88" s="47"/>
      <c r="D88" s="47"/>
      <c r="E88" s="47"/>
      <c r="F88" s="48">
        <f>+G81</f>
        <v>300000</v>
      </c>
      <c r="G88" s="48">
        <f>+G84</f>
        <v>500000</v>
      </c>
      <c r="H88" s="48">
        <f>+H84</f>
        <v>600000</v>
      </c>
      <c r="I88" s="47"/>
      <c r="J88" s="415"/>
    </row>
    <row r="89" spans="1:10" hidden="1" x14ac:dyDescent="0.25">
      <c r="A89" s="47"/>
      <c r="B89" s="47" t="s">
        <v>84</v>
      </c>
      <c r="C89" s="47"/>
      <c r="D89" s="47"/>
      <c r="E89" s="47"/>
      <c r="F89" s="48">
        <f>+F88*30%</f>
        <v>90000</v>
      </c>
      <c r="G89" s="48">
        <f>+G88*30%</f>
        <v>150000</v>
      </c>
      <c r="H89" s="48"/>
      <c r="I89" s="47"/>
      <c r="J89" s="415"/>
    </row>
    <row r="90" spans="1:10" hidden="1" x14ac:dyDescent="0.25">
      <c r="A90" s="47"/>
      <c r="B90" s="47" t="s">
        <v>85</v>
      </c>
      <c r="C90" s="47"/>
      <c r="D90" s="47"/>
      <c r="E90" s="47"/>
      <c r="F90" s="78"/>
      <c r="G90" s="78"/>
      <c r="H90" s="78">
        <f>+H88*28%</f>
        <v>168000.00000000003</v>
      </c>
      <c r="I90" s="47"/>
      <c r="J90" s="415"/>
    </row>
    <row r="91" spans="1:10" hidden="1" x14ac:dyDescent="0.25">
      <c r="A91" s="47"/>
      <c r="B91" s="47"/>
      <c r="C91" s="47"/>
      <c r="D91" s="47"/>
      <c r="E91" s="47"/>
      <c r="F91" s="47"/>
      <c r="G91" s="47"/>
      <c r="H91" s="47"/>
      <c r="I91" s="47"/>
      <c r="J91" s="415"/>
    </row>
    <row r="92" spans="1:10" hidden="1" x14ac:dyDescent="0.25">
      <c r="A92" s="54"/>
      <c r="B92" s="54"/>
      <c r="C92" s="54"/>
      <c r="D92" s="54"/>
      <c r="E92" s="54"/>
      <c r="F92" s="54"/>
      <c r="G92" s="85"/>
      <c r="H92" s="85"/>
      <c r="I92" s="224" t="s">
        <v>77</v>
      </c>
      <c r="J92" s="415"/>
    </row>
    <row r="93" spans="1:10" hidden="1" x14ac:dyDescent="0.25">
      <c r="A93" s="54"/>
      <c r="B93" s="54"/>
      <c r="C93" s="54"/>
      <c r="D93" s="54"/>
      <c r="E93" s="54"/>
      <c r="F93" s="54"/>
      <c r="G93" s="224" t="s">
        <v>68</v>
      </c>
      <c r="H93" s="224" t="s">
        <v>28</v>
      </c>
      <c r="I93" s="224" t="s">
        <v>86</v>
      </c>
      <c r="J93" s="415"/>
    </row>
    <row r="94" spans="1:10" hidden="1" x14ac:dyDescent="0.25">
      <c r="A94" s="54"/>
      <c r="B94" s="225" t="s">
        <v>71</v>
      </c>
      <c r="C94" s="54"/>
      <c r="D94" s="54"/>
      <c r="E94" s="54"/>
      <c r="F94" s="54"/>
      <c r="G94" s="224"/>
      <c r="H94" s="224"/>
      <c r="I94" s="224"/>
      <c r="J94" s="415"/>
    </row>
    <row r="95" spans="1:10" hidden="1" x14ac:dyDescent="0.25">
      <c r="A95" s="47"/>
      <c r="B95" s="47" t="s">
        <v>29</v>
      </c>
      <c r="C95" s="47"/>
      <c r="D95" s="47"/>
      <c r="E95" s="47"/>
      <c r="F95" s="47"/>
      <c r="G95" s="48">
        <f>+F89</f>
        <v>90000</v>
      </c>
      <c r="H95" s="47"/>
      <c r="I95" s="78">
        <f>+G95</f>
        <v>90000</v>
      </c>
      <c r="J95" s="415"/>
    </row>
    <row r="96" spans="1:10" hidden="1" x14ac:dyDescent="0.25">
      <c r="A96" s="47"/>
      <c r="B96" s="47" t="s">
        <v>69</v>
      </c>
      <c r="C96" s="47"/>
      <c r="D96" s="47"/>
      <c r="E96" s="47"/>
      <c r="F96" s="47"/>
      <c r="G96" s="47"/>
      <c r="H96" s="48">
        <f>+G95</f>
        <v>90000</v>
      </c>
      <c r="I96" s="78"/>
      <c r="J96" s="415"/>
    </row>
    <row r="97" spans="1:10" hidden="1" x14ac:dyDescent="0.25">
      <c r="A97" s="54"/>
      <c r="B97" s="225" t="s">
        <v>72</v>
      </c>
      <c r="C97" s="54"/>
      <c r="D97" s="54"/>
      <c r="E97" s="54"/>
      <c r="F97" s="54"/>
      <c r="G97" s="224"/>
      <c r="H97" s="224"/>
      <c r="I97" s="85"/>
      <c r="J97" s="415"/>
    </row>
    <row r="98" spans="1:10" hidden="1" x14ac:dyDescent="0.25">
      <c r="A98" s="47"/>
      <c r="B98" s="47" t="s">
        <v>29</v>
      </c>
      <c r="C98" s="47"/>
      <c r="D98" s="47"/>
      <c r="E98" s="47"/>
      <c r="F98" s="47"/>
      <c r="G98" s="48">
        <f>+G89-F89</f>
        <v>60000</v>
      </c>
      <c r="H98" s="47"/>
      <c r="I98" s="78">
        <f>+I95+G98</f>
        <v>150000</v>
      </c>
      <c r="J98" s="415"/>
    </row>
    <row r="99" spans="1:10" hidden="1" x14ac:dyDescent="0.25">
      <c r="A99" s="47"/>
      <c r="B99" s="47" t="s">
        <v>69</v>
      </c>
      <c r="C99" s="47"/>
      <c r="D99" s="47"/>
      <c r="E99" s="47"/>
      <c r="F99" s="47"/>
      <c r="G99" s="47"/>
      <c r="H99" s="48">
        <f>+G98</f>
        <v>60000</v>
      </c>
      <c r="I99" s="78"/>
      <c r="J99" s="415"/>
    </row>
    <row r="100" spans="1:10" hidden="1" x14ac:dyDescent="0.25">
      <c r="A100" s="54"/>
      <c r="B100" s="225" t="s">
        <v>73</v>
      </c>
      <c r="C100" s="54"/>
      <c r="D100" s="54"/>
      <c r="E100" s="54"/>
      <c r="F100" s="54"/>
      <c r="G100" s="224"/>
      <c r="H100" s="224"/>
      <c r="I100" s="85"/>
      <c r="J100" s="415"/>
    </row>
    <row r="101" spans="1:10" hidden="1" x14ac:dyDescent="0.25">
      <c r="A101" s="47"/>
      <c r="B101" s="47" t="s">
        <v>29</v>
      </c>
      <c r="C101" s="47"/>
      <c r="D101" s="47"/>
      <c r="E101" s="47"/>
      <c r="F101" s="47"/>
      <c r="G101" s="48">
        <f>+H90-G89</f>
        <v>18000.000000000029</v>
      </c>
      <c r="H101" s="47"/>
      <c r="I101" s="78">
        <f>+I98+G101</f>
        <v>168000.00000000003</v>
      </c>
      <c r="J101" s="415"/>
    </row>
    <row r="102" spans="1:10" hidden="1" x14ac:dyDescent="0.25">
      <c r="A102" s="47"/>
      <c r="B102" s="47" t="s">
        <v>69</v>
      </c>
      <c r="C102" s="47"/>
      <c r="D102" s="47"/>
      <c r="E102" s="47"/>
      <c r="F102" s="47"/>
      <c r="G102" s="47"/>
      <c r="H102" s="48">
        <f>+G101</f>
        <v>18000.000000000029</v>
      </c>
      <c r="I102" s="78"/>
      <c r="J102" s="415"/>
    </row>
    <row r="103" spans="1:10" hidden="1" x14ac:dyDescent="0.25">
      <c r="J103" s="415"/>
    </row>
    <row r="104" spans="1:10" hidden="1" x14ac:dyDescent="0.25">
      <c r="J104" s="415"/>
    </row>
    <row r="105" spans="1:10" hidden="1" x14ac:dyDescent="0.25">
      <c r="J105" s="415"/>
    </row>
    <row r="106" spans="1:10" hidden="1" x14ac:dyDescent="0.25">
      <c r="J106" s="415"/>
    </row>
    <row r="107" spans="1:10" x14ac:dyDescent="0.25">
      <c r="A107" s="415"/>
      <c r="B107" s="415"/>
      <c r="C107" s="415"/>
      <c r="D107" s="415"/>
      <c r="E107" s="415"/>
      <c r="F107" s="415"/>
      <c r="G107" s="415"/>
      <c r="H107" s="415"/>
      <c r="I107" s="415"/>
      <c r="J107" s="415"/>
    </row>
  </sheetData>
  <mergeCells count="1">
    <mergeCell ref="A1:XFD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94"/>
  <sheetViews>
    <sheetView zoomScale="80" zoomScaleNormal="80" workbookViewId="0">
      <selection sqref="A1:XFD3"/>
    </sheetView>
  </sheetViews>
  <sheetFormatPr baseColWidth="10" defaultColWidth="0" defaultRowHeight="20.100000000000001" customHeight="1" zeroHeight="1" x14ac:dyDescent="0.25"/>
  <cols>
    <col min="1" max="1" width="5" style="42" customWidth="1"/>
    <col min="2" max="2" width="7" style="42" customWidth="1"/>
    <col min="3" max="3" width="6.5703125" style="42" customWidth="1"/>
    <col min="4" max="4" width="10.7109375" style="42" customWidth="1"/>
    <col min="5" max="5" width="12" style="42" bestFit="1" customWidth="1"/>
    <col min="6" max="6" width="13" style="42" bestFit="1" customWidth="1"/>
    <col min="7" max="7" width="13" style="42" customWidth="1"/>
    <col min="8" max="8" width="11.85546875" style="42" bestFit="1" customWidth="1"/>
    <col min="9" max="9" width="10.85546875" style="42" bestFit="1" customWidth="1"/>
    <col min="10" max="10" width="11.42578125" customWidth="1"/>
    <col min="11" max="21" width="0" hidden="1" customWidth="1"/>
    <col min="22" max="16384" width="11.42578125" hidden="1"/>
  </cols>
  <sheetData>
    <row r="1" spans="1:16" s="420" customFormat="1" ht="15" x14ac:dyDescent="0.25">
      <c r="A1" s="420" t="s">
        <v>920</v>
      </c>
    </row>
    <row r="2" spans="1:16" s="420" customFormat="1" ht="15" x14ac:dyDescent="0.25"/>
    <row r="3" spans="1:16" s="420" customFormat="1" ht="15" x14ac:dyDescent="0.25"/>
    <row r="4" spans="1:16" ht="15.95" customHeight="1" x14ac:dyDescent="0.25">
      <c r="A4" s="403" t="s">
        <v>901</v>
      </c>
      <c r="B4" s="403"/>
      <c r="C4" s="403"/>
      <c r="D4" s="403"/>
      <c r="E4" s="403"/>
      <c r="F4" s="403"/>
      <c r="G4" s="403"/>
      <c r="H4" s="403"/>
      <c r="I4" s="403"/>
      <c r="J4" s="415"/>
    </row>
    <row r="5" spans="1:16" ht="20.100000000000001" customHeight="1" x14ac:dyDescent="0.25">
      <c r="A5" s="226" t="s">
        <v>542</v>
      </c>
      <c r="B5" s="54"/>
      <c r="C5" s="54"/>
      <c r="D5" s="54"/>
      <c r="E5" s="54"/>
      <c r="F5" s="85"/>
      <c r="G5" s="227"/>
      <c r="H5" s="227"/>
      <c r="I5" s="67">
        <v>800000</v>
      </c>
      <c r="J5" s="415"/>
    </row>
    <row r="6" spans="1:16" ht="20.100000000000001" customHeight="1" x14ac:dyDescent="0.25">
      <c r="A6" s="226" t="s">
        <v>543</v>
      </c>
      <c r="B6" s="54"/>
      <c r="C6" s="54"/>
      <c r="D6" s="54"/>
      <c r="E6" s="54"/>
      <c r="F6" s="85"/>
      <c r="G6" s="227"/>
      <c r="H6" s="227">
        <v>0.3</v>
      </c>
      <c r="I6" s="67">
        <f>+H6*I5</f>
        <v>240000</v>
      </c>
      <c r="J6" s="415"/>
    </row>
    <row r="7" spans="1:16" ht="20.100000000000001" customHeight="1" x14ac:dyDescent="0.25">
      <c r="A7" s="215"/>
      <c r="B7" s="47"/>
      <c r="C7" s="47"/>
      <c r="D7" s="47"/>
      <c r="E7" s="47"/>
      <c r="F7" s="70"/>
      <c r="G7" s="214"/>
      <c r="H7" s="214"/>
      <c r="I7" s="214"/>
      <c r="J7" s="415"/>
    </row>
    <row r="8" spans="1:16" s="42" customFormat="1" ht="15" x14ac:dyDescent="0.25">
      <c r="A8" s="47"/>
      <c r="B8" s="47"/>
      <c r="C8" s="47"/>
      <c r="D8" s="47"/>
      <c r="E8" s="47"/>
      <c r="F8" s="47"/>
      <c r="G8" s="78"/>
      <c r="H8" s="78"/>
      <c r="I8" s="220" t="s">
        <v>77</v>
      </c>
      <c r="J8" s="415"/>
      <c r="K8"/>
      <c r="L8"/>
      <c r="M8"/>
      <c r="N8"/>
      <c r="O8"/>
      <c r="P8"/>
    </row>
    <row r="9" spans="1:16" s="42" customFormat="1" ht="15" x14ac:dyDescent="0.25">
      <c r="A9" s="47"/>
      <c r="B9" s="47"/>
      <c r="C9" s="47"/>
      <c r="D9" s="47"/>
      <c r="E9" s="47"/>
      <c r="F9" s="47"/>
      <c r="G9" s="220" t="s">
        <v>68</v>
      </c>
      <c r="H9" s="220" t="s">
        <v>28</v>
      </c>
      <c r="I9" s="220" t="s">
        <v>408</v>
      </c>
      <c r="J9" s="415"/>
      <c r="K9"/>
      <c r="L9"/>
      <c r="M9"/>
      <c r="N9"/>
      <c r="O9"/>
      <c r="P9"/>
    </row>
    <row r="10" spans="1:16" s="42" customFormat="1" ht="15" x14ac:dyDescent="0.25">
      <c r="A10" s="219" t="s">
        <v>73</v>
      </c>
      <c r="B10" s="47"/>
      <c r="C10" s="47"/>
      <c r="D10" s="47"/>
      <c r="E10" s="47"/>
      <c r="F10" s="47"/>
      <c r="G10" s="220"/>
      <c r="H10" s="220"/>
      <c r="I10" s="220"/>
      <c r="J10" s="415"/>
      <c r="K10"/>
      <c r="L10"/>
      <c r="M10"/>
      <c r="N10"/>
      <c r="O10"/>
      <c r="P10"/>
    </row>
    <row r="11" spans="1:16" s="42" customFormat="1" ht="15" x14ac:dyDescent="0.25">
      <c r="A11" s="47" t="s">
        <v>29</v>
      </c>
      <c r="B11" s="47"/>
      <c r="C11" s="47"/>
      <c r="D11" s="47"/>
      <c r="E11" s="47"/>
      <c r="F11" s="47"/>
      <c r="G11" s="48">
        <v>240000</v>
      </c>
      <c r="H11" s="47"/>
      <c r="I11" s="78">
        <f>+H12</f>
        <v>240000</v>
      </c>
      <c r="J11" s="415"/>
      <c r="K11"/>
      <c r="L11"/>
      <c r="M11"/>
      <c r="N11"/>
      <c r="O11"/>
      <c r="P11"/>
    </row>
    <row r="12" spans="1:16" s="42" customFormat="1" ht="15" x14ac:dyDescent="0.25">
      <c r="A12" s="47" t="s">
        <v>69</v>
      </c>
      <c r="B12" s="47"/>
      <c r="C12" s="47"/>
      <c r="D12" s="47"/>
      <c r="E12" s="47"/>
      <c r="F12" s="47"/>
      <c r="G12" s="47"/>
      <c r="H12" s="48">
        <f>+G11</f>
        <v>240000</v>
      </c>
      <c r="I12" s="78"/>
      <c r="J12" s="415"/>
      <c r="K12"/>
      <c r="L12"/>
      <c r="M12"/>
      <c r="N12"/>
      <c r="O12"/>
      <c r="P12"/>
    </row>
    <row r="13" spans="1:16" ht="20.100000000000001" customHeight="1" x14ac:dyDescent="0.25">
      <c r="A13" s="47"/>
      <c r="B13" s="47"/>
      <c r="C13" s="47"/>
      <c r="D13" s="216"/>
      <c r="E13" s="212"/>
      <c r="F13" s="212"/>
      <c r="G13" s="212"/>
      <c r="H13" s="78"/>
      <c r="I13" s="78"/>
      <c r="J13" s="415"/>
    </row>
    <row r="14" spans="1:16" ht="20.100000000000001" customHeight="1" x14ac:dyDescent="0.25">
      <c r="A14" s="54"/>
      <c r="B14" s="54"/>
      <c r="C14" s="54"/>
      <c r="D14" s="98"/>
      <c r="E14" s="98"/>
      <c r="F14" s="98">
        <v>2015</v>
      </c>
      <c r="G14" s="98">
        <f>+F14+1</f>
        <v>2016</v>
      </c>
      <c r="H14" s="98">
        <f>+G14+1</f>
        <v>2017</v>
      </c>
      <c r="I14" s="98">
        <f>+H14+1</f>
        <v>2018</v>
      </c>
      <c r="J14" s="415"/>
    </row>
    <row r="15" spans="1:16" ht="20.100000000000001" customHeight="1" x14ac:dyDescent="0.25">
      <c r="A15" s="54"/>
      <c r="B15" s="54"/>
      <c r="C15" s="54"/>
      <c r="D15" s="98"/>
      <c r="E15" s="98"/>
      <c r="F15" s="98" t="s">
        <v>1</v>
      </c>
      <c r="G15" s="98" t="s">
        <v>1</v>
      </c>
      <c r="H15" s="98" t="s">
        <v>1</v>
      </c>
      <c r="I15" s="98" t="s">
        <v>1</v>
      </c>
      <c r="J15" s="415"/>
    </row>
    <row r="16" spans="1:16" ht="20.100000000000001" customHeight="1" x14ac:dyDescent="0.25">
      <c r="A16" s="47" t="s">
        <v>544</v>
      </c>
      <c r="B16" s="47"/>
      <c r="C16" s="47"/>
      <c r="D16" s="48"/>
      <c r="E16" s="48"/>
      <c r="F16" s="48">
        <v>300000</v>
      </c>
      <c r="G16" s="48">
        <v>400000</v>
      </c>
      <c r="H16" s="48">
        <v>500000</v>
      </c>
      <c r="I16" s="48">
        <v>500000</v>
      </c>
      <c r="J16" s="415"/>
    </row>
    <row r="17" spans="1:10" ht="20.100000000000001" customHeight="1" x14ac:dyDescent="0.25">
      <c r="A17" s="47"/>
      <c r="B17" s="47"/>
      <c r="C17" s="47"/>
      <c r="D17" s="78"/>
      <c r="E17" s="78"/>
      <c r="F17" s="78"/>
      <c r="G17" s="78"/>
      <c r="H17" s="78"/>
      <c r="I17" s="78"/>
      <c r="J17" s="415"/>
    </row>
    <row r="18" spans="1:10" ht="15.95" customHeight="1" x14ac:dyDescent="0.25">
      <c r="A18" s="403" t="s">
        <v>902</v>
      </c>
      <c r="B18" s="403"/>
      <c r="C18" s="403"/>
      <c r="D18" s="403"/>
      <c r="E18" s="403"/>
      <c r="F18" s="403"/>
      <c r="G18" s="403"/>
      <c r="H18" s="403"/>
      <c r="I18" s="403"/>
      <c r="J18" s="415"/>
    </row>
    <row r="19" spans="1:10" ht="20.100000000000001" customHeight="1" x14ac:dyDescent="0.25">
      <c r="A19" s="230"/>
      <c r="B19" s="54"/>
      <c r="C19" s="54"/>
      <c r="D19" s="54"/>
      <c r="E19" s="54"/>
      <c r="F19" s="209">
        <v>2015</v>
      </c>
      <c r="G19" s="209">
        <v>2016</v>
      </c>
      <c r="H19" s="209">
        <v>2017</v>
      </c>
      <c r="I19" s="209">
        <v>2018</v>
      </c>
      <c r="J19" s="415"/>
    </row>
    <row r="20" spans="1:10" ht="20.100000000000001" customHeight="1" x14ac:dyDescent="0.25">
      <c r="A20" s="230"/>
      <c r="B20" s="54"/>
      <c r="C20" s="54"/>
      <c r="D20" s="54"/>
      <c r="E20" s="54"/>
      <c r="F20" s="209" t="s">
        <v>1</v>
      </c>
      <c r="G20" s="209" t="s">
        <v>1</v>
      </c>
      <c r="H20" s="209" t="s">
        <v>1</v>
      </c>
      <c r="I20" s="209" t="s">
        <v>1</v>
      </c>
      <c r="J20" s="415"/>
    </row>
    <row r="21" spans="1:10" ht="20.100000000000001" customHeight="1" x14ac:dyDescent="0.25">
      <c r="A21" s="115" t="s">
        <v>545</v>
      </c>
      <c r="B21" s="47"/>
      <c r="C21" s="47"/>
      <c r="D21" s="47"/>
      <c r="E21" s="47"/>
      <c r="F21" s="229">
        <v>300000</v>
      </c>
      <c r="G21" s="229">
        <v>400000</v>
      </c>
      <c r="H21" s="229">
        <v>500000</v>
      </c>
      <c r="I21" s="229">
        <v>500000</v>
      </c>
      <c r="J21" s="415"/>
    </row>
    <row r="22" spans="1:10" ht="20.100000000000001" customHeight="1" x14ac:dyDescent="0.25">
      <c r="A22" s="115" t="s">
        <v>787</v>
      </c>
      <c r="B22" s="47"/>
      <c r="C22" s="47"/>
      <c r="D22" s="47"/>
      <c r="E22" s="47"/>
      <c r="F22" s="78">
        <v>-300000</v>
      </c>
      <c r="G22" s="78">
        <v>-400000</v>
      </c>
      <c r="H22" s="78">
        <v>-100000</v>
      </c>
      <c r="I22" s="228" t="s">
        <v>547</v>
      </c>
      <c r="J22" s="415"/>
    </row>
    <row r="23" spans="1:10" ht="20.100000000000001" customHeight="1" x14ac:dyDescent="0.25">
      <c r="A23" s="115" t="s">
        <v>548</v>
      </c>
      <c r="B23" s="47"/>
      <c r="C23" s="47"/>
      <c r="D23" s="47"/>
      <c r="E23" s="47"/>
      <c r="F23" s="229">
        <f>SUM(F21:F22)</f>
        <v>0</v>
      </c>
      <c r="G23" s="229">
        <f t="shared" ref="G23:I23" si="0">SUM(G21:G22)</f>
        <v>0</v>
      </c>
      <c r="H23" s="229">
        <f t="shared" si="0"/>
        <v>400000</v>
      </c>
      <c r="I23" s="229">
        <f t="shared" si="0"/>
        <v>500000</v>
      </c>
      <c r="J23" s="415"/>
    </row>
    <row r="24" spans="1:10" ht="20.100000000000001" customHeight="1" x14ac:dyDescent="0.25">
      <c r="A24" s="115"/>
      <c r="B24" s="47"/>
      <c r="C24" s="47"/>
      <c r="D24" s="47"/>
      <c r="E24" s="47"/>
      <c r="F24" s="228"/>
      <c r="G24" s="228"/>
      <c r="H24" s="229"/>
      <c r="I24" s="229"/>
      <c r="J24" s="415"/>
    </row>
    <row r="25" spans="1:10" ht="20.100000000000001" customHeight="1" x14ac:dyDescent="0.25">
      <c r="A25" s="115" t="s">
        <v>786</v>
      </c>
      <c r="B25" s="47"/>
      <c r="C25" s="47"/>
      <c r="D25" s="47"/>
      <c r="E25" s="47"/>
      <c r="F25" s="231">
        <f>+-F22*30%</f>
        <v>90000</v>
      </c>
      <c r="G25" s="232">
        <f>+-G22*30%</f>
        <v>120000</v>
      </c>
      <c r="H25" s="232">
        <f>+-H22*30%</f>
        <v>30000</v>
      </c>
      <c r="I25" s="391">
        <f>SUM(F25:H25)</f>
        <v>240000</v>
      </c>
      <c r="J25" s="415"/>
    </row>
    <row r="26" spans="1:10" ht="20.100000000000001" customHeight="1" x14ac:dyDescent="0.25">
      <c r="A26" s="115"/>
      <c r="B26" s="47"/>
      <c r="C26" s="47"/>
      <c r="D26" s="47"/>
      <c r="E26" s="47"/>
      <c r="F26" s="228"/>
      <c r="G26" s="228"/>
      <c r="H26" s="229"/>
      <c r="I26" s="229"/>
      <c r="J26" s="415"/>
    </row>
    <row r="27" spans="1:10" ht="20.100000000000001" customHeight="1" x14ac:dyDescent="0.25">
      <c r="A27" s="230"/>
      <c r="B27" s="54"/>
      <c r="C27" s="54"/>
      <c r="D27" s="54"/>
      <c r="E27" s="54"/>
      <c r="F27" s="209">
        <v>2015</v>
      </c>
      <c r="G27" s="209">
        <v>2016</v>
      </c>
      <c r="H27" s="209">
        <v>2017</v>
      </c>
      <c r="I27" s="209">
        <v>2018</v>
      </c>
      <c r="J27" s="415"/>
    </row>
    <row r="28" spans="1:10" ht="20.100000000000001" customHeight="1" x14ac:dyDescent="0.25">
      <c r="A28" s="230"/>
      <c r="B28" s="54"/>
      <c r="C28" s="54"/>
      <c r="D28" s="54"/>
      <c r="E28" s="54"/>
      <c r="F28" s="209" t="s">
        <v>1</v>
      </c>
      <c r="G28" s="209" t="s">
        <v>1</v>
      </c>
      <c r="H28" s="209" t="s">
        <v>1</v>
      </c>
      <c r="I28" s="209" t="s">
        <v>1</v>
      </c>
      <c r="J28" s="415"/>
    </row>
    <row r="29" spans="1:10" ht="20.100000000000001" customHeight="1" x14ac:dyDescent="0.25">
      <c r="A29" s="115" t="s">
        <v>545</v>
      </c>
      <c r="B29" s="47"/>
      <c r="C29" s="47"/>
      <c r="D29" s="47"/>
      <c r="E29" s="47"/>
      <c r="F29" s="229">
        <v>100000</v>
      </c>
      <c r="G29" s="229">
        <v>150000</v>
      </c>
      <c r="H29" s="229">
        <v>200000</v>
      </c>
      <c r="I29" s="229">
        <v>250000</v>
      </c>
      <c r="J29" s="415"/>
    </row>
    <row r="30" spans="1:10" ht="20.100000000000001" customHeight="1" x14ac:dyDescent="0.25">
      <c r="A30" s="115"/>
      <c r="B30" s="47"/>
      <c r="C30" s="47"/>
      <c r="D30" s="47"/>
      <c r="E30" s="47"/>
      <c r="F30" s="229"/>
      <c r="G30" s="229"/>
      <c r="H30" s="229"/>
      <c r="I30" s="229"/>
      <c r="J30" s="415"/>
    </row>
    <row r="31" spans="1:10" ht="15.95" customHeight="1" x14ac:dyDescent="0.25">
      <c r="A31" s="403" t="s">
        <v>903</v>
      </c>
      <c r="B31" s="403"/>
      <c r="C31" s="403"/>
      <c r="D31" s="403"/>
      <c r="E31" s="403"/>
      <c r="F31" s="403"/>
      <c r="G31" s="403"/>
      <c r="H31" s="403"/>
      <c r="I31" s="403"/>
      <c r="J31" s="415"/>
    </row>
    <row r="32" spans="1:10" ht="20.100000000000001" customHeight="1" x14ac:dyDescent="0.25">
      <c r="A32" s="230"/>
      <c r="B32" s="54"/>
      <c r="C32" s="54"/>
      <c r="D32" s="54"/>
      <c r="E32" s="209">
        <v>2015</v>
      </c>
      <c r="F32" s="209">
        <v>2016</v>
      </c>
      <c r="G32" s="209">
        <v>2017</v>
      </c>
      <c r="H32" s="209">
        <v>2018</v>
      </c>
      <c r="I32" s="229"/>
      <c r="J32" s="415"/>
    </row>
    <row r="33" spans="1:20" ht="20.100000000000001" customHeight="1" x14ac:dyDescent="0.25">
      <c r="A33" s="230"/>
      <c r="B33" s="54"/>
      <c r="C33" s="54"/>
      <c r="D33" s="54"/>
      <c r="E33" s="209" t="s">
        <v>1</v>
      </c>
      <c r="F33" s="209" t="s">
        <v>1</v>
      </c>
      <c r="G33" s="209" t="s">
        <v>1</v>
      </c>
      <c r="H33" s="209" t="s">
        <v>1</v>
      </c>
      <c r="I33" s="229"/>
      <c r="J33" s="415"/>
    </row>
    <row r="34" spans="1:20" ht="20.100000000000001" customHeight="1" x14ac:dyDescent="0.25">
      <c r="A34" s="115" t="s">
        <v>545</v>
      </c>
      <c r="B34" s="47"/>
      <c r="C34" s="47"/>
      <c r="D34" s="47"/>
      <c r="E34" s="229">
        <v>100000</v>
      </c>
      <c r="F34" s="229">
        <v>150000</v>
      </c>
      <c r="G34" s="229">
        <v>200000</v>
      </c>
      <c r="H34" s="229">
        <v>250000</v>
      </c>
      <c r="I34" s="229"/>
      <c r="J34" s="415"/>
      <c r="T34">
        <f>300/4</f>
        <v>75</v>
      </c>
    </row>
    <row r="35" spans="1:20" ht="20.100000000000001" customHeight="1" x14ac:dyDescent="0.25">
      <c r="A35" s="115" t="s">
        <v>546</v>
      </c>
      <c r="B35" s="47"/>
      <c r="C35" s="47"/>
      <c r="D35" s="47"/>
      <c r="E35" s="76">
        <f>-E34</f>
        <v>-100000</v>
      </c>
      <c r="F35" s="76">
        <f t="shared" ref="F35:H35" si="1">-F34</f>
        <v>-150000</v>
      </c>
      <c r="G35" s="76">
        <f t="shared" si="1"/>
        <v>-200000</v>
      </c>
      <c r="H35" s="76">
        <f t="shared" si="1"/>
        <v>-250000</v>
      </c>
      <c r="I35" s="392">
        <f>SUM(E35:H35)</f>
        <v>-700000</v>
      </c>
      <c r="J35" s="415"/>
    </row>
    <row r="36" spans="1:20" ht="20.100000000000001" customHeight="1" x14ac:dyDescent="0.25">
      <c r="A36" s="115" t="s">
        <v>550</v>
      </c>
      <c r="B36" s="47"/>
      <c r="C36" s="47"/>
      <c r="D36" s="47"/>
      <c r="E36" s="235">
        <f>+E34+E35</f>
        <v>0</v>
      </c>
      <c r="F36" s="235">
        <f t="shared" ref="F36:H36" si="2">+F34+F35</f>
        <v>0</v>
      </c>
      <c r="G36" s="235">
        <f t="shared" si="2"/>
        <v>0</v>
      </c>
      <c r="H36" s="235">
        <f t="shared" si="2"/>
        <v>0</v>
      </c>
      <c r="I36" s="229"/>
      <c r="J36" s="415"/>
    </row>
    <row r="37" spans="1:20" ht="20.100000000000001" customHeight="1" x14ac:dyDescent="0.25">
      <c r="A37" s="115"/>
      <c r="B37" s="47"/>
      <c r="C37" s="47"/>
      <c r="D37" s="47"/>
      <c r="E37" s="47"/>
      <c r="F37" s="229"/>
      <c r="G37" s="229"/>
      <c r="H37" s="229"/>
      <c r="I37" s="229"/>
      <c r="J37" s="415"/>
    </row>
    <row r="38" spans="1:20" ht="20.100000000000001" customHeight="1" x14ac:dyDescent="0.25">
      <c r="A38" s="115" t="s">
        <v>549</v>
      </c>
      <c r="B38" s="47"/>
      <c r="C38" s="47"/>
      <c r="D38" s="47"/>
      <c r="E38" s="231">
        <f>-E35*30%</f>
        <v>30000</v>
      </c>
      <c r="F38" s="232">
        <f>-F35*30%</f>
        <v>45000</v>
      </c>
      <c r="G38" s="232">
        <f>-G35*30%</f>
        <v>60000</v>
      </c>
      <c r="H38" s="232">
        <f>-H35*30%</f>
        <v>75000</v>
      </c>
      <c r="I38" s="234">
        <f>SUM(E38:H38)</f>
        <v>210000</v>
      </c>
      <c r="J38" s="415"/>
    </row>
    <row r="39" spans="1:20" ht="20.100000000000001" customHeight="1" x14ac:dyDescent="0.25">
      <c r="A39" s="47"/>
      <c r="B39" s="47"/>
      <c r="C39" s="47"/>
      <c r="D39" s="47"/>
      <c r="E39" s="47"/>
      <c r="F39" s="47"/>
      <c r="G39" s="78"/>
      <c r="H39" s="78"/>
      <c r="I39" s="220"/>
      <c r="J39" s="415"/>
    </row>
    <row r="40" spans="1:20" ht="20.100000000000001" customHeight="1" x14ac:dyDescent="0.25">
      <c r="A40" s="47"/>
      <c r="B40" s="47"/>
      <c r="C40" s="47"/>
      <c r="D40" s="47"/>
      <c r="E40" s="47"/>
      <c r="F40" s="47"/>
      <c r="G40" s="78"/>
      <c r="H40" s="78"/>
      <c r="I40" s="220" t="s">
        <v>77</v>
      </c>
      <c r="J40" s="415"/>
    </row>
    <row r="41" spans="1:20" ht="20.100000000000001" customHeight="1" x14ac:dyDescent="0.25">
      <c r="A41" s="47"/>
      <c r="B41" s="47"/>
      <c r="C41" s="47"/>
      <c r="D41" s="47"/>
      <c r="E41" s="47"/>
      <c r="F41" s="47"/>
      <c r="G41" s="220" t="s">
        <v>68</v>
      </c>
      <c r="H41" s="220" t="s">
        <v>28</v>
      </c>
      <c r="I41" s="220" t="s">
        <v>408</v>
      </c>
      <c r="J41" s="415"/>
    </row>
    <row r="42" spans="1:20" ht="20.100000000000001" customHeight="1" x14ac:dyDescent="0.25">
      <c r="A42" s="47"/>
      <c r="B42" s="47"/>
      <c r="C42" s="47"/>
      <c r="D42" s="47"/>
      <c r="E42" s="47"/>
      <c r="F42" s="47"/>
      <c r="G42" s="220"/>
      <c r="H42" s="220"/>
      <c r="I42" s="220"/>
      <c r="J42" s="415"/>
    </row>
    <row r="43" spans="1:20" ht="20.100000000000001" customHeight="1" x14ac:dyDescent="0.25">
      <c r="A43" s="47" t="s">
        <v>29</v>
      </c>
      <c r="B43" s="47"/>
      <c r="C43" s="47"/>
      <c r="D43" s="47"/>
      <c r="E43" s="47"/>
      <c r="F43" s="47"/>
      <c r="G43" s="48">
        <f>+I38</f>
        <v>210000</v>
      </c>
      <c r="H43" s="47"/>
      <c r="I43" s="78">
        <f>+H44</f>
        <v>210000</v>
      </c>
      <c r="J43" s="415"/>
    </row>
    <row r="44" spans="1:20" ht="20.100000000000001" customHeight="1" x14ac:dyDescent="0.25">
      <c r="A44" s="47" t="s">
        <v>69</v>
      </c>
      <c r="B44" s="47"/>
      <c r="C44" s="47"/>
      <c r="D44" s="47"/>
      <c r="E44" s="47"/>
      <c r="F44" s="47"/>
      <c r="G44" s="47"/>
      <c r="H44" s="48">
        <f>+G43</f>
        <v>210000</v>
      </c>
      <c r="I44" s="78"/>
      <c r="J44" s="415"/>
    </row>
    <row r="45" spans="1:20" ht="20.100000000000001" customHeight="1" x14ac:dyDescent="0.25">
      <c r="A45" s="115"/>
      <c r="B45" s="47"/>
      <c r="C45" s="47"/>
      <c r="D45" s="47"/>
      <c r="E45" s="47"/>
      <c r="F45" s="228"/>
      <c r="G45" s="228"/>
      <c r="H45" s="229"/>
      <c r="I45" s="229"/>
      <c r="J45" s="415"/>
    </row>
    <row r="46" spans="1:20" ht="20.100000000000001" customHeight="1" x14ac:dyDescent="0.25">
      <c r="A46" s="230"/>
      <c r="B46" s="54"/>
      <c r="C46" s="54"/>
      <c r="D46" s="54"/>
      <c r="E46" s="54"/>
      <c r="F46" s="209"/>
      <c r="G46" s="209">
        <v>2013</v>
      </c>
      <c r="H46" s="209">
        <v>2014</v>
      </c>
      <c r="I46" s="209" t="s">
        <v>551</v>
      </c>
      <c r="J46" s="415"/>
    </row>
    <row r="47" spans="1:20" ht="20.100000000000001" customHeight="1" x14ac:dyDescent="0.25">
      <c r="A47" s="230"/>
      <c r="B47" s="54"/>
      <c r="C47" s="54"/>
      <c r="D47" s="54"/>
      <c r="E47" s="54"/>
      <c r="F47" s="209"/>
      <c r="G47" s="209" t="s">
        <v>1</v>
      </c>
      <c r="H47" s="209" t="s">
        <v>1</v>
      </c>
      <c r="I47" s="209" t="s">
        <v>1</v>
      </c>
      <c r="J47" s="415"/>
    </row>
    <row r="48" spans="1:20" ht="20.100000000000001" customHeight="1" x14ac:dyDescent="0.25">
      <c r="A48" s="115" t="s">
        <v>542</v>
      </c>
      <c r="B48" s="47"/>
      <c r="C48" s="47"/>
      <c r="D48" s="47"/>
      <c r="E48" s="47"/>
      <c r="F48" s="229"/>
      <c r="G48" s="229">
        <v>120000</v>
      </c>
      <c r="H48" s="229">
        <v>150000</v>
      </c>
      <c r="I48" s="229">
        <f>+G48+H48</f>
        <v>270000</v>
      </c>
      <c r="J48" s="415"/>
    </row>
    <row r="49" spans="1:10" ht="20.100000000000001" customHeight="1" x14ac:dyDescent="0.25">
      <c r="A49" s="115" t="s">
        <v>552</v>
      </c>
      <c r="B49" s="47"/>
      <c r="C49" s="47"/>
      <c r="D49" s="47"/>
      <c r="E49" s="47"/>
      <c r="F49" s="229"/>
      <c r="G49" s="229">
        <f>+G48*30%</f>
        <v>36000</v>
      </c>
      <c r="H49" s="229">
        <f t="shared" ref="H49:I49" si="3">+H48*30%</f>
        <v>45000</v>
      </c>
      <c r="I49" s="229">
        <f t="shared" si="3"/>
        <v>81000</v>
      </c>
      <c r="J49" s="415"/>
    </row>
    <row r="50" spans="1:10" ht="20.100000000000001" customHeight="1" x14ac:dyDescent="0.25">
      <c r="A50" s="115"/>
      <c r="B50" s="47"/>
      <c r="C50" s="47"/>
      <c r="D50" s="47"/>
      <c r="E50" s="47"/>
      <c r="F50" s="229"/>
      <c r="G50" s="229"/>
      <c r="H50" s="229"/>
      <c r="I50" s="229"/>
      <c r="J50" s="415"/>
    </row>
    <row r="51" spans="1:10" ht="15.95" customHeight="1" x14ac:dyDescent="0.25">
      <c r="A51" s="403" t="s">
        <v>904</v>
      </c>
      <c r="B51" s="403"/>
      <c r="C51" s="403"/>
      <c r="D51" s="403"/>
      <c r="E51" s="403"/>
      <c r="F51" s="403"/>
      <c r="G51" s="403"/>
      <c r="H51" s="403"/>
      <c r="I51" s="403"/>
      <c r="J51" s="415"/>
    </row>
    <row r="52" spans="1:10" ht="20.100000000000001" customHeight="1" x14ac:dyDescent="0.25">
      <c r="A52" s="230"/>
      <c r="B52" s="54"/>
      <c r="C52" s="54"/>
      <c r="D52" s="54"/>
      <c r="E52" s="209">
        <v>2015</v>
      </c>
      <c r="F52" s="209">
        <v>2016</v>
      </c>
      <c r="G52" s="209">
        <v>2017</v>
      </c>
      <c r="H52" s="209">
        <v>2018</v>
      </c>
      <c r="I52" s="209" t="s">
        <v>551</v>
      </c>
      <c r="J52" s="415"/>
    </row>
    <row r="53" spans="1:10" ht="20.100000000000001" customHeight="1" x14ac:dyDescent="0.25">
      <c r="A53" s="230"/>
      <c r="B53" s="54"/>
      <c r="C53" s="54"/>
      <c r="D53" s="54"/>
      <c r="E53" s="209" t="s">
        <v>1</v>
      </c>
      <c r="F53" s="209" t="s">
        <v>1</v>
      </c>
      <c r="G53" s="209" t="s">
        <v>1</v>
      </c>
      <c r="H53" s="209" t="s">
        <v>1</v>
      </c>
      <c r="I53" s="209" t="s">
        <v>1</v>
      </c>
      <c r="J53" s="415"/>
    </row>
    <row r="54" spans="1:10" ht="20.100000000000001" customHeight="1" x14ac:dyDescent="0.25">
      <c r="A54" s="115" t="s">
        <v>545</v>
      </c>
      <c r="B54" s="47"/>
      <c r="C54" s="47"/>
      <c r="D54" s="47"/>
      <c r="E54" s="229">
        <v>40000</v>
      </c>
      <c r="F54" s="229">
        <v>40000</v>
      </c>
      <c r="G54" s="229">
        <v>60000</v>
      </c>
      <c r="H54" s="229">
        <v>110000</v>
      </c>
      <c r="I54" s="229"/>
      <c r="J54" s="415"/>
    </row>
    <row r="55" spans="1:10" ht="20.100000000000001" customHeight="1" x14ac:dyDescent="0.25">
      <c r="A55" s="115" t="s">
        <v>553</v>
      </c>
      <c r="B55" s="47"/>
      <c r="C55" s="47"/>
      <c r="D55" s="47"/>
      <c r="E55" s="229"/>
      <c r="F55" s="229"/>
      <c r="G55" s="229"/>
      <c r="H55" s="229"/>
      <c r="I55" s="229"/>
      <c r="J55" s="415"/>
    </row>
    <row r="56" spans="1:10" ht="20.100000000000001" customHeight="1" x14ac:dyDescent="0.25">
      <c r="A56" s="115"/>
      <c r="B56" s="47" t="s">
        <v>554</v>
      </c>
      <c r="C56" s="47"/>
      <c r="D56" s="47"/>
      <c r="E56" s="229">
        <f>+E54</f>
        <v>40000</v>
      </c>
      <c r="F56" s="229">
        <f>+F54</f>
        <v>40000</v>
      </c>
      <c r="G56" s="229">
        <f>+F56</f>
        <v>40000</v>
      </c>
      <c r="H56" s="229"/>
      <c r="I56" s="233">
        <f>SUM(E56:H56)</f>
        <v>120000</v>
      </c>
      <c r="J56" s="415"/>
    </row>
    <row r="57" spans="1:10" ht="20.100000000000001" customHeight="1" x14ac:dyDescent="0.25">
      <c r="A57" s="115"/>
      <c r="B57" s="47" t="s">
        <v>555</v>
      </c>
      <c r="C57" s="47"/>
      <c r="D57" s="47"/>
      <c r="E57" s="229"/>
      <c r="F57" s="229"/>
      <c r="G57" s="229">
        <f>+G54-G56</f>
        <v>20000</v>
      </c>
      <c r="H57" s="229">
        <f>+H54</f>
        <v>110000</v>
      </c>
      <c r="I57" s="233">
        <f>SUM(E57:H57)</f>
        <v>130000</v>
      </c>
      <c r="J57" s="415"/>
    </row>
    <row r="58" spans="1:10" ht="20.100000000000001" customHeight="1" x14ac:dyDescent="0.25">
      <c r="A58" s="115"/>
      <c r="B58" s="47"/>
      <c r="C58" s="47"/>
      <c r="D58" s="47"/>
      <c r="E58" s="47"/>
      <c r="F58" s="229"/>
      <c r="G58" s="229"/>
      <c r="H58" s="229"/>
      <c r="I58" s="229"/>
      <c r="J58" s="415"/>
    </row>
    <row r="59" spans="1:10" ht="20.100000000000001" customHeight="1" x14ac:dyDescent="0.25">
      <c r="A59" s="47"/>
      <c r="B59" s="47"/>
      <c r="C59" s="47"/>
      <c r="D59" s="47"/>
      <c r="E59" s="47"/>
      <c r="F59" s="47"/>
      <c r="G59" s="78"/>
      <c r="H59" s="220" t="s">
        <v>68</v>
      </c>
      <c r="I59" s="220" t="s">
        <v>28</v>
      </c>
      <c r="J59" s="415"/>
    </row>
    <row r="60" spans="1:10" ht="20.100000000000001" customHeight="1" x14ac:dyDescent="0.25">
      <c r="A60" s="47" t="s">
        <v>29</v>
      </c>
      <c r="B60" s="47"/>
      <c r="C60" s="47"/>
      <c r="D60" s="47"/>
      <c r="E60" s="47"/>
      <c r="F60" s="47"/>
      <c r="G60" s="78"/>
      <c r="H60" s="48">
        <v>75000</v>
      </c>
      <c r="I60" s="47"/>
      <c r="J60" s="415"/>
    </row>
    <row r="61" spans="1:10" ht="20.100000000000001" customHeight="1" x14ac:dyDescent="0.25">
      <c r="A61" s="47" t="s">
        <v>69</v>
      </c>
      <c r="B61" s="47"/>
      <c r="C61" s="47"/>
      <c r="D61" s="47"/>
      <c r="E61" s="47"/>
      <c r="F61" s="47"/>
      <c r="G61" s="78"/>
      <c r="H61" s="47"/>
      <c r="I61" s="48">
        <f>+H60</f>
        <v>75000</v>
      </c>
      <c r="J61" s="415"/>
    </row>
    <row r="62" spans="1:10" ht="20.100000000000001" customHeight="1" x14ac:dyDescent="0.25">
      <c r="A62" s="115"/>
      <c r="B62" s="47"/>
      <c r="C62" s="47"/>
      <c r="D62" s="47"/>
      <c r="E62" s="47"/>
      <c r="F62" s="229"/>
      <c r="G62" s="229"/>
      <c r="H62" s="229"/>
      <c r="I62" s="229"/>
      <c r="J62" s="415"/>
    </row>
    <row r="63" spans="1:10" ht="15.95" customHeight="1" x14ac:dyDescent="0.25">
      <c r="A63" s="403" t="s">
        <v>905</v>
      </c>
      <c r="B63" s="403"/>
      <c r="C63" s="403"/>
      <c r="D63" s="403"/>
      <c r="E63" s="403"/>
      <c r="F63" s="403"/>
      <c r="G63" s="403"/>
      <c r="H63" s="403"/>
      <c r="I63" s="403"/>
      <c r="J63" s="415"/>
    </row>
    <row r="64" spans="1:10" ht="20.100000000000001" customHeight="1" x14ac:dyDescent="0.25">
      <c r="A64" s="230"/>
      <c r="B64" s="54"/>
      <c r="C64" s="54"/>
      <c r="D64" s="54"/>
      <c r="E64" s="54"/>
      <c r="F64" s="209">
        <v>2015</v>
      </c>
      <c r="G64" s="209">
        <v>2016</v>
      </c>
      <c r="H64" s="209">
        <v>2017</v>
      </c>
      <c r="I64" s="209">
        <v>2018</v>
      </c>
      <c r="J64" s="415"/>
    </row>
    <row r="65" spans="1:10" ht="20.100000000000001" customHeight="1" x14ac:dyDescent="0.25">
      <c r="A65" s="230"/>
      <c r="B65" s="54"/>
      <c r="C65" s="54"/>
      <c r="D65" s="54"/>
      <c r="E65" s="54"/>
      <c r="F65" s="209" t="s">
        <v>91</v>
      </c>
      <c r="G65" s="209" t="s">
        <v>91</v>
      </c>
      <c r="H65" s="209" t="s">
        <v>91</v>
      </c>
      <c r="I65" s="209" t="s">
        <v>91</v>
      </c>
      <c r="J65" s="415"/>
    </row>
    <row r="66" spans="1:10" ht="20.100000000000001" customHeight="1" x14ac:dyDescent="0.25">
      <c r="A66" s="115" t="s">
        <v>556</v>
      </c>
      <c r="B66" s="47"/>
      <c r="C66" s="47"/>
      <c r="D66" s="47"/>
      <c r="E66" s="47"/>
      <c r="F66" s="229">
        <v>40000</v>
      </c>
      <c r="G66" s="229">
        <v>30000</v>
      </c>
      <c r="H66" s="229">
        <v>20000</v>
      </c>
      <c r="I66" s="229">
        <v>10000</v>
      </c>
      <c r="J66" s="415"/>
    </row>
    <row r="67" spans="1:10" ht="20.100000000000001" customHeight="1" x14ac:dyDescent="0.25">
      <c r="A67" s="115" t="s">
        <v>557</v>
      </c>
      <c r="B67" s="47"/>
      <c r="C67" s="47"/>
      <c r="D67" s="47"/>
      <c r="E67" s="47"/>
      <c r="F67" s="229">
        <v>1200</v>
      </c>
      <c r="G67" s="229">
        <v>1100</v>
      </c>
      <c r="H67" s="229">
        <v>1000</v>
      </c>
      <c r="I67" s="229">
        <v>900</v>
      </c>
      <c r="J67" s="415"/>
    </row>
    <row r="68" spans="1:10" ht="20.100000000000001" customHeight="1" x14ac:dyDescent="0.25">
      <c r="A68" s="115" t="s">
        <v>558</v>
      </c>
      <c r="B68" s="47"/>
      <c r="C68" s="47"/>
      <c r="D68" s="47"/>
      <c r="E68" s="47"/>
      <c r="F68" s="229">
        <v>3000</v>
      </c>
      <c r="G68" s="229">
        <v>2000</v>
      </c>
      <c r="H68" s="229">
        <v>1000</v>
      </c>
      <c r="I68" s="229">
        <v>1000</v>
      </c>
      <c r="J68" s="415"/>
    </row>
    <row r="69" spans="1:10" ht="20.100000000000001" customHeight="1" x14ac:dyDescent="0.25">
      <c r="A69" s="236" t="s">
        <v>653</v>
      </c>
      <c r="B69" s="237"/>
      <c r="C69" s="237"/>
      <c r="D69" s="237"/>
      <c r="E69" s="237"/>
      <c r="F69" s="238">
        <f>-F68*50%</f>
        <v>-1500</v>
      </c>
      <c r="G69" s="238">
        <f t="shared" ref="G69:I69" si="4">-G68*50%</f>
        <v>-1000</v>
      </c>
      <c r="H69" s="238">
        <f t="shared" si="4"/>
        <v>-500</v>
      </c>
      <c r="I69" s="239">
        <f t="shared" si="4"/>
        <v>-500</v>
      </c>
      <c r="J69" s="415"/>
    </row>
    <row r="70" spans="1:10" ht="20.100000000000001" customHeight="1" x14ac:dyDescent="0.25">
      <c r="A70" s="236" t="s">
        <v>559</v>
      </c>
      <c r="B70" s="237"/>
      <c r="C70" s="237"/>
      <c r="D70" s="237"/>
      <c r="E70" s="237"/>
      <c r="F70" s="238"/>
      <c r="G70" s="238"/>
      <c r="H70" s="238"/>
      <c r="I70" s="240">
        <f>SUM(F69:I69)</f>
        <v>-3500</v>
      </c>
      <c r="J70" s="415"/>
    </row>
    <row r="71" spans="1:10" ht="20.100000000000001" customHeight="1" x14ac:dyDescent="0.25">
      <c r="J71" s="415"/>
    </row>
    <row r="72" spans="1:10" ht="15.95" customHeight="1" x14ac:dyDescent="0.25">
      <c r="A72" s="403" t="s">
        <v>900</v>
      </c>
      <c r="B72" s="403"/>
      <c r="C72" s="403"/>
      <c r="D72" s="403"/>
      <c r="E72" s="403"/>
      <c r="F72" s="403"/>
      <c r="G72" s="403"/>
      <c r="H72" s="403"/>
      <c r="I72" s="403"/>
      <c r="J72" s="415"/>
    </row>
    <row r="73" spans="1:10" ht="20.100000000000001" customHeight="1" x14ac:dyDescent="0.25">
      <c r="A73" s="47"/>
      <c r="B73" s="47"/>
      <c r="C73" s="47"/>
      <c r="D73" s="54" t="s">
        <v>56</v>
      </c>
      <c r="E73" s="54"/>
      <c r="F73" s="209"/>
      <c r="G73" s="209" t="s">
        <v>180</v>
      </c>
      <c r="H73" s="229"/>
      <c r="I73" s="229"/>
      <c r="J73" s="415"/>
    </row>
    <row r="74" spans="1:10" ht="20.100000000000001" customHeight="1" x14ac:dyDescent="0.25">
      <c r="A74" s="115"/>
      <c r="B74" s="47"/>
      <c r="C74" s="47"/>
      <c r="D74" s="70">
        <v>2015</v>
      </c>
      <c r="E74" s="47"/>
      <c r="F74" s="394"/>
      <c r="G74" s="394">
        <v>0.28000000000000003</v>
      </c>
      <c r="H74" s="229"/>
      <c r="I74" s="229"/>
      <c r="J74" s="415"/>
    </row>
    <row r="75" spans="1:10" ht="20.100000000000001" customHeight="1" x14ac:dyDescent="0.25">
      <c r="A75" s="115"/>
      <c r="B75" s="47"/>
      <c r="C75" s="47"/>
      <c r="D75" s="70">
        <f>+D74+1</f>
        <v>2016</v>
      </c>
      <c r="E75" s="47"/>
      <c r="F75" s="394"/>
      <c r="G75" s="394">
        <v>0.25</v>
      </c>
      <c r="H75" s="229"/>
      <c r="I75" s="229"/>
      <c r="J75" s="415"/>
    </row>
    <row r="76" spans="1:10" ht="20.100000000000001" customHeight="1" x14ac:dyDescent="0.25">
      <c r="A76" s="115"/>
      <c r="B76" s="47"/>
      <c r="C76" s="47"/>
      <c r="D76" s="70">
        <f>+D75+1</f>
        <v>2017</v>
      </c>
      <c r="E76" s="47"/>
      <c r="F76" s="394"/>
      <c r="G76" s="394">
        <v>0.22</v>
      </c>
      <c r="H76" s="229"/>
      <c r="I76" s="229"/>
      <c r="J76" s="415"/>
    </row>
    <row r="77" spans="1:10" ht="20.100000000000001" customHeight="1" x14ac:dyDescent="0.25">
      <c r="A77" s="115"/>
      <c r="B77" s="47"/>
      <c r="C77" s="47"/>
      <c r="D77" s="70">
        <f>+D76+1</f>
        <v>2018</v>
      </c>
      <c r="E77" s="47"/>
      <c r="F77" s="394"/>
      <c r="G77" s="394">
        <v>0.2</v>
      </c>
      <c r="H77" s="229"/>
      <c r="I77" s="229"/>
      <c r="J77" s="415"/>
    </row>
    <row r="78" spans="1:10" ht="20.100000000000001" customHeight="1" x14ac:dyDescent="0.25">
      <c r="A78" s="115"/>
      <c r="B78" s="47"/>
      <c r="C78" s="47"/>
      <c r="D78" s="70"/>
      <c r="E78" s="47"/>
      <c r="F78" s="394"/>
      <c r="G78" s="394"/>
      <c r="H78" s="229"/>
      <c r="I78" s="229"/>
      <c r="J78" s="415"/>
    </row>
    <row r="79" spans="1:10" ht="20.100000000000001" customHeight="1" x14ac:dyDescent="0.25">
      <c r="A79" s="47"/>
      <c r="B79" s="47"/>
      <c r="C79" s="47"/>
      <c r="D79" s="54"/>
      <c r="E79" s="54"/>
      <c r="F79" s="209"/>
      <c r="G79" s="209" t="s">
        <v>33</v>
      </c>
      <c r="H79" s="229"/>
      <c r="I79" s="229"/>
      <c r="J79" s="415"/>
    </row>
    <row r="80" spans="1:10" ht="20.100000000000001" customHeight="1" x14ac:dyDescent="0.25">
      <c r="A80" s="47"/>
      <c r="B80" s="47"/>
      <c r="C80" s="47"/>
      <c r="D80" s="54" t="s">
        <v>56</v>
      </c>
      <c r="E80" s="54"/>
      <c r="F80" s="209"/>
      <c r="G80" s="209" t="s">
        <v>78</v>
      </c>
      <c r="H80" s="229"/>
      <c r="I80" s="229"/>
      <c r="J80" s="415"/>
    </row>
    <row r="81" spans="1:10" ht="20.100000000000001" customHeight="1" x14ac:dyDescent="0.25">
      <c r="A81" s="115"/>
      <c r="B81" s="47"/>
      <c r="C81" s="47"/>
      <c r="D81" s="70">
        <v>2015</v>
      </c>
      <c r="E81" s="47"/>
      <c r="F81" s="394"/>
      <c r="G81" s="229">
        <v>2000000</v>
      </c>
      <c r="H81" s="229"/>
      <c r="I81" s="229"/>
      <c r="J81" s="415"/>
    </row>
    <row r="82" spans="1:10" ht="20.100000000000001" customHeight="1" x14ac:dyDescent="0.25">
      <c r="A82" s="115"/>
      <c r="B82" s="47"/>
      <c r="C82" s="47"/>
      <c r="D82" s="70">
        <f>+D81+1</f>
        <v>2016</v>
      </c>
      <c r="E82" s="47"/>
      <c r="F82" s="394"/>
      <c r="G82" s="229">
        <v>3000000</v>
      </c>
      <c r="H82" s="229"/>
      <c r="I82" s="229"/>
      <c r="J82" s="415"/>
    </row>
    <row r="83" spans="1:10" ht="20.100000000000001" customHeight="1" x14ac:dyDescent="0.25">
      <c r="A83" s="115"/>
      <c r="B83" s="47"/>
      <c r="C83" s="47"/>
      <c r="D83" s="70">
        <f>+D82+1</f>
        <v>2017</v>
      </c>
      <c r="E83" s="47"/>
      <c r="F83" s="394"/>
      <c r="G83" s="229">
        <v>3000000</v>
      </c>
      <c r="H83" s="229"/>
      <c r="I83" s="229"/>
      <c r="J83" s="415"/>
    </row>
    <row r="84" spans="1:10" ht="20.100000000000001" customHeight="1" x14ac:dyDescent="0.25">
      <c r="A84" s="115"/>
      <c r="B84" s="47"/>
      <c r="C84" s="47"/>
      <c r="D84" s="70">
        <f>+D83+1</f>
        <v>2018</v>
      </c>
      <c r="E84" s="47"/>
      <c r="F84" s="394"/>
      <c r="G84" s="229">
        <v>4000000</v>
      </c>
      <c r="H84" s="229"/>
      <c r="I84" s="229"/>
      <c r="J84" s="415"/>
    </row>
    <row r="85" spans="1:10" ht="20.100000000000001" customHeight="1" x14ac:dyDescent="0.25">
      <c r="A85" s="115"/>
      <c r="B85" s="47"/>
      <c r="C85" s="47"/>
      <c r="D85" s="70"/>
      <c r="E85" s="47"/>
      <c r="F85" s="394"/>
      <c r="G85" s="229"/>
      <c r="H85" s="229"/>
      <c r="I85" s="229"/>
      <c r="J85" s="415"/>
    </row>
    <row r="86" spans="1:10" ht="20.100000000000001" customHeight="1" x14ac:dyDescent="0.25">
      <c r="A86" s="47"/>
      <c r="B86" s="54"/>
      <c r="C86" s="54"/>
      <c r="D86" s="54"/>
      <c r="E86" s="54"/>
      <c r="F86" s="209" t="s">
        <v>33</v>
      </c>
      <c r="G86" s="209" t="s">
        <v>789</v>
      </c>
      <c r="H86" s="209"/>
      <c r="I86" s="209" t="s">
        <v>364</v>
      </c>
      <c r="J86" s="415"/>
    </row>
    <row r="87" spans="1:10" ht="20.100000000000001" customHeight="1" x14ac:dyDescent="0.25">
      <c r="A87" s="47"/>
      <c r="B87" s="54"/>
      <c r="C87" s="54"/>
      <c r="D87" s="54"/>
      <c r="E87" s="54"/>
      <c r="F87" s="209" t="s">
        <v>78</v>
      </c>
      <c r="G87" s="209" t="s">
        <v>108</v>
      </c>
      <c r="H87" s="209" t="s">
        <v>107</v>
      </c>
      <c r="I87" s="209" t="s">
        <v>367</v>
      </c>
      <c r="J87" s="415"/>
    </row>
    <row r="88" spans="1:10" ht="20.100000000000001" customHeight="1" x14ac:dyDescent="0.25">
      <c r="A88" s="47"/>
      <c r="B88" s="54" t="s">
        <v>56</v>
      </c>
      <c r="C88" s="54"/>
      <c r="D88" s="209" t="s">
        <v>180</v>
      </c>
      <c r="E88" s="54"/>
      <c r="F88" s="209" t="s">
        <v>788</v>
      </c>
      <c r="G88" s="209" t="s">
        <v>739</v>
      </c>
      <c r="H88" s="209" t="s">
        <v>790</v>
      </c>
      <c r="I88" s="209" t="s">
        <v>277</v>
      </c>
      <c r="J88" s="415"/>
    </row>
    <row r="89" spans="1:10" ht="20.100000000000001" customHeight="1" x14ac:dyDescent="0.25">
      <c r="A89" s="115"/>
      <c r="B89" s="70">
        <v>2015</v>
      </c>
      <c r="C89" s="47"/>
      <c r="D89" s="394">
        <v>0.28000000000000003</v>
      </c>
      <c r="E89" s="47"/>
      <c r="F89" s="229">
        <v>2000000</v>
      </c>
      <c r="G89" s="229">
        <f>+F89</f>
        <v>2000000</v>
      </c>
      <c r="H89" s="229">
        <f>+F89-G89</f>
        <v>0</v>
      </c>
      <c r="I89" s="229">
        <f>+D89*G89</f>
        <v>560000</v>
      </c>
      <c r="J89" s="415"/>
    </row>
    <row r="90" spans="1:10" ht="20.100000000000001" customHeight="1" x14ac:dyDescent="0.25">
      <c r="A90" s="115"/>
      <c r="B90" s="70">
        <f>+B89+1</f>
        <v>2016</v>
      </c>
      <c r="C90" s="47"/>
      <c r="D90" s="394">
        <v>0.25</v>
      </c>
      <c r="E90" s="47"/>
      <c r="F90" s="229">
        <v>3000000</v>
      </c>
      <c r="G90" s="229">
        <f>+F90</f>
        <v>3000000</v>
      </c>
      <c r="H90" s="229">
        <f>+F90-G90</f>
        <v>0</v>
      </c>
      <c r="I90" s="229">
        <f>+D90*G90</f>
        <v>750000</v>
      </c>
      <c r="J90" s="415"/>
    </row>
    <row r="91" spans="1:10" ht="20.100000000000001" customHeight="1" x14ac:dyDescent="0.25">
      <c r="A91" s="115"/>
      <c r="B91" s="70">
        <f>+B90+1</f>
        <v>2017</v>
      </c>
      <c r="C91" s="47"/>
      <c r="D91" s="394">
        <v>0.22</v>
      </c>
      <c r="E91" s="47"/>
      <c r="F91" s="229">
        <v>3000000</v>
      </c>
      <c r="G91" s="229">
        <f>+F91</f>
        <v>3000000</v>
      </c>
      <c r="H91" s="229">
        <f>+F91-G91</f>
        <v>0</v>
      </c>
      <c r="I91" s="229">
        <f>+D91*G91</f>
        <v>660000</v>
      </c>
      <c r="J91" s="415"/>
    </row>
    <row r="92" spans="1:10" ht="20.100000000000001" customHeight="1" x14ac:dyDescent="0.25">
      <c r="A92" s="115"/>
      <c r="B92" s="70">
        <f>+B91+1</f>
        <v>2018</v>
      </c>
      <c r="C92" s="47"/>
      <c r="D92" s="394">
        <v>0.2</v>
      </c>
      <c r="E92" s="47"/>
      <c r="F92" s="229">
        <v>4000000</v>
      </c>
      <c r="G92" s="229">
        <v>2000000</v>
      </c>
      <c r="H92" s="229">
        <f>+F92-G92</f>
        <v>2000000</v>
      </c>
      <c r="I92" s="229">
        <f>+D92*G92</f>
        <v>400000</v>
      </c>
      <c r="J92" s="415"/>
    </row>
    <row r="93" spans="1:10" ht="20.100000000000001" customHeight="1" x14ac:dyDescent="0.25">
      <c r="A93" s="395"/>
      <c r="B93" s="395"/>
      <c r="C93" s="395"/>
      <c r="D93" s="395"/>
      <c r="E93" s="395"/>
      <c r="F93" s="395">
        <f>SUM(F89:F92)</f>
        <v>12000000</v>
      </c>
      <c r="G93" s="395">
        <f>SUM(G89:G92)</f>
        <v>10000000</v>
      </c>
      <c r="H93" s="395">
        <f>SUM(H89:H92)</f>
        <v>2000000</v>
      </c>
      <c r="I93" s="395">
        <f>SUM(I89:I92)</f>
        <v>2370000</v>
      </c>
      <c r="J93" s="415"/>
    </row>
    <row r="94" spans="1:10" ht="15.95" customHeight="1" x14ac:dyDescent="0.25">
      <c r="A94" s="403"/>
      <c r="B94" s="403"/>
      <c r="C94" s="403"/>
      <c r="D94" s="403"/>
      <c r="E94" s="403"/>
      <c r="F94" s="403"/>
      <c r="G94" s="403"/>
      <c r="H94" s="403"/>
      <c r="I94" s="403"/>
      <c r="J94" s="415"/>
    </row>
  </sheetData>
  <mergeCells count="1">
    <mergeCell ref="A1:XFD3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81"/>
  <sheetViews>
    <sheetView topLeftCell="A28" zoomScale="80" zoomScaleNormal="80" workbookViewId="0">
      <selection activeCell="F71" sqref="A53:F71"/>
    </sheetView>
  </sheetViews>
  <sheetFormatPr baseColWidth="10" defaultColWidth="0" defaultRowHeight="20.100000000000001" customHeight="1" zeroHeight="1" x14ac:dyDescent="0.25"/>
  <cols>
    <col min="1" max="3" width="13.7109375" style="416" customWidth="1"/>
    <col min="4" max="6" width="13.7109375" style="42" customWidth="1"/>
    <col min="7" max="8" width="11.42578125" style="42" customWidth="1"/>
    <col min="9" max="9" width="11.42578125" hidden="1" customWidth="1"/>
    <col min="10" max="21" width="0" hidden="1" customWidth="1"/>
    <col min="22" max="16384" width="11.42578125" hidden="1"/>
  </cols>
  <sheetData>
    <row r="1" spans="1:9" s="420" customFormat="1" ht="15" x14ac:dyDescent="0.25">
      <c r="A1" s="420" t="s">
        <v>921</v>
      </c>
    </row>
    <row r="2" spans="1:9" s="420" customFormat="1" ht="15" x14ac:dyDescent="0.25"/>
    <row r="3" spans="1:9" s="420" customFormat="1" ht="15" x14ac:dyDescent="0.25"/>
    <row r="4" spans="1:9" ht="15.95" customHeight="1" x14ac:dyDescent="0.25">
      <c r="A4" s="403" t="s">
        <v>933</v>
      </c>
      <c r="B4" s="403"/>
      <c r="C4" s="403"/>
      <c r="D4" s="403"/>
      <c r="E4" s="403"/>
      <c r="F4" s="403"/>
      <c r="G4" s="403"/>
      <c r="H4" s="403"/>
    </row>
    <row r="5" spans="1:9" ht="20.100000000000001" customHeight="1" x14ac:dyDescent="0.25">
      <c r="A5" s="247" t="s">
        <v>7</v>
      </c>
      <c r="B5" s="249"/>
      <c r="C5" s="249"/>
      <c r="D5" s="246"/>
      <c r="E5" s="241"/>
      <c r="F5" s="242"/>
      <c r="G5" s="47"/>
      <c r="H5" s="403"/>
      <c r="I5" s="5">
        <v>1</v>
      </c>
    </row>
    <row r="6" spans="1:9" ht="20.100000000000001" customHeight="1" x14ac:dyDescent="0.25">
      <c r="A6" s="236" t="s">
        <v>8</v>
      </c>
      <c r="B6" s="250"/>
      <c r="C6" s="250"/>
      <c r="D6" s="251"/>
      <c r="E6" s="233">
        <v>3000000</v>
      </c>
      <c r="F6" s="252" t="s">
        <v>14</v>
      </c>
      <c r="G6" s="47"/>
      <c r="H6" s="403"/>
      <c r="I6" s="5">
        <v>1</v>
      </c>
    </row>
    <row r="7" spans="1:9" ht="20.100000000000001" customHeight="1" x14ac:dyDescent="0.25">
      <c r="A7" s="236" t="s">
        <v>12</v>
      </c>
      <c r="B7" s="250"/>
      <c r="C7" s="250"/>
      <c r="D7" s="251"/>
      <c r="E7" s="253">
        <v>3</v>
      </c>
      <c r="F7" s="252" t="s">
        <v>15</v>
      </c>
      <c r="G7" s="47"/>
      <c r="H7" s="403"/>
    </row>
    <row r="8" spans="1:9" ht="20.100000000000001" customHeight="1" x14ac:dyDescent="0.25">
      <c r="A8" s="236" t="s">
        <v>13</v>
      </c>
      <c r="B8" s="250"/>
      <c r="C8" s="250"/>
      <c r="D8" s="251"/>
      <c r="E8" s="253">
        <v>3.0209999999999999</v>
      </c>
      <c r="F8" s="252" t="s">
        <v>16</v>
      </c>
      <c r="G8" s="47"/>
      <c r="H8" s="403"/>
    </row>
    <row r="9" spans="1:9" ht="20.100000000000001" customHeight="1" x14ac:dyDescent="0.25">
      <c r="A9" s="236" t="s">
        <v>929</v>
      </c>
      <c r="B9" s="250"/>
      <c r="C9" s="250"/>
      <c r="D9" s="251"/>
      <c r="E9" s="233">
        <f>+E6/E7</f>
        <v>1000000</v>
      </c>
      <c r="F9" s="252" t="s">
        <v>19</v>
      </c>
      <c r="G9" s="47"/>
      <c r="H9" s="403"/>
    </row>
    <row r="10" spans="1:9" ht="20.100000000000001" customHeight="1" x14ac:dyDescent="0.25">
      <c r="A10" s="236" t="s">
        <v>930</v>
      </c>
      <c r="B10" s="250"/>
      <c r="C10" s="250"/>
      <c r="D10" s="251"/>
      <c r="E10" s="233">
        <f>+E6/E8</f>
        <v>993048.6593843099</v>
      </c>
      <c r="F10" s="252" t="s">
        <v>18</v>
      </c>
      <c r="G10" s="47"/>
      <c r="H10" s="403"/>
    </row>
    <row r="11" spans="1:9" ht="20.100000000000001" customHeight="1" x14ac:dyDescent="0.25">
      <c r="A11" s="236" t="s">
        <v>931</v>
      </c>
      <c r="B11" s="250"/>
      <c r="C11" s="250"/>
      <c r="D11" s="251"/>
      <c r="E11" s="233">
        <f>+E9-E10</f>
        <v>6951.3406156901037</v>
      </c>
      <c r="F11" s="252" t="s">
        <v>21</v>
      </c>
      <c r="G11" s="47"/>
      <c r="H11" s="403"/>
    </row>
    <row r="12" spans="1:9" ht="20.100000000000001" customHeight="1" x14ac:dyDescent="0.25">
      <c r="A12" s="236" t="s">
        <v>10</v>
      </c>
      <c r="B12" s="250"/>
      <c r="C12" s="250"/>
      <c r="D12" s="251"/>
      <c r="E12" s="254">
        <v>0.3</v>
      </c>
      <c r="F12" s="252" t="s">
        <v>22</v>
      </c>
      <c r="G12" s="47"/>
      <c r="H12" s="403"/>
    </row>
    <row r="13" spans="1:9" ht="20.100000000000001" customHeight="1" x14ac:dyDescent="0.25">
      <c r="A13" s="236" t="s">
        <v>932</v>
      </c>
      <c r="B13" s="250"/>
      <c r="C13" s="250"/>
      <c r="D13" s="251"/>
      <c r="E13" s="233">
        <f>+E11*E12</f>
        <v>2085.4021847070312</v>
      </c>
      <c r="F13" s="252" t="s">
        <v>23</v>
      </c>
      <c r="G13" s="47"/>
      <c r="H13" s="403"/>
    </row>
    <row r="14" spans="1:9" ht="20.100000000000001" customHeight="1" x14ac:dyDescent="0.25">
      <c r="A14" s="115"/>
      <c r="B14" s="115"/>
      <c r="C14" s="115"/>
      <c r="D14" s="47"/>
      <c r="E14" s="47"/>
      <c r="F14" s="47"/>
      <c r="G14" s="47"/>
      <c r="H14" s="403"/>
    </row>
    <row r="15" spans="1:9" ht="20.100000000000001" customHeight="1" x14ac:dyDescent="0.25">
      <c r="A15" s="247"/>
      <c r="B15" s="249"/>
      <c r="C15" s="249"/>
      <c r="D15" s="246"/>
      <c r="E15" s="244" t="s">
        <v>27</v>
      </c>
      <c r="F15" s="245" t="s">
        <v>28</v>
      </c>
      <c r="G15" s="47"/>
      <c r="H15" s="403"/>
    </row>
    <row r="16" spans="1:9" ht="20.100000000000001" customHeight="1" x14ac:dyDescent="0.25">
      <c r="A16" s="236" t="s">
        <v>30</v>
      </c>
      <c r="B16" s="250"/>
      <c r="C16" s="250"/>
      <c r="D16" s="251"/>
      <c r="E16" s="233">
        <f>+E13</f>
        <v>2085.4021847070312</v>
      </c>
      <c r="F16" s="233"/>
      <c r="G16" s="47"/>
      <c r="H16" s="403"/>
    </row>
    <row r="17" spans="1:8" ht="20.100000000000001" customHeight="1" x14ac:dyDescent="0.25">
      <c r="A17" s="236" t="s">
        <v>70</v>
      </c>
      <c r="B17" s="250"/>
      <c r="C17" s="250"/>
      <c r="D17" s="251"/>
      <c r="E17" s="233"/>
      <c r="F17" s="233">
        <f>+E16</f>
        <v>2085.4021847070312</v>
      </c>
      <c r="G17" s="47"/>
      <c r="H17" s="403"/>
    </row>
    <row r="18" spans="1:8" ht="20.100000000000001" customHeight="1" x14ac:dyDescent="0.25">
      <c r="A18" s="236"/>
      <c r="B18" s="115"/>
      <c r="C18" s="115"/>
      <c r="D18" s="47"/>
      <c r="E18" s="47"/>
      <c r="F18" s="47"/>
      <c r="G18" s="47"/>
      <c r="H18" s="403"/>
    </row>
    <row r="19" spans="1:8" ht="15.95" customHeight="1" x14ac:dyDescent="0.25">
      <c r="A19" s="403" t="s">
        <v>906</v>
      </c>
      <c r="B19" s="403"/>
      <c r="C19" s="403"/>
      <c r="D19" s="403"/>
      <c r="E19" s="403"/>
      <c r="F19" s="403"/>
      <c r="G19" s="403"/>
      <c r="H19" s="403"/>
    </row>
    <row r="20" spans="1:8" ht="20.100000000000001" customHeight="1" x14ac:dyDescent="0.25">
      <c r="A20" s="247" t="s">
        <v>31</v>
      </c>
      <c r="B20" s="249"/>
      <c r="C20" s="249"/>
      <c r="D20" s="246"/>
      <c r="E20" s="245" t="s">
        <v>32</v>
      </c>
      <c r="F20" s="245" t="s">
        <v>1</v>
      </c>
      <c r="G20" s="47"/>
      <c r="H20" s="403"/>
    </row>
    <row r="21" spans="1:8" ht="20.100000000000001" customHeight="1" x14ac:dyDescent="0.25">
      <c r="A21" s="248" t="s">
        <v>24</v>
      </c>
      <c r="B21" s="250"/>
      <c r="C21" s="250"/>
      <c r="D21" s="250"/>
      <c r="E21" s="255">
        <v>1500000</v>
      </c>
      <c r="F21" s="255">
        <f>+E21*E8</f>
        <v>4531500</v>
      </c>
      <c r="G21" s="47"/>
      <c r="H21" s="403"/>
    </row>
    <row r="22" spans="1:8" ht="20.100000000000001" customHeight="1" x14ac:dyDescent="0.25">
      <c r="A22" s="259" t="s">
        <v>25</v>
      </c>
      <c r="B22" s="250"/>
      <c r="C22" s="250"/>
      <c r="D22" s="250"/>
      <c r="E22" s="255">
        <f>-E9</f>
        <v>-1000000</v>
      </c>
      <c r="F22" s="256">
        <f>-E6</f>
        <v>-3000000</v>
      </c>
      <c r="G22" s="47"/>
      <c r="H22" s="403"/>
    </row>
    <row r="23" spans="1:8" ht="20.100000000000001" customHeight="1" x14ac:dyDescent="0.25">
      <c r="A23" s="247" t="s">
        <v>33</v>
      </c>
      <c r="B23" s="249"/>
      <c r="C23" s="249"/>
      <c r="D23" s="246"/>
      <c r="E23" s="257">
        <f>+E21+E22</f>
        <v>500000</v>
      </c>
      <c r="F23" s="257">
        <f>+F21+F22</f>
        <v>1531500</v>
      </c>
      <c r="G23" s="47"/>
      <c r="H23" s="403"/>
    </row>
    <row r="24" spans="1:8" ht="20.100000000000001" customHeight="1" x14ac:dyDescent="0.25">
      <c r="A24" s="259" t="s">
        <v>740</v>
      </c>
      <c r="B24" s="250"/>
      <c r="C24" s="250"/>
      <c r="D24" s="250"/>
      <c r="E24" s="255">
        <f>+-E23*30%</f>
        <v>-150000</v>
      </c>
      <c r="F24" s="255">
        <f>+-F23*30%</f>
        <v>-459450</v>
      </c>
      <c r="G24" s="47"/>
      <c r="H24" s="403"/>
    </row>
    <row r="25" spans="1:8" ht="20.100000000000001" customHeight="1" x14ac:dyDescent="0.25">
      <c r="A25" s="259" t="s">
        <v>923</v>
      </c>
      <c r="B25" s="250"/>
      <c r="C25" s="250"/>
      <c r="D25" s="250"/>
      <c r="E25" s="255">
        <f>+-E13</f>
        <v>-2085.4021847070312</v>
      </c>
      <c r="F25" s="256">
        <v>0</v>
      </c>
      <c r="G25" s="47"/>
      <c r="H25" s="403"/>
    </row>
    <row r="26" spans="1:8" ht="20.100000000000001" customHeight="1" x14ac:dyDescent="0.25">
      <c r="A26" s="247" t="s">
        <v>741</v>
      </c>
      <c r="B26" s="249"/>
      <c r="C26" s="249"/>
      <c r="D26" s="246"/>
      <c r="E26" s="257">
        <f>+E24+E25</f>
        <v>-152085.40218470703</v>
      </c>
      <c r="F26" s="257">
        <f>+F24+F25</f>
        <v>-459450</v>
      </c>
      <c r="G26" s="47"/>
      <c r="H26" s="403"/>
    </row>
    <row r="27" spans="1:8" ht="20.100000000000001" customHeight="1" x14ac:dyDescent="0.25">
      <c r="A27" s="115"/>
      <c r="B27" s="115"/>
      <c r="C27" s="115"/>
      <c r="D27" s="47"/>
      <c r="E27" s="47"/>
      <c r="F27" s="47"/>
      <c r="G27" s="47"/>
      <c r="H27" s="403"/>
    </row>
    <row r="28" spans="1:8" ht="20.100000000000001" customHeight="1" x14ac:dyDescent="0.25">
      <c r="A28" s="47"/>
      <c r="B28" s="47"/>
      <c r="C28" s="47"/>
      <c r="D28" s="47"/>
      <c r="E28" s="47"/>
      <c r="F28" s="47"/>
      <c r="G28" s="47"/>
      <c r="H28" s="403"/>
    </row>
    <row r="29" spans="1:8" ht="15.95" customHeight="1" x14ac:dyDescent="0.25">
      <c r="A29" s="403" t="s">
        <v>934</v>
      </c>
      <c r="B29" s="403"/>
      <c r="C29" s="403"/>
      <c r="D29" s="403"/>
      <c r="E29" s="403"/>
      <c r="F29" s="403"/>
      <c r="G29" s="403"/>
      <c r="H29" s="403"/>
    </row>
    <row r="30" spans="1:8" ht="20.100000000000001" customHeight="1" x14ac:dyDescent="0.25">
      <c r="A30" s="247" t="s">
        <v>36</v>
      </c>
      <c r="B30" s="265"/>
      <c r="C30" s="241"/>
      <c r="D30" s="47"/>
      <c r="E30" s="47"/>
      <c r="F30" s="47"/>
      <c r="G30" s="47"/>
      <c r="H30" s="403"/>
    </row>
    <row r="31" spans="1:8" ht="20.100000000000001" customHeight="1" x14ac:dyDescent="0.25">
      <c r="A31" s="263" t="s">
        <v>41</v>
      </c>
      <c r="B31" s="233"/>
      <c r="C31" s="243">
        <v>1000000</v>
      </c>
      <c r="D31" s="115" t="s">
        <v>40</v>
      </c>
      <c r="E31" s="47"/>
      <c r="F31" s="47"/>
      <c r="G31" s="47"/>
      <c r="H31" s="403"/>
    </row>
    <row r="32" spans="1:8" ht="20.100000000000001" customHeight="1" x14ac:dyDescent="0.25">
      <c r="A32" s="236" t="s">
        <v>42</v>
      </c>
      <c r="B32" s="264"/>
      <c r="C32" s="243">
        <v>3000000</v>
      </c>
      <c r="D32" s="115" t="s">
        <v>39</v>
      </c>
      <c r="E32" s="47"/>
      <c r="F32" s="47"/>
      <c r="G32" s="47"/>
      <c r="H32" s="403"/>
    </row>
    <row r="33" spans="1:8" ht="20.100000000000001" customHeight="1" x14ac:dyDescent="0.25">
      <c r="A33" s="47"/>
      <c r="B33" s="47"/>
      <c r="C33" s="47"/>
      <c r="D33" s="47"/>
      <c r="E33" s="47"/>
      <c r="F33" s="47"/>
      <c r="G33" s="47"/>
      <c r="H33" s="403"/>
    </row>
    <row r="34" spans="1:8" ht="20.100000000000001" customHeight="1" x14ac:dyDescent="0.25">
      <c r="A34" s="258" t="s">
        <v>44</v>
      </c>
      <c r="B34" s="244">
        <v>1</v>
      </c>
      <c r="C34" s="244">
        <f>+B34+1</f>
        <v>2</v>
      </c>
      <c r="D34" s="244">
        <f>+C34+1</f>
        <v>3</v>
      </c>
      <c r="E34" s="244">
        <f>+D34+1</f>
        <v>4</v>
      </c>
      <c r="F34" s="244">
        <f>+E34+1</f>
        <v>5</v>
      </c>
      <c r="G34" s="47"/>
      <c r="H34" s="403"/>
    </row>
    <row r="35" spans="1:8" ht="20.100000000000001" customHeight="1" x14ac:dyDescent="0.25">
      <c r="A35" s="259" t="s">
        <v>37</v>
      </c>
      <c r="B35" s="243">
        <v>1000000</v>
      </c>
      <c r="C35" s="243">
        <f>+B35</f>
        <v>1000000</v>
      </c>
      <c r="D35" s="243">
        <f>+C35</f>
        <v>1000000</v>
      </c>
      <c r="E35" s="243">
        <f>+D35</f>
        <v>1000000</v>
      </c>
      <c r="F35" s="243">
        <f>+E35</f>
        <v>1000000</v>
      </c>
      <c r="G35" s="47"/>
      <c r="H35" s="403"/>
    </row>
    <row r="36" spans="1:8" ht="20.100000000000001" customHeight="1" x14ac:dyDescent="0.25">
      <c r="A36" s="259" t="s">
        <v>560</v>
      </c>
      <c r="B36" s="255">
        <f>-B34*B35/5</f>
        <v>-200000</v>
      </c>
      <c r="C36" s="255">
        <f>-C34*C35/5</f>
        <v>-400000</v>
      </c>
      <c r="D36" s="255">
        <f>-D34*D35/5</f>
        <v>-600000</v>
      </c>
      <c r="E36" s="255">
        <f>-E34*E35/5</f>
        <v>-800000</v>
      </c>
      <c r="F36" s="255">
        <f>-F34*F35/5</f>
        <v>-1000000</v>
      </c>
      <c r="G36" s="47"/>
      <c r="H36" s="403"/>
    </row>
    <row r="37" spans="1:8" ht="20.100000000000001" customHeight="1" x14ac:dyDescent="0.25">
      <c r="A37" s="260" t="s">
        <v>38</v>
      </c>
      <c r="B37" s="261">
        <f t="shared" ref="B37:F37" si="0">+B35+B36</f>
        <v>800000</v>
      </c>
      <c r="C37" s="261">
        <f t="shared" si="0"/>
        <v>600000</v>
      </c>
      <c r="D37" s="261">
        <f t="shared" si="0"/>
        <v>400000</v>
      </c>
      <c r="E37" s="261">
        <f t="shared" si="0"/>
        <v>200000</v>
      </c>
      <c r="F37" s="261">
        <f t="shared" si="0"/>
        <v>0</v>
      </c>
      <c r="G37" s="47"/>
      <c r="H37" s="403"/>
    </row>
    <row r="38" spans="1:8" ht="20.100000000000001" customHeight="1" x14ac:dyDescent="0.25">
      <c r="A38" s="47"/>
      <c r="B38" s="47"/>
      <c r="C38" s="47"/>
      <c r="D38" s="47"/>
      <c r="E38" s="47"/>
      <c r="F38" s="47"/>
      <c r="G38" s="47"/>
      <c r="H38" s="403"/>
    </row>
    <row r="39" spans="1:8" ht="20.100000000000001" customHeight="1" x14ac:dyDescent="0.25">
      <c r="A39" s="258" t="s">
        <v>45</v>
      </c>
      <c r="B39" s="244">
        <v>1</v>
      </c>
      <c r="C39" s="244">
        <f>+B39+1</f>
        <v>2</v>
      </c>
      <c r="D39" s="244">
        <f>+C39+1</f>
        <v>3</v>
      </c>
      <c r="E39" s="244">
        <f>+D39+1</f>
        <v>4</v>
      </c>
      <c r="F39" s="244">
        <f>+E39+1</f>
        <v>5</v>
      </c>
      <c r="G39" s="47"/>
      <c r="H39" s="403"/>
    </row>
    <row r="40" spans="1:8" ht="20.100000000000001" customHeight="1" x14ac:dyDescent="0.25">
      <c r="A40" s="259" t="s">
        <v>37</v>
      </c>
      <c r="B40" s="243">
        <v>1000000</v>
      </c>
      <c r="C40" s="243">
        <f>+B40</f>
        <v>1000000</v>
      </c>
      <c r="D40" s="243">
        <f>+C40</f>
        <v>1000000</v>
      </c>
      <c r="E40" s="243">
        <f>+D40</f>
        <v>1000000</v>
      </c>
      <c r="F40" s="243">
        <f>+E40</f>
        <v>1000000</v>
      </c>
      <c r="G40" s="47"/>
      <c r="H40" s="403"/>
    </row>
    <row r="41" spans="1:8" ht="20.100000000000001" customHeight="1" x14ac:dyDescent="0.25">
      <c r="A41" s="259" t="s">
        <v>560</v>
      </c>
      <c r="B41" s="255">
        <f>-B39*B40/4</f>
        <v>-250000</v>
      </c>
      <c r="C41" s="255">
        <f>-C39*C40/4</f>
        <v>-500000</v>
      </c>
      <c r="D41" s="255">
        <f>-D39*D40/4</f>
        <v>-750000</v>
      </c>
      <c r="E41" s="255">
        <f>-E39*E40/4</f>
        <v>-1000000</v>
      </c>
      <c r="F41" s="255">
        <f>+E41</f>
        <v>-1000000</v>
      </c>
      <c r="G41" s="47"/>
      <c r="H41" s="403"/>
    </row>
    <row r="42" spans="1:8" ht="20.100000000000001" customHeight="1" x14ac:dyDescent="0.25">
      <c r="A42" s="260" t="s">
        <v>38</v>
      </c>
      <c r="B42" s="261">
        <f t="shared" ref="B42:F42" si="1">+B40+B41</f>
        <v>750000</v>
      </c>
      <c r="C42" s="261">
        <f t="shared" si="1"/>
        <v>500000</v>
      </c>
      <c r="D42" s="261">
        <f t="shared" si="1"/>
        <v>250000</v>
      </c>
      <c r="E42" s="261">
        <f t="shared" si="1"/>
        <v>0</v>
      </c>
      <c r="F42" s="261">
        <f t="shared" si="1"/>
        <v>0</v>
      </c>
      <c r="G42" s="47"/>
      <c r="H42" s="403"/>
    </row>
    <row r="43" spans="1:8" ht="20.100000000000001" customHeight="1" x14ac:dyDescent="0.25">
      <c r="A43" s="47"/>
      <c r="B43" s="47"/>
      <c r="C43" s="47"/>
      <c r="D43" s="47"/>
      <c r="E43" s="47"/>
      <c r="F43" s="47"/>
      <c r="G43" s="47"/>
      <c r="H43" s="403"/>
    </row>
    <row r="44" spans="1:8" ht="20.100000000000001" customHeight="1" x14ac:dyDescent="0.25">
      <c r="A44" s="260" t="s">
        <v>111</v>
      </c>
      <c r="B44" s="243">
        <f>+B37-B42</f>
        <v>50000</v>
      </c>
      <c r="C44" s="243">
        <f>+C37-C42</f>
        <v>100000</v>
      </c>
      <c r="D44" s="243">
        <f>+D37-D42</f>
        <v>150000</v>
      </c>
      <c r="E44" s="243">
        <f>+E37-E42</f>
        <v>200000</v>
      </c>
      <c r="F44" s="243">
        <f>+F37-F42</f>
        <v>0</v>
      </c>
      <c r="G44" s="47"/>
      <c r="H44" s="403"/>
    </row>
    <row r="45" spans="1:8" ht="20.100000000000001" customHeight="1" x14ac:dyDescent="0.25">
      <c r="A45" s="260" t="s">
        <v>277</v>
      </c>
      <c r="B45" s="243">
        <f t="shared" ref="B45:F45" si="2">+B44*30%</f>
        <v>15000</v>
      </c>
      <c r="C45" s="243">
        <f t="shared" si="2"/>
        <v>30000</v>
      </c>
      <c r="D45" s="243">
        <f t="shared" si="2"/>
        <v>45000</v>
      </c>
      <c r="E45" s="243">
        <f t="shared" si="2"/>
        <v>60000</v>
      </c>
      <c r="F45" s="243">
        <f t="shared" si="2"/>
        <v>0</v>
      </c>
      <c r="G45" s="47"/>
      <c r="H45" s="403"/>
    </row>
    <row r="46" spans="1:8" ht="20.100000000000001" customHeight="1" x14ac:dyDescent="0.25">
      <c r="A46" s="47"/>
      <c r="B46" s="47"/>
      <c r="C46" s="47"/>
      <c r="D46" s="47"/>
      <c r="E46" s="47"/>
      <c r="F46" s="47"/>
      <c r="G46" s="47"/>
      <c r="H46" s="403"/>
    </row>
    <row r="47" spans="1:8" ht="20.100000000000001" customHeight="1" x14ac:dyDescent="0.25">
      <c r="A47" s="47" t="s">
        <v>561</v>
      </c>
      <c r="B47" s="47"/>
      <c r="C47" s="47"/>
      <c r="D47" s="47"/>
      <c r="E47" s="47"/>
      <c r="F47" s="47"/>
      <c r="G47" s="47"/>
      <c r="H47" s="403"/>
    </row>
    <row r="48" spans="1:8" ht="20.100000000000001" customHeight="1" x14ac:dyDescent="0.25">
      <c r="A48" s="47" t="s">
        <v>562</v>
      </c>
      <c r="B48" s="47"/>
      <c r="C48" s="47"/>
      <c r="D48" s="47"/>
      <c r="E48" s="47"/>
      <c r="F48" s="47"/>
      <c r="G48" s="47"/>
      <c r="H48" s="403"/>
    </row>
    <row r="49" spans="1:8" ht="20.100000000000001" customHeight="1" x14ac:dyDescent="0.25">
      <c r="A49" s="47" t="s">
        <v>563</v>
      </c>
      <c r="B49" s="47"/>
      <c r="C49" s="47"/>
      <c r="D49" s="47"/>
      <c r="E49" s="47"/>
      <c r="F49" s="47"/>
      <c r="G49" s="47"/>
      <c r="H49" s="403"/>
    </row>
    <row r="50" spans="1:8" ht="20.100000000000001" customHeight="1" x14ac:dyDescent="0.25">
      <c r="A50" s="47"/>
      <c r="B50" s="47"/>
      <c r="C50" s="47"/>
      <c r="D50" s="47"/>
      <c r="E50" s="47"/>
      <c r="F50" s="47"/>
      <c r="G50" s="47"/>
      <c r="H50" s="403"/>
    </row>
    <row r="51" spans="1:8" ht="15.95" customHeight="1" x14ac:dyDescent="0.25">
      <c r="A51" s="403" t="s">
        <v>907</v>
      </c>
      <c r="B51" s="403"/>
      <c r="C51" s="403"/>
      <c r="D51" s="403"/>
      <c r="E51" s="403"/>
      <c r="F51" s="403"/>
      <c r="G51" s="403"/>
      <c r="H51" s="403"/>
    </row>
    <row r="52" spans="1:8" ht="15.95" customHeight="1" x14ac:dyDescent="0.25">
      <c r="A52" s="47"/>
      <c r="B52" s="47"/>
      <c r="C52" s="47"/>
      <c r="D52" s="47"/>
      <c r="E52" s="47"/>
      <c r="F52" s="47"/>
      <c r="G52" s="47"/>
      <c r="H52" s="403"/>
    </row>
    <row r="53" spans="1:8" ht="20.100000000000001" customHeight="1" x14ac:dyDescent="0.25">
      <c r="A53" s="247" t="s">
        <v>36</v>
      </c>
      <c r="B53" s="267"/>
      <c r="C53" s="265"/>
      <c r="D53" s="47"/>
      <c r="E53" s="47"/>
      <c r="F53" s="47"/>
      <c r="G53" s="47"/>
      <c r="H53" s="403"/>
    </row>
    <row r="54" spans="1:8" ht="20.100000000000001" customHeight="1" x14ac:dyDescent="0.25">
      <c r="A54" s="248" t="s">
        <v>41</v>
      </c>
      <c r="B54" s="269"/>
      <c r="C54" s="262">
        <v>1000000</v>
      </c>
      <c r="D54" s="47"/>
      <c r="E54" s="47"/>
      <c r="F54" s="47"/>
      <c r="G54" s="47"/>
      <c r="H54" s="403"/>
    </row>
    <row r="55" spans="1:8" ht="20.100000000000001" customHeight="1" x14ac:dyDescent="0.25">
      <c r="A55" s="248" t="s">
        <v>42</v>
      </c>
      <c r="B55" s="269"/>
      <c r="C55" s="262">
        <v>3000000</v>
      </c>
      <c r="D55" s="47"/>
      <c r="E55" s="47"/>
      <c r="F55" s="47"/>
      <c r="G55" s="47"/>
      <c r="H55" s="403"/>
    </row>
    <row r="56" spans="1:8" ht="20.100000000000001" customHeight="1" x14ac:dyDescent="0.25">
      <c r="A56" s="47"/>
      <c r="B56" s="47"/>
      <c r="C56" s="47"/>
      <c r="D56" s="47"/>
      <c r="E56" s="47"/>
      <c r="F56" s="47"/>
      <c r="G56" s="47"/>
      <c r="H56" s="403"/>
    </row>
    <row r="57" spans="1:8" ht="20.100000000000001" customHeight="1" x14ac:dyDescent="0.25">
      <c r="A57" s="247" t="s">
        <v>564</v>
      </c>
      <c r="B57" s="267"/>
      <c r="C57" s="270" t="s">
        <v>32</v>
      </c>
      <c r="D57" s="266" t="s">
        <v>1</v>
      </c>
      <c r="E57" s="47"/>
      <c r="F57" s="47"/>
      <c r="G57" s="47"/>
      <c r="H57" s="403"/>
    </row>
    <row r="58" spans="1:8" ht="20.100000000000001" customHeight="1" x14ac:dyDescent="0.25">
      <c r="A58" s="236" t="s">
        <v>37</v>
      </c>
      <c r="B58" s="269"/>
      <c r="C58" s="262">
        <f>+B35</f>
        <v>1000000</v>
      </c>
      <c r="D58" s="243">
        <f>+C55</f>
        <v>3000000</v>
      </c>
      <c r="E58" s="47"/>
      <c r="F58" s="47"/>
      <c r="G58" s="47"/>
      <c r="H58" s="403"/>
    </row>
    <row r="59" spans="1:8" ht="20.100000000000001" customHeight="1" x14ac:dyDescent="0.25">
      <c r="A59" s="236" t="s">
        <v>43</v>
      </c>
      <c r="B59" s="269"/>
      <c r="C59" s="271">
        <f>+B36</f>
        <v>-200000</v>
      </c>
      <c r="D59" s="255">
        <f>-I5*D58/5</f>
        <v>-600000</v>
      </c>
      <c r="E59" s="47"/>
      <c r="F59" s="47"/>
      <c r="G59" s="47"/>
      <c r="H59" s="403"/>
    </row>
    <row r="60" spans="1:8" ht="20.100000000000001" customHeight="1" x14ac:dyDescent="0.25">
      <c r="A60" s="273" t="s">
        <v>38</v>
      </c>
      <c r="B60" s="269"/>
      <c r="C60" s="272">
        <f>+C58+C59</f>
        <v>800000</v>
      </c>
      <c r="D60" s="261">
        <f>+D58+D59</f>
        <v>2400000</v>
      </c>
      <c r="E60" s="47" t="s">
        <v>49</v>
      </c>
      <c r="F60" s="47"/>
      <c r="G60" s="47"/>
      <c r="H60" s="403"/>
    </row>
    <row r="61" spans="1:8" ht="20.100000000000001" customHeight="1" x14ac:dyDescent="0.25">
      <c r="A61" s="47"/>
      <c r="B61" s="47"/>
      <c r="C61" s="47"/>
      <c r="D61" s="48"/>
      <c r="F61" s="47"/>
      <c r="G61" s="47"/>
      <c r="H61" s="403"/>
    </row>
    <row r="62" spans="1:8" ht="20.100000000000001" customHeight="1" x14ac:dyDescent="0.25">
      <c r="A62" s="47" t="s">
        <v>47</v>
      </c>
      <c r="B62" s="47"/>
      <c r="D62" s="47">
        <v>3.0209999999999999</v>
      </c>
      <c r="E62" s="47" t="s">
        <v>48</v>
      </c>
      <c r="F62" s="47"/>
      <c r="G62" s="47"/>
      <c r="H62" s="403"/>
    </row>
    <row r="63" spans="1:8" ht="20.100000000000001" customHeight="1" x14ac:dyDescent="0.25">
      <c r="A63" s="47"/>
      <c r="B63" s="47"/>
      <c r="C63" s="47"/>
      <c r="D63" s="47"/>
      <c r="E63" s="47"/>
      <c r="F63" s="47"/>
      <c r="G63" s="47"/>
      <c r="H63" s="403"/>
    </row>
    <row r="64" spans="1:8" ht="20.100000000000001" customHeight="1" x14ac:dyDescent="0.25">
      <c r="A64" s="47" t="s">
        <v>924</v>
      </c>
      <c r="B64" s="47"/>
      <c r="C64" s="47"/>
      <c r="D64" s="48">
        <f>C60</f>
        <v>800000</v>
      </c>
      <c r="E64" s="47" t="s">
        <v>50</v>
      </c>
      <c r="F64" s="47"/>
      <c r="G64" s="47"/>
      <c r="H64" s="403"/>
    </row>
    <row r="65" spans="1:9" ht="20.100000000000001" customHeight="1" x14ac:dyDescent="0.25">
      <c r="A65" s="47" t="s">
        <v>46</v>
      </c>
      <c r="B65" s="47"/>
      <c r="C65" s="47"/>
      <c r="D65" s="48">
        <f>+D60/D62</f>
        <v>794438.92750744789</v>
      </c>
      <c r="E65" s="47" t="s">
        <v>51</v>
      </c>
      <c r="F65" s="47"/>
      <c r="G65" s="47"/>
      <c r="H65" s="403"/>
    </row>
    <row r="66" spans="1:9" ht="20.100000000000001" customHeight="1" x14ac:dyDescent="0.25">
      <c r="A66" s="47" t="s">
        <v>9</v>
      </c>
      <c r="B66" s="47"/>
      <c r="C66" s="47"/>
      <c r="D66" s="48">
        <f>+D64-D65</f>
        <v>5561.0724925521063</v>
      </c>
      <c r="E66" s="47" t="s">
        <v>52</v>
      </c>
      <c r="F66" s="47"/>
      <c r="G66" s="47"/>
      <c r="H66" s="403"/>
    </row>
    <row r="67" spans="1:9" ht="20.100000000000001" customHeight="1" x14ac:dyDescent="0.25">
      <c r="A67" s="47" t="s">
        <v>35</v>
      </c>
      <c r="B67" s="47"/>
      <c r="C67" s="47"/>
      <c r="D67" s="48">
        <f>+D66*30%</f>
        <v>1668.3217477656319</v>
      </c>
      <c r="E67" s="47" t="s">
        <v>53</v>
      </c>
      <c r="F67" s="47"/>
      <c r="G67" s="47"/>
      <c r="H67" s="403"/>
    </row>
    <row r="68" spans="1:9" ht="20.100000000000001" customHeight="1" x14ac:dyDescent="0.25">
      <c r="A68" s="47"/>
      <c r="B68" s="47"/>
      <c r="C68" s="47"/>
      <c r="D68" s="48"/>
      <c r="E68" s="47"/>
      <c r="F68" s="47"/>
      <c r="G68" s="47"/>
      <c r="H68" s="403"/>
    </row>
    <row r="69" spans="1:9" ht="20.100000000000001" customHeight="1" x14ac:dyDescent="0.25">
      <c r="A69" s="247"/>
      <c r="B69" s="249"/>
      <c r="C69" s="249"/>
      <c r="D69" s="249"/>
      <c r="E69" s="244" t="s">
        <v>27</v>
      </c>
      <c r="F69" s="245" t="s">
        <v>28</v>
      </c>
      <c r="G69" s="47"/>
      <c r="H69" s="403"/>
    </row>
    <row r="70" spans="1:9" ht="20.100000000000001" customHeight="1" x14ac:dyDescent="0.25">
      <c r="A70" s="274" t="s">
        <v>30</v>
      </c>
      <c r="B70" s="275"/>
      <c r="C70" s="275"/>
      <c r="D70" s="276"/>
      <c r="E70" s="418">
        <f>+D67</f>
        <v>1668.3217477656319</v>
      </c>
      <c r="F70" s="243"/>
      <c r="G70" s="47"/>
      <c r="H70" s="403"/>
    </row>
    <row r="71" spans="1:9" ht="20.100000000000001" customHeight="1" x14ac:dyDescent="0.25">
      <c r="A71" s="236" t="s">
        <v>70</v>
      </c>
      <c r="B71" s="275"/>
      <c r="C71" s="275"/>
      <c r="D71" s="276"/>
      <c r="E71" s="262"/>
      <c r="F71" s="243">
        <f>+E70</f>
        <v>1668.3217477656319</v>
      </c>
      <c r="G71" s="47"/>
      <c r="H71" s="403"/>
    </row>
    <row r="72" spans="1:9" ht="20.100000000000001" customHeight="1" x14ac:dyDescent="0.25">
      <c r="A72" s="47"/>
      <c r="B72" s="47"/>
      <c r="C72" s="47"/>
      <c r="D72" s="48"/>
      <c r="E72" s="47"/>
      <c r="F72" s="47"/>
      <c r="G72" s="47"/>
      <c r="H72" s="403"/>
    </row>
    <row r="73" spans="1:9" ht="20.100000000000001" customHeight="1" x14ac:dyDescent="0.25">
      <c r="A73" s="268"/>
      <c r="B73" s="268"/>
      <c r="C73" s="268"/>
      <c r="D73" s="268"/>
      <c r="E73" s="244" t="s">
        <v>1</v>
      </c>
      <c r="F73" s="245" t="s">
        <v>32</v>
      </c>
      <c r="G73" s="47"/>
      <c r="H73" s="403"/>
    </row>
    <row r="74" spans="1:9" ht="20.100000000000001" customHeight="1" x14ac:dyDescent="0.25">
      <c r="A74" s="47" t="s">
        <v>24</v>
      </c>
      <c r="B74" s="115"/>
      <c r="C74" s="115"/>
      <c r="D74" s="47">
        <v>3.0209999999999999</v>
      </c>
      <c r="E74" s="48">
        <f>+D74*F74</f>
        <v>3625200</v>
      </c>
      <c r="F74" s="48">
        <v>1200000</v>
      </c>
      <c r="G74" s="417">
        <f>+E74/F74</f>
        <v>3.0209999999999999</v>
      </c>
      <c r="H74" s="403"/>
    </row>
    <row r="75" spans="1:9" ht="20.100000000000001" customHeight="1" x14ac:dyDescent="0.25">
      <c r="A75" s="47" t="s">
        <v>54</v>
      </c>
      <c r="B75" s="115"/>
      <c r="C75" s="115"/>
      <c r="D75" s="47"/>
      <c r="E75" s="78">
        <f>-D60</f>
        <v>-2400000</v>
      </c>
      <c r="F75" s="78">
        <f>-C60</f>
        <v>-800000</v>
      </c>
      <c r="G75" s="417">
        <f>+E75/F75</f>
        <v>3</v>
      </c>
      <c r="H75" s="403"/>
    </row>
    <row r="76" spans="1:9" ht="20.100000000000001" customHeight="1" x14ac:dyDescent="0.25">
      <c r="A76" s="54" t="s">
        <v>55</v>
      </c>
      <c r="B76" s="54"/>
      <c r="C76" s="54"/>
      <c r="D76" s="54"/>
      <c r="E76" s="170">
        <f>+E74+E75</f>
        <v>1225200</v>
      </c>
      <c r="F76" s="170">
        <f>+F74+F75</f>
        <v>400000</v>
      </c>
      <c r="G76" s="417">
        <f>+E76/F76</f>
        <v>3.0630000000000002</v>
      </c>
      <c r="H76" s="403"/>
    </row>
    <row r="77" spans="1:9" ht="20.100000000000001" customHeight="1" x14ac:dyDescent="0.25">
      <c r="A77" s="45" t="s">
        <v>26</v>
      </c>
      <c r="B77" s="45"/>
      <c r="C77" s="45"/>
      <c r="D77" s="277">
        <v>0.3</v>
      </c>
      <c r="E77" s="170">
        <f>+D77*E76</f>
        <v>367560</v>
      </c>
      <c r="F77" s="170">
        <f>+D77*F76</f>
        <v>120000</v>
      </c>
      <c r="G77" s="417">
        <f>+E77/F77</f>
        <v>3.0630000000000002</v>
      </c>
      <c r="H77" s="403"/>
    </row>
    <row r="78" spans="1:9" ht="20.100000000000001" customHeight="1" x14ac:dyDescent="0.25">
      <c r="A78" s="47"/>
      <c r="B78" s="47"/>
      <c r="C78" s="47"/>
      <c r="D78" s="47"/>
      <c r="E78" s="47"/>
      <c r="F78" s="89">
        <f>+E77/D74</f>
        <v>121668.32174776564</v>
      </c>
      <c r="H78" s="403"/>
    </row>
    <row r="79" spans="1:9" ht="20.100000000000001" customHeight="1" x14ac:dyDescent="0.25">
      <c r="F79" s="89">
        <f>+F78-F77</f>
        <v>1668.3217477656435</v>
      </c>
      <c r="H79" s="403"/>
    </row>
    <row r="80" spans="1:9" ht="20.100000000000001" customHeight="1" x14ac:dyDescent="0.25">
      <c r="A80" s="403"/>
      <c r="B80" s="403"/>
      <c r="C80" s="403"/>
      <c r="D80" s="403"/>
      <c r="E80" s="403"/>
      <c r="F80" s="403"/>
      <c r="G80" s="403"/>
      <c r="H80" s="403"/>
      <c r="I80" s="403"/>
    </row>
    <row r="81" ht="20.100000000000001" customHeight="1" x14ac:dyDescent="0.25"/>
  </sheetData>
  <mergeCells count="1">
    <mergeCell ref="A1:XFD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86"/>
  <sheetViews>
    <sheetView zoomScale="80" zoomScaleNormal="80" workbookViewId="0">
      <selection sqref="A1:XFD3"/>
    </sheetView>
  </sheetViews>
  <sheetFormatPr baseColWidth="10" defaultColWidth="0" defaultRowHeight="20.25" customHeight="1" zeroHeight="1" x14ac:dyDescent="0.25"/>
  <cols>
    <col min="1" max="1" width="12" style="42" bestFit="1" customWidth="1"/>
    <col min="2" max="2" width="15.140625" style="42" customWidth="1"/>
    <col min="3" max="3" width="10.140625" style="42" customWidth="1"/>
    <col min="4" max="4" width="6.5703125" style="42" customWidth="1"/>
    <col min="5" max="5" width="13.7109375" style="42" customWidth="1"/>
    <col min="6" max="6" width="11.85546875" style="42" bestFit="1" customWidth="1"/>
    <col min="7" max="7" width="14.42578125" style="42" customWidth="1"/>
    <col min="8" max="8" width="14.7109375" style="42" customWidth="1"/>
    <col min="9" max="9" width="6.5703125" customWidth="1"/>
    <col min="10" max="10" width="12.140625" hidden="1"/>
    <col min="11" max="11" width="11.42578125" hidden="1"/>
  </cols>
  <sheetData>
    <row r="1" spans="1:15" s="420" customFormat="1" ht="15" x14ac:dyDescent="0.25">
      <c r="A1" s="420" t="s">
        <v>922</v>
      </c>
    </row>
    <row r="2" spans="1:15" s="420" customFormat="1" ht="15" x14ac:dyDescent="0.25"/>
    <row r="3" spans="1:15" s="420" customFormat="1" ht="15" x14ac:dyDescent="0.25"/>
    <row r="4" spans="1:15" ht="15.95" customHeight="1" x14ac:dyDescent="0.25">
      <c r="A4" s="403" t="s">
        <v>908</v>
      </c>
      <c r="B4" s="403"/>
      <c r="C4" s="403"/>
      <c r="D4" s="403"/>
      <c r="E4" s="403"/>
      <c r="F4" s="403"/>
      <c r="G4" s="403"/>
      <c r="H4" s="403"/>
      <c r="I4" s="403"/>
    </row>
    <row r="5" spans="1:15" s="42" customFormat="1" ht="20.25" customHeight="1" x14ac:dyDescent="0.25">
      <c r="A5" s="425" t="s">
        <v>744</v>
      </c>
      <c r="B5" s="425"/>
      <c r="C5" s="425"/>
      <c r="D5" s="425"/>
      <c r="E5" s="425"/>
      <c r="F5" s="425"/>
      <c r="G5" s="425"/>
      <c r="H5" s="425"/>
      <c r="I5" s="402"/>
      <c r="O5"/>
    </row>
    <row r="6" spans="1:15" s="42" customFormat="1" ht="20.25" customHeight="1" x14ac:dyDescent="0.25">
      <c r="A6" s="50" t="s">
        <v>742</v>
      </c>
      <c r="B6" s="50"/>
      <c r="C6" s="50"/>
      <c r="D6" s="47"/>
      <c r="E6" s="50" t="s">
        <v>743</v>
      </c>
      <c r="F6" s="50"/>
      <c r="G6" s="50"/>
      <c r="I6" s="402"/>
      <c r="O6"/>
    </row>
    <row r="7" spans="1:15" ht="20.25" customHeight="1" x14ac:dyDescent="0.25">
      <c r="A7" s="47" t="s">
        <v>745</v>
      </c>
      <c r="B7" s="47"/>
      <c r="C7" s="373">
        <v>-4</v>
      </c>
      <c r="D7" s="47"/>
      <c r="E7" s="376" t="s">
        <v>747</v>
      </c>
      <c r="F7" s="229"/>
      <c r="G7" s="373">
        <f>+C8</f>
        <v>2.4</v>
      </c>
      <c r="H7" s="377" t="s">
        <v>426</v>
      </c>
      <c r="I7" s="402"/>
    </row>
    <row r="8" spans="1:15" ht="20.25" customHeight="1" x14ac:dyDescent="0.25">
      <c r="A8" s="47" t="s">
        <v>746</v>
      </c>
      <c r="B8" s="47"/>
      <c r="C8" s="374">
        <v>2.4</v>
      </c>
      <c r="D8" s="47"/>
      <c r="E8" s="376" t="s">
        <v>748</v>
      </c>
      <c r="F8" s="229"/>
      <c r="G8" s="374">
        <v>-1.8</v>
      </c>
      <c r="H8" s="377" t="s">
        <v>427</v>
      </c>
      <c r="I8" s="402"/>
    </row>
    <row r="9" spans="1:15" ht="20.25" customHeight="1" x14ac:dyDescent="0.25">
      <c r="A9" s="47"/>
      <c r="B9" s="47"/>
      <c r="C9" s="374">
        <f>+C7+C8</f>
        <v>-1.6</v>
      </c>
      <c r="D9" s="47"/>
      <c r="E9" s="376"/>
      <c r="F9" s="229"/>
      <c r="G9" s="374">
        <f>+G7+G8</f>
        <v>0.59999999999999987</v>
      </c>
      <c r="H9" s="377"/>
      <c r="I9" s="402"/>
    </row>
    <row r="10" spans="1:15" ht="20.25" customHeight="1" x14ac:dyDescent="0.25">
      <c r="A10" s="47"/>
      <c r="B10" s="47"/>
      <c r="C10" s="373"/>
      <c r="D10" s="47"/>
      <c r="E10" s="376"/>
      <c r="F10" s="229"/>
      <c r="G10" s="373"/>
      <c r="H10" s="373"/>
      <c r="I10" s="402"/>
    </row>
    <row r="11" spans="1:15" ht="20.25" customHeight="1" x14ac:dyDescent="0.25">
      <c r="A11" s="425" t="s">
        <v>750</v>
      </c>
      <c r="B11" s="425"/>
      <c r="C11" s="425"/>
      <c r="D11" s="425"/>
      <c r="E11" s="425"/>
      <c r="F11" s="425"/>
      <c r="G11" s="425"/>
      <c r="H11" s="425"/>
      <c r="I11" s="402"/>
    </row>
    <row r="12" spans="1:15" ht="20.25" customHeight="1" x14ac:dyDescent="0.25">
      <c r="A12" s="50" t="s">
        <v>742</v>
      </c>
      <c r="B12" s="50"/>
      <c r="C12" s="50"/>
      <c r="D12" s="47"/>
      <c r="E12" s="50" t="s">
        <v>743</v>
      </c>
      <c r="F12" s="50"/>
      <c r="G12" s="50"/>
      <c r="I12" s="402"/>
      <c r="J12" s="229"/>
      <c r="K12" s="229"/>
      <c r="L12" s="229"/>
      <c r="M12" s="229"/>
      <c r="N12" s="381"/>
    </row>
    <row r="13" spans="1:15" ht="20.25" customHeight="1" x14ac:dyDescent="0.25">
      <c r="A13" s="47" t="s">
        <v>745</v>
      </c>
      <c r="B13" s="47"/>
      <c r="C13" s="373">
        <f>+C9</f>
        <v>-1.6</v>
      </c>
      <c r="D13" s="47"/>
      <c r="E13" s="376" t="s">
        <v>747</v>
      </c>
      <c r="F13" s="229"/>
      <c r="G13" s="373">
        <f>C14</f>
        <v>4.4000000000000004</v>
      </c>
      <c r="H13" s="377" t="s">
        <v>426</v>
      </c>
      <c r="I13" s="402"/>
    </row>
    <row r="14" spans="1:15" ht="20.25" customHeight="1" x14ac:dyDescent="0.25">
      <c r="A14" s="47" t="s">
        <v>753</v>
      </c>
      <c r="B14" s="47"/>
      <c r="C14" s="374">
        <v>4.4000000000000004</v>
      </c>
      <c r="D14" s="47"/>
      <c r="E14" s="376" t="s">
        <v>748</v>
      </c>
      <c r="F14" s="229"/>
      <c r="G14" s="374">
        <v>-3.3</v>
      </c>
      <c r="H14" s="377" t="s">
        <v>427</v>
      </c>
      <c r="I14" s="402"/>
    </row>
    <row r="15" spans="1:15" ht="20.25" customHeight="1" x14ac:dyDescent="0.25">
      <c r="A15" s="47" t="s">
        <v>751</v>
      </c>
      <c r="B15" s="47"/>
      <c r="C15" s="375">
        <f>+C13+C14</f>
        <v>2.8000000000000003</v>
      </c>
      <c r="D15" s="47"/>
      <c r="E15" s="376" t="s">
        <v>749</v>
      </c>
      <c r="F15" s="229"/>
      <c r="G15" s="375">
        <f>+G13+G14</f>
        <v>1.1000000000000005</v>
      </c>
      <c r="H15" s="373"/>
      <c r="I15" s="402"/>
    </row>
    <row r="16" spans="1:15" ht="20.25" customHeight="1" x14ac:dyDescent="0.25">
      <c r="A16" s="47"/>
      <c r="B16" s="373"/>
      <c r="C16" s="373"/>
      <c r="D16" s="47"/>
      <c r="E16" s="47"/>
      <c r="F16" s="228"/>
      <c r="G16" s="229"/>
      <c r="H16" s="373"/>
      <c r="I16" s="402"/>
    </row>
    <row r="17" spans="1:9" ht="20.25" customHeight="1" x14ac:dyDescent="0.25">
      <c r="A17" s="425" t="s">
        <v>752</v>
      </c>
      <c r="B17" s="425"/>
      <c r="C17" s="425"/>
      <c r="D17" s="425"/>
      <c r="E17" s="425"/>
      <c r="F17" s="425"/>
      <c r="G17" s="425"/>
      <c r="H17" s="425"/>
      <c r="I17" s="402"/>
    </row>
    <row r="18" spans="1:9" ht="20.25" customHeight="1" x14ac:dyDescent="0.25">
      <c r="A18" s="50" t="s">
        <v>742</v>
      </c>
      <c r="B18" s="50"/>
      <c r="C18" s="50"/>
      <c r="D18" s="47"/>
      <c r="E18" s="50" t="s">
        <v>743</v>
      </c>
      <c r="F18" s="50"/>
      <c r="G18" s="50"/>
      <c r="I18" s="402"/>
    </row>
    <row r="19" spans="1:9" ht="20.25" customHeight="1" x14ac:dyDescent="0.25">
      <c r="A19" s="47" t="s">
        <v>751</v>
      </c>
      <c r="B19" s="47"/>
      <c r="C19" s="373">
        <f>+C15</f>
        <v>2.8000000000000003</v>
      </c>
      <c r="D19" s="47"/>
      <c r="E19" s="376" t="s">
        <v>747</v>
      </c>
      <c r="F19" s="229"/>
      <c r="G19" s="373">
        <f>C20</f>
        <v>1.2</v>
      </c>
      <c r="H19" s="377" t="s">
        <v>426</v>
      </c>
      <c r="I19" s="402"/>
    </row>
    <row r="20" spans="1:9" ht="20.25" customHeight="1" x14ac:dyDescent="0.25">
      <c r="A20" s="47" t="s">
        <v>746</v>
      </c>
      <c r="B20" s="47"/>
      <c r="C20" s="374">
        <v>1.2</v>
      </c>
      <c r="D20" s="47"/>
      <c r="E20" s="376" t="s">
        <v>748</v>
      </c>
      <c r="F20" s="229"/>
      <c r="G20" s="374">
        <v>-0.9</v>
      </c>
      <c r="H20" s="377" t="s">
        <v>427</v>
      </c>
      <c r="I20" s="402"/>
    </row>
    <row r="21" spans="1:9" ht="20.25" customHeight="1" x14ac:dyDescent="0.25">
      <c r="A21" s="47" t="s">
        <v>751</v>
      </c>
      <c r="B21" s="47"/>
      <c r="C21" s="375">
        <f>+C19+C20</f>
        <v>4</v>
      </c>
      <c r="D21" s="47"/>
      <c r="E21" s="376" t="s">
        <v>749</v>
      </c>
      <c r="F21" s="229"/>
      <c r="G21" s="375">
        <f>+G19+G20</f>
        <v>0.29999999999999993</v>
      </c>
      <c r="H21" s="373"/>
      <c r="I21" s="402"/>
    </row>
    <row r="22" spans="1:9" ht="20.25" customHeight="1" x14ac:dyDescent="0.25">
      <c r="A22" s="373"/>
      <c r="B22" s="373"/>
      <c r="C22" s="373"/>
      <c r="D22" s="373"/>
      <c r="E22" s="373"/>
      <c r="F22" s="373"/>
      <c r="G22" s="373"/>
      <c r="H22" s="373"/>
      <c r="I22" s="402"/>
    </row>
    <row r="23" spans="1:9" ht="20.25" customHeight="1" x14ac:dyDescent="0.25">
      <c r="A23" s="373"/>
      <c r="B23" s="373"/>
      <c r="C23" s="373"/>
      <c r="D23" s="379"/>
      <c r="E23" s="373"/>
      <c r="F23" s="379" t="s">
        <v>755</v>
      </c>
      <c r="G23" s="373">
        <f>+G7+G13+G19</f>
        <v>8</v>
      </c>
      <c r="H23" s="373"/>
      <c r="I23" s="402"/>
    </row>
    <row r="24" spans="1:9" ht="20.25" customHeight="1" x14ac:dyDescent="0.25">
      <c r="A24" s="373"/>
      <c r="B24" s="373"/>
      <c r="C24" s="373"/>
      <c r="D24" s="379"/>
      <c r="E24" s="373"/>
      <c r="F24" s="379" t="s">
        <v>754</v>
      </c>
      <c r="G24" s="374">
        <f>+G8+G14+G20</f>
        <v>-6</v>
      </c>
      <c r="H24" s="373"/>
      <c r="I24" s="402"/>
    </row>
    <row r="25" spans="1:9" ht="20.25" customHeight="1" x14ac:dyDescent="0.25">
      <c r="A25" s="373"/>
      <c r="B25" s="373"/>
      <c r="C25" s="373"/>
      <c r="D25" s="378"/>
      <c r="E25" s="373"/>
      <c r="F25" s="379" t="s">
        <v>756</v>
      </c>
      <c r="G25" s="374">
        <f>+G23+G24</f>
        <v>2</v>
      </c>
      <c r="H25" s="373"/>
      <c r="I25" s="402"/>
    </row>
    <row r="26" spans="1:9" ht="20.25" customHeight="1" x14ac:dyDescent="0.25">
      <c r="A26" s="373"/>
      <c r="B26" s="373"/>
      <c r="C26" s="373"/>
      <c r="D26" s="378"/>
      <c r="E26" s="373"/>
      <c r="F26" s="379"/>
      <c r="G26" s="373"/>
      <c r="H26" s="373"/>
      <c r="I26" s="402"/>
    </row>
    <row r="27" spans="1:9" ht="15.95" customHeight="1" x14ac:dyDescent="0.25">
      <c r="A27" s="403" t="s">
        <v>909</v>
      </c>
      <c r="B27" s="403"/>
      <c r="C27" s="403"/>
      <c r="D27" s="403"/>
      <c r="E27" s="403"/>
      <c r="F27" s="403"/>
      <c r="G27" s="403"/>
      <c r="H27" s="403"/>
      <c r="I27" s="403"/>
    </row>
    <row r="28" spans="1:9" ht="20.25" customHeight="1" x14ac:dyDescent="0.25">
      <c r="A28" s="380" t="s">
        <v>743</v>
      </c>
      <c r="B28" s="380"/>
      <c r="C28" s="393"/>
      <c r="D28" s="393"/>
      <c r="E28" s="393">
        <v>1887</v>
      </c>
      <c r="F28" s="393">
        <f>+E28+1</f>
        <v>1888</v>
      </c>
      <c r="G28" s="393">
        <f>+F28+1</f>
        <v>1889</v>
      </c>
      <c r="H28" s="393" t="s">
        <v>551</v>
      </c>
      <c r="I28" s="402"/>
    </row>
    <row r="29" spans="1:9" ht="20.25" customHeight="1" x14ac:dyDescent="0.25">
      <c r="A29" s="376" t="s">
        <v>747</v>
      </c>
      <c r="B29" s="229"/>
      <c r="C29" s="373"/>
      <c r="D29" s="373"/>
      <c r="E29" s="373">
        <f>+G7</f>
        <v>2.4</v>
      </c>
      <c r="F29" s="373">
        <f>+G13</f>
        <v>4.4000000000000004</v>
      </c>
      <c r="G29" s="373">
        <f>+G19</f>
        <v>1.2</v>
      </c>
      <c r="H29" s="373">
        <f>+E29+F29+G29</f>
        <v>8</v>
      </c>
      <c r="I29" s="402"/>
    </row>
    <row r="30" spans="1:9" ht="20.25" customHeight="1" x14ac:dyDescent="0.25">
      <c r="A30" s="376" t="s">
        <v>748</v>
      </c>
      <c r="B30" s="229"/>
      <c r="C30" s="373"/>
      <c r="D30" s="373"/>
      <c r="E30" s="373">
        <f>+G8</f>
        <v>-1.8</v>
      </c>
      <c r="F30" s="373">
        <f>+G14</f>
        <v>-3.3</v>
      </c>
      <c r="G30" s="373">
        <f>+G20</f>
        <v>-0.9</v>
      </c>
      <c r="H30" s="373">
        <f>+E30+F30+G30</f>
        <v>-6</v>
      </c>
      <c r="I30" s="402"/>
    </row>
    <row r="31" spans="1:9" ht="20.25" customHeight="1" x14ac:dyDescent="0.25">
      <c r="A31" s="376" t="s">
        <v>749</v>
      </c>
      <c r="B31" s="229"/>
      <c r="C31" s="373"/>
      <c r="D31" s="373"/>
      <c r="E31" s="375">
        <f>+E29+E30</f>
        <v>0.59999999999999987</v>
      </c>
      <c r="F31" s="375">
        <f t="shared" ref="F31:G31" si="0">+F29+F30</f>
        <v>1.1000000000000005</v>
      </c>
      <c r="G31" s="375">
        <f t="shared" si="0"/>
        <v>0.29999999999999993</v>
      </c>
      <c r="H31" s="375">
        <f t="shared" ref="H31" si="1">+H29+H30</f>
        <v>2</v>
      </c>
      <c r="I31" s="402"/>
    </row>
    <row r="32" spans="1:9" ht="20.25" customHeight="1" x14ac:dyDescent="0.25">
      <c r="A32" s="376"/>
      <c r="B32" s="229"/>
      <c r="C32" s="373"/>
      <c r="D32" s="373"/>
      <c r="E32" s="373"/>
      <c r="F32" s="373"/>
      <c r="G32" s="373"/>
      <c r="H32" s="373"/>
      <c r="I32" s="402"/>
    </row>
    <row r="33" spans="1:9" ht="20.25" customHeight="1" x14ac:dyDescent="0.25">
      <c r="A33" s="376" t="s">
        <v>699</v>
      </c>
      <c r="B33" s="229"/>
      <c r="C33" s="373"/>
      <c r="D33" s="373"/>
      <c r="E33" s="375">
        <f>+E31*30%</f>
        <v>0.17999999999999997</v>
      </c>
      <c r="F33" s="375">
        <f t="shared" ref="F33:H33" si="2">+F31*30%</f>
        <v>0.33000000000000013</v>
      </c>
      <c r="G33" s="375">
        <f t="shared" si="2"/>
        <v>8.9999999999999983E-2</v>
      </c>
      <c r="H33" s="375">
        <f t="shared" si="2"/>
        <v>0.6</v>
      </c>
      <c r="I33" s="402"/>
    </row>
    <row r="34" spans="1:9" ht="20.25" customHeight="1" x14ac:dyDescent="0.25">
      <c r="A34" s="376" t="s">
        <v>758</v>
      </c>
      <c r="B34" s="229"/>
      <c r="C34" s="373"/>
      <c r="D34" s="373"/>
      <c r="E34" s="229"/>
      <c r="F34" s="229"/>
      <c r="G34" s="229"/>
      <c r="H34" s="229"/>
      <c r="I34" s="402"/>
    </row>
    <row r="35" spans="1:9" ht="20.25" customHeight="1" x14ac:dyDescent="0.25">
      <c r="A35" s="376"/>
      <c r="B35" s="229"/>
      <c r="C35" s="373"/>
      <c r="D35" s="373"/>
      <c r="E35" s="229"/>
      <c r="F35" s="229"/>
      <c r="G35" s="229"/>
      <c r="H35" s="381"/>
      <c r="I35" s="402"/>
    </row>
    <row r="36" spans="1:9" ht="20.25" customHeight="1" x14ac:dyDescent="0.25">
      <c r="A36" s="376"/>
      <c r="B36" s="229"/>
      <c r="C36" s="229"/>
      <c r="D36" s="229"/>
      <c r="E36" s="229"/>
      <c r="F36" s="229"/>
      <c r="G36" s="229"/>
      <c r="H36" s="381" t="s">
        <v>757</v>
      </c>
      <c r="I36" s="402"/>
    </row>
    <row r="37" spans="1:9" ht="20.25" customHeight="1" x14ac:dyDescent="0.25">
      <c r="A37" s="373"/>
      <c r="B37" s="373"/>
      <c r="C37" s="373"/>
      <c r="D37" s="373"/>
      <c r="E37" s="373"/>
      <c r="F37" s="373"/>
      <c r="G37" s="373"/>
      <c r="H37" s="373"/>
      <c r="I37" s="402"/>
    </row>
    <row r="38" spans="1:9" ht="15.95" customHeight="1" x14ac:dyDescent="0.25">
      <c r="A38" s="403" t="s">
        <v>910</v>
      </c>
      <c r="B38" s="403"/>
      <c r="C38" s="403"/>
      <c r="D38" s="403"/>
      <c r="E38" s="403"/>
      <c r="F38" s="403"/>
      <c r="G38" s="403"/>
      <c r="H38" s="403"/>
      <c r="I38" s="403"/>
    </row>
    <row r="39" spans="1:9" ht="20.25" customHeight="1" x14ac:dyDescent="0.25">
      <c r="A39" s="47"/>
      <c r="B39" s="47"/>
      <c r="C39" s="47"/>
      <c r="D39" s="47"/>
      <c r="E39" s="382" t="s">
        <v>107</v>
      </c>
      <c r="F39" s="382" t="s">
        <v>107</v>
      </c>
      <c r="G39" s="382" t="s">
        <v>224</v>
      </c>
      <c r="H39" s="382" t="s">
        <v>79</v>
      </c>
      <c r="I39" s="402"/>
    </row>
    <row r="40" spans="1:9" ht="20.25" customHeight="1" x14ac:dyDescent="0.25">
      <c r="A40" s="51" t="s">
        <v>763</v>
      </c>
      <c r="B40" s="47"/>
      <c r="C40" s="47"/>
      <c r="D40" s="47"/>
      <c r="E40" s="382" t="s">
        <v>110</v>
      </c>
      <c r="F40" s="382" t="s">
        <v>78</v>
      </c>
      <c r="G40" s="382" t="s">
        <v>225</v>
      </c>
      <c r="H40" s="382" t="s">
        <v>189</v>
      </c>
      <c r="I40" s="402"/>
    </row>
    <row r="41" spans="1:9" ht="20.25" customHeight="1" x14ac:dyDescent="0.25">
      <c r="A41" s="47" t="s">
        <v>759</v>
      </c>
      <c r="B41" s="47"/>
      <c r="C41" s="47"/>
      <c r="D41" s="47"/>
      <c r="E41" s="48">
        <v>1000000</v>
      </c>
      <c r="F41" s="48">
        <v>1000000</v>
      </c>
      <c r="G41" s="78"/>
      <c r="H41" s="78">
        <f>+G42</f>
        <v>0</v>
      </c>
      <c r="I41" s="402"/>
    </row>
    <row r="42" spans="1:9" ht="20.25" customHeight="1" x14ac:dyDescent="0.25">
      <c r="A42" s="47" t="s">
        <v>119</v>
      </c>
      <c r="B42" s="47"/>
      <c r="C42" s="47"/>
      <c r="D42" s="47"/>
      <c r="E42" s="78">
        <v>-200000</v>
      </c>
      <c r="F42" s="78">
        <f>+-F41*10%</f>
        <v>-100000</v>
      </c>
      <c r="G42" s="78"/>
      <c r="H42" s="78"/>
      <c r="I42" s="402"/>
    </row>
    <row r="43" spans="1:9" ht="20.25" customHeight="1" thickBot="1" x14ac:dyDescent="0.3">
      <c r="A43" s="47"/>
      <c r="B43" s="47"/>
      <c r="C43" s="47"/>
      <c r="D43" s="216"/>
      <c r="E43" s="383">
        <f>+E41+E42</f>
        <v>800000</v>
      </c>
      <c r="F43" s="383">
        <f>+F41+F42</f>
        <v>900000</v>
      </c>
      <c r="G43" s="67">
        <f>+F43-E43</f>
        <v>100000</v>
      </c>
      <c r="H43" s="67">
        <f>+G43*30%</f>
        <v>30000</v>
      </c>
      <c r="I43" s="402"/>
    </row>
    <row r="44" spans="1:9" ht="20.25" customHeight="1" x14ac:dyDescent="0.25">
      <c r="A44" s="47"/>
      <c r="B44" s="47"/>
      <c r="C44" s="47"/>
      <c r="D44" s="216"/>
      <c r="E44" s="384" t="s">
        <v>761</v>
      </c>
      <c r="F44" s="212"/>
      <c r="G44" s="78"/>
      <c r="H44" s="78"/>
      <c r="I44" s="402"/>
    </row>
    <row r="45" spans="1:9" ht="20.25" customHeight="1" x14ac:dyDescent="0.25">
      <c r="A45" s="47"/>
      <c r="B45" s="47"/>
      <c r="C45" s="47"/>
      <c r="D45" s="216"/>
      <c r="E45" s="212"/>
      <c r="F45" s="212"/>
      <c r="G45" s="78"/>
      <c r="H45" s="78"/>
      <c r="I45" s="402"/>
    </row>
    <row r="46" spans="1:9" ht="20.25" customHeight="1" x14ac:dyDescent="0.25">
      <c r="A46" s="47"/>
      <c r="B46" s="47"/>
      <c r="C46" s="47"/>
      <c r="D46" s="47"/>
      <c r="E46" s="382" t="s">
        <v>107</v>
      </c>
      <c r="F46" s="382" t="s">
        <v>107</v>
      </c>
      <c r="G46" s="382" t="s">
        <v>224</v>
      </c>
      <c r="H46" s="382" t="s">
        <v>79</v>
      </c>
      <c r="I46" s="402"/>
    </row>
    <row r="47" spans="1:9" ht="20.25" customHeight="1" x14ac:dyDescent="0.25">
      <c r="A47" s="51" t="s">
        <v>764</v>
      </c>
      <c r="B47" s="47"/>
      <c r="C47" s="47"/>
      <c r="D47" s="47"/>
      <c r="E47" s="382" t="s">
        <v>110</v>
      </c>
      <c r="F47" s="382" t="s">
        <v>78</v>
      </c>
      <c r="G47" s="382" t="s">
        <v>225</v>
      </c>
      <c r="H47" s="382" t="s">
        <v>189</v>
      </c>
      <c r="I47" s="402"/>
    </row>
    <row r="48" spans="1:9" ht="20.25" customHeight="1" x14ac:dyDescent="0.25">
      <c r="A48" s="47" t="s">
        <v>759</v>
      </c>
      <c r="B48" s="47"/>
      <c r="C48" s="47"/>
      <c r="D48" s="47"/>
      <c r="E48" s="48">
        <v>1000000</v>
      </c>
      <c r="F48" s="48">
        <v>1000000</v>
      </c>
      <c r="G48" s="78"/>
      <c r="H48" s="78">
        <f>+G49</f>
        <v>0</v>
      </c>
      <c r="I48" s="402"/>
    </row>
    <row r="49" spans="1:9" ht="20.25" customHeight="1" x14ac:dyDescent="0.25">
      <c r="A49" s="47" t="s">
        <v>119</v>
      </c>
      <c r="B49" s="47"/>
      <c r="C49" s="47"/>
      <c r="D49" s="47"/>
      <c r="E49" s="78">
        <v>-50000</v>
      </c>
      <c r="F49" s="78">
        <f>+-F48*10%</f>
        <v>-100000</v>
      </c>
      <c r="G49" s="78"/>
      <c r="H49" s="78"/>
      <c r="I49" s="402"/>
    </row>
    <row r="50" spans="1:9" ht="20.25" customHeight="1" thickBot="1" x14ac:dyDescent="0.3">
      <c r="A50" s="47"/>
      <c r="B50" s="47"/>
      <c r="C50" s="47"/>
      <c r="D50" s="216"/>
      <c r="E50" s="383">
        <f>+E48+E49</f>
        <v>950000</v>
      </c>
      <c r="F50" s="383">
        <f>+F48+F49</f>
        <v>900000</v>
      </c>
      <c r="G50" s="67">
        <f>+E50-F50</f>
        <v>50000</v>
      </c>
      <c r="H50" s="67">
        <f>+G50*30%</f>
        <v>15000</v>
      </c>
      <c r="I50" s="402"/>
    </row>
    <row r="51" spans="1:9" ht="20.25" customHeight="1" x14ac:dyDescent="0.25">
      <c r="A51" s="47"/>
      <c r="B51" s="47"/>
      <c r="C51" s="47"/>
      <c r="D51" s="216"/>
      <c r="E51" s="384" t="s">
        <v>762</v>
      </c>
      <c r="F51" s="212"/>
      <c r="G51" s="78"/>
      <c r="H51" s="78"/>
      <c r="I51" s="402"/>
    </row>
    <row r="52" spans="1:9" ht="20.25" customHeight="1" x14ac:dyDescent="0.25">
      <c r="A52" s="47" t="s">
        <v>760</v>
      </c>
      <c r="B52" s="47"/>
      <c r="C52" s="47"/>
      <c r="D52" s="216"/>
      <c r="E52" s="212"/>
      <c r="F52" s="212"/>
      <c r="G52" s="78"/>
      <c r="H52" s="78"/>
      <c r="I52" s="402"/>
    </row>
    <row r="53" spans="1:9" ht="20.25" customHeight="1" x14ac:dyDescent="0.25">
      <c r="A53" s="47"/>
      <c r="B53" s="47"/>
      <c r="C53" s="47"/>
      <c r="D53" s="216"/>
      <c r="E53" s="212"/>
      <c r="F53" s="212"/>
      <c r="G53" s="78"/>
      <c r="H53" s="78"/>
      <c r="I53" s="402"/>
    </row>
    <row r="54" spans="1:9" ht="15.95" customHeight="1" x14ac:dyDescent="0.25">
      <c r="A54" s="403" t="s">
        <v>911</v>
      </c>
      <c r="B54" s="403"/>
      <c r="C54" s="403"/>
      <c r="D54" s="403"/>
      <c r="E54" s="403"/>
      <c r="F54" s="403"/>
      <c r="G54" s="403"/>
      <c r="H54" s="403"/>
      <c r="I54" s="403"/>
    </row>
    <row r="55" spans="1:9" ht="20.25" customHeight="1" x14ac:dyDescent="0.25">
      <c r="A55" s="47"/>
      <c r="B55" s="47"/>
      <c r="C55" s="47"/>
      <c r="D55" s="47"/>
      <c r="E55" s="382" t="s">
        <v>107</v>
      </c>
      <c r="F55" s="382" t="s">
        <v>107</v>
      </c>
      <c r="G55" s="382" t="s">
        <v>224</v>
      </c>
      <c r="H55" s="382" t="s">
        <v>79</v>
      </c>
      <c r="I55" s="403"/>
    </row>
    <row r="56" spans="1:9" ht="20.25" customHeight="1" x14ac:dyDescent="0.25">
      <c r="A56" s="47"/>
      <c r="B56" s="47"/>
      <c r="C56" s="47"/>
      <c r="D56" s="47"/>
      <c r="E56" s="382" t="s">
        <v>110</v>
      </c>
      <c r="F56" s="382" t="s">
        <v>78</v>
      </c>
      <c r="G56" s="382" t="s">
        <v>225</v>
      </c>
      <c r="H56" s="382" t="s">
        <v>189</v>
      </c>
      <c r="I56" s="403"/>
    </row>
    <row r="57" spans="1:9" ht="20.25" customHeight="1" x14ac:dyDescent="0.25">
      <c r="A57" s="47" t="s">
        <v>765</v>
      </c>
      <c r="B57" s="47"/>
      <c r="C57" s="47"/>
      <c r="D57" s="47"/>
      <c r="E57" s="48">
        <v>1000000</v>
      </c>
      <c r="F57" s="48">
        <v>1000000</v>
      </c>
      <c r="G57" s="78"/>
      <c r="H57" s="78">
        <f>+G58</f>
        <v>0</v>
      </c>
      <c r="I57" s="403"/>
    </row>
    <row r="58" spans="1:9" ht="20.25" customHeight="1" x14ac:dyDescent="0.25">
      <c r="A58" s="47" t="s">
        <v>766</v>
      </c>
      <c r="B58" s="47"/>
      <c r="C58" s="47"/>
      <c r="D58" s="47"/>
      <c r="E58" s="78">
        <v>0</v>
      </c>
      <c r="F58" s="78">
        <f>+F57*5%</f>
        <v>50000</v>
      </c>
      <c r="G58" s="78"/>
      <c r="H58" s="78"/>
      <c r="I58" s="403"/>
    </row>
    <row r="59" spans="1:9" ht="20.25" customHeight="1" thickBot="1" x14ac:dyDescent="0.3">
      <c r="A59" s="47"/>
      <c r="B59" s="47"/>
      <c r="C59" s="47"/>
      <c r="D59" s="216"/>
      <c r="E59" s="383">
        <f>+E57+E58</f>
        <v>1000000</v>
      </c>
      <c r="F59" s="383">
        <f>+F57+F58</f>
        <v>1050000</v>
      </c>
      <c r="G59" s="67">
        <f>+F59-E59</f>
        <v>50000</v>
      </c>
      <c r="H59" s="67">
        <f>+G59*30%</f>
        <v>15000</v>
      </c>
      <c r="I59" s="403"/>
    </row>
    <row r="60" spans="1:9" ht="20.25" customHeight="1" x14ac:dyDescent="0.25">
      <c r="A60" s="47"/>
      <c r="B60" s="47"/>
      <c r="C60" s="47"/>
      <c r="D60" s="216"/>
      <c r="E60" s="384" t="s">
        <v>761</v>
      </c>
      <c r="F60" s="212"/>
      <c r="G60" s="78"/>
      <c r="H60" s="78"/>
      <c r="I60" s="403"/>
    </row>
    <row r="61" spans="1:9" ht="20.25" customHeight="1" x14ac:dyDescent="0.25">
      <c r="A61" s="47" t="s">
        <v>770</v>
      </c>
      <c r="B61" s="47"/>
      <c r="C61" s="47"/>
      <c r="D61" s="216"/>
      <c r="E61" s="212"/>
      <c r="F61" s="212"/>
      <c r="G61" s="78"/>
      <c r="H61" s="78"/>
      <c r="I61" s="403"/>
    </row>
    <row r="62" spans="1:9" ht="20.25" customHeight="1" x14ac:dyDescent="0.25">
      <c r="A62" s="47"/>
      <c r="B62" s="47"/>
      <c r="C62" s="47"/>
      <c r="D62" s="216"/>
      <c r="E62" s="212"/>
      <c r="F62" s="212"/>
      <c r="G62" s="78"/>
      <c r="H62" s="78"/>
      <c r="I62" s="403"/>
    </row>
    <row r="63" spans="1:9" ht="15.95" customHeight="1" x14ac:dyDescent="0.25">
      <c r="A63" s="403" t="s">
        <v>912</v>
      </c>
      <c r="B63" s="403"/>
      <c r="C63" s="403"/>
      <c r="D63" s="403"/>
      <c r="E63" s="403"/>
      <c r="F63" s="403"/>
      <c r="G63" s="403"/>
      <c r="H63" s="403"/>
      <c r="I63" s="403"/>
    </row>
    <row r="64" spans="1:9" ht="20.25" customHeight="1" x14ac:dyDescent="0.25">
      <c r="A64" s="47"/>
      <c r="B64" s="47"/>
      <c r="C64" s="47"/>
      <c r="D64" s="47"/>
      <c r="E64" s="382" t="s">
        <v>107</v>
      </c>
      <c r="F64" s="382" t="s">
        <v>107</v>
      </c>
      <c r="G64" s="382" t="s">
        <v>224</v>
      </c>
      <c r="H64" s="382" t="s">
        <v>79</v>
      </c>
      <c r="I64" s="403"/>
    </row>
    <row r="65" spans="1:9" ht="20.25" customHeight="1" x14ac:dyDescent="0.25">
      <c r="A65" s="51" t="s">
        <v>767</v>
      </c>
      <c r="B65" s="47"/>
      <c r="C65" s="47"/>
      <c r="D65" s="47"/>
      <c r="E65" s="382" t="s">
        <v>110</v>
      </c>
      <c r="F65" s="382" t="s">
        <v>78</v>
      </c>
      <c r="G65" s="382" t="s">
        <v>225</v>
      </c>
      <c r="H65" s="382" t="s">
        <v>189</v>
      </c>
      <c r="I65" s="403"/>
    </row>
    <row r="66" spans="1:9" ht="20.25" customHeight="1" x14ac:dyDescent="0.25">
      <c r="A66" s="47" t="s">
        <v>765</v>
      </c>
      <c r="B66" s="47"/>
      <c r="C66" s="47"/>
      <c r="D66" s="47"/>
      <c r="E66" s="48">
        <v>1000000</v>
      </c>
      <c r="F66" s="48">
        <v>1000000</v>
      </c>
      <c r="G66" s="78"/>
      <c r="H66" s="78">
        <f>+G67</f>
        <v>0</v>
      </c>
      <c r="I66" s="403"/>
    </row>
    <row r="67" spans="1:9" ht="20.25" customHeight="1" x14ac:dyDescent="0.25">
      <c r="A67" s="47" t="s">
        <v>769</v>
      </c>
      <c r="B67" s="47"/>
      <c r="C67" s="47"/>
      <c r="D67" s="47"/>
      <c r="E67" s="78">
        <v>0</v>
      </c>
      <c r="F67" s="78">
        <f>+F66*5%</f>
        <v>50000</v>
      </c>
      <c r="G67" s="78"/>
      <c r="H67" s="78"/>
      <c r="I67" s="403"/>
    </row>
    <row r="68" spans="1:9" ht="20.25" customHeight="1" thickBot="1" x14ac:dyDescent="0.3">
      <c r="A68" s="47"/>
      <c r="B68" s="47"/>
      <c r="C68" s="47"/>
      <c r="D68" s="216"/>
      <c r="E68" s="383">
        <f>+E66+E67</f>
        <v>1000000</v>
      </c>
      <c r="F68" s="383">
        <f>+F66+F67</f>
        <v>1050000</v>
      </c>
      <c r="G68" s="67">
        <f>+F68-E68</f>
        <v>50000</v>
      </c>
      <c r="H68" s="67">
        <f>+G68*30%</f>
        <v>15000</v>
      </c>
      <c r="I68" s="403"/>
    </row>
    <row r="69" spans="1:9" ht="20.25" customHeight="1" x14ac:dyDescent="0.25">
      <c r="A69" s="47"/>
      <c r="B69" s="47"/>
      <c r="C69" s="47"/>
      <c r="D69" s="216"/>
      <c r="E69" s="384" t="s">
        <v>761</v>
      </c>
      <c r="F69" s="212"/>
      <c r="G69" s="78"/>
      <c r="H69" s="78"/>
      <c r="I69" s="403"/>
    </row>
    <row r="70" spans="1:9" ht="20.25" customHeight="1" x14ac:dyDescent="0.25">
      <c r="A70" s="47"/>
      <c r="B70" s="47"/>
      <c r="C70" s="47"/>
      <c r="D70" s="216"/>
      <c r="E70" s="212"/>
      <c r="F70" s="212"/>
      <c r="G70" s="78"/>
      <c r="H70" s="78"/>
      <c r="I70" s="403"/>
    </row>
    <row r="71" spans="1:9" ht="20.25" customHeight="1" x14ac:dyDescent="0.25">
      <c r="A71" s="47"/>
      <c r="B71" s="47"/>
      <c r="C71" s="47"/>
      <c r="D71" s="47"/>
      <c r="E71" s="382" t="s">
        <v>107</v>
      </c>
      <c r="F71" s="382" t="s">
        <v>107</v>
      </c>
      <c r="G71" s="382" t="s">
        <v>224</v>
      </c>
      <c r="H71" s="382" t="s">
        <v>79</v>
      </c>
      <c r="I71" s="403"/>
    </row>
    <row r="72" spans="1:9" ht="20.25" customHeight="1" x14ac:dyDescent="0.25">
      <c r="A72" s="51" t="s">
        <v>768</v>
      </c>
      <c r="B72" s="47"/>
      <c r="C72" s="47"/>
      <c r="D72" s="47"/>
      <c r="E72" s="382" t="s">
        <v>110</v>
      </c>
      <c r="F72" s="382" t="s">
        <v>78</v>
      </c>
      <c r="G72" s="382" t="s">
        <v>225</v>
      </c>
      <c r="H72" s="382" t="s">
        <v>189</v>
      </c>
      <c r="I72" s="403"/>
    </row>
    <row r="73" spans="1:9" ht="20.25" customHeight="1" x14ac:dyDescent="0.25">
      <c r="A73" s="47" t="s">
        <v>765</v>
      </c>
      <c r="B73" s="47"/>
      <c r="C73" s="47"/>
      <c r="D73" s="47"/>
      <c r="E73" s="48">
        <v>1000000</v>
      </c>
      <c r="F73" s="48">
        <v>1000000</v>
      </c>
      <c r="G73" s="78"/>
      <c r="H73" s="78">
        <f>+G74</f>
        <v>0</v>
      </c>
      <c r="I73" s="403"/>
    </row>
    <row r="74" spans="1:9" ht="20.25" customHeight="1" x14ac:dyDescent="0.25">
      <c r="A74" s="47" t="s">
        <v>769</v>
      </c>
      <c r="B74" s="47"/>
      <c r="C74" s="47"/>
      <c r="D74" s="47"/>
      <c r="E74" s="78">
        <v>0</v>
      </c>
      <c r="F74" s="78">
        <f>+-F73*5%</f>
        <v>-50000</v>
      </c>
      <c r="G74" s="78"/>
      <c r="H74" s="78"/>
      <c r="I74" s="403"/>
    </row>
    <row r="75" spans="1:9" ht="20.25" customHeight="1" thickBot="1" x14ac:dyDescent="0.3">
      <c r="A75" s="47"/>
      <c r="B75" s="47"/>
      <c r="C75" s="47"/>
      <c r="D75" s="216"/>
      <c r="E75" s="383">
        <f>+E73+E74</f>
        <v>1000000</v>
      </c>
      <c r="F75" s="383">
        <f>+F73+F74</f>
        <v>950000</v>
      </c>
      <c r="G75" s="67">
        <f>+E75-F75</f>
        <v>50000</v>
      </c>
      <c r="H75" s="67">
        <f>+G75*30%</f>
        <v>15000</v>
      </c>
      <c r="I75" s="403"/>
    </row>
    <row r="76" spans="1:9" ht="20.25" customHeight="1" x14ac:dyDescent="0.25">
      <c r="A76" s="47"/>
      <c r="B76" s="47"/>
      <c r="C76" s="47"/>
      <c r="D76" s="216"/>
      <c r="E76" s="384" t="s">
        <v>762</v>
      </c>
      <c r="F76" s="212"/>
      <c r="G76" s="78"/>
      <c r="H76" s="78"/>
      <c r="I76" s="403"/>
    </row>
    <row r="77" spans="1:9" ht="20.25" customHeight="1" x14ac:dyDescent="0.25">
      <c r="A77" s="47" t="s">
        <v>770</v>
      </c>
      <c r="B77" s="47"/>
      <c r="C77" s="47"/>
      <c r="D77" s="216"/>
      <c r="E77" s="212"/>
      <c r="F77" s="212"/>
      <c r="G77" s="78"/>
      <c r="H77" s="78"/>
      <c r="I77" s="403"/>
    </row>
    <row r="78" spans="1:9" ht="20.25" customHeight="1" x14ac:dyDescent="0.25">
      <c r="A78" s="47"/>
      <c r="B78" s="47"/>
      <c r="C78" s="47"/>
      <c r="D78" s="216"/>
      <c r="E78" s="212"/>
      <c r="F78" s="212"/>
      <c r="G78" s="78"/>
      <c r="H78" s="78"/>
      <c r="I78" s="403"/>
    </row>
    <row r="79" spans="1:9" ht="20.25" customHeight="1" x14ac:dyDescent="0.25">
      <c r="A79" s="47"/>
      <c r="B79" s="47"/>
      <c r="C79" s="47"/>
      <c r="D79" s="47"/>
      <c r="E79" s="382" t="s">
        <v>107</v>
      </c>
      <c r="F79" s="382" t="s">
        <v>107</v>
      </c>
      <c r="G79" s="382" t="s">
        <v>224</v>
      </c>
      <c r="H79" s="382" t="s">
        <v>79</v>
      </c>
      <c r="I79" s="403"/>
    </row>
    <row r="80" spans="1:9" ht="20.25" customHeight="1" x14ac:dyDescent="0.25">
      <c r="A80" s="51"/>
      <c r="B80" s="47"/>
      <c r="C80" s="47"/>
      <c r="D80" s="47"/>
      <c r="E80" s="382" t="s">
        <v>110</v>
      </c>
      <c r="F80" s="382" t="s">
        <v>78</v>
      </c>
      <c r="G80" s="382" t="s">
        <v>225</v>
      </c>
      <c r="H80" s="382" t="s">
        <v>189</v>
      </c>
      <c r="I80" s="403"/>
    </row>
    <row r="81" spans="1:9" ht="20.25" customHeight="1" x14ac:dyDescent="0.25">
      <c r="A81" s="47" t="s">
        <v>771</v>
      </c>
      <c r="B81" s="47"/>
      <c r="C81" s="47"/>
      <c r="D81" s="47"/>
      <c r="E81" s="48">
        <v>1000000</v>
      </c>
      <c r="F81" s="48">
        <v>1000000</v>
      </c>
      <c r="G81" s="78"/>
      <c r="H81" s="78">
        <f>+G82</f>
        <v>0</v>
      </c>
      <c r="I81" s="403"/>
    </row>
    <row r="82" spans="1:9" ht="20.25" customHeight="1" x14ac:dyDescent="0.25">
      <c r="A82" s="47" t="s">
        <v>772</v>
      </c>
      <c r="B82" s="47"/>
      <c r="C82" s="47"/>
      <c r="D82" s="47"/>
      <c r="E82" s="78">
        <v>300000</v>
      </c>
      <c r="F82" s="78">
        <v>0</v>
      </c>
      <c r="G82" s="78"/>
      <c r="H82" s="78"/>
      <c r="I82" s="403"/>
    </row>
    <row r="83" spans="1:9" ht="20.25" customHeight="1" thickBot="1" x14ac:dyDescent="0.3">
      <c r="A83" s="47"/>
      <c r="B83" s="47"/>
      <c r="C83" s="47"/>
      <c r="D83" s="216"/>
      <c r="E83" s="383">
        <f>+E81+E82</f>
        <v>1300000</v>
      </c>
      <c r="F83" s="383">
        <f>+F81+F82</f>
        <v>1000000</v>
      </c>
      <c r="G83" s="67">
        <f>+E83-F83</f>
        <v>300000</v>
      </c>
      <c r="H83" s="67">
        <f>+G83*30%</f>
        <v>90000</v>
      </c>
      <c r="I83" s="403"/>
    </row>
    <row r="84" spans="1:9" ht="20.25" customHeight="1" x14ac:dyDescent="0.25">
      <c r="A84" s="47"/>
      <c r="B84" s="47"/>
      <c r="C84" s="47"/>
      <c r="D84" s="216"/>
      <c r="E84" s="384" t="s">
        <v>762</v>
      </c>
      <c r="F84" s="212"/>
      <c r="G84" s="78"/>
      <c r="H84" s="78"/>
      <c r="I84" s="403"/>
    </row>
    <row r="85" spans="1:9" ht="20.25" customHeight="1" x14ac:dyDescent="0.25">
      <c r="A85" s="47"/>
      <c r="B85" s="47"/>
      <c r="C85" s="47"/>
      <c r="D85" s="216"/>
      <c r="E85" s="384"/>
      <c r="F85" s="212"/>
      <c r="G85" s="78"/>
      <c r="H85" s="78"/>
      <c r="I85" s="403"/>
    </row>
    <row r="86" spans="1:9" ht="20.25" customHeight="1" x14ac:dyDescent="0.25">
      <c r="A86" s="403"/>
      <c r="B86" s="403"/>
      <c r="C86" s="403"/>
      <c r="D86" s="403"/>
      <c r="E86" s="403"/>
      <c r="F86" s="403"/>
      <c r="G86" s="403"/>
      <c r="H86" s="403"/>
      <c r="I86" s="403"/>
    </row>
  </sheetData>
  <mergeCells count="4">
    <mergeCell ref="A5:H5"/>
    <mergeCell ref="A11:H11"/>
    <mergeCell ref="A17:H17"/>
    <mergeCell ref="A1:XFD3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M77"/>
  <sheetViews>
    <sheetView workbookViewId="0">
      <selection activeCell="L1" sqref="L1"/>
    </sheetView>
  </sheetViews>
  <sheetFormatPr baseColWidth="10" defaultRowHeight="15" x14ac:dyDescent="0.25"/>
  <cols>
    <col min="1" max="1" width="2.85546875" customWidth="1"/>
    <col min="2" max="2" width="23" bestFit="1" customWidth="1"/>
    <col min="3" max="6" width="8.7109375" customWidth="1"/>
    <col min="7" max="7" width="2" customWidth="1"/>
    <col min="10" max="10" width="9.28515625" customWidth="1"/>
    <col min="11" max="11" width="9.7109375" bestFit="1" customWidth="1"/>
    <col min="12" max="12" width="3.5703125" bestFit="1" customWidth="1"/>
  </cols>
  <sheetData>
    <row r="1" spans="1:13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x14ac:dyDescent="0.25">
      <c r="A2" s="2"/>
      <c r="B2" s="428" t="s">
        <v>700</v>
      </c>
      <c r="C2" s="428"/>
      <c r="D2" s="428"/>
      <c r="E2" s="428"/>
      <c r="F2" s="428"/>
      <c r="G2" s="2"/>
      <c r="H2" s="428" t="s">
        <v>701</v>
      </c>
      <c r="I2" s="428"/>
      <c r="J2" s="428"/>
      <c r="K2" s="428"/>
      <c r="L2" s="2"/>
      <c r="M2" s="2"/>
    </row>
    <row r="3" spans="1:13" x14ac:dyDescent="0.25">
      <c r="A3" s="2"/>
      <c r="B3" s="2"/>
      <c r="C3" s="336"/>
      <c r="D3" s="336" t="s">
        <v>135</v>
      </c>
      <c r="E3" s="336" t="s">
        <v>136</v>
      </c>
      <c r="F3" s="336"/>
      <c r="G3" s="2"/>
      <c r="H3" s="336"/>
      <c r="I3" s="336"/>
      <c r="J3" s="336"/>
      <c r="K3" s="336" t="s">
        <v>690</v>
      </c>
      <c r="L3" s="2"/>
      <c r="M3" s="2"/>
    </row>
    <row r="4" spans="1:13" x14ac:dyDescent="0.25">
      <c r="A4" s="2"/>
      <c r="B4" s="2"/>
      <c r="C4" s="336" t="s">
        <v>697</v>
      </c>
      <c r="D4" s="336" t="s">
        <v>702</v>
      </c>
      <c r="E4" s="336" t="s">
        <v>703</v>
      </c>
      <c r="F4" s="336" t="s">
        <v>698</v>
      </c>
      <c r="G4" s="2"/>
      <c r="H4" s="338" t="s">
        <v>3</v>
      </c>
      <c r="I4" s="338"/>
      <c r="J4" s="338"/>
      <c r="K4" s="339">
        <v>900000</v>
      </c>
      <c r="L4" s="2"/>
      <c r="M4" s="2"/>
    </row>
    <row r="5" spans="1:13" x14ac:dyDescent="0.25">
      <c r="A5" s="2"/>
      <c r="B5" s="341" t="s">
        <v>146</v>
      </c>
      <c r="C5" s="336" t="s">
        <v>690</v>
      </c>
      <c r="D5" s="336" t="s">
        <v>690</v>
      </c>
      <c r="E5" s="336" t="s">
        <v>690</v>
      </c>
      <c r="F5" s="336" t="s">
        <v>690</v>
      </c>
      <c r="G5" s="2"/>
      <c r="H5" s="341" t="s">
        <v>126</v>
      </c>
      <c r="I5" s="2"/>
      <c r="J5" s="2"/>
      <c r="K5" s="340"/>
      <c r="L5" s="2"/>
      <c r="M5" s="2"/>
    </row>
    <row r="6" spans="1:13" x14ac:dyDescent="0.25">
      <c r="A6" s="2"/>
      <c r="B6" s="348" t="s">
        <v>101</v>
      </c>
      <c r="C6" s="349">
        <v>100000</v>
      </c>
      <c r="D6" s="349">
        <v>50000</v>
      </c>
      <c r="E6" s="349">
        <v>-30000</v>
      </c>
      <c r="F6" s="350">
        <f>SUM(C6:E6)</f>
        <v>120000</v>
      </c>
      <c r="G6" s="2"/>
      <c r="H6" s="2" t="s">
        <v>691</v>
      </c>
      <c r="I6" s="2"/>
      <c r="J6" s="2"/>
      <c r="K6" s="340">
        <f>D6</f>
        <v>50000</v>
      </c>
      <c r="L6" s="2" t="s">
        <v>426</v>
      </c>
      <c r="M6" s="2"/>
    </row>
    <row r="7" spans="1:13" x14ac:dyDescent="0.25">
      <c r="A7" s="2"/>
      <c r="B7" s="2"/>
      <c r="C7" s="337"/>
      <c r="D7" s="351" t="s">
        <v>426</v>
      </c>
      <c r="E7" s="351" t="s">
        <v>427</v>
      </c>
      <c r="F7" s="337"/>
      <c r="G7" s="2"/>
      <c r="H7" s="2" t="s">
        <v>692</v>
      </c>
      <c r="I7" s="2"/>
      <c r="J7" s="2"/>
      <c r="K7" s="340">
        <f>E6</f>
        <v>-30000</v>
      </c>
      <c r="L7" s="2" t="s">
        <v>427</v>
      </c>
      <c r="M7" s="2"/>
    </row>
    <row r="8" spans="1:13" x14ac:dyDescent="0.25">
      <c r="A8" s="2"/>
      <c r="B8" s="2"/>
      <c r="C8" s="2"/>
      <c r="D8" s="2"/>
      <c r="E8" s="2"/>
      <c r="F8" s="2"/>
      <c r="G8" s="2"/>
      <c r="H8" s="341" t="s">
        <v>127</v>
      </c>
      <c r="I8" s="2"/>
      <c r="J8" s="2"/>
      <c r="K8" s="2"/>
      <c r="L8" s="2"/>
      <c r="M8" s="2"/>
    </row>
    <row r="9" spans="1:13" x14ac:dyDescent="0.25">
      <c r="A9" s="2"/>
      <c r="B9" s="346" t="s">
        <v>694</v>
      </c>
      <c r="C9" s="74"/>
      <c r="D9" s="74"/>
      <c r="E9" s="74"/>
      <c r="F9" s="74"/>
      <c r="G9" s="2"/>
      <c r="H9" s="2" t="s">
        <v>693</v>
      </c>
      <c r="I9" s="2"/>
      <c r="J9" s="2"/>
      <c r="K9" s="342">
        <v>40000</v>
      </c>
      <c r="L9" s="2"/>
      <c r="M9" s="2"/>
    </row>
    <row r="10" spans="1:13" x14ac:dyDescent="0.25">
      <c r="A10" s="2"/>
      <c r="B10" s="346" t="s">
        <v>695</v>
      </c>
      <c r="C10" s="347">
        <f>+C6*30%</f>
        <v>30000</v>
      </c>
      <c r="D10" s="74"/>
      <c r="E10" s="74"/>
      <c r="F10" s="347">
        <f>+F6*30%</f>
        <v>36000</v>
      </c>
      <c r="G10" s="2"/>
      <c r="H10" s="338" t="s">
        <v>5</v>
      </c>
      <c r="I10" s="338"/>
      <c r="J10" s="338"/>
      <c r="K10" s="339">
        <f>SUM(K4:K9)</f>
        <v>960000</v>
      </c>
      <c r="L10" s="2"/>
      <c r="M10" s="2"/>
    </row>
    <row r="11" spans="1:13" x14ac:dyDescent="0.25">
      <c r="A11" s="2"/>
      <c r="B11" s="344" t="s">
        <v>696</v>
      </c>
      <c r="C11" s="344"/>
      <c r="D11" s="344"/>
      <c r="E11" s="344"/>
      <c r="F11" s="345">
        <f>+F10-C10</f>
        <v>6000</v>
      </c>
      <c r="G11" s="2"/>
      <c r="H11" s="344" t="s">
        <v>699</v>
      </c>
      <c r="I11" s="345"/>
      <c r="J11" s="345"/>
      <c r="K11" s="345">
        <f>+K10*30%</f>
        <v>288000</v>
      </c>
      <c r="L11" s="2"/>
      <c r="M11" s="2"/>
    </row>
    <row r="12" spans="1:13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x14ac:dyDescent="0.25">
      <c r="A13" s="2"/>
      <c r="B13" s="428" t="s">
        <v>704</v>
      </c>
      <c r="C13" s="428"/>
      <c r="D13" s="428"/>
      <c r="E13" s="428"/>
      <c r="F13" s="2"/>
      <c r="G13" s="2"/>
      <c r="H13" s="428" t="s">
        <v>707</v>
      </c>
      <c r="I13" s="428"/>
      <c r="J13" s="428"/>
      <c r="K13" s="428"/>
      <c r="L13" s="2"/>
      <c r="M13" s="2"/>
    </row>
    <row r="14" spans="1:13" x14ac:dyDescent="0.25">
      <c r="A14" s="2"/>
      <c r="B14" s="2" t="s">
        <v>175</v>
      </c>
      <c r="C14" s="2"/>
      <c r="D14" s="2"/>
      <c r="E14" s="353"/>
      <c r="F14" s="2"/>
      <c r="G14" s="2"/>
      <c r="H14" s="338" t="s">
        <v>3</v>
      </c>
      <c r="I14" s="338"/>
      <c r="J14" s="338"/>
      <c r="K14" s="339">
        <f>+K4</f>
        <v>900000</v>
      </c>
      <c r="L14" s="2"/>
      <c r="M14" s="2"/>
    </row>
    <row r="15" spans="1:13" x14ac:dyDescent="0.25">
      <c r="A15" s="2"/>
      <c r="B15" s="97" t="s">
        <v>163</v>
      </c>
      <c r="C15" s="97"/>
      <c r="D15" s="97"/>
      <c r="E15" s="352">
        <f>+K4</f>
        <v>900000</v>
      </c>
      <c r="F15" s="2"/>
      <c r="G15" s="2"/>
      <c r="H15" s="341" t="s">
        <v>127</v>
      </c>
      <c r="I15" s="2"/>
      <c r="J15" s="2"/>
      <c r="K15" s="342">
        <f>+K9</f>
        <v>40000</v>
      </c>
      <c r="L15" s="2"/>
      <c r="M15" s="2"/>
    </row>
    <row r="16" spans="1:13" x14ac:dyDescent="0.25">
      <c r="A16" s="2"/>
      <c r="B16" s="2" t="s">
        <v>190</v>
      </c>
      <c r="C16" s="2"/>
      <c r="D16" s="2"/>
      <c r="E16" s="2"/>
      <c r="F16" s="2"/>
      <c r="G16" s="2"/>
      <c r="H16" s="2" t="s">
        <v>708</v>
      </c>
      <c r="I16" s="2"/>
      <c r="J16" s="2"/>
      <c r="K16" s="357">
        <f>+K14+K15</f>
        <v>940000</v>
      </c>
      <c r="L16" s="2"/>
      <c r="M16" s="2"/>
    </row>
    <row r="17" spans="1:13" x14ac:dyDescent="0.25">
      <c r="A17" s="2"/>
      <c r="B17" s="2"/>
      <c r="C17" s="2" t="s">
        <v>706</v>
      </c>
      <c r="D17" s="2"/>
      <c r="E17" s="340">
        <f>-K11</f>
        <v>-288000</v>
      </c>
      <c r="F17" s="426">
        <f>+E17+E18</f>
        <v>-282000</v>
      </c>
      <c r="G17" s="2"/>
      <c r="H17" s="282" t="s">
        <v>709</v>
      </c>
      <c r="I17" s="282"/>
      <c r="J17" s="282"/>
      <c r="K17" s="356">
        <f>+-K16*30%</f>
        <v>-282000</v>
      </c>
      <c r="L17" s="2"/>
      <c r="M17" s="2"/>
    </row>
    <row r="18" spans="1:13" x14ac:dyDescent="0.25">
      <c r="A18" s="2"/>
      <c r="B18" s="2"/>
      <c r="C18" s="2" t="s">
        <v>705</v>
      </c>
      <c r="D18" s="2"/>
      <c r="E18" s="354">
        <f>+F11</f>
        <v>6000</v>
      </c>
      <c r="F18" s="427"/>
      <c r="G18" s="2"/>
      <c r="H18" s="282" t="s">
        <v>710</v>
      </c>
      <c r="I18" s="282"/>
      <c r="J18" s="282"/>
      <c r="K18" s="356">
        <f>+E17+E18</f>
        <v>-282000</v>
      </c>
      <c r="L18" s="2"/>
      <c r="M18" s="2"/>
    </row>
    <row r="19" spans="1:13" x14ac:dyDescent="0.25">
      <c r="A19" s="2"/>
      <c r="B19" s="283" t="s">
        <v>176</v>
      </c>
      <c r="C19" s="283"/>
      <c r="D19" s="283"/>
      <c r="E19" s="355">
        <f>SUM(E15:E18)</f>
        <v>618000</v>
      </c>
      <c r="F19" s="2"/>
      <c r="G19" s="2"/>
      <c r="H19" s="358" t="s">
        <v>711</v>
      </c>
      <c r="I19" s="359"/>
      <c r="J19" s="359"/>
      <c r="K19" s="360">
        <f>+K17-K18</f>
        <v>0</v>
      </c>
      <c r="L19" s="2"/>
      <c r="M19" s="2"/>
    </row>
    <row r="20" spans="1:13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 x14ac:dyDescent="0.25">
      <c r="B21" s="428" t="s">
        <v>700</v>
      </c>
      <c r="C21" s="428"/>
      <c r="D21" s="428"/>
      <c r="E21" s="428"/>
      <c r="F21" s="428"/>
      <c r="G21" s="2"/>
      <c r="H21" s="428" t="s">
        <v>701</v>
      </c>
      <c r="I21" s="428"/>
      <c r="J21" s="428"/>
      <c r="K21" s="428"/>
      <c r="L21" s="2"/>
    </row>
    <row r="22" spans="1:13" x14ac:dyDescent="0.25">
      <c r="B22" s="2"/>
      <c r="C22" s="336"/>
      <c r="D22" s="336" t="s">
        <v>135</v>
      </c>
      <c r="E22" s="336" t="s">
        <v>136</v>
      </c>
      <c r="F22" s="336"/>
      <c r="G22" s="2"/>
      <c r="H22" s="336"/>
      <c r="I22" s="336"/>
      <c r="J22" s="336"/>
      <c r="K22" s="336" t="s">
        <v>690</v>
      </c>
      <c r="L22" s="2"/>
    </row>
    <row r="23" spans="1:13" x14ac:dyDescent="0.25">
      <c r="B23" s="2"/>
      <c r="C23" s="336" t="s">
        <v>697</v>
      </c>
      <c r="D23" s="336" t="s">
        <v>702</v>
      </c>
      <c r="E23" s="336" t="s">
        <v>703</v>
      </c>
      <c r="F23" s="336" t="s">
        <v>698</v>
      </c>
      <c r="G23" s="2"/>
      <c r="H23" s="338" t="s">
        <v>3</v>
      </c>
      <c r="I23" s="338"/>
      <c r="J23" s="338"/>
      <c r="K23" s="339">
        <v>900000</v>
      </c>
      <c r="L23" s="2"/>
    </row>
    <row r="24" spans="1:13" x14ac:dyDescent="0.25">
      <c r="B24" s="341" t="s">
        <v>146</v>
      </c>
      <c r="C24" s="336" t="s">
        <v>690</v>
      </c>
      <c r="D24" s="336" t="s">
        <v>690</v>
      </c>
      <c r="E24" s="336" t="s">
        <v>690</v>
      </c>
      <c r="F24" s="336" t="s">
        <v>690</v>
      </c>
      <c r="G24" s="2"/>
      <c r="H24" s="341" t="s">
        <v>126</v>
      </c>
      <c r="I24" s="2"/>
      <c r="J24" s="2"/>
      <c r="K24" s="340"/>
      <c r="L24" s="2"/>
    </row>
    <row r="25" spans="1:13" x14ac:dyDescent="0.25">
      <c r="B25" s="348" t="s">
        <v>712</v>
      </c>
      <c r="C25" s="349">
        <v>50000</v>
      </c>
      <c r="D25" s="349">
        <v>60000</v>
      </c>
      <c r="E25" s="349">
        <v>-10000</v>
      </c>
      <c r="F25" s="350">
        <f>SUM(C25:E25)</f>
        <v>100000</v>
      </c>
      <c r="G25" s="2"/>
      <c r="H25" s="2" t="s">
        <v>713</v>
      </c>
      <c r="I25" s="2"/>
      <c r="J25" s="2"/>
      <c r="K25" s="340">
        <f>D25</f>
        <v>60000</v>
      </c>
      <c r="L25" s="2" t="s">
        <v>426</v>
      </c>
    </row>
    <row r="26" spans="1:13" x14ac:dyDescent="0.25">
      <c r="B26" s="2"/>
      <c r="C26" s="337"/>
      <c r="D26" s="351" t="s">
        <v>426</v>
      </c>
      <c r="E26" s="351" t="s">
        <v>427</v>
      </c>
      <c r="F26" s="337"/>
      <c r="G26" s="2"/>
      <c r="H26" s="2" t="s">
        <v>714</v>
      </c>
      <c r="I26" s="2"/>
      <c r="J26" s="2"/>
      <c r="K26" s="340">
        <f>E25</f>
        <v>-10000</v>
      </c>
      <c r="L26" s="2" t="s">
        <v>427</v>
      </c>
    </row>
    <row r="27" spans="1:13" x14ac:dyDescent="0.25">
      <c r="B27" s="2"/>
      <c r="C27" s="2"/>
      <c r="D27" s="2"/>
      <c r="E27" s="2"/>
      <c r="F27" s="2"/>
      <c r="G27" s="2"/>
      <c r="H27" s="341" t="s">
        <v>127</v>
      </c>
      <c r="I27" s="2"/>
      <c r="J27" s="2"/>
      <c r="K27" s="2"/>
      <c r="L27" s="2"/>
    </row>
    <row r="28" spans="1:13" x14ac:dyDescent="0.25">
      <c r="B28" s="346" t="s">
        <v>694</v>
      </c>
      <c r="C28" s="74"/>
      <c r="D28" s="74"/>
      <c r="E28" s="74"/>
      <c r="F28" s="74"/>
      <c r="G28" s="2"/>
      <c r="H28" s="2" t="s">
        <v>693</v>
      </c>
      <c r="I28" s="2"/>
      <c r="J28" s="2"/>
      <c r="K28" s="342">
        <v>40000</v>
      </c>
      <c r="L28" s="2"/>
    </row>
    <row r="29" spans="1:13" x14ac:dyDescent="0.25">
      <c r="B29" s="346" t="s">
        <v>695</v>
      </c>
      <c r="C29" s="347">
        <f>+C25*30%</f>
        <v>15000</v>
      </c>
      <c r="D29" s="74"/>
      <c r="E29" s="74"/>
      <c r="F29" s="347">
        <f>+F25*30%</f>
        <v>30000</v>
      </c>
      <c r="G29" s="2"/>
      <c r="H29" s="338" t="s">
        <v>5</v>
      </c>
      <c r="I29" s="338"/>
      <c r="J29" s="338"/>
      <c r="K29" s="339">
        <f>SUM(K23:K28)</f>
        <v>990000</v>
      </c>
      <c r="L29" s="2"/>
    </row>
    <row r="30" spans="1:13" x14ac:dyDescent="0.25">
      <c r="B30" s="344" t="s">
        <v>696</v>
      </c>
      <c r="C30" s="344"/>
      <c r="D30" s="344"/>
      <c r="E30" s="344"/>
      <c r="F30" s="345">
        <f>+F29-C29</f>
        <v>15000</v>
      </c>
      <c r="G30" s="2"/>
      <c r="H30" s="344" t="s">
        <v>699</v>
      </c>
      <c r="I30" s="345"/>
      <c r="J30" s="345"/>
      <c r="K30" s="345">
        <f>+K29*30%</f>
        <v>297000</v>
      </c>
      <c r="L30" s="2"/>
    </row>
    <row r="31" spans="1:13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x14ac:dyDescent="0.25">
      <c r="B32" s="428" t="s">
        <v>704</v>
      </c>
      <c r="C32" s="428"/>
      <c r="D32" s="428"/>
      <c r="E32" s="428"/>
      <c r="F32" s="2"/>
      <c r="G32" s="2"/>
      <c r="H32" s="428" t="s">
        <v>707</v>
      </c>
      <c r="I32" s="428"/>
      <c r="J32" s="428"/>
      <c r="K32" s="428"/>
      <c r="L32" s="2"/>
    </row>
    <row r="33" spans="2:12" x14ac:dyDescent="0.25">
      <c r="B33" s="2" t="s">
        <v>175</v>
      </c>
      <c r="C33" s="2"/>
      <c r="D33" s="2"/>
      <c r="E33" s="353"/>
      <c r="F33" s="2"/>
      <c r="G33" s="2"/>
      <c r="H33" s="338" t="s">
        <v>3</v>
      </c>
      <c r="I33" s="338"/>
      <c r="J33" s="338"/>
      <c r="K33" s="339">
        <f>+K23</f>
        <v>900000</v>
      </c>
      <c r="L33" s="2"/>
    </row>
    <row r="34" spans="2:12" x14ac:dyDescent="0.25">
      <c r="B34" s="97" t="s">
        <v>163</v>
      </c>
      <c r="C34" s="97"/>
      <c r="D34" s="97"/>
      <c r="E34" s="352">
        <f>+K23</f>
        <v>900000</v>
      </c>
      <c r="F34" s="2"/>
      <c r="G34" s="2"/>
      <c r="H34" s="341" t="s">
        <v>127</v>
      </c>
      <c r="I34" s="2"/>
      <c r="J34" s="2"/>
      <c r="K34" s="342">
        <f>+K28</f>
        <v>40000</v>
      </c>
      <c r="L34" s="2"/>
    </row>
    <row r="35" spans="2:12" x14ac:dyDescent="0.25">
      <c r="B35" s="2" t="s">
        <v>190</v>
      </c>
      <c r="C35" s="2"/>
      <c r="D35" s="2"/>
      <c r="E35" s="2"/>
      <c r="F35" s="2"/>
      <c r="G35" s="2"/>
      <c r="H35" s="2" t="s">
        <v>708</v>
      </c>
      <c r="I35" s="2"/>
      <c r="J35" s="2"/>
      <c r="K35" s="357">
        <f>+K33+K34</f>
        <v>940000</v>
      </c>
      <c r="L35" s="2"/>
    </row>
    <row r="36" spans="2:12" x14ac:dyDescent="0.25">
      <c r="B36" s="2"/>
      <c r="C36" s="2" t="s">
        <v>706</v>
      </c>
      <c r="D36" s="2"/>
      <c r="E36" s="340">
        <f>-K30</f>
        <v>-297000</v>
      </c>
      <c r="F36" s="426">
        <f>+E36+E37</f>
        <v>-282000</v>
      </c>
      <c r="G36" s="2"/>
      <c r="H36" s="282" t="s">
        <v>709</v>
      </c>
      <c r="I36" s="282"/>
      <c r="J36" s="282"/>
      <c r="K36" s="356">
        <f>+-K35*30%</f>
        <v>-282000</v>
      </c>
      <c r="L36" s="2"/>
    </row>
    <row r="37" spans="2:12" x14ac:dyDescent="0.25">
      <c r="B37" s="2"/>
      <c r="C37" s="2" t="s">
        <v>705</v>
      </c>
      <c r="D37" s="2"/>
      <c r="E37" s="354">
        <f>+F30</f>
        <v>15000</v>
      </c>
      <c r="F37" s="427"/>
      <c r="G37" s="2"/>
      <c r="H37" s="282" t="s">
        <v>710</v>
      </c>
      <c r="I37" s="282"/>
      <c r="J37" s="282"/>
      <c r="K37" s="356">
        <f>+E36+E37</f>
        <v>-282000</v>
      </c>
      <c r="L37" s="2"/>
    </row>
    <row r="38" spans="2:12" x14ac:dyDescent="0.25">
      <c r="B38" s="283" t="s">
        <v>176</v>
      </c>
      <c r="C38" s="283"/>
      <c r="D38" s="283"/>
      <c r="E38" s="355">
        <f>SUM(E34:E37)</f>
        <v>618000</v>
      </c>
      <c r="F38" s="2"/>
      <c r="G38" s="2"/>
      <c r="H38" s="358" t="s">
        <v>711</v>
      </c>
      <c r="I38" s="359"/>
      <c r="J38" s="359"/>
      <c r="K38" s="360">
        <f>+K36-K37</f>
        <v>0</v>
      </c>
      <c r="L38" s="2"/>
    </row>
    <row r="39" spans="2:12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2" x14ac:dyDescent="0.25">
      <c r="B40" s="428" t="s">
        <v>700</v>
      </c>
      <c r="C40" s="428"/>
      <c r="D40" s="428"/>
      <c r="E40" s="428"/>
      <c r="F40" s="428"/>
      <c r="G40" s="2"/>
      <c r="H40" s="428" t="s">
        <v>701</v>
      </c>
      <c r="I40" s="428"/>
      <c r="J40" s="428"/>
      <c r="K40" s="428"/>
      <c r="L40" s="2"/>
    </row>
    <row r="41" spans="2:12" x14ac:dyDescent="0.25">
      <c r="B41" s="2"/>
      <c r="C41" s="336"/>
      <c r="D41" s="336" t="s">
        <v>135</v>
      </c>
      <c r="E41" s="336" t="s">
        <v>136</v>
      </c>
      <c r="F41" s="336"/>
      <c r="G41" s="2"/>
      <c r="H41" s="336"/>
      <c r="I41" s="336"/>
      <c r="J41" s="336"/>
      <c r="K41" s="336" t="s">
        <v>690</v>
      </c>
      <c r="L41" s="2"/>
    </row>
    <row r="42" spans="2:12" x14ac:dyDescent="0.25">
      <c r="B42" s="2"/>
      <c r="C42" s="336" t="s">
        <v>697</v>
      </c>
      <c r="D42" s="336" t="s">
        <v>702</v>
      </c>
      <c r="E42" s="336" t="s">
        <v>703</v>
      </c>
      <c r="F42" s="336" t="s">
        <v>698</v>
      </c>
      <c r="G42" s="2"/>
      <c r="H42" s="338" t="s">
        <v>3</v>
      </c>
      <c r="I42" s="338"/>
      <c r="J42" s="338"/>
      <c r="K42" s="339">
        <v>900000</v>
      </c>
      <c r="L42" s="2"/>
    </row>
    <row r="43" spans="2:12" x14ac:dyDescent="0.25">
      <c r="B43" s="341" t="s">
        <v>146</v>
      </c>
      <c r="C43" s="336" t="s">
        <v>690</v>
      </c>
      <c r="D43" s="336" t="s">
        <v>690</v>
      </c>
      <c r="E43" s="336" t="s">
        <v>690</v>
      </c>
      <c r="F43" s="336" t="s">
        <v>690</v>
      </c>
      <c r="G43" s="2"/>
      <c r="H43" s="341" t="s">
        <v>126</v>
      </c>
      <c r="I43" s="2"/>
      <c r="J43" s="2"/>
      <c r="K43" s="340"/>
      <c r="L43" s="2"/>
    </row>
    <row r="44" spans="2:12" x14ac:dyDescent="0.25">
      <c r="B44" s="348" t="s">
        <v>4</v>
      </c>
      <c r="C44" s="349">
        <v>10000</v>
      </c>
      <c r="D44" s="349">
        <v>60000</v>
      </c>
      <c r="E44" s="349">
        <v>-20000</v>
      </c>
      <c r="F44" s="350">
        <f>SUM(C44:E44)</f>
        <v>50000</v>
      </c>
      <c r="G44" s="2"/>
      <c r="H44" s="2" t="s">
        <v>715</v>
      </c>
      <c r="I44" s="2"/>
      <c r="J44" s="2"/>
      <c r="K44" s="340">
        <f>D44</f>
        <v>60000</v>
      </c>
      <c r="L44" s="2" t="s">
        <v>426</v>
      </c>
    </row>
    <row r="45" spans="2:12" x14ac:dyDescent="0.25">
      <c r="B45" s="2"/>
      <c r="C45" s="337"/>
      <c r="D45" s="351" t="s">
        <v>426</v>
      </c>
      <c r="E45" s="351" t="s">
        <v>427</v>
      </c>
      <c r="F45" s="337"/>
      <c r="G45" s="2"/>
      <c r="H45" s="2" t="s">
        <v>716</v>
      </c>
      <c r="I45" s="2"/>
      <c r="J45" s="2"/>
      <c r="K45" s="340">
        <f>E44</f>
        <v>-20000</v>
      </c>
      <c r="L45" s="2" t="s">
        <v>427</v>
      </c>
    </row>
    <row r="46" spans="2:12" x14ac:dyDescent="0.25">
      <c r="B46" s="2"/>
      <c r="C46" s="2"/>
      <c r="D46" s="2"/>
      <c r="E46" s="2"/>
      <c r="F46" s="2"/>
      <c r="G46" s="2"/>
      <c r="H46" s="341" t="s">
        <v>127</v>
      </c>
      <c r="I46" s="2"/>
      <c r="J46" s="2"/>
      <c r="K46" s="2"/>
      <c r="L46" s="2"/>
    </row>
    <row r="47" spans="2:12" x14ac:dyDescent="0.25">
      <c r="B47" s="346" t="s">
        <v>694</v>
      </c>
      <c r="C47" s="74"/>
      <c r="D47" s="74"/>
      <c r="E47" s="74"/>
      <c r="F47" s="74"/>
      <c r="G47" s="2"/>
      <c r="H47" s="2" t="s">
        <v>693</v>
      </c>
      <c r="I47" s="2"/>
      <c r="J47" s="2"/>
      <c r="K47" s="342">
        <v>40000</v>
      </c>
      <c r="L47" s="2"/>
    </row>
    <row r="48" spans="2:12" x14ac:dyDescent="0.25">
      <c r="B48" s="346" t="s">
        <v>695</v>
      </c>
      <c r="C48" s="347">
        <f>+C44*30%</f>
        <v>3000</v>
      </c>
      <c r="D48" s="74"/>
      <c r="E48" s="74"/>
      <c r="F48" s="347">
        <f>+F44*30%</f>
        <v>15000</v>
      </c>
      <c r="G48" s="2"/>
      <c r="H48" s="338" t="s">
        <v>5</v>
      </c>
      <c r="I48" s="338"/>
      <c r="J48" s="338"/>
      <c r="K48" s="339">
        <f>SUM(K42:K47)</f>
        <v>980000</v>
      </c>
      <c r="L48" s="2"/>
    </row>
    <row r="49" spans="2:12" x14ac:dyDescent="0.25">
      <c r="B49" s="344" t="s">
        <v>696</v>
      </c>
      <c r="C49" s="344"/>
      <c r="D49" s="344"/>
      <c r="E49" s="344"/>
      <c r="F49" s="345">
        <f>+F48-C48</f>
        <v>12000</v>
      </c>
      <c r="G49" s="2"/>
      <c r="H49" s="344" t="s">
        <v>699</v>
      </c>
      <c r="I49" s="345"/>
      <c r="J49" s="345"/>
      <c r="K49" s="345">
        <f>+K48*30%</f>
        <v>294000</v>
      </c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428" t="s">
        <v>704</v>
      </c>
      <c r="C51" s="428"/>
      <c r="D51" s="428"/>
      <c r="E51" s="428"/>
      <c r="F51" s="2"/>
      <c r="G51" s="2"/>
      <c r="H51" s="428" t="s">
        <v>707</v>
      </c>
      <c r="I51" s="428"/>
      <c r="J51" s="428"/>
      <c r="K51" s="428"/>
      <c r="L51" s="2"/>
    </row>
    <row r="52" spans="2:12" x14ac:dyDescent="0.25">
      <c r="B52" s="2" t="s">
        <v>175</v>
      </c>
      <c r="C52" s="2"/>
      <c r="D52" s="2"/>
      <c r="E52" s="353"/>
      <c r="F52" s="2"/>
      <c r="G52" s="2"/>
      <c r="H52" s="338" t="s">
        <v>3</v>
      </c>
      <c r="I52" s="338"/>
      <c r="J52" s="338"/>
      <c r="K52" s="339">
        <f>+K42</f>
        <v>900000</v>
      </c>
      <c r="L52" s="2"/>
    </row>
    <row r="53" spans="2:12" x14ac:dyDescent="0.25">
      <c r="B53" s="97" t="s">
        <v>163</v>
      </c>
      <c r="C53" s="97"/>
      <c r="D53" s="97"/>
      <c r="E53" s="352">
        <f>+K42</f>
        <v>900000</v>
      </c>
      <c r="F53" s="2"/>
      <c r="G53" s="2"/>
      <c r="H53" s="341" t="s">
        <v>127</v>
      </c>
      <c r="I53" s="2"/>
      <c r="J53" s="2"/>
      <c r="K53" s="342">
        <f>+K47</f>
        <v>40000</v>
      </c>
      <c r="L53" s="2"/>
    </row>
    <row r="54" spans="2:12" x14ac:dyDescent="0.25">
      <c r="B54" s="2" t="s">
        <v>190</v>
      </c>
      <c r="C54" s="2"/>
      <c r="D54" s="2"/>
      <c r="E54" s="2"/>
      <c r="F54" s="2"/>
      <c r="G54" s="2"/>
      <c r="H54" s="2" t="s">
        <v>708</v>
      </c>
      <c r="I54" s="2"/>
      <c r="J54" s="2"/>
      <c r="K54" s="357">
        <f>+K52+K53</f>
        <v>940000</v>
      </c>
      <c r="L54" s="2"/>
    </row>
    <row r="55" spans="2:12" x14ac:dyDescent="0.25">
      <c r="B55" s="2"/>
      <c r="C55" s="2" t="s">
        <v>706</v>
      </c>
      <c r="D55" s="2"/>
      <c r="E55" s="340">
        <f>-K49</f>
        <v>-294000</v>
      </c>
      <c r="F55" s="426">
        <f>+E55+E56</f>
        <v>-282000</v>
      </c>
      <c r="G55" s="2"/>
      <c r="H55" s="282" t="s">
        <v>709</v>
      </c>
      <c r="I55" s="282"/>
      <c r="J55" s="282"/>
      <c r="K55" s="356">
        <f>+-K54*30%</f>
        <v>-282000</v>
      </c>
      <c r="L55" s="2"/>
    </row>
    <row r="56" spans="2:12" x14ac:dyDescent="0.25">
      <c r="B56" s="2"/>
      <c r="C56" s="2" t="s">
        <v>705</v>
      </c>
      <c r="D56" s="2"/>
      <c r="E56" s="354">
        <f>+F49</f>
        <v>12000</v>
      </c>
      <c r="F56" s="427"/>
      <c r="G56" s="2"/>
      <c r="H56" s="282" t="s">
        <v>710</v>
      </c>
      <c r="I56" s="282"/>
      <c r="J56" s="282"/>
      <c r="K56" s="356">
        <f>+E55+E56</f>
        <v>-282000</v>
      </c>
      <c r="L56" s="2"/>
    </row>
    <row r="57" spans="2:12" x14ac:dyDescent="0.25">
      <c r="B57" s="283" t="s">
        <v>176</v>
      </c>
      <c r="C57" s="283"/>
      <c r="D57" s="283"/>
      <c r="E57" s="355">
        <f>SUM(E53:E56)</f>
        <v>618000</v>
      </c>
      <c r="F57" s="2"/>
      <c r="G57" s="2"/>
      <c r="H57" s="358" t="s">
        <v>711</v>
      </c>
      <c r="I57" s="359"/>
      <c r="J57" s="359"/>
      <c r="K57" s="360">
        <f>+K55-K56</f>
        <v>0</v>
      </c>
      <c r="L57" s="2"/>
    </row>
    <row r="59" spans="2:12" x14ac:dyDescent="0.25">
      <c r="B59" s="428" t="s">
        <v>700</v>
      </c>
      <c r="C59" s="428"/>
      <c r="D59" s="428"/>
      <c r="E59" s="428"/>
      <c r="F59" s="428"/>
      <c r="G59" s="2"/>
      <c r="H59" s="428" t="s">
        <v>701</v>
      </c>
      <c r="I59" s="428"/>
      <c r="J59" s="428"/>
      <c r="K59" s="428"/>
      <c r="L59" s="2"/>
    </row>
    <row r="60" spans="2:12" x14ac:dyDescent="0.25">
      <c r="B60" s="2"/>
      <c r="C60" s="336"/>
      <c r="D60" s="336" t="s">
        <v>135</v>
      </c>
      <c r="E60" s="336" t="s">
        <v>136</v>
      </c>
      <c r="F60" s="336"/>
      <c r="G60" s="2"/>
      <c r="H60" s="336"/>
      <c r="I60" s="336"/>
      <c r="J60" s="336"/>
      <c r="K60" s="336" t="s">
        <v>690</v>
      </c>
      <c r="L60" s="2"/>
    </row>
    <row r="61" spans="2:12" x14ac:dyDescent="0.25">
      <c r="B61" s="2"/>
      <c r="C61" s="336" t="s">
        <v>697</v>
      </c>
      <c r="D61" s="336" t="s">
        <v>702</v>
      </c>
      <c r="E61" s="336" t="s">
        <v>703</v>
      </c>
      <c r="F61" s="336" t="s">
        <v>698</v>
      </c>
      <c r="G61" s="2"/>
      <c r="H61" s="338" t="s">
        <v>3</v>
      </c>
      <c r="I61" s="338"/>
      <c r="J61" s="338"/>
      <c r="K61" s="339">
        <v>900000</v>
      </c>
      <c r="L61" s="2"/>
    </row>
    <row r="62" spans="2:12" x14ac:dyDescent="0.25">
      <c r="B62" s="341" t="s">
        <v>146</v>
      </c>
      <c r="C62" s="336" t="s">
        <v>690</v>
      </c>
      <c r="D62" s="336" t="s">
        <v>690</v>
      </c>
      <c r="E62" s="336" t="s">
        <v>690</v>
      </c>
      <c r="F62" s="336" t="s">
        <v>690</v>
      </c>
      <c r="G62" s="2"/>
      <c r="H62" s="341" t="s">
        <v>126</v>
      </c>
      <c r="I62" s="2"/>
      <c r="J62" s="2"/>
      <c r="K62" s="340"/>
      <c r="L62" s="2"/>
    </row>
    <row r="63" spans="2:12" x14ac:dyDescent="0.25">
      <c r="B63" s="348" t="s">
        <v>101</v>
      </c>
      <c r="C63" s="349">
        <f>+C6</f>
        <v>100000</v>
      </c>
      <c r="D63" s="349">
        <f t="shared" ref="D63:F63" si="0">+D6</f>
        <v>50000</v>
      </c>
      <c r="E63" s="349">
        <f t="shared" si="0"/>
        <v>-30000</v>
      </c>
      <c r="F63" s="350">
        <f t="shared" si="0"/>
        <v>120000</v>
      </c>
      <c r="G63" s="2"/>
      <c r="H63" s="2" t="s">
        <v>717</v>
      </c>
      <c r="I63" s="2"/>
      <c r="J63" s="2"/>
      <c r="K63" s="340">
        <f>+D63+E63</f>
        <v>20000</v>
      </c>
      <c r="L63" s="2" t="s">
        <v>426</v>
      </c>
    </row>
    <row r="64" spans="2:12" x14ac:dyDescent="0.25">
      <c r="B64" s="348" t="s">
        <v>712</v>
      </c>
      <c r="C64" s="349">
        <f>+C25</f>
        <v>50000</v>
      </c>
      <c r="D64" s="349">
        <f t="shared" ref="D64:F64" si="1">+D25</f>
        <v>60000</v>
      </c>
      <c r="E64" s="349">
        <f t="shared" si="1"/>
        <v>-10000</v>
      </c>
      <c r="F64" s="350">
        <f t="shared" si="1"/>
        <v>100000</v>
      </c>
      <c r="G64" s="2"/>
      <c r="H64" s="2" t="s">
        <v>718</v>
      </c>
      <c r="I64" s="2"/>
      <c r="J64" s="2"/>
      <c r="K64" s="340">
        <f>+D64+E64</f>
        <v>50000</v>
      </c>
      <c r="L64" s="2" t="s">
        <v>427</v>
      </c>
    </row>
    <row r="65" spans="2:12" x14ac:dyDescent="0.25">
      <c r="B65" s="348" t="s">
        <v>4</v>
      </c>
      <c r="C65" s="349">
        <f>+C44</f>
        <v>10000</v>
      </c>
      <c r="D65" s="349">
        <f t="shared" ref="D65:F65" si="2">+D44</f>
        <v>60000</v>
      </c>
      <c r="E65" s="349">
        <f t="shared" si="2"/>
        <v>-20000</v>
      </c>
      <c r="F65" s="350">
        <f t="shared" si="2"/>
        <v>50000</v>
      </c>
      <c r="G65" s="2"/>
      <c r="H65" s="2" t="s">
        <v>719</v>
      </c>
      <c r="I65" s="2"/>
      <c r="J65" s="2"/>
      <c r="K65" s="340">
        <f>+D65+E65</f>
        <v>40000</v>
      </c>
      <c r="L65" s="2" t="s">
        <v>428</v>
      </c>
    </row>
    <row r="66" spans="2:12" x14ac:dyDescent="0.25">
      <c r="B66" s="2"/>
      <c r="C66" s="361">
        <f>SUM(C63:C65)</f>
        <v>160000</v>
      </c>
      <c r="D66" s="343"/>
      <c r="E66" s="343"/>
      <c r="F66" s="361">
        <f>SUM(F63:F65)</f>
        <v>270000</v>
      </c>
      <c r="G66" s="2"/>
      <c r="H66" s="341" t="s">
        <v>127</v>
      </c>
      <c r="I66" s="2"/>
      <c r="J66" s="2"/>
      <c r="K66" s="2"/>
      <c r="L66" s="2"/>
    </row>
    <row r="67" spans="2:12" x14ac:dyDescent="0.25">
      <c r="B67" s="346" t="s">
        <v>694</v>
      </c>
      <c r="C67" s="74"/>
      <c r="D67" s="74"/>
      <c r="E67" s="74"/>
      <c r="F67" s="74"/>
      <c r="G67" s="2"/>
      <c r="H67" s="2" t="s">
        <v>693</v>
      </c>
      <c r="I67" s="2"/>
      <c r="J67" s="2"/>
      <c r="K67" s="342">
        <v>40000</v>
      </c>
      <c r="L67" s="2"/>
    </row>
    <row r="68" spans="2:12" x14ac:dyDescent="0.25">
      <c r="B68" s="346" t="s">
        <v>695</v>
      </c>
      <c r="C68" s="347">
        <f>+C66*30%</f>
        <v>48000</v>
      </c>
      <c r="D68" s="74"/>
      <c r="E68" s="74"/>
      <c r="F68" s="347">
        <f>+F66*30%</f>
        <v>81000</v>
      </c>
      <c r="G68" s="2"/>
      <c r="H68" s="338" t="s">
        <v>5</v>
      </c>
      <c r="I68" s="338"/>
      <c r="J68" s="338"/>
      <c r="K68" s="339">
        <f>SUM(K61:K67)</f>
        <v>1050000</v>
      </c>
      <c r="L68" s="2"/>
    </row>
    <row r="69" spans="2:12" x14ac:dyDescent="0.25">
      <c r="B69" s="344" t="s">
        <v>696</v>
      </c>
      <c r="C69" s="344"/>
      <c r="D69" s="344"/>
      <c r="E69" s="344"/>
      <c r="F69" s="345">
        <f>+F68-C68</f>
        <v>33000</v>
      </c>
      <c r="G69" s="2"/>
      <c r="H69" s="344" t="s">
        <v>699</v>
      </c>
      <c r="I69" s="345"/>
      <c r="J69" s="345"/>
      <c r="K69" s="345">
        <f>+K68*30%</f>
        <v>315000</v>
      </c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428" t="s">
        <v>704</v>
      </c>
      <c r="C71" s="428"/>
      <c r="D71" s="428"/>
      <c r="E71" s="428"/>
      <c r="F71" s="2"/>
      <c r="G71" s="2"/>
      <c r="H71" s="428" t="s">
        <v>707</v>
      </c>
      <c r="I71" s="428"/>
      <c r="J71" s="428"/>
      <c r="K71" s="428"/>
      <c r="L71" s="2"/>
    </row>
    <row r="72" spans="2:12" x14ac:dyDescent="0.25">
      <c r="B72" s="2" t="s">
        <v>175</v>
      </c>
      <c r="C72" s="2"/>
      <c r="D72" s="2"/>
      <c r="E72" s="353"/>
      <c r="F72" s="2"/>
      <c r="G72" s="2"/>
      <c r="H72" s="338" t="s">
        <v>3</v>
      </c>
      <c r="I72" s="338"/>
      <c r="J72" s="338"/>
      <c r="K72" s="339">
        <f>+K61</f>
        <v>900000</v>
      </c>
      <c r="L72" s="2"/>
    </row>
    <row r="73" spans="2:12" x14ac:dyDescent="0.25">
      <c r="B73" s="97" t="s">
        <v>163</v>
      </c>
      <c r="C73" s="97"/>
      <c r="D73" s="97"/>
      <c r="E73" s="352">
        <f>+K61</f>
        <v>900000</v>
      </c>
      <c r="F73" s="2"/>
      <c r="G73" s="2"/>
      <c r="H73" s="341" t="s">
        <v>127</v>
      </c>
      <c r="I73" s="2"/>
      <c r="J73" s="2"/>
      <c r="K73" s="342">
        <f>+K67</f>
        <v>40000</v>
      </c>
      <c r="L73" s="2"/>
    </row>
    <row r="74" spans="2:12" x14ac:dyDescent="0.25">
      <c r="B74" s="2" t="s">
        <v>190</v>
      </c>
      <c r="C74" s="2"/>
      <c r="D74" s="2"/>
      <c r="E74" s="2"/>
      <c r="F74" s="2"/>
      <c r="G74" s="2"/>
      <c r="H74" s="2" t="s">
        <v>708</v>
      </c>
      <c r="I74" s="2"/>
      <c r="J74" s="2"/>
      <c r="K74" s="357">
        <f>+K72+K73</f>
        <v>940000</v>
      </c>
      <c r="L74" s="2"/>
    </row>
    <row r="75" spans="2:12" x14ac:dyDescent="0.25">
      <c r="B75" s="2"/>
      <c r="C75" s="2" t="s">
        <v>706</v>
      </c>
      <c r="D75" s="2"/>
      <c r="E75" s="340">
        <f>-K69</f>
        <v>-315000</v>
      </c>
      <c r="F75" s="426">
        <f>+E75+E76</f>
        <v>-282000</v>
      </c>
      <c r="G75" s="2"/>
      <c r="H75" s="282" t="s">
        <v>709</v>
      </c>
      <c r="I75" s="282"/>
      <c r="J75" s="282"/>
      <c r="K75" s="356">
        <f>+-K74*30%</f>
        <v>-282000</v>
      </c>
      <c r="L75" s="2"/>
    </row>
    <row r="76" spans="2:12" x14ac:dyDescent="0.25">
      <c r="B76" s="2"/>
      <c r="C76" s="2" t="s">
        <v>705</v>
      </c>
      <c r="D76" s="2"/>
      <c r="E76" s="354">
        <f>+F69</f>
        <v>33000</v>
      </c>
      <c r="F76" s="427"/>
      <c r="G76" s="2"/>
      <c r="H76" s="282" t="s">
        <v>710</v>
      </c>
      <c r="I76" s="282"/>
      <c r="J76" s="282"/>
      <c r="K76" s="356">
        <f>+E75+E76</f>
        <v>-282000</v>
      </c>
      <c r="L76" s="2"/>
    </row>
    <row r="77" spans="2:12" x14ac:dyDescent="0.25">
      <c r="B77" s="283" t="s">
        <v>176</v>
      </c>
      <c r="C77" s="283"/>
      <c r="D77" s="283"/>
      <c r="E77" s="355">
        <f>SUM(E73:E76)</f>
        <v>618000</v>
      </c>
      <c r="F77" s="2"/>
      <c r="H77" s="358" t="s">
        <v>711</v>
      </c>
      <c r="I77" s="359"/>
      <c r="J77" s="359"/>
      <c r="K77" s="360">
        <f>+K75-K76</f>
        <v>0</v>
      </c>
    </row>
  </sheetData>
  <mergeCells count="20">
    <mergeCell ref="F75:F76"/>
    <mergeCell ref="B59:F59"/>
    <mergeCell ref="H59:K59"/>
    <mergeCell ref="B71:E71"/>
    <mergeCell ref="H71:K71"/>
    <mergeCell ref="F55:F56"/>
    <mergeCell ref="B2:F2"/>
    <mergeCell ref="H2:K2"/>
    <mergeCell ref="B13:E13"/>
    <mergeCell ref="H13:K13"/>
    <mergeCell ref="B21:F21"/>
    <mergeCell ref="H21:K21"/>
    <mergeCell ref="F17:F18"/>
    <mergeCell ref="B32:E32"/>
    <mergeCell ref="H32:K32"/>
    <mergeCell ref="B40:F40"/>
    <mergeCell ref="H40:K40"/>
    <mergeCell ref="B51:E51"/>
    <mergeCell ref="H51:K51"/>
    <mergeCell ref="F36:F3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46"/>
  <sheetViews>
    <sheetView zoomScale="60" zoomScaleNormal="60" workbookViewId="0">
      <selection activeCell="I1" sqref="A1:I46"/>
    </sheetView>
  </sheetViews>
  <sheetFormatPr baseColWidth="10" defaultRowHeight="20.100000000000001" customHeight="1" x14ac:dyDescent="0.25"/>
  <cols>
    <col min="1" max="1" width="5" style="42" customWidth="1"/>
    <col min="2" max="2" width="7" style="42" customWidth="1"/>
    <col min="3" max="3" width="6.5703125" style="42" customWidth="1"/>
    <col min="4" max="4" width="10.7109375" style="42" customWidth="1"/>
    <col min="5" max="5" width="12" style="42" bestFit="1" customWidth="1"/>
    <col min="6" max="9" width="16" style="42" customWidth="1"/>
  </cols>
  <sheetData>
    <row r="1" spans="10:17" s="42" customFormat="1" ht="15" x14ac:dyDescent="0.25">
      <c r="J1"/>
      <c r="K1"/>
      <c r="L1"/>
      <c r="M1"/>
      <c r="N1"/>
      <c r="O1"/>
      <c r="P1"/>
      <c r="Q1"/>
    </row>
    <row r="2" spans="10:17" s="42" customFormat="1" ht="15" x14ac:dyDescent="0.25">
      <c r="J2"/>
      <c r="K2"/>
      <c r="L2"/>
      <c r="M2"/>
      <c r="N2"/>
      <c r="O2"/>
      <c r="P2"/>
      <c r="Q2"/>
    </row>
    <row r="3" spans="10:17" s="42" customFormat="1" ht="15" x14ac:dyDescent="0.25">
      <c r="J3"/>
      <c r="K3"/>
      <c r="L3"/>
      <c r="M3"/>
      <c r="N3"/>
      <c r="O3"/>
      <c r="P3"/>
      <c r="Q3"/>
    </row>
    <row r="4" spans="10:17" s="42" customFormat="1" ht="15" x14ac:dyDescent="0.25">
      <c r="J4"/>
      <c r="K4"/>
      <c r="L4"/>
      <c r="M4"/>
      <c r="N4"/>
      <c r="O4"/>
      <c r="P4"/>
      <c r="Q4"/>
    </row>
    <row r="7" spans="10:17" ht="6" customHeight="1" x14ac:dyDescent="0.25"/>
    <row r="8" spans="10:17" s="42" customFormat="1" ht="15" x14ac:dyDescent="0.25">
      <c r="J8"/>
      <c r="K8"/>
      <c r="L8"/>
      <c r="M8"/>
      <c r="N8"/>
      <c r="O8"/>
      <c r="P8"/>
      <c r="Q8"/>
    </row>
    <row r="9" spans="10:17" s="42" customFormat="1" ht="15" x14ac:dyDescent="0.25">
      <c r="J9"/>
      <c r="K9"/>
      <c r="L9"/>
      <c r="M9"/>
      <c r="N9"/>
      <c r="O9"/>
      <c r="P9"/>
      <c r="Q9"/>
    </row>
    <row r="10" spans="10:17" s="42" customFormat="1" ht="15" x14ac:dyDescent="0.25">
      <c r="J10"/>
      <c r="K10"/>
      <c r="L10"/>
      <c r="M10"/>
      <c r="N10"/>
      <c r="O10"/>
      <c r="P10"/>
      <c r="Q10"/>
    </row>
    <row r="11" spans="10:17" s="42" customFormat="1" ht="15" x14ac:dyDescent="0.25">
      <c r="J11"/>
      <c r="K11"/>
      <c r="L11"/>
      <c r="M11"/>
      <c r="N11"/>
      <c r="O11"/>
      <c r="P11"/>
      <c r="Q11"/>
    </row>
    <row r="13" spans="10:17" ht="19.5" customHeight="1" x14ac:dyDescent="0.25"/>
    <row r="16" spans="10:17" s="42" customFormat="1" ht="15" x14ac:dyDescent="0.25">
      <c r="J16"/>
      <c r="K16"/>
      <c r="L16"/>
      <c r="M16"/>
      <c r="N16"/>
      <c r="O16"/>
      <c r="P16"/>
      <c r="Q16"/>
    </row>
    <row r="17" spans="10:17" s="42" customFormat="1" ht="15" x14ac:dyDescent="0.25">
      <c r="J17"/>
      <c r="K17"/>
      <c r="L17"/>
      <c r="M17"/>
      <c r="N17"/>
      <c r="O17"/>
      <c r="P17"/>
      <c r="Q17"/>
    </row>
    <row r="18" spans="10:17" s="42" customFormat="1" ht="15" x14ac:dyDescent="0.25">
      <c r="J18"/>
      <c r="K18"/>
      <c r="L18"/>
      <c r="M18"/>
      <c r="N18"/>
      <c r="O18"/>
      <c r="P18"/>
      <c r="Q18"/>
    </row>
    <row r="19" spans="10:17" s="42" customFormat="1" ht="15" x14ac:dyDescent="0.25">
      <c r="J19"/>
      <c r="K19"/>
      <c r="L19"/>
      <c r="M19"/>
      <c r="N19"/>
      <c r="O19"/>
      <c r="P19"/>
      <c r="Q19"/>
    </row>
    <row r="23" spans="10:17" ht="6" customHeight="1" x14ac:dyDescent="0.25"/>
    <row r="24" spans="10:17" ht="6" customHeight="1" x14ac:dyDescent="0.25"/>
    <row r="25" spans="10:17" s="42" customFormat="1" ht="15" x14ac:dyDescent="0.25">
      <c r="J25"/>
      <c r="K25"/>
      <c r="L25"/>
      <c r="M25"/>
      <c r="N25"/>
      <c r="O25"/>
      <c r="P25"/>
      <c r="Q25"/>
    </row>
    <row r="26" spans="10:17" s="42" customFormat="1" ht="15" x14ac:dyDescent="0.25">
      <c r="J26"/>
      <c r="K26"/>
      <c r="L26"/>
      <c r="M26"/>
      <c r="N26"/>
      <c r="O26"/>
      <c r="P26"/>
      <c r="Q26"/>
    </row>
    <row r="27" spans="10:17" s="42" customFormat="1" ht="15" x14ac:dyDescent="0.25">
      <c r="J27"/>
      <c r="K27"/>
      <c r="L27"/>
      <c r="M27"/>
      <c r="N27"/>
      <c r="O27"/>
      <c r="P27"/>
      <c r="Q27"/>
    </row>
    <row r="28" spans="10:17" s="42" customFormat="1" ht="15" x14ac:dyDescent="0.25">
      <c r="J28"/>
      <c r="K28"/>
      <c r="L28"/>
      <c r="M28"/>
      <c r="N28"/>
      <c r="O28"/>
      <c r="P28"/>
      <c r="Q28"/>
    </row>
    <row r="31" spans="10:17" ht="6" customHeight="1" x14ac:dyDescent="0.25"/>
    <row r="32" spans="10:17" s="42" customFormat="1" ht="15" x14ac:dyDescent="0.25">
      <c r="J32"/>
      <c r="K32"/>
      <c r="L32"/>
      <c r="M32"/>
      <c r="N32"/>
      <c r="O32"/>
      <c r="P32"/>
      <c r="Q32"/>
    </row>
    <row r="33" spans="10:17" s="42" customFormat="1" ht="15" x14ac:dyDescent="0.25">
      <c r="J33"/>
      <c r="K33"/>
      <c r="L33"/>
      <c r="M33"/>
      <c r="N33"/>
      <c r="O33"/>
      <c r="P33"/>
      <c r="Q33"/>
    </row>
    <row r="34" spans="10:17" s="42" customFormat="1" ht="15" x14ac:dyDescent="0.25">
      <c r="J34"/>
      <c r="K34"/>
      <c r="L34"/>
      <c r="M34"/>
      <c r="N34"/>
      <c r="O34"/>
      <c r="P34"/>
      <c r="Q34"/>
    </row>
    <row r="35" spans="10:17" s="42" customFormat="1" ht="15" x14ac:dyDescent="0.25">
      <c r="J35"/>
      <c r="K35"/>
      <c r="L35"/>
      <c r="M35"/>
      <c r="N35"/>
      <c r="O35"/>
      <c r="P35"/>
      <c r="Q35"/>
    </row>
    <row r="37" spans="10:17" ht="19.5" customHeight="1" x14ac:dyDescent="0.25"/>
    <row r="40" spans="10:17" s="42" customFormat="1" ht="15" x14ac:dyDescent="0.25">
      <c r="J40"/>
      <c r="K40"/>
      <c r="L40"/>
      <c r="M40"/>
      <c r="N40"/>
      <c r="O40"/>
      <c r="P40"/>
      <c r="Q40"/>
    </row>
    <row r="41" spans="10:17" s="42" customFormat="1" ht="15" x14ac:dyDescent="0.25">
      <c r="J41"/>
      <c r="K41"/>
      <c r="L41"/>
      <c r="M41"/>
      <c r="N41"/>
      <c r="O41"/>
      <c r="P41"/>
      <c r="Q41"/>
    </row>
    <row r="42" spans="10:17" s="42" customFormat="1" ht="15" x14ac:dyDescent="0.25">
      <c r="J42"/>
      <c r="K42"/>
      <c r="L42"/>
      <c r="M42"/>
      <c r="N42"/>
      <c r="O42"/>
      <c r="P42"/>
      <c r="Q42"/>
    </row>
    <row r="43" spans="10:17" s="42" customFormat="1" ht="15" x14ac:dyDescent="0.25">
      <c r="J43"/>
      <c r="K43"/>
      <c r="L43"/>
      <c r="M43"/>
      <c r="N43"/>
      <c r="O43"/>
      <c r="P43"/>
      <c r="Q43"/>
    </row>
    <row r="45" spans="10:17" ht="19.5" customHeight="1" x14ac:dyDescent="0.25"/>
    <row r="46" spans="10:17" ht="19.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548"/>
  <sheetViews>
    <sheetView zoomScale="80" zoomScaleNormal="80" workbookViewId="0">
      <selection activeCell="B147" sqref="B147"/>
    </sheetView>
  </sheetViews>
  <sheetFormatPr baseColWidth="10" defaultColWidth="0" defaultRowHeight="15" zeroHeight="1" x14ac:dyDescent="0.25"/>
  <cols>
    <col min="1" max="3" width="6.42578125" style="42" customWidth="1"/>
    <col min="4" max="4" width="9.42578125" style="42" customWidth="1"/>
    <col min="5" max="5" width="12.85546875" style="42" customWidth="1"/>
    <col min="6" max="6" width="6.42578125" style="42" customWidth="1"/>
    <col min="7" max="7" width="9.28515625" style="42" bestFit="1" customWidth="1"/>
    <col min="8" max="8" width="0.85546875" customWidth="1"/>
    <col min="9" max="9" width="10.85546875" bestFit="1" customWidth="1"/>
    <col min="10" max="11" width="11.5703125" customWidth="1"/>
    <col min="12" max="12" width="9.85546875" customWidth="1"/>
    <col min="13" max="13" width="9.85546875" bestFit="1" customWidth="1"/>
    <col min="14" max="14" width="5.5703125" bestFit="1" customWidth="1"/>
    <col min="15" max="15" width="24.140625" hidden="1" customWidth="1"/>
    <col min="16" max="21" width="9" hidden="1" customWidth="1"/>
    <col min="22" max="16384" width="11.42578125" hidden="1"/>
  </cols>
  <sheetData>
    <row r="1" spans="1:14" s="420" customFormat="1" x14ac:dyDescent="0.25">
      <c r="A1" s="420" t="s">
        <v>913</v>
      </c>
    </row>
    <row r="2" spans="1:14" s="420" customFormat="1" x14ac:dyDescent="0.25"/>
    <row r="3" spans="1:14" s="420" customFormat="1" x14ac:dyDescent="0.25"/>
    <row r="4" spans="1:14" x14ac:dyDescent="0.25">
      <c r="A4" s="403" t="s">
        <v>792</v>
      </c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72"/>
    </row>
    <row r="5" spans="1:14" x14ac:dyDescent="0.25">
      <c r="A5" s="404" t="s">
        <v>793</v>
      </c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72"/>
    </row>
    <row r="6" spans="1:14" x14ac:dyDescent="0.25">
      <c r="A6" s="404" t="s">
        <v>794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72"/>
    </row>
    <row r="7" spans="1:14" x14ac:dyDescent="0.25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72"/>
    </row>
    <row r="8" spans="1:14" x14ac:dyDescent="0.25">
      <c r="A8" s="51"/>
      <c r="B8" s="278" t="s">
        <v>87</v>
      </c>
      <c r="C8" s="278"/>
      <c r="D8" s="278"/>
      <c r="E8" s="278"/>
      <c r="F8" s="398"/>
      <c r="G8" s="278"/>
      <c r="H8" s="278"/>
      <c r="I8" s="278"/>
      <c r="J8" s="278"/>
      <c r="K8" s="278"/>
      <c r="L8" s="398"/>
      <c r="M8" s="398"/>
      <c r="N8" s="72"/>
    </row>
    <row r="9" spans="1:14" x14ac:dyDescent="0.25">
      <c r="A9" s="51"/>
      <c r="B9" s="278" t="s">
        <v>88</v>
      </c>
      <c r="C9" s="278"/>
      <c r="D9" s="278"/>
      <c r="E9" s="278"/>
      <c r="F9" s="398"/>
      <c r="G9" s="278"/>
      <c r="H9" s="278"/>
      <c r="I9" s="278"/>
      <c r="J9" s="278"/>
      <c r="K9" s="278"/>
      <c r="L9" s="398"/>
      <c r="M9" s="398"/>
      <c r="N9" s="72"/>
    </row>
    <row r="10" spans="1:14" x14ac:dyDescent="0.25">
      <c r="A10" s="51"/>
      <c r="B10" s="278" t="s">
        <v>928</v>
      </c>
      <c r="C10" s="278"/>
      <c r="D10" s="278"/>
      <c r="E10" s="278"/>
      <c r="F10" s="398"/>
      <c r="G10" s="278"/>
      <c r="H10" s="278"/>
      <c r="I10" s="278"/>
      <c r="J10" s="278"/>
      <c r="K10" s="278"/>
      <c r="L10" s="398"/>
      <c r="M10" s="398"/>
      <c r="N10" s="72"/>
    </row>
    <row r="11" spans="1:14" x14ac:dyDescent="0.25">
      <c r="A11" s="47"/>
      <c r="B11" s="47"/>
      <c r="C11" s="48"/>
      <c r="D11" s="51"/>
      <c r="E11" s="51"/>
      <c r="F11" s="401" t="s">
        <v>99</v>
      </c>
      <c r="G11" s="51" t="s">
        <v>91</v>
      </c>
      <c r="H11" s="51"/>
      <c r="I11" s="51"/>
      <c r="J11" s="51"/>
      <c r="K11" s="401" t="s">
        <v>99</v>
      </c>
      <c r="L11" s="51" t="s">
        <v>91</v>
      </c>
      <c r="M11" s="51"/>
      <c r="N11" s="72"/>
    </row>
    <row r="12" spans="1:14" x14ac:dyDescent="0.25">
      <c r="A12" s="47"/>
      <c r="B12" s="51" t="s">
        <v>355</v>
      </c>
      <c r="C12" s="48"/>
      <c r="D12" s="51"/>
      <c r="E12" s="51"/>
      <c r="F12" s="399"/>
      <c r="G12" s="47"/>
      <c r="H12" s="51"/>
      <c r="I12" s="51" t="s">
        <v>363</v>
      </c>
      <c r="J12" s="48"/>
      <c r="K12" s="48"/>
      <c r="L12" s="48"/>
      <c r="M12" s="51"/>
      <c r="N12" s="72"/>
    </row>
    <row r="13" spans="1:14" x14ac:dyDescent="0.25">
      <c r="A13" s="47"/>
      <c r="B13" s="47" t="s">
        <v>90</v>
      </c>
      <c r="C13" s="48"/>
      <c r="D13" s="51"/>
      <c r="E13" s="51"/>
      <c r="F13" s="399"/>
      <c r="G13" s="48">
        <v>10000</v>
      </c>
      <c r="H13" s="51"/>
      <c r="I13" s="48" t="s">
        <v>359</v>
      </c>
      <c r="J13" s="48"/>
      <c r="K13" s="48"/>
      <c r="L13" s="48">
        <v>5000</v>
      </c>
      <c r="M13" s="51"/>
      <c r="N13" s="72"/>
    </row>
    <row r="14" spans="1:14" x14ac:dyDescent="0.25">
      <c r="A14" s="47"/>
      <c r="B14" s="47" t="s">
        <v>112</v>
      </c>
      <c r="C14" s="48"/>
      <c r="D14" s="51"/>
      <c r="E14" s="51"/>
      <c r="F14" s="399"/>
      <c r="G14" s="48">
        <v>30000</v>
      </c>
      <c r="H14" s="51"/>
      <c r="I14" s="48" t="s">
        <v>330</v>
      </c>
      <c r="J14" s="48"/>
      <c r="K14" s="48"/>
      <c r="L14" s="48">
        <v>40000</v>
      </c>
      <c r="M14" s="51"/>
      <c r="N14" s="72"/>
    </row>
    <row r="15" spans="1:14" x14ac:dyDescent="0.25">
      <c r="A15" s="47"/>
      <c r="B15" s="47" t="s">
        <v>93</v>
      </c>
      <c r="C15" s="48"/>
      <c r="D15" s="51"/>
      <c r="E15" s="51"/>
      <c r="F15" s="399"/>
      <c r="G15" s="48">
        <v>50000</v>
      </c>
      <c r="H15" s="51"/>
      <c r="I15" s="48" t="s">
        <v>360</v>
      </c>
      <c r="J15" s="48"/>
      <c r="K15" s="48"/>
      <c r="L15" s="48">
        <v>12000</v>
      </c>
      <c r="M15" s="51"/>
      <c r="N15" s="72"/>
    </row>
    <row r="16" spans="1:14" x14ac:dyDescent="0.25">
      <c r="A16" s="47"/>
      <c r="B16" s="278" t="s">
        <v>328</v>
      </c>
      <c r="C16" s="279"/>
      <c r="D16" s="279"/>
      <c r="E16" s="279"/>
      <c r="F16" s="400"/>
      <c r="G16" s="279">
        <f>SUM(G13:G15)</f>
        <v>90000</v>
      </c>
      <c r="H16" s="51"/>
      <c r="I16" s="278" t="s">
        <v>331</v>
      </c>
      <c r="J16" s="279"/>
      <c r="K16" s="279"/>
      <c r="L16" s="279">
        <f>SUM(L13:L15)</f>
        <v>57000</v>
      </c>
      <c r="M16" s="51"/>
      <c r="N16" s="72"/>
    </row>
    <row r="17" spans="1:14" x14ac:dyDescent="0.25">
      <c r="A17" s="47"/>
      <c r="B17" s="51"/>
      <c r="C17" s="48"/>
      <c r="D17" s="51"/>
      <c r="E17" s="51"/>
      <c r="F17" s="399"/>
      <c r="G17" s="47"/>
      <c r="H17" s="51"/>
      <c r="I17" s="48"/>
      <c r="J17" s="48"/>
      <c r="K17" s="48"/>
      <c r="L17" s="47"/>
      <c r="M17" s="51"/>
      <c r="N17" s="72"/>
    </row>
    <row r="18" spans="1:14" x14ac:dyDescent="0.25">
      <c r="A18" s="47"/>
      <c r="B18" s="47" t="s">
        <v>95</v>
      </c>
      <c r="C18" s="48"/>
      <c r="D18" s="51"/>
      <c r="E18" s="51"/>
      <c r="F18" s="399"/>
      <c r="G18" s="48">
        <v>100000</v>
      </c>
      <c r="H18" s="51"/>
      <c r="I18" s="48" t="s">
        <v>333</v>
      </c>
      <c r="J18" s="48"/>
      <c r="K18" s="48"/>
      <c r="L18" s="48">
        <v>80000</v>
      </c>
      <c r="M18" s="51"/>
      <c r="N18" s="72"/>
    </row>
    <row r="19" spans="1:14" x14ac:dyDescent="0.25">
      <c r="A19" s="47"/>
      <c r="B19" s="47" t="s">
        <v>357</v>
      </c>
      <c r="C19" s="48"/>
      <c r="D19" s="51"/>
      <c r="E19" s="51"/>
      <c r="F19" s="401"/>
      <c r="G19" s="48">
        <v>36000</v>
      </c>
      <c r="H19" s="51"/>
      <c r="I19" s="48" t="s">
        <v>361</v>
      </c>
      <c r="J19" s="48"/>
      <c r="K19" s="48"/>
      <c r="L19" s="48">
        <v>89000</v>
      </c>
      <c r="M19" s="51"/>
      <c r="N19" s="72"/>
    </row>
    <row r="20" spans="1:14" x14ac:dyDescent="0.25">
      <c r="A20" s="47"/>
      <c r="B20" s="278" t="s">
        <v>358</v>
      </c>
      <c r="C20" s="279"/>
      <c r="D20" s="278"/>
      <c r="E20" s="278"/>
      <c r="F20" s="398"/>
      <c r="G20" s="279">
        <f>+G18+G19</f>
        <v>136000</v>
      </c>
      <c r="H20" s="51"/>
      <c r="I20" s="279" t="s">
        <v>362</v>
      </c>
      <c r="J20" s="279"/>
      <c r="K20" s="279"/>
      <c r="L20" s="279">
        <f>+L18+L19</f>
        <v>169000</v>
      </c>
      <c r="M20" s="51"/>
      <c r="N20" s="72"/>
    </row>
    <row r="21" spans="1:14" x14ac:dyDescent="0.25">
      <c r="A21" s="47"/>
      <c r="B21" s="278" t="s">
        <v>329</v>
      </c>
      <c r="C21" s="279"/>
      <c r="D21" s="278"/>
      <c r="E21" s="278"/>
      <c r="F21" s="398"/>
      <c r="G21" s="279">
        <f>+G16+G20</f>
        <v>226000</v>
      </c>
      <c r="H21" s="51"/>
      <c r="I21" s="279" t="s">
        <v>363</v>
      </c>
      <c r="J21" s="279"/>
      <c r="K21" s="279"/>
      <c r="L21" s="279">
        <f>+L16+L20</f>
        <v>226000</v>
      </c>
      <c r="M21" s="51"/>
      <c r="N21" s="72"/>
    </row>
    <row r="22" spans="1:14" x14ac:dyDescent="0.25">
      <c r="A22" s="47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110"/>
    </row>
    <row r="23" spans="1:14" x14ac:dyDescent="0.25">
      <c r="A23" s="403" t="s">
        <v>800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72"/>
    </row>
    <row r="24" spans="1:14" x14ac:dyDescent="0.25">
      <c r="A24" s="51" t="s">
        <v>795</v>
      </c>
      <c r="B24" s="47"/>
      <c r="C24" s="47"/>
      <c r="D24" s="47"/>
      <c r="E24" s="47"/>
      <c r="F24" s="47"/>
      <c r="G24" s="47"/>
      <c r="H24" s="2"/>
      <c r="I24" s="2"/>
      <c r="J24" s="2"/>
      <c r="K24" s="2"/>
      <c r="L24" s="2"/>
      <c r="M24" s="51"/>
      <c r="N24" s="73" t="e">
        <f>SUM(#REF!)</f>
        <v>#REF!</v>
      </c>
    </row>
    <row r="25" spans="1:14" x14ac:dyDescent="0.25">
      <c r="A25" s="278" t="s">
        <v>202</v>
      </c>
      <c r="B25" s="281"/>
      <c r="C25" s="281"/>
      <c r="D25" s="281"/>
      <c r="E25" s="281"/>
      <c r="F25" s="281"/>
      <c r="G25" s="281"/>
      <c r="H25" s="282"/>
      <c r="I25" s="282"/>
      <c r="J25" s="282"/>
      <c r="K25" s="282"/>
      <c r="L25" s="282"/>
      <c r="M25" s="282"/>
      <c r="N25" s="72"/>
    </row>
    <row r="26" spans="1:14" x14ac:dyDescent="0.25">
      <c r="A26" s="47"/>
      <c r="B26" s="47"/>
      <c r="C26" s="47"/>
      <c r="D26" s="47"/>
      <c r="E26" s="47"/>
      <c r="F26" s="47"/>
      <c r="G26" s="2"/>
      <c r="H26" s="2"/>
      <c r="I26" s="2"/>
      <c r="J26" s="79" t="s">
        <v>91</v>
      </c>
      <c r="K26" s="2"/>
      <c r="L26" s="2"/>
      <c r="M26" s="51"/>
      <c r="N26" s="72"/>
    </row>
    <row r="27" spans="1:14" x14ac:dyDescent="0.25">
      <c r="A27" s="2"/>
      <c r="B27" s="2"/>
      <c r="C27" s="47" t="s">
        <v>100</v>
      </c>
      <c r="D27" s="2"/>
      <c r="E27" s="2"/>
      <c r="F27" s="2"/>
      <c r="G27" s="2"/>
      <c r="H27" s="2"/>
      <c r="I27" s="2"/>
      <c r="J27" s="48">
        <v>3000</v>
      </c>
      <c r="K27" s="2"/>
      <c r="L27" s="2"/>
      <c r="M27" s="51" t="s">
        <v>48</v>
      </c>
      <c r="N27" s="72"/>
    </row>
    <row r="28" spans="1:14" x14ac:dyDescent="0.25">
      <c r="A28" s="2"/>
      <c r="B28" s="2"/>
      <c r="C28" s="47" t="s">
        <v>4</v>
      </c>
      <c r="D28" s="2"/>
      <c r="E28" s="2"/>
      <c r="F28" s="2"/>
      <c r="G28" s="2"/>
      <c r="H28" s="2"/>
      <c r="I28" s="2"/>
      <c r="J28" s="48">
        <v>9000</v>
      </c>
      <c r="K28" s="2"/>
      <c r="L28" s="2"/>
      <c r="M28" s="51" t="s">
        <v>49</v>
      </c>
      <c r="N28" s="72"/>
    </row>
    <row r="29" spans="1:14" x14ac:dyDescent="0.25">
      <c r="A29" s="2"/>
      <c r="B29" s="2"/>
      <c r="C29" s="47" t="s">
        <v>101</v>
      </c>
      <c r="D29" s="2"/>
      <c r="E29" s="2"/>
      <c r="F29" s="2"/>
      <c r="G29" s="2"/>
      <c r="H29" s="2"/>
      <c r="I29" s="2"/>
      <c r="J29" s="48">
        <v>24000</v>
      </c>
      <c r="K29" s="2"/>
      <c r="L29" s="2"/>
      <c r="M29" s="51" t="s">
        <v>50</v>
      </c>
      <c r="N29" s="72"/>
    </row>
    <row r="30" spans="1:14" x14ac:dyDescent="0.25">
      <c r="A30" s="281"/>
      <c r="B30" s="281"/>
      <c r="C30" s="281"/>
      <c r="D30" s="281"/>
      <c r="E30" s="281"/>
      <c r="F30" s="281"/>
      <c r="G30" s="282"/>
      <c r="H30" s="282"/>
      <c r="I30" s="282"/>
      <c r="J30" s="279">
        <f>SUM(J27:J29)</f>
        <v>36000</v>
      </c>
      <c r="K30" s="282"/>
      <c r="L30" s="282"/>
      <c r="M30" s="282"/>
      <c r="N30" s="72"/>
    </row>
    <row r="31" spans="1:14" x14ac:dyDescent="0.25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72"/>
    </row>
    <row r="32" spans="1:14" x14ac:dyDescent="0.25">
      <c r="A32" s="403" t="s">
        <v>801</v>
      </c>
      <c r="B32" s="403"/>
      <c r="C32" s="403"/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72"/>
    </row>
    <row r="33" spans="1:21" x14ac:dyDescent="0.25">
      <c r="A33" s="51" t="s">
        <v>796</v>
      </c>
      <c r="B33" s="47"/>
      <c r="C33" s="47"/>
      <c r="D33" s="47"/>
      <c r="E33" s="47"/>
      <c r="F33" s="47"/>
      <c r="G33" s="47"/>
      <c r="H33" s="2"/>
      <c r="I33" s="2"/>
      <c r="J33" s="2"/>
      <c r="K33" s="2"/>
      <c r="L33" s="2"/>
      <c r="M33" s="51"/>
      <c r="N33" s="72"/>
    </row>
    <row r="34" spans="1:21" x14ac:dyDescent="0.25">
      <c r="A34" s="278" t="s">
        <v>366</v>
      </c>
      <c r="B34" s="281"/>
      <c r="C34" s="281"/>
      <c r="D34" s="281"/>
      <c r="E34" s="281"/>
      <c r="F34" s="281"/>
      <c r="G34" s="281"/>
      <c r="H34" s="282"/>
      <c r="I34" s="282"/>
      <c r="J34" s="282"/>
      <c r="K34" s="282"/>
      <c r="L34" s="282"/>
      <c r="M34" s="282"/>
      <c r="N34" s="72"/>
    </row>
    <row r="35" spans="1:21" x14ac:dyDescent="0.25">
      <c r="A35" s="47"/>
      <c r="B35" s="47"/>
      <c r="C35" s="47"/>
      <c r="D35" s="47"/>
      <c r="E35" s="47"/>
      <c r="F35" s="47"/>
      <c r="G35" s="2"/>
      <c r="H35" s="2"/>
      <c r="I35" s="2"/>
      <c r="J35" s="79" t="s">
        <v>91</v>
      </c>
      <c r="K35" s="2"/>
      <c r="L35" s="2"/>
      <c r="M35" s="51"/>
      <c r="N35" s="72"/>
    </row>
    <row r="36" spans="1:21" x14ac:dyDescent="0.25">
      <c r="A36" s="2"/>
      <c r="B36" s="2"/>
      <c r="C36" s="47" t="s">
        <v>100</v>
      </c>
      <c r="D36" s="2"/>
      <c r="E36" s="2"/>
      <c r="F36" s="2"/>
      <c r="G36" s="2"/>
      <c r="H36" s="2"/>
      <c r="I36" s="2"/>
      <c r="J36" s="48">
        <f>+J27/30%</f>
        <v>10000</v>
      </c>
      <c r="K36" s="2"/>
      <c r="L36" s="2"/>
      <c r="M36" s="51" t="s">
        <v>797</v>
      </c>
      <c r="N36" s="72"/>
    </row>
    <row r="37" spans="1:21" x14ac:dyDescent="0.25">
      <c r="A37" s="2"/>
      <c r="B37" s="2"/>
      <c r="C37" s="47" t="s">
        <v>4</v>
      </c>
      <c r="D37" s="2"/>
      <c r="E37" s="2"/>
      <c r="F37" s="2"/>
      <c r="G37" s="2"/>
      <c r="H37" s="2"/>
      <c r="I37" s="2"/>
      <c r="J37" s="48">
        <f>+J28/30%</f>
        <v>30000</v>
      </c>
      <c r="K37" s="2"/>
      <c r="L37" s="2"/>
      <c r="M37" s="51" t="s">
        <v>798</v>
      </c>
      <c r="N37" s="72"/>
    </row>
    <row r="38" spans="1:21" x14ac:dyDescent="0.25">
      <c r="A38" s="2"/>
      <c r="B38" s="2"/>
      <c r="C38" s="47" t="s">
        <v>101</v>
      </c>
      <c r="D38" s="2"/>
      <c r="E38" s="2"/>
      <c r="F38" s="2"/>
      <c r="G38" s="2"/>
      <c r="H38" s="2"/>
      <c r="I38" s="2"/>
      <c r="J38" s="48">
        <f>+J29/30%</f>
        <v>80000</v>
      </c>
      <c r="K38" s="2"/>
      <c r="L38" s="2"/>
      <c r="M38" s="51" t="s">
        <v>799</v>
      </c>
      <c r="N38" s="72"/>
      <c r="O38" s="47"/>
      <c r="P38" s="70"/>
      <c r="Q38" s="70"/>
      <c r="R38" s="70"/>
      <c r="S38" s="70"/>
      <c r="T38" s="70"/>
      <c r="U38" s="70"/>
    </row>
    <row r="39" spans="1:21" x14ac:dyDescent="0.25">
      <c r="A39" s="281"/>
      <c r="B39" s="281"/>
      <c r="C39" s="281"/>
      <c r="D39" s="281"/>
      <c r="E39" s="281"/>
      <c r="F39" s="281"/>
      <c r="G39" s="282"/>
      <c r="H39" s="282"/>
      <c r="I39" s="282"/>
      <c r="J39" s="279">
        <f>SUM(J36:J38)</f>
        <v>120000</v>
      </c>
      <c r="K39" s="282"/>
      <c r="L39" s="282"/>
      <c r="M39" s="282"/>
      <c r="N39" s="72"/>
      <c r="O39" s="47"/>
      <c r="P39" s="47"/>
      <c r="Q39" s="47"/>
      <c r="R39" s="47"/>
      <c r="S39" s="47"/>
      <c r="T39" s="47"/>
      <c r="U39" s="47"/>
    </row>
    <row r="40" spans="1:21" x14ac:dyDescent="0.25">
      <c r="A40" s="47"/>
      <c r="B40" s="47"/>
      <c r="C40" s="47"/>
      <c r="D40" s="47"/>
      <c r="E40" s="47"/>
      <c r="F40" s="47"/>
      <c r="G40" s="47"/>
      <c r="H40" s="47"/>
      <c r="I40" s="47"/>
      <c r="J40" s="71"/>
      <c r="K40" s="51"/>
      <c r="L40" s="71"/>
      <c r="M40" s="51"/>
      <c r="N40" s="72"/>
      <c r="O40" s="47"/>
      <c r="P40" s="47"/>
      <c r="Q40" s="47"/>
      <c r="R40" s="47"/>
      <c r="S40" s="47"/>
      <c r="T40" s="47"/>
      <c r="U40" s="47"/>
    </row>
    <row r="41" spans="1:21" x14ac:dyDescent="0.25">
      <c r="A41" s="403" t="s">
        <v>802</v>
      </c>
      <c r="B41" s="403"/>
      <c r="C41" s="403"/>
      <c r="D41" s="403"/>
      <c r="E41" s="403"/>
      <c r="F41" s="403"/>
      <c r="G41" s="403"/>
      <c r="H41" s="403"/>
      <c r="I41" s="403"/>
      <c r="J41" s="403"/>
      <c r="K41" s="403"/>
      <c r="L41" s="403"/>
      <c r="M41" s="403"/>
      <c r="N41" s="72"/>
    </row>
    <row r="42" spans="1:21" x14ac:dyDescent="0.25">
      <c r="A42" s="278" t="s">
        <v>368</v>
      </c>
      <c r="B42" s="281"/>
      <c r="C42" s="281"/>
      <c r="D42" s="281"/>
      <c r="E42" s="281"/>
      <c r="F42" s="281"/>
      <c r="G42" s="281"/>
      <c r="H42" s="282"/>
      <c r="I42" s="282"/>
      <c r="J42" s="282"/>
      <c r="K42" s="282"/>
      <c r="L42" s="282"/>
      <c r="M42" s="282"/>
      <c r="N42" s="72"/>
      <c r="O42" s="47"/>
      <c r="P42" s="47"/>
      <c r="Q42" s="47"/>
      <c r="R42" s="47"/>
      <c r="S42" s="47"/>
      <c r="T42" s="47"/>
      <c r="U42" s="47"/>
    </row>
    <row r="43" spans="1:21" x14ac:dyDescent="0.25">
      <c r="A43" s="47"/>
      <c r="B43" s="47"/>
      <c r="C43" s="47"/>
      <c r="D43" s="47"/>
      <c r="E43" s="47"/>
      <c r="F43" s="47"/>
      <c r="G43" s="2"/>
      <c r="H43" s="2"/>
      <c r="I43" s="2"/>
      <c r="J43" s="71" t="s">
        <v>364</v>
      </c>
      <c r="K43" s="71" t="s">
        <v>107</v>
      </c>
      <c r="L43" s="71"/>
      <c r="M43" s="51"/>
      <c r="N43" s="72"/>
      <c r="O43" s="47"/>
      <c r="P43" s="47"/>
      <c r="Q43" s="47"/>
      <c r="R43" s="47"/>
      <c r="S43" s="47"/>
      <c r="T43" s="47"/>
      <c r="U43" s="47"/>
    </row>
    <row r="44" spans="1:21" x14ac:dyDescent="0.25">
      <c r="A44" s="47"/>
      <c r="B44" s="47"/>
      <c r="C44" s="47"/>
      <c r="D44" s="47"/>
      <c r="E44" s="47"/>
      <c r="F44" s="47"/>
      <c r="G44" s="2"/>
      <c r="H44" s="2"/>
      <c r="I44" s="2"/>
      <c r="J44" s="71" t="s">
        <v>367</v>
      </c>
      <c r="K44" s="71" t="s">
        <v>108</v>
      </c>
      <c r="L44" s="71"/>
      <c r="M44" s="51"/>
      <c r="N44" s="72"/>
      <c r="O44" s="47"/>
      <c r="P44" s="47"/>
      <c r="Q44" s="47"/>
      <c r="R44" s="47"/>
      <c r="S44" s="47"/>
      <c r="T44" s="47"/>
      <c r="U44" s="47"/>
    </row>
    <row r="45" spans="1:21" x14ac:dyDescent="0.25">
      <c r="A45" s="47"/>
      <c r="B45" s="47"/>
      <c r="C45" s="47"/>
      <c r="D45" s="47"/>
      <c r="E45" s="47"/>
      <c r="F45" s="47"/>
      <c r="G45" s="2"/>
      <c r="H45" s="2"/>
      <c r="I45" s="2"/>
      <c r="J45" s="71" t="s">
        <v>277</v>
      </c>
      <c r="K45" s="71" t="s">
        <v>184</v>
      </c>
      <c r="L45" s="71"/>
      <c r="M45" s="51"/>
      <c r="N45" s="72"/>
      <c r="O45" s="47"/>
      <c r="P45" s="47"/>
      <c r="Q45" s="47"/>
      <c r="R45" s="47"/>
      <c r="S45" s="47"/>
      <c r="T45" s="47"/>
      <c r="U45" s="47"/>
    </row>
    <row r="46" spans="1:21" x14ac:dyDescent="0.25">
      <c r="A46" s="47"/>
      <c r="B46" s="47"/>
      <c r="C46" s="47"/>
      <c r="D46" s="47"/>
      <c r="E46" s="47"/>
      <c r="F46" s="47"/>
      <c r="G46" s="2"/>
      <c r="H46" s="2"/>
      <c r="I46" s="2"/>
      <c r="J46" s="51" t="s">
        <v>91</v>
      </c>
      <c r="K46" s="51" t="s">
        <v>91</v>
      </c>
      <c r="L46" s="51"/>
      <c r="M46" s="51"/>
      <c r="N46" s="72"/>
      <c r="O46" s="47"/>
      <c r="P46" s="47"/>
      <c r="Q46" s="47"/>
      <c r="R46" s="47"/>
      <c r="S46" s="47"/>
      <c r="T46" s="47"/>
      <c r="U46" s="47"/>
    </row>
    <row r="47" spans="1:21" x14ac:dyDescent="0.25">
      <c r="A47" s="2"/>
      <c r="B47" s="2"/>
      <c r="C47" s="47" t="s">
        <v>100</v>
      </c>
      <c r="D47" s="2"/>
      <c r="E47" s="2"/>
      <c r="F47" s="2"/>
      <c r="G47" s="2"/>
      <c r="H47" s="2"/>
      <c r="I47" s="2"/>
      <c r="J47" s="48">
        <f>+J27</f>
        <v>3000</v>
      </c>
      <c r="K47" s="48">
        <f>+J47/30%</f>
        <v>10000</v>
      </c>
      <c r="L47" s="48"/>
      <c r="M47" s="51"/>
      <c r="N47" s="72"/>
      <c r="O47" s="47"/>
      <c r="P47" s="47"/>
      <c r="Q47" s="47"/>
      <c r="R47" s="47"/>
      <c r="S47" s="47"/>
      <c r="T47" s="47"/>
      <c r="U47" s="47"/>
    </row>
    <row r="48" spans="1:21" x14ac:dyDescent="0.25">
      <c r="A48" s="2"/>
      <c r="B48" s="2"/>
      <c r="C48" s="47" t="s">
        <v>4</v>
      </c>
      <c r="D48" s="2"/>
      <c r="E48" s="2"/>
      <c r="F48" s="2"/>
      <c r="G48" s="2"/>
      <c r="H48" s="2"/>
      <c r="I48" s="2"/>
      <c r="J48" s="48">
        <f>+J28</f>
        <v>9000</v>
      </c>
      <c r="K48" s="48">
        <f>+J48/30%</f>
        <v>30000</v>
      </c>
      <c r="L48" s="48"/>
      <c r="M48" s="51"/>
      <c r="N48" s="72"/>
      <c r="O48" s="47"/>
      <c r="P48" s="47"/>
      <c r="Q48" s="47"/>
      <c r="R48" s="47"/>
      <c r="S48" s="47"/>
      <c r="T48" s="47"/>
      <c r="U48" s="47"/>
    </row>
    <row r="49" spans="1:21" x14ac:dyDescent="0.25">
      <c r="A49" s="2"/>
      <c r="B49" s="2"/>
      <c r="C49" s="47" t="s">
        <v>101</v>
      </c>
      <c r="D49" s="2"/>
      <c r="E49" s="2"/>
      <c r="F49" s="2"/>
      <c r="G49" s="2"/>
      <c r="H49" s="2"/>
      <c r="I49" s="2"/>
      <c r="J49" s="48">
        <f>+J29</f>
        <v>24000</v>
      </c>
      <c r="K49" s="48">
        <f>+J49/30%</f>
        <v>80000</v>
      </c>
      <c r="L49" s="48"/>
      <c r="M49" s="51"/>
      <c r="N49" s="72"/>
      <c r="O49" s="47"/>
      <c r="P49" s="47"/>
      <c r="Q49" s="47"/>
      <c r="R49" s="47"/>
      <c r="S49" s="47"/>
      <c r="T49" s="47"/>
      <c r="U49" s="47"/>
    </row>
    <row r="50" spans="1:21" x14ac:dyDescent="0.25">
      <c r="A50" s="281"/>
      <c r="B50" s="281"/>
      <c r="C50" s="281"/>
      <c r="D50" s="281"/>
      <c r="E50" s="281"/>
      <c r="F50" s="281"/>
      <c r="G50" s="282"/>
      <c r="H50" s="282"/>
      <c r="I50" s="282"/>
      <c r="J50" s="279">
        <f>SUM(J47:J49)</f>
        <v>36000</v>
      </c>
      <c r="K50" s="279">
        <f>SUM(K47:K49)</f>
        <v>120000</v>
      </c>
      <c r="L50" s="279"/>
      <c r="M50" s="282"/>
      <c r="N50" s="72"/>
      <c r="O50" s="47"/>
      <c r="P50" s="47"/>
      <c r="Q50" s="47"/>
      <c r="R50" s="47"/>
      <c r="S50" s="47"/>
      <c r="T50" s="47"/>
      <c r="U50" s="47"/>
    </row>
    <row r="51" spans="1:21" x14ac:dyDescent="0.25">
      <c r="A51" s="47"/>
      <c r="B51" s="47"/>
      <c r="C51" s="47"/>
      <c r="D51" s="47"/>
      <c r="E51" s="47"/>
      <c r="F51" s="47"/>
      <c r="G51" s="47"/>
      <c r="H51" s="47"/>
      <c r="I51" s="47"/>
      <c r="J51" s="71"/>
      <c r="K51" s="51"/>
      <c r="L51" s="71"/>
      <c r="M51" s="51"/>
      <c r="N51" s="72"/>
      <c r="O51" s="47"/>
      <c r="P51" s="47"/>
      <c r="Q51" s="47"/>
      <c r="R51" s="47"/>
      <c r="S51" s="47"/>
      <c r="T51" s="47"/>
      <c r="U51" s="47"/>
    </row>
    <row r="52" spans="1:21" x14ac:dyDescent="0.25">
      <c r="A52" s="403" t="s">
        <v>803</v>
      </c>
      <c r="B52" s="403"/>
      <c r="C52" s="403"/>
      <c r="D52" s="403"/>
      <c r="E52" s="403"/>
      <c r="F52" s="403"/>
      <c r="G52" s="403"/>
      <c r="H52" s="403"/>
      <c r="I52" s="403"/>
      <c r="J52" s="403"/>
      <c r="K52" s="403"/>
      <c r="L52" s="403"/>
      <c r="M52" s="403"/>
      <c r="N52" s="72"/>
    </row>
    <row r="53" spans="1:21" s="42" customFormat="1" x14ac:dyDescent="0.25">
      <c r="A53" s="278" t="s">
        <v>369</v>
      </c>
      <c r="B53" s="281"/>
      <c r="C53" s="281"/>
      <c r="D53" s="281"/>
      <c r="E53" s="281"/>
      <c r="F53" s="281"/>
      <c r="G53" s="281"/>
      <c r="H53" s="282"/>
      <c r="I53" s="282"/>
      <c r="J53" s="282"/>
      <c r="K53" s="282"/>
      <c r="L53" s="282"/>
      <c r="M53" s="282"/>
      <c r="N53" s="46"/>
      <c r="O53" s="47"/>
      <c r="P53" s="47"/>
      <c r="Q53" s="47"/>
      <c r="R53" s="47"/>
      <c r="S53" s="47"/>
      <c r="T53" s="47"/>
      <c r="U53" s="47"/>
    </row>
    <row r="54" spans="1:21" s="42" customForma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71" t="s">
        <v>107</v>
      </c>
      <c r="K54" s="71" t="s">
        <v>107</v>
      </c>
      <c r="L54" s="51"/>
      <c r="M54" s="51"/>
      <c r="N54" s="46"/>
      <c r="O54" s="47"/>
      <c r="P54" s="47"/>
      <c r="Q54" s="47"/>
      <c r="R54" s="47"/>
      <c r="S54" s="47"/>
      <c r="T54" s="47"/>
      <c r="U54" s="47"/>
    </row>
    <row r="55" spans="1:21" s="42" customFormat="1" x14ac:dyDescent="0.25">
      <c r="A55" s="47"/>
      <c r="B55" s="47"/>
      <c r="C55" s="47"/>
      <c r="D55" s="47"/>
      <c r="E55" s="47"/>
      <c r="F55" s="47"/>
      <c r="G55" s="47"/>
      <c r="H55" s="47"/>
      <c r="I55" s="47"/>
      <c r="J55" s="71" t="s">
        <v>110</v>
      </c>
      <c r="K55" s="71" t="s">
        <v>78</v>
      </c>
      <c r="L55" s="71" t="s">
        <v>111</v>
      </c>
      <c r="M55" s="51"/>
      <c r="N55" s="46"/>
      <c r="O55" s="47"/>
      <c r="P55" s="47"/>
      <c r="Q55" s="47"/>
      <c r="R55" s="47"/>
      <c r="S55" s="47"/>
      <c r="T55" s="47"/>
      <c r="U55" s="47"/>
    </row>
    <row r="56" spans="1:21" s="42" customFormat="1" x14ac:dyDescent="0.25">
      <c r="A56" s="47"/>
      <c r="B56" s="47"/>
      <c r="C56" s="47"/>
      <c r="D56" s="47"/>
      <c r="E56" s="47"/>
      <c r="F56" s="47"/>
      <c r="G56" s="47"/>
      <c r="H56" s="47"/>
      <c r="I56" s="47"/>
      <c r="J56" s="71" t="s">
        <v>91</v>
      </c>
      <c r="K56" s="71" t="s">
        <v>91</v>
      </c>
      <c r="L56" s="71" t="s">
        <v>91</v>
      </c>
      <c r="M56" s="51"/>
      <c r="N56" s="46"/>
      <c r="O56" s="47"/>
      <c r="P56" s="47"/>
      <c r="Q56" s="47"/>
      <c r="R56" s="47"/>
      <c r="S56" s="47"/>
      <c r="T56" s="47"/>
      <c r="U56" s="47"/>
    </row>
    <row r="57" spans="1:21" s="42" customFormat="1" x14ac:dyDescent="0.25">
      <c r="A57" s="47" t="s">
        <v>654</v>
      </c>
      <c r="B57" s="47"/>
      <c r="C57" s="47"/>
      <c r="D57" s="47"/>
      <c r="E57" s="47"/>
      <c r="F57" s="47"/>
      <c r="G57" s="47"/>
      <c r="H57" s="47"/>
      <c r="I57" s="194" t="s">
        <v>656</v>
      </c>
      <c r="J57" s="48">
        <v>20000</v>
      </c>
      <c r="K57" s="48">
        <v>30000</v>
      </c>
      <c r="L57" s="48">
        <f>+K57-J57</f>
        <v>10000</v>
      </c>
      <c r="M57" s="51"/>
      <c r="N57" s="46"/>
      <c r="O57" s="47"/>
      <c r="P57" s="47"/>
      <c r="Q57" s="47"/>
      <c r="R57" s="47"/>
      <c r="S57" s="47"/>
      <c r="T57" s="47"/>
      <c r="U57" s="47"/>
    </row>
    <row r="58" spans="1:21" s="42" customFormat="1" x14ac:dyDescent="0.25">
      <c r="A58" s="47" t="s">
        <v>655</v>
      </c>
      <c r="B58" s="47"/>
      <c r="C58" s="47"/>
      <c r="D58" s="47"/>
      <c r="E58" s="47"/>
      <c r="F58" s="47"/>
      <c r="G58" s="47"/>
      <c r="H58" s="47"/>
      <c r="I58" s="194" t="s">
        <v>657</v>
      </c>
      <c r="J58" s="48">
        <v>10000</v>
      </c>
      <c r="K58" s="48">
        <v>40000</v>
      </c>
      <c r="L58" s="48">
        <f>+K58-J58</f>
        <v>30000</v>
      </c>
      <c r="M58" s="51"/>
      <c r="N58" s="46"/>
      <c r="O58" s="47"/>
      <c r="P58" s="47"/>
      <c r="Q58" s="47"/>
      <c r="R58" s="47"/>
      <c r="S58" s="47"/>
      <c r="T58" s="47"/>
      <c r="U58" s="47"/>
    </row>
    <row r="59" spans="1:21" s="42" customFormat="1" x14ac:dyDescent="0.25">
      <c r="A59" s="47" t="s">
        <v>101</v>
      </c>
      <c r="B59" s="47"/>
      <c r="C59" s="47"/>
      <c r="D59" s="47"/>
      <c r="E59" s="47"/>
      <c r="F59" s="47"/>
      <c r="G59" s="47"/>
      <c r="H59" s="47"/>
      <c r="I59" s="47"/>
      <c r="J59" s="48">
        <v>80000</v>
      </c>
      <c r="K59" s="48">
        <v>0</v>
      </c>
      <c r="L59" s="48">
        <f>+J59-K59</f>
        <v>80000</v>
      </c>
      <c r="M59" s="51"/>
      <c r="N59" s="46"/>
      <c r="O59" s="47"/>
      <c r="P59" s="47"/>
      <c r="Q59" s="47"/>
      <c r="R59" s="47"/>
      <c r="S59" s="47"/>
      <c r="T59" s="47"/>
      <c r="U59" s="47"/>
    </row>
    <row r="60" spans="1:21" x14ac:dyDescent="0.25">
      <c r="A60" s="281"/>
      <c r="B60" s="281"/>
      <c r="C60" s="281"/>
      <c r="D60" s="281"/>
      <c r="E60" s="281"/>
      <c r="F60" s="281"/>
      <c r="G60" s="281"/>
      <c r="H60" s="281"/>
      <c r="I60" s="281"/>
      <c r="J60" s="279"/>
      <c r="K60" s="279"/>
      <c r="L60" s="279">
        <f>SUM(L57:L59)</f>
        <v>120000</v>
      </c>
      <c r="M60" s="282"/>
      <c r="N60" s="72"/>
      <c r="O60" s="47"/>
      <c r="P60" s="47"/>
      <c r="Q60" s="47"/>
      <c r="R60" s="47"/>
      <c r="S60" s="47"/>
      <c r="T60" s="47"/>
      <c r="U60" s="47"/>
    </row>
    <row r="61" spans="1:21" x14ac:dyDescent="0.25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51"/>
      <c r="N61" s="72"/>
      <c r="O61" s="47"/>
      <c r="P61" s="47"/>
      <c r="Q61" s="47"/>
      <c r="R61" s="47"/>
      <c r="S61" s="47"/>
      <c r="T61" s="47"/>
      <c r="U61" s="47"/>
    </row>
    <row r="62" spans="1:21" x14ac:dyDescent="0.25">
      <c r="A62" s="403" t="s">
        <v>804</v>
      </c>
      <c r="B62" s="403"/>
      <c r="C62" s="403"/>
      <c r="D62" s="403"/>
      <c r="E62" s="403"/>
      <c r="F62" s="403"/>
      <c r="G62" s="403"/>
      <c r="H62" s="403"/>
      <c r="I62" s="403"/>
      <c r="J62" s="403"/>
      <c r="K62" s="403"/>
      <c r="L62" s="403"/>
      <c r="M62" s="403"/>
      <c r="N62" s="72"/>
    </row>
    <row r="63" spans="1:21" x14ac:dyDescent="0.25">
      <c r="A63" s="278" t="s">
        <v>370</v>
      </c>
      <c r="B63" s="281"/>
      <c r="C63" s="281"/>
      <c r="D63" s="281"/>
      <c r="E63" s="281"/>
      <c r="F63" s="281"/>
      <c r="G63" s="281"/>
      <c r="H63" s="282"/>
      <c r="I63" s="282"/>
      <c r="J63" s="282"/>
      <c r="K63" s="282"/>
      <c r="L63" s="282"/>
      <c r="M63" s="282"/>
      <c r="N63" s="72"/>
      <c r="O63" s="47"/>
      <c r="P63" s="47"/>
      <c r="Q63" s="47"/>
      <c r="R63" s="47"/>
      <c r="S63" s="47"/>
      <c r="T63" s="47"/>
      <c r="U63" s="47"/>
    </row>
    <row r="64" spans="1:21" x14ac:dyDescent="0.25">
      <c r="A64" s="47"/>
      <c r="B64" s="47"/>
      <c r="C64" s="47"/>
      <c r="D64" s="47"/>
      <c r="E64" s="47"/>
      <c r="F64" s="47"/>
      <c r="G64" s="47"/>
      <c r="H64" s="47"/>
      <c r="I64" s="71" t="s">
        <v>107</v>
      </c>
      <c r="J64" s="71" t="s">
        <v>107</v>
      </c>
      <c r="K64" s="51"/>
      <c r="L64" s="71"/>
      <c r="M64" s="51"/>
      <c r="N64" s="72"/>
      <c r="O64" s="47"/>
      <c r="P64" s="47"/>
      <c r="Q64" s="47"/>
      <c r="R64" s="47"/>
      <c r="S64" s="47"/>
      <c r="T64" s="47"/>
      <c r="U64" s="47"/>
    </row>
    <row r="65" spans="1:21" x14ac:dyDescent="0.25">
      <c r="A65" s="47"/>
      <c r="B65" s="47"/>
      <c r="C65" s="47"/>
      <c r="D65" s="47"/>
      <c r="E65" s="47"/>
      <c r="F65" s="47"/>
      <c r="G65" s="47"/>
      <c r="H65" s="47"/>
      <c r="I65" s="71" t="s">
        <v>110</v>
      </c>
      <c r="J65" s="71" t="s">
        <v>78</v>
      </c>
      <c r="K65" s="71" t="s">
        <v>111</v>
      </c>
      <c r="L65" s="71" t="s">
        <v>113</v>
      </c>
      <c r="M65" s="51"/>
      <c r="N65" s="72"/>
      <c r="O65" s="47"/>
      <c r="P65" s="47"/>
      <c r="Q65" s="47"/>
      <c r="R65" s="47"/>
      <c r="S65" s="47"/>
      <c r="T65" s="47"/>
      <c r="U65" s="47"/>
    </row>
    <row r="66" spans="1:21" x14ac:dyDescent="0.25">
      <c r="A66" s="47"/>
      <c r="B66" s="47"/>
      <c r="C66" s="47"/>
      <c r="D66" s="47"/>
      <c r="E66" s="47"/>
      <c r="F66" s="47"/>
      <c r="G66" s="47"/>
      <c r="H66" s="47"/>
      <c r="I66" s="71" t="s">
        <v>91</v>
      </c>
      <c r="J66" s="71" t="s">
        <v>91</v>
      </c>
      <c r="K66" s="71" t="s">
        <v>91</v>
      </c>
      <c r="L66" s="71" t="s">
        <v>91</v>
      </c>
      <c r="M66" s="51"/>
      <c r="N66" s="72"/>
      <c r="O66" s="47"/>
      <c r="P66" s="47"/>
      <c r="Q66" s="47"/>
      <c r="R66" s="47"/>
      <c r="S66" s="47"/>
      <c r="T66" s="47"/>
      <c r="U66" s="47"/>
    </row>
    <row r="67" spans="1:21" x14ac:dyDescent="0.25">
      <c r="A67" s="47" t="s">
        <v>100</v>
      </c>
      <c r="B67" s="47"/>
      <c r="C67" s="47"/>
      <c r="D67" s="47"/>
      <c r="E67" s="47"/>
      <c r="F67" s="47"/>
      <c r="G67" s="47"/>
      <c r="H67" s="47"/>
      <c r="I67" s="48">
        <f t="shared" ref="I67:J69" si="0">+J57</f>
        <v>20000</v>
      </c>
      <c r="J67" s="48">
        <f t="shared" si="0"/>
        <v>30000</v>
      </c>
      <c r="K67" s="48">
        <f>+J67-I67</f>
        <v>10000</v>
      </c>
      <c r="L67" s="48">
        <f>+K67*30%</f>
        <v>3000</v>
      </c>
      <c r="M67" s="51"/>
      <c r="N67" s="72"/>
      <c r="O67" s="47"/>
      <c r="P67" s="47"/>
      <c r="Q67" s="47"/>
      <c r="R67" s="47"/>
      <c r="S67" s="47"/>
      <c r="T67" s="47"/>
      <c r="U67" s="47"/>
    </row>
    <row r="68" spans="1:21" x14ac:dyDescent="0.25">
      <c r="A68" s="47" t="s">
        <v>4</v>
      </c>
      <c r="B68" s="47"/>
      <c r="C68" s="47"/>
      <c r="D68" s="47"/>
      <c r="E68" s="47"/>
      <c r="F68" s="47"/>
      <c r="G68" s="47"/>
      <c r="H68" s="47"/>
      <c r="I68" s="48">
        <f t="shared" si="0"/>
        <v>10000</v>
      </c>
      <c r="J68" s="48">
        <f t="shared" si="0"/>
        <v>40000</v>
      </c>
      <c r="K68" s="48">
        <f>+J68-I68</f>
        <v>30000</v>
      </c>
      <c r="L68" s="48">
        <f>+K68*30%</f>
        <v>9000</v>
      </c>
      <c r="M68" s="51"/>
      <c r="N68" s="72"/>
      <c r="O68" s="47"/>
      <c r="P68" s="47"/>
      <c r="Q68" s="47"/>
      <c r="R68" s="47"/>
      <c r="S68" s="47"/>
      <c r="T68" s="47"/>
      <c r="U68" s="47"/>
    </row>
    <row r="69" spans="1:21" x14ac:dyDescent="0.25">
      <c r="A69" s="47" t="s">
        <v>101</v>
      </c>
      <c r="B69" s="47"/>
      <c r="C69" s="47"/>
      <c r="D69" s="47"/>
      <c r="E69" s="47"/>
      <c r="F69" s="47"/>
      <c r="G69" s="47"/>
      <c r="H69" s="47"/>
      <c r="I69" s="48">
        <f t="shared" si="0"/>
        <v>80000</v>
      </c>
      <c r="J69" s="48">
        <f t="shared" si="0"/>
        <v>0</v>
      </c>
      <c r="K69" s="48">
        <f>+I69-J69</f>
        <v>80000</v>
      </c>
      <c r="L69" s="48">
        <f>+K69*30%</f>
        <v>24000</v>
      </c>
      <c r="M69" s="51"/>
      <c r="N69" s="72"/>
      <c r="O69" s="47"/>
      <c r="P69" s="47"/>
      <c r="Q69" s="47"/>
      <c r="R69" s="47"/>
      <c r="S69" s="47"/>
      <c r="T69" s="47"/>
      <c r="U69" s="47"/>
    </row>
    <row r="70" spans="1:21" x14ac:dyDescent="0.25">
      <c r="A70" s="281"/>
      <c r="B70" s="281"/>
      <c r="C70" s="281"/>
      <c r="D70" s="281"/>
      <c r="E70" s="281"/>
      <c r="F70" s="281"/>
      <c r="G70" s="281"/>
      <c r="H70" s="281"/>
      <c r="I70" s="279"/>
      <c r="J70" s="279"/>
      <c r="K70" s="279">
        <f>SUM(K67:K69)</f>
        <v>120000</v>
      </c>
      <c r="L70" s="279">
        <f>SUM(L67:L69)</f>
        <v>36000</v>
      </c>
      <c r="M70" s="282"/>
      <c r="N70" s="72"/>
      <c r="O70" s="47"/>
      <c r="P70" s="47"/>
      <c r="Q70" s="47"/>
      <c r="R70" s="47"/>
      <c r="S70" s="47"/>
      <c r="T70" s="47"/>
      <c r="U70" s="47"/>
    </row>
    <row r="71" spans="1:21" x14ac:dyDescent="0.25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51"/>
      <c r="N71" s="72"/>
      <c r="O71" s="47"/>
      <c r="P71" s="47"/>
      <c r="Q71" s="47"/>
      <c r="R71" s="47"/>
      <c r="S71" s="47"/>
      <c r="T71" s="47"/>
      <c r="U71" s="47"/>
    </row>
    <row r="72" spans="1:21" x14ac:dyDescent="0.25">
      <c r="A72" s="278" t="s">
        <v>371</v>
      </c>
      <c r="B72" s="278"/>
      <c r="C72" s="278"/>
      <c r="D72" s="278"/>
      <c r="E72" s="278"/>
      <c r="F72" s="278"/>
      <c r="G72" s="278"/>
      <c r="H72" s="283"/>
      <c r="I72" s="283"/>
      <c r="J72" s="283"/>
      <c r="K72" s="283"/>
      <c r="L72" s="283"/>
      <c r="M72" s="282"/>
      <c r="N72" s="72"/>
      <c r="O72" s="47"/>
      <c r="P72" s="47"/>
      <c r="Q72" s="47"/>
      <c r="R72" s="47"/>
      <c r="S72" s="47"/>
      <c r="T72" s="47"/>
      <c r="U72" s="47"/>
    </row>
    <row r="73" spans="1:21" x14ac:dyDescent="0.25">
      <c r="A73" s="47"/>
      <c r="B73" s="47"/>
      <c r="C73" s="47"/>
      <c r="D73" s="47"/>
      <c r="E73" s="47"/>
      <c r="F73" s="47"/>
      <c r="G73" s="47"/>
      <c r="H73" s="47"/>
      <c r="I73" s="71" t="s">
        <v>68</v>
      </c>
      <c r="J73" s="71" t="s">
        <v>28</v>
      </c>
      <c r="K73" s="71"/>
      <c r="L73" s="71"/>
      <c r="M73" s="51"/>
      <c r="N73" s="72"/>
      <c r="O73" s="47"/>
      <c r="P73" s="47"/>
      <c r="Q73" s="47"/>
      <c r="R73" s="47"/>
      <c r="S73" s="47"/>
      <c r="T73" s="47"/>
      <c r="U73" s="47"/>
    </row>
    <row r="74" spans="1:21" x14ac:dyDescent="0.25">
      <c r="A74" s="47"/>
      <c r="B74" s="47"/>
      <c r="C74" s="47"/>
      <c r="D74" s="47"/>
      <c r="E74" s="47"/>
      <c r="F74" s="47"/>
      <c r="G74" s="47"/>
      <c r="H74" s="47"/>
      <c r="I74" s="71" t="s">
        <v>91</v>
      </c>
      <c r="J74" s="71" t="s">
        <v>91</v>
      </c>
      <c r="K74" s="71"/>
      <c r="L74" s="71"/>
      <c r="M74" s="51"/>
      <c r="N74" s="72"/>
      <c r="O74" s="47"/>
      <c r="P74" s="47"/>
      <c r="Q74" s="47"/>
      <c r="R74" s="47"/>
      <c r="S74" s="47"/>
      <c r="T74" s="47"/>
      <c r="U74" s="47"/>
    </row>
    <row r="75" spans="1:21" x14ac:dyDescent="0.25">
      <c r="A75" s="47"/>
      <c r="B75" s="47" t="s">
        <v>202</v>
      </c>
      <c r="C75" s="47"/>
      <c r="D75" s="47"/>
      <c r="E75" s="47"/>
      <c r="F75" s="47"/>
      <c r="G75" s="47"/>
      <c r="H75" s="47"/>
      <c r="I75" s="48">
        <f>+L70</f>
        <v>36000</v>
      </c>
      <c r="J75" s="48"/>
      <c r="K75" s="48"/>
      <c r="L75" s="48"/>
      <c r="M75" s="51"/>
      <c r="N75" s="72"/>
      <c r="O75" s="47"/>
      <c r="P75" s="47"/>
      <c r="Q75" s="47"/>
      <c r="R75" s="47"/>
      <c r="S75" s="47"/>
      <c r="T75" s="47"/>
      <c r="U75" s="47"/>
    </row>
    <row r="76" spans="1:21" x14ac:dyDescent="0.25">
      <c r="A76" s="47"/>
      <c r="B76" s="47" t="s">
        <v>270</v>
      </c>
      <c r="C76" s="47"/>
      <c r="D76" s="47"/>
      <c r="E76" s="47"/>
      <c r="F76" s="47"/>
      <c r="G76" s="47"/>
      <c r="H76" s="47"/>
      <c r="I76" s="48"/>
      <c r="J76" s="48">
        <f>+I75</f>
        <v>36000</v>
      </c>
      <c r="K76" s="48"/>
      <c r="L76" s="48"/>
      <c r="M76" s="51"/>
      <c r="N76" s="72"/>
      <c r="O76" s="47"/>
      <c r="P76" s="47"/>
      <c r="Q76" s="47"/>
      <c r="R76" s="47"/>
      <c r="S76" s="47"/>
      <c r="T76" s="47"/>
      <c r="U76" s="47"/>
    </row>
    <row r="77" spans="1:21" x14ac:dyDescent="0.25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51"/>
      <c r="N77" s="72"/>
      <c r="O77" s="47"/>
      <c r="P77" s="47"/>
      <c r="Q77" s="47"/>
      <c r="R77" s="47"/>
      <c r="S77" s="47"/>
      <c r="T77" s="47"/>
      <c r="U77" s="47"/>
    </row>
    <row r="78" spans="1:21" x14ac:dyDescent="0.25">
      <c r="A78" s="403" t="s">
        <v>805</v>
      </c>
      <c r="B78" s="403"/>
      <c r="C78" s="403"/>
      <c r="D78" s="403"/>
      <c r="E78" s="403"/>
      <c r="F78" s="403"/>
      <c r="G78" s="403"/>
      <c r="H78" s="403"/>
      <c r="I78" s="403"/>
      <c r="J78" s="403"/>
      <c r="K78" s="403"/>
      <c r="L78" s="403"/>
      <c r="M78" s="403"/>
      <c r="N78" s="72"/>
    </row>
    <row r="79" spans="1:21" x14ac:dyDescent="0.25">
      <c r="A79" s="278"/>
      <c r="B79" s="278"/>
      <c r="C79" s="278" t="s">
        <v>925</v>
      </c>
      <c r="D79" s="278"/>
      <c r="E79" s="278"/>
      <c r="F79" s="278"/>
      <c r="G79" s="278"/>
      <c r="H79" s="283"/>
      <c r="I79" s="283"/>
      <c r="J79" s="283"/>
      <c r="K79" s="283"/>
      <c r="L79" s="283"/>
      <c r="M79" s="282"/>
      <c r="N79" s="72"/>
      <c r="O79" s="47"/>
      <c r="P79" s="47"/>
      <c r="Q79" s="47"/>
      <c r="R79" s="47"/>
      <c r="S79" s="47"/>
      <c r="T79" s="47"/>
      <c r="U79" s="47"/>
    </row>
    <row r="80" spans="1:21" x14ac:dyDescent="0.25">
      <c r="A80" s="47"/>
      <c r="B80" s="47"/>
      <c r="C80" s="47"/>
      <c r="D80" s="47"/>
      <c r="E80" s="47"/>
      <c r="F80" s="47"/>
      <c r="G80" s="47"/>
      <c r="H80" s="47"/>
      <c r="I80" s="71" t="s">
        <v>107</v>
      </c>
      <c r="J80" s="71" t="s">
        <v>107</v>
      </c>
      <c r="K80" s="51"/>
      <c r="L80" s="71"/>
      <c r="M80" s="51"/>
      <c r="N80" s="72"/>
      <c r="O80" s="47"/>
      <c r="P80" s="47"/>
      <c r="Q80" s="47"/>
      <c r="R80" s="47"/>
      <c r="S80" s="47"/>
      <c r="T80" s="47"/>
      <c r="U80" s="47"/>
    </row>
    <row r="81" spans="1:21" x14ac:dyDescent="0.25">
      <c r="A81" s="47"/>
      <c r="B81" s="47"/>
      <c r="C81" s="47"/>
      <c r="D81" s="47"/>
      <c r="E81" s="47"/>
      <c r="F81" s="47"/>
      <c r="G81" s="47"/>
      <c r="H81" s="47"/>
      <c r="I81" s="71" t="s">
        <v>110</v>
      </c>
      <c r="J81" s="71" t="s">
        <v>78</v>
      </c>
      <c r="K81" s="71" t="s">
        <v>111</v>
      </c>
      <c r="L81" s="71" t="s">
        <v>113</v>
      </c>
      <c r="M81" s="51"/>
      <c r="N81" s="72"/>
      <c r="O81" s="47"/>
      <c r="P81" s="47"/>
      <c r="Q81" s="47"/>
      <c r="R81" s="47"/>
      <c r="S81" s="47"/>
      <c r="T81" s="47"/>
      <c r="U81" s="47"/>
    </row>
    <row r="82" spans="1:21" x14ac:dyDescent="0.25">
      <c r="A82" s="47"/>
      <c r="B82" s="47"/>
      <c r="C82" s="47"/>
      <c r="D82" s="47"/>
      <c r="E82" s="47"/>
      <c r="F82" s="47"/>
      <c r="G82" s="47"/>
      <c r="H82" s="47"/>
      <c r="I82" s="71" t="s">
        <v>91</v>
      </c>
      <c r="J82" s="71" t="s">
        <v>91</v>
      </c>
      <c r="K82" s="71" t="s">
        <v>91</v>
      </c>
      <c r="L82" s="71" t="s">
        <v>91</v>
      </c>
      <c r="M82" s="51"/>
      <c r="N82" s="72"/>
      <c r="O82" s="47"/>
      <c r="P82" s="47"/>
      <c r="Q82" s="47"/>
      <c r="R82" s="47"/>
      <c r="S82" s="47"/>
      <c r="T82" s="47"/>
      <c r="U82" s="47"/>
    </row>
    <row r="83" spans="1:21" x14ac:dyDescent="0.25">
      <c r="A83" s="47"/>
      <c r="B83" s="47"/>
      <c r="C83" s="47" t="s">
        <v>100</v>
      </c>
      <c r="D83" s="47"/>
      <c r="E83" s="47"/>
      <c r="F83" s="47"/>
      <c r="G83" s="47"/>
      <c r="H83" s="47"/>
      <c r="I83" s="48">
        <f>+I67</f>
        <v>20000</v>
      </c>
      <c r="J83" s="48">
        <f>+J67</f>
        <v>30000</v>
      </c>
      <c r="K83" s="48">
        <f>+J83-I83</f>
        <v>10000</v>
      </c>
      <c r="L83" s="48">
        <f>+K83*30%</f>
        <v>3000</v>
      </c>
      <c r="M83" s="51"/>
      <c r="N83" s="72"/>
      <c r="O83" s="47"/>
      <c r="P83" s="47"/>
      <c r="Q83" s="47"/>
      <c r="R83" s="47"/>
      <c r="S83" s="47"/>
      <c r="T83" s="47"/>
      <c r="U83" s="47"/>
    </row>
    <row r="84" spans="1:21" x14ac:dyDescent="0.25">
      <c r="A84" s="47"/>
      <c r="B84" s="47"/>
      <c r="C84" s="47" t="s">
        <v>4</v>
      </c>
      <c r="D84" s="47"/>
      <c r="E84" s="47"/>
      <c r="F84" s="47"/>
      <c r="G84" s="47"/>
      <c r="H84" s="47"/>
      <c r="I84" s="48">
        <f t="shared" ref="I84" si="1">+I68</f>
        <v>10000</v>
      </c>
      <c r="J84" s="48">
        <f>+J68</f>
        <v>40000</v>
      </c>
      <c r="K84" s="48">
        <f>+J84-I84</f>
        <v>30000</v>
      </c>
      <c r="L84" s="48">
        <f>+K84*30%</f>
        <v>9000</v>
      </c>
      <c r="M84" s="51"/>
      <c r="N84" s="72"/>
      <c r="O84" s="47"/>
      <c r="P84" s="47"/>
      <c r="Q84" s="47"/>
      <c r="R84" s="47"/>
      <c r="S84" s="47"/>
      <c r="T84" s="47"/>
      <c r="U84" s="47"/>
    </row>
    <row r="85" spans="1:21" x14ac:dyDescent="0.25">
      <c r="A85" s="281"/>
      <c r="B85" s="281"/>
      <c r="C85" s="281"/>
      <c r="D85" s="281"/>
      <c r="E85" s="281"/>
      <c r="F85" s="281"/>
      <c r="G85" s="281"/>
      <c r="H85" s="281"/>
      <c r="I85" s="279"/>
      <c r="J85" s="279"/>
      <c r="K85" s="279">
        <f>SUM(K83:K84)</f>
        <v>40000</v>
      </c>
      <c r="L85" s="279">
        <f>SUM(L83:L84)</f>
        <v>12000</v>
      </c>
      <c r="M85" s="282"/>
      <c r="N85" s="72"/>
      <c r="O85" s="47"/>
      <c r="P85" s="47"/>
      <c r="Q85" s="47"/>
      <c r="R85" s="47"/>
      <c r="S85" s="47"/>
      <c r="T85" s="47"/>
      <c r="U85" s="47"/>
    </row>
    <row r="86" spans="1:21" x14ac:dyDescent="0.25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51"/>
      <c r="N86" s="72"/>
      <c r="O86" s="47"/>
      <c r="P86" s="47"/>
      <c r="Q86" s="47"/>
      <c r="R86" s="47"/>
      <c r="S86" s="47"/>
      <c r="T86" s="47"/>
      <c r="U86" s="47"/>
    </row>
    <row r="87" spans="1:21" x14ac:dyDescent="0.25">
      <c r="A87" s="281"/>
      <c r="B87" s="281" t="s">
        <v>926</v>
      </c>
      <c r="C87" s="278"/>
      <c r="D87" s="278"/>
      <c r="E87" s="278"/>
      <c r="F87" s="278"/>
      <c r="G87" s="278"/>
      <c r="H87" s="283"/>
      <c r="I87" s="283"/>
      <c r="J87" s="283"/>
      <c r="K87" s="283"/>
      <c r="L87" s="283"/>
      <c r="M87" s="282"/>
      <c r="N87" s="72"/>
      <c r="O87" s="47"/>
      <c r="P87" s="47"/>
      <c r="Q87" s="47"/>
      <c r="R87" s="47"/>
      <c r="S87" s="47"/>
      <c r="T87" s="47"/>
      <c r="U87" s="47"/>
    </row>
    <row r="88" spans="1:21" x14ac:dyDescent="0.25">
      <c r="A88" s="47"/>
      <c r="B88" s="47"/>
      <c r="C88" s="47"/>
      <c r="D88" s="47"/>
      <c r="E88" s="47"/>
      <c r="F88" s="47"/>
      <c r="G88" s="47"/>
      <c r="H88" s="47"/>
      <c r="I88" s="47"/>
      <c r="J88" s="71" t="s">
        <v>68</v>
      </c>
      <c r="K88" s="71" t="s">
        <v>28</v>
      </c>
      <c r="L88" s="71"/>
      <c r="M88" s="51"/>
      <c r="N88" s="72"/>
      <c r="O88" s="47"/>
      <c r="P88" s="47"/>
      <c r="Q88" s="47"/>
      <c r="R88" s="47"/>
      <c r="S88" s="47"/>
      <c r="T88" s="47"/>
      <c r="U88" s="47"/>
    </row>
    <row r="89" spans="1:21" x14ac:dyDescent="0.25">
      <c r="A89" s="47"/>
      <c r="B89" s="47"/>
      <c r="C89" s="47"/>
      <c r="D89" s="47"/>
      <c r="E89" s="47"/>
      <c r="F89" s="47"/>
      <c r="G89" s="47"/>
      <c r="H89" s="47"/>
      <c r="I89" s="47"/>
      <c r="J89" s="71" t="s">
        <v>91</v>
      </c>
      <c r="K89" s="71" t="s">
        <v>91</v>
      </c>
      <c r="L89" s="71"/>
      <c r="M89" s="51"/>
      <c r="N89" s="72"/>
      <c r="O89" s="47"/>
      <c r="P89" s="47"/>
      <c r="Q89" s="47"/>
      <c r="R89" s="47"/>
      <c r="S89" s="47"/>
      <c r="T89" s="47"/>
      <c r="U89" s="47"/>
    </row>
    <row r="90" spans="1:21" x14ac:dyDescent="0.25">
      <c r="A90" s="47"/>
      <c r="B90" s="47" t="s">
        <v>202</v>
      </c>
      <c r="C90" s="47"/>
      <c r="D90" s="47"/>
      <c r="E90" s="47"/>
      <c r="F90" s="47"/>
      <c r="G90" s="47"/>
      <c r="H90" s="47"/>
      <c r="I90" s="47"/>
      <c r="J90" s="48">
        <f>+L85</f>
        <v>12000</v>
      </c>
      <c r="K90" s="48"/>
      <c r="L90" s="48"/>
      <c r="M90" s="51"/>
      <c r="N90" s="72"/>
      <c r="O90" s="47"/>
      <c r="P90" s="47"/>
      <c r="Q90" s="47"/>
      <c r="R90" s="47"/>
      <c r="S90" s="47"/>
      <c r="T90" s="47"/>
      <c r="U90" s="47"/>
    </row>
    <row r="91" spans="1:21" x14ac:dyDescent="0.25">
      <c r="A91" s="47"/>
      <c r="B91" s="47" t="s">
        <v>270</v>
      </c>
      <c r="C91" s="47"/>
      <c r="D91" s="47"/>
      <c r="E91" s="47"/>
      <c r="F91" s="47"/>
      <c r="G91" s="47"/>
      <c r="H91" s="47"/>
      <c r="I91" s="47"/>
      <c r="J91" s="48"/>
      <c r="K91" s="48">
        <f>+J90</f>
        <v>12000</v>
      </c>
      <c r="L91" s="48"/>
      <c r="M91" s="51"/>
      <c r="N91" s="72"/>
      <c r="O91" s="47"/>
      <c r="P91" s="47"/>
      <c r="Q91" s="47"/>
      <c r="R91" s="47"/>
      <c r="S91" s="47"/>
      <c r="T91" s="47"/>
      <c r="U91" s="47"/>
    </row>
    <row r="92" spans="1:21" x14ac:dyDescent="0.25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51"/>
      <c r="N92" s="72"/>
      <c r="O92" s="47"/>
      <c r="P92" s="47"/>
      <c r="Q92" s="47"/>
      <c r="R92" s="47"/>
      <c r="S92" s="47"/>
      <c r="T92" s="47"/>
      <c r="U92" s="47"/>
    </row>
    <row r="93" spans="1:21" x14ac:dyDescent="0.25">
      <c r="A93" s="281" t="s">
        <v>927</v>
      </c>
      <c r="B93" s="281"/>
      <c r="C93" s="281"/>
      <c r="D93" s="281"/>
      <c r="E93" s="281"/>
      <c r="F93" s="281"/>
      <c r="G93" s="281"/>
      <c r="H93" s="282"/>
      <c r="I93" s="282"/>
      <c r="J93" s="282"/>
      <c r="K93" s="282"/>
      <c r="L93" s="282"/>
      <c r="M93" s="282"/>
      <c r="N93" s="72"/>
      <c r="O93" s="47"/>
      <c r="P93" s="47"/>
      <c r="Q93" s="47"/>
      <c r="R93" s="47"/>
      <c r="S93" s="47"/>
      <c r="T93" s="47"/>
      <c r="U93" s="47"/>
    </row>
    <row r="94" spans="1:21" x14ac:dyDescent="0.25">
      <c r="A94" s="47"/>
      <c r="B94" s="47"/>
      <c r="C94" s="47"/>
      <c r="D94" s="47"/>
      <c r="E94" s="47"/>
      <c r="F94" s="47"/>
      <c r="G94" s="47"/>
      <c r="H94" s="47"/>
      <c r="I94" s="71" t="s">
        <v>107</v>
      </c>
      <c r="J94" s="71" t="s">
        <v>107</v>
      </c>
      <c r="K94" s="51"/>
      <c r="L94" s="71"/>
      <c r="M94" s="51"/>
      <c r="N94" s="72"/>
      <c r="O94" s="47"/>
      <c r="P94" s="47"/>
      <c r="Q94" s="47"/>
      <c r="R94" s="47"/>
      <c r="S94" s="47"/>
      <c r="T94" s="47"/>
      <c r="U94" s="47"/>
    </row>
    <row r="95" spans="1:21" x14ac:dyDescent="0.25">
      <c r="A95" s="47"/>
      <c r="B95" s="47"/>
      <c r="C95" s="47"/>
      <c r="D95" s="47"/>
      <c r="E95" s="47"/>
      <c r="F95" s="47"/>
      <c r="G95" s="47"/>
      <c r="H95" s="47"/>
      <c r="I95" s="71" t="s">
        <v>110</v>
      </c>
      <c r="J95" s="71" t="s">
        <v>78</v>
      </c>
      <c r="K95" s="71" t="s">
        <v>111</v>
      </c>
      <c r="L95" s="71" t="s">
        <v>113</v>
      </c>
      <c r="M95" s="51"/>
      <c r="N95" s="72"/>
      <c r="O95" s="47"/>
      <c r="P95" s="47"/>
      <c r="Q95" s="47"/>
      <c r="R95" s="47"/>
      <c r="S95" s="47"/>
      <c r="T95" s="47"/>
      <c r="U95" s="47"/>
    </row>
    <row r="96" spans="1:21" x14ac:dyDescent="0.25">
      <c r="A96" s="47"/>
      <c r="B96" s="47"/>
      <c r="C96" s="47"/>
      <c r="D96" s="47"/>
      <c r="E96" s="47"/>
      <c r="F96" s="47"/>
      <c r="G96" s="47"/>
      <c r="H96" s="47"/>
      <c r="I96" s="71" t="s">
        <v>91</v>
      </c>
      <c r="J96" s="71" t="s">
        <v>91</v>
      </c>
      <c r="K96" s="71" t="s">
        <v>91</v>
      </c>
      <c r="L96" s="71" t="s">
        <v>91</v>
      </c>
      <c r="M96" s="51"/>
      <c r="N96" s="72"/>
      <c r="O96" s="47"/>
      <c r="P96" s="47"/>
      <c r="Q96" s="47"/>
      <c r="R96" s="47"/>
      <c r="S96" s="47"/>
      <c r="T96" s="47"/>
      <c r="U96" s="47"/>
    </row>
    <row r="97" spans="1:21" x14ac:dyDescent="0.25">
      <c r="A97" s="47"/>
      <c r="B97" s="51" t="s">
        <v>658</v>
      </c>
      <c r="C97" s="47" t="s">
        <v>100</v>
      </c>
      <c r="D97" s="47"/>
      <c r="E97" s="47"/>
      <c r="F97" s="47"/>
      <c r="G97" s="47"/>
      <c r="H97" s="47"/>
      <c r="I97" s="48">
        <f>+I67</f>
        <v>20000</v>
      </c>
      <c r="J97" s="48">
        <f>+J67</f>
        <v>30000</v>
      </c>
      <c r="K97" s="48">
        <f>+J97-I97</f>
        <v>10000</v>
      </c>
      <c r="L97" s="48">
        <f>+K97*30%</f>
        <v>3000</v>
      </c>
      <c r="M97" s="51"/>
      <c r="N97" s="72"/>
      <c r="O97" s="47"/>
      <c r="P97" s="47"/>
      <c r="Q97" s="47"/>
      <c r="R97" s="47"/>
      <c r="S97" s="47"/>
      <c r="T97" s="47"/>
      <c r="U97" s="47"/>
    </row>
    <row r="98" spans="1:21" x14ac:dyDescent="0.25">
      <c r="A98" s="47"/>
      <c r="B98" s="51" t="s">
        <v>658</v>
      </c>
      <c r="C98" s="47" t="s">
        <v>4</v>
      </c>
      <c r="D98" s="47"/>
      <c r="E98" s="47"/>
      <c r="F98" s="47"/>
      <c r="G98" s="47"/>
      <c r="H98" s="47"/>
      <c r="I98" s="48">
        <f t="shared" ref="I98" si="2">+I68</f>
        <v>10000</v>
      </c>
      <c r="J98" s="48">
        <f>+J68</f>
        <v>40000</v>
      </c>
      <c r="K98" s="48">
        <f>+J98-I98</f>
        <v>30000</v>
      </c>
      <c r="L98" s="48">
        <f>+K98*30%</f>
        <v>9000</v>
      </c>
      <c r="M98" s="51"/>
      <c r="N98" s="72"/>
      <c r="O98" s="47"/>
      <c r="P98" s="47"/>
      <c r="Q98" s="47"/>
      <c r="R98" s="47"/>
      <c r="S98" s="47"/>
      <c r="T98" s="47"/>
      <c r="U98" s="47"/>
    </row>
    <row r="99" spans="1:21" x14ac:dyDescent="0.25">
      <c r="A99" s="47"/>
      <c r="B99" s="47"/>
      <c r="C99" s="47" t="s">
        <v>101</v>
      </c>
      <c r="D99" s="47"/>
      <c r="E99" s="47"/>
      <c r="F99" s="47"/>
      <c r="G99" s="47"/>
      <c r="H99" s="47"/>
      <c r="I99" s="48">
        <f t="shared" ref="I99" si="3">+I69</f>
        <v>80000</v>
      </c>
      <c r="J99" s="48">
        <f>+J69</f>
        <v>0</v>
      </c>
      <c r="K99" s="48">
        <f>+I99-J99</f>
        <v>80000</v>
      </c>
      <c r="L99" s="48">
        <f>+K99*30%</f>
        <v>24000</v>
      </c>
      <c r="M99" s="51"/>
      <c r="N99" s="72"/>
      <c r="O99" s="47"/>
      <c r="P99" s="47"/>
      <c r="Q99" s="47"/>
      <c r="R99" s="47"/>
      <c r="S99" s="47"/>
      <c r="T99" s="47"/>
      <c r="U99" s="47"/>
    </row>
    <row r="100" spans="1:21" x14ac:dyDescent="0.25">
      <c r="A100" s="281"/>
      <c r="B100" s="281"/>
      <c r="C100" s="281"/>
      <c r="D100" s="281"/>
      <c r="E100" s="281"/>
      <c r="F100" s="281"/>
      <c r="G100" s="281"/>
      <c r="H100" s="281"/>
      <c r="I100" s="279"/>
      <c r="J100" s="279"/>
      <c r="K100" s="279">
        <f>SUM(K97:K99)</f>
        <v>120000</v>
      </c>
      <c r="L100" s="279">
        <f>SUM(L97:L99)</f>
        <v>36000</v>
      </c>
      <c r="M100" s="282"/>
      <c r="N100" s="72"/>
      <c r="O100" s="47"/>
      <c r="P100" s="47"/>
      <c r="Q100" s="47"/>
      <c r="R100" s="47"/>
      <c r="S100" s="47"/>
      <c r="T100" s="47"/>
      <c r="U100" s="47"/>
    </row>
    <row r="101" spans="1:21" x14ac:dyDescent="0.25">
      <c r="A101" s="47" t="s">
        <v>659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51"/>
      <c r="N101" s="72"/>
      <c r="O101" s="47"/>
      <c r="P101" s="47"/>
      <c r="Q101" s="47"/>
      <c r="R101" s="47"/>
      <c r="S101" s="47"/>
      <c r="T101" s="47"/>
      <c r="U101" s="47"/>
    </row>
    <row r="102" spans="1:21" x14ac:dyDescent="0.25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51"/>
      <c r="N102" s="72"/>
      <c r="O102" s="47"/>
      <c r="P102" s="47"/>
      <c r="Q102" s="47"/>
      <c r="R102" s="47"/>
      <c r="S102" s="47"/>
      <c r="T102" s="47"/>
      <c r="U102" s="47"/>
    </row>
    <row r="103" spans="1:21" x14ac:dyDescent="0.25">
      <c r="A103" s="281" t="s">
        <v>372</v>
      </c>
      <c r="B103" s="281"/>
      <c r="C103" s="281"/>
      <c r="D103" s="281"/>
      <c r="E103" s="281"/>
      <c r="F103" s="281"/>
      <c r="G103" s="281"/>
      <c r="H103" s="282"/>
      <c r="I103" s="282"/>
      <c r="J103" s="282"/>
      <c r="K103" s="282"/>
      <c r="L103" s="282"/>
      <c r="M103" s="282"/>
      <c r="N103" s="72"/>
      <c r="O103" s="47"/>
      <c r="P103" s="47"/>
      <c r="Q103" s="47"/>
      <c r="R103" s="47"/>
      <c r="S103" s="47"/>
      <c r="T103" s="47"/>
      <c r="U103" s="47"/>
    </row>
    <row r="104" spans="1:21" x14ac:dyDescent="0.25">
      <c r="A104" s="47"/>
      <c r="B104" s="47"/>
      <c r="C104" s="47"/>
      <c r="D104" s="47"/>
      <c r="E104" s="47"/>
      <c r="F104" s="47"/>
      <c r="G104" s="47"/>
      <c r="H104" s="47"/>
      <c r="I104" s="71" t="s">
        <v>68</v>
      </c>
      <c r="J104" s="71" t="s">
        <v>28</v>
      </c>
      <c r="K104" s="71"/>
      <c r="L104" s="71"/>
      <c r="M104" s="51"/>
      <c r="N104" s="72"/>
      <c r="O104" s="47"/>
      <c r="P104" s="47"/>
      <c r="Q104" s="47"/>
      <c r="R104" s="47"/>
      <c r="S104" s="47"/>
      <c r="T104" s="47"/>
      <c r="U104" s="47"/>
    </row>
    <row r="105" spans="1:21" x14ac:dyDescent="0.25">
      <c r="A105" s="47"/>
      <c r="B105" s="47"/>
      <c r="C105" s="47"/>
      <c r="D105" s="47"/>
      <c r="E105" s="47"/>
      <c r="F105" s="47"/>
      <c r="G105" s="47"/>
      <c r="H105" s="47"/>
      <c r="I105" s="71" t="s">
        <v>91</v>
      </c>
      <c r="J105" s="71" t="s">
        <v>91</v>
      </c>
      <c r="K105" s="71"/>
      <c r="L105" s="71"/>
      <c r="M105" s="51"/>
      <c r="N105" s="72"/>
      <c r="O105" s="47"/>
      <c r="P105" s="47"/>
      <c r="Q105" s="47"/>
      <c r="R105" s="47"/>
      <c r="S105" s="47"/>
      <c r="T105" s="47"/>
      <c r="U105" s="47"/>
    </row>
    <row r="106" spans="1:21" x14ac:dyDescent="0.25">
      <c r="A106" s="47"/>
      <c r="B106" s="47" t="s">
        <v>202</v>
      </c>
      <c r="C106" s="47"/>
      <c r="D106" s="47"/>
      <c r="E106" s="47"/>
      <c r="F106" s="47"/>
      <c r="G106" s="47"/>
      <c r="H106" s="47"/>
      <c r="I106" s="48">
        <f>+L100-J90</f>
        <v>24000</v>
      </c>
      <c r="J106" s="48"/>
      <c r="K106" s="48"/>
      <c r="L106" s="48"/>
      <c r="M106" s="51"/>
      <c r="N106" s="72"/>
      <c r="O106" s="47"/>
      <c r="P106" s="47"/>
      <c r="Q106" s="47"/>
      <c r="R106" s="47"/>
      <c r="S106" s="47"/>
      <c r="T106" s="47"/>
      <c r="U106" s="47"/>
    </row>
    <row r="107" spans="1:21" x14ac:dyDescent="0.25">
      <c r="A107" s="47"/>
      <c r="B107" s="47" t="s">
        <v>270</v>
      </c>
      <c r="C107" s="47"/>
      <c r="D107" s="47"/>
      <c r="E107" s="47"/>
      <c r="F107" s="47"/>
      <c r="G107" s="47"/>
      <c r="H107" s="47"/>
      <c r="I107" s="48"/>
      <c r="J107" s="48">
        <f>+I106</f>
        <v>24000</v>
      </c>
      <c r="K107" s="48" t="s">
        <v>373</v>
      </c>
      <c r="L107" s="48"/>
      <c r="M107" s="51"/>
      <c r="N107" s="72"/>
      <c r="O107" s="47"/>
      <c r="P107" s="47"/>
      <c r="Q107" s="47"/>
      <c r="R107" s="47"/>
      <c r="S107" s="47"/>
      <c r="T107" s="47"/>
      <c r="U107" s="47"/>
    </row>
    <row r="108" spans="1:21" x14ac:dyDescent="0.25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51"/>
      <c r="N108" s="72"/>
      <c r="O108" s="47"/>
      <c r="P108" s="47"/>
      <c r="Q108" s="47"/>
      <c r="R108" s="47"/>
      <c r="S108" s="47"/>
      <c r="T108" s="47"/>
      <c r="U108" s="47"/>
    </row>
    <row r="109" spans="1:21" x14ac:dyDescent="0.25">
      <c r="A109" s="403" t="s">
        <v>806</v>
      </c>
      <c r="B109" s="403"/>
      <c r="C109" s="403"/>
      <c r="D109" s="403"/>
      <c r="E109" s="403"/>
      <c r="F109" s="403"/>
      <c r="G109" s="403"/>
      <c r="H109" s="403"/>
      <c r="I109" s="403"/>
      <c r="J109" s="403"/>
      <c r="K109" s="403"/>
      <c r="L109" s="403"/>
      <c r="M109" s="403"/>
      <c r="N109" s="72"/>
    </row>
    <row r="110" spans="1:21" x14ac:dyDescent="0.25">
      <c r="A110" s="284"/>
      <c r="B110" s="284"/>
      <c r="C110" s="284"/>
      <c r="D110" s="284"/>
      <c r="E110" s="284"/>
      <c r="F110" s="284"/>
      <c r="G110" s="284"/>
      <c r="H110" s="284"/>
      <c r="I110" s="284" t="s">
        <v>107</v>
      </c>
      <c r="J110" s="284" t="s">
        <v>107</v>
      </c>
      <c r="K110" s="284"/>
      <c r="L110" s="284" t="s">
        <v>566</v>
      </c>
      <c r="M110" s="282"/>
      <c r="N110" s="72"/>
      <c r="O110" s="47"/>
      <c r="P110" s="47"/>
      <c r="Q110" s="47"/>
      <c r="R110" s="47"/>
      <c r="S110" s="47"/>
      <c r="T110" s="47"/>
      <c r="U110" s="47"/>
    </row>
    <row r="111" spans="1:21" x14ac:dyDescent="0.25">
      <c r="A111" s="284"/>
      <c r="B111" s="284"/>
      <c r="C111" s="284"/>
      <c r="D111" s="284"/>
      <c r="E111" s="284"/>
      <c r="F111" s="284"/>
      <c r="G111" s="284"/>
      <c r="H111" s="284"/>
      <c r="I111" s="284" t="s">
        <v>110</v>
      </c>
      <c r="J111" s="284" t="s">
        <v>78</v>
      </c>
      <c r="K111" s="284" t="s">
        <v>276</v>
      </c>
      <c r="L111" s="284" t="s">
        <v>565</v>
      </c>
      <c r="M111" s="282"/>
      <c r="N111" s="72"/>
      <c r="O111" s="47"/>
      <c r="P111" s="47"/>
      <c r="Q111" s="47"/>
      <c r="R111" s="47"/>
      <c r="S111" s="47"/>
      <c r="T111" s="47"/>
      <c r="U111" s="47"/>
    </row>
    <row r="112" spans="1:21" x14ac:dyDescent="0.25">
      <c r="A112" s="284"/>
      <c r="B112" s="284"/>
      <c r="C112" s="284"/>
      <c r="D112" s="284"/>
      <c r="E112" s="284"/>
      <c r="F112" s="284"/>
      <c r="G112" s="284"/>
      <c r="H112" s="284"/>
      <c r="I112" s="284" t="s">
        <v>1</v>
      </c>
      <c r="J112" s="284" t="s">
        <v>1</v>
      </c>
      <c r="K112" s="284" t="s">
        <v>1</v>
      </c>
      <c r="L112" s="284" t="s">
        <v>1</v>
      </c>
      <c r="M112" s="282"/>
      <c r="N112" s="72"/>
      <c r="O112" s="47"/>
      <c r="P112" s="47"/>
      <c r="Q112" s="47"/>
      <c r="R112" s="47"/>
      <c r="S112" s="47"/>
      <c r="T112" s="47"/>
      <c r="U112" s="47"/>
    </row>
    <row r="113" spans="1:21" x14ac:dyDescent="0.25">
      <c r="A113" s="71"/>
      <c r="B113" s="71"/>
      <c r="C113" s="71"/>
      <c r="D113" s="51" t="s">
        <v>112</v>
      </c>
      <c r="E113" s="51"/>
      <c r="F113" s="51"/>
      <c r="G113" s="51"/>
      <c r="H113" s="71"/>
      <c r="I113" s="71"/>
      <c r="J113" s="71"/>
      <c r="K113" s="71"/>
      <c r="M113" s="51"/>
      <c r="N113" s="72"/>
      <c r="O113" s="47"/>
      <c r="P113" s="47"/>
      <c r="Q113" s="47"/>
      <c r="R113" s="47"/>
      <c r="S113" s="47"/>
      <c r="T113" s="47"/>
      <c r="U113" s="47"/>
    </row>
    <row r="114" spans="1:21" x14ac:dyDescent="0.25">
      <c r="A114" s="71"/>
      <c r="B114" s="71"/>
      <c r="C114" s="71"/>
      <c r="D114" s="47" t="s">
        <v>118</v>
      </c>
      <c r="E114" s="47"/>
      <c r="F114" s="47"/>
      <c r="G114" s="47"/>
      <c r="H114" s="71"/>
      <c r="I114" s="66">
        <v>500000</v>
      </c>
      <c r="J114" s="66">
        <v>500000</v>
      </c>
      <c r="K114" s="71"/>
      <c r="L114" s="71"/>
      <c r="M114" s="51"/>
      <c r="N114" s="72"/>
      <c r="O114" s="47"/>
      <c r="P114" s="47"/>
      <c r="Q114" s="47"/>
      <c r="R114" s="47"/>
      <c r="S114" s="47"/>
      <c r="T114" s="47"/>
      <c r="U114" s="47"/>
    </row>
    <row r="115" spans="1:21" x14ac:dyDescent="0.25">
      <c r="A115" s="281" t="s">
        <v>377</v>
      </c>
      <c r="B115" s="287"/>
      <c r="C115" s="287"/>
      <c r="D115" s="47" t="s">
        <v>374</v>
      </c>
      <c r="E115" s="47"/>
      <c r="F115" s="47"/>
      <c r="G115" s="47"/>
      <c r="H115" s="71"/>
      <c r="I115" s="78">
        <v>-100000</v>
      </c>
      <c r="J115" s="78">
        <v>0</v>
      </c>
      <c r="K115" s="71"/>
      <c r="L115" s="71"/>
      <c r="M115" s="51"/>
      <c r="N115" s="72"/>
      <c r="O115" s="47"/>
      <c r="P115" s="47"/>
      <c r="Q115" s="47"/>
      <c r="R115" s="47"/>
      <c r="S115" s="47"/>
      <c r="T115" s="47"/>
      <c r="U115" s="47"/>
    </row>
    <row r="116" spans="1:21" x14ac:dyDescent="0.25">
      <c r="A116" s="71"/>
      <c r="B116" s="71"/>
      <c r="C116" s="71"/>
      <c r="D116" s="71"/>
      <c r="E116" s="71"/>
      <c r="F116" s="71"/>
      <c r="G116" s="71"/>
      <c r="H116" s="71"/>
      <c r="I116" s="285">
        <f>+I114+I115</f>
        <v>400000</v>
      </c>
      <c r="J116" s="285">
        <f>+J114+J115</f>
        <v>500000</v>
      </c>
      <c r="K116" s="285">
        <f>+J116-I116</f>
        <v>100000</v>
      </c>
      <c r="L116" s="326">
        <f>+K116*30%</f>
        <v>30000</v>
      </c>
      <c r="M116" s="51"/>
      <c r="N116" s="72"/>
      <c r="O116" s="47"/>
      <c r="P116" s="47"/>
      <c r="Q116" s="47"/>
      <c r="R116" s="47"/>
      <c r="S116" s="47"/>
      <c r="T116" s="47"/>
      <c r="U116" s="47"/>
    </row>
    <row r="117" spans="1:21" x14ac:dyDescent="0.25">
      <c r="A117" s="71"/>
      <c r="B117" s="71"/>
      <c r="C117" s="71"/>
      <c r="D117" s="51"/>
      <c r="E117" s="51"/>
      <c r="F117" s="51"/>
      <c r="G117" s="51"/>
      <c r="H117" s="71"/>
      <c r="I117" s="71"/>
      <c r="J117" s="71"/>
      <c r="K117" s="71"/>
      <c r="L117" s="327" t="s">
        <v>663</v>
      </c>
      <c r="M117" s="51"/>
      <c r="N117" s="72"/>
      <c r="O117" s="47"/>
      <c r="P117" s="47"/>
      <c r="Q117" s="47"/>
      <c r="R117" s="47"/>
      <c r="S117" s="47"/>
      <c r="T117" s="47"/>
      <c r="U117" s="47"/>
    </row>
    <row r="118" spans="1:21" x14ac:dyDescent="0.25">
      <c r="A118" s="71"/>
      <c r="B118" s="71"/>
      <c r="C118" s="71"/>
      <c r="D118" s="51" t="s">
        <v>93</v>
      </c>
      <c r="E118" s="51"/>
      <c r="F118" s="51"/>
      <c r="G118" s="51"/>
      <c r="H118" s="71"/>
      <c r="I118" s="71"/>
      <c r="J118" s="71"/>
      <c r="K118" s="71"/>
      <c r="L118" s="71"/>
      <c r="M118" s="51"/>
      <c r="N118" s="72"/>
      <c r="O118" s="47"/>
      <c r="P118" s="47"/>
      <c r="Q118" s="47"/>
      <c r="R118" s="47"/>
      <c r="S118" s="47"/>
      <c r="T118" s="47"/>
      <c r="U118" s="47"/>
    </row>
    <row r="119" spans="1:21" x14ac:dyDescent="0.25">
      <c r="A119" s="71"/>
      <c r="B119" s="71"/>
      <c r="C119" s="71"/>
      <c r="D119" s="47" t="s">
        <v>37</v>
      </c>
      <c r="E119" s="47"/>
      <c r="F119" s="47"/>
      <c r="G119" s="47"/>
      <c r="H119" s="71"/>
      <c r="I119" s="66">
        <v>400000</v>
      </c>
      <c r="J119" s="66">
        <v>400000</v>
      </c>
      <c r="K119" s="71"/>
      <c r="L119" s="71"/>
      <c r="M119" s="51"/>
      <c r="N119" s="72"/>
      <c r="O119" s="47"/>
      <c r="P119" s="47"/>
      <c r="Q119" s="47"/>
      <c r="R119" s="47"/>
      <c r="S119" s="47"/>
      <c r="T119" s="47"/>
      <c r="U119" s="47"/>
    </row>
    <row r="120" spans="1:21" x14ac:dyDescent="0.25">
      <c r="A120" s="281" t="s">
        <v>376</v>
      </c>
      <c r="B120" s="287"/>
      <c r="C120" s="287"/>
      <c r="D120" s="47" t="s">
        <v>374</v>
      </c>
      <c r="E120" s="47"/>
      <c r="F120" s="47"/>
      <c r="G120" s="47"/>
      <c r="H120" s="71"/>
      <c r="I120" s="78">
        <v>-300000</v>
      </c>
      <c r="J120" s="78">
        <v>0</v>
      </c>
      <c r="K120" s="71"/>
      <c r="L120" s="71"/>
      <c r="M120" s="51"/>
      <c r="N120" s="72"/>
      <c r="O120" s="47"/>
      <c r="P120" s="47"/>
      <c r="Q120" s="47"/>
      <c r="R120" s="47"/>
      <c r="S120" s="47"/>
      <c r="T120" s="47"/>
      <c r="U120" s="47"/>
    </row>
    <row r="121" spans="1:21" x14ac:dyDescent="0.25">
      <c r="A121" s="71"/>
      <c r="B121" s="71"/>
      <c r="C121" s="71"/>
      <c r="D121" s="71"/>
      <c r="E121" s="71"/>
      <c r="F121" s="71"/>
      <c r="G121" s="71"/>
      <c r="H121" s="71"/>
      <c r="I121" s="285">
        <f>+I119+I120</f>
        <v>100000</v>
      </c>
      <c r="J121" s="285">
        <f>+J119+J120</f>
        <v>400000</v>
      </c>
      <c r="K121" s="285">
        <f>+J121-I121</f>
        <v>300000</v>
      </c>
      <c r="L121" s="326">
        <f>+K121*30%</f>
        <v>90000</v>
      </c>
      <c r="M121" s="51"/>
      <c r="N121" s="72"/>
      <c r="O121" s="47"/>
      <c r="P121" s="47"/>
      <c r="Q121" s="47"/>
      <c r="R121" s="47"/>
      <c r="S121" s="47"/>
      <c r="T121" s="47"/>
      <c r="U121" s="47"/>
    </row>
    <row r="122" spans="1:21" x14ac:dyDescent="0.25">
      <c r="A122" s="71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327" t="s">
        <v>664</v>
      </c>
      <c r="M122" s="51"/>
      <c r="N122" s="72"/>
      <c r="O122" s="47"/>
      <c r="P122" s="47"/>
      <c r="Q122" s="47"/>
      <c r="R122" s="47"/>
      <c r="S122" s="47"/>
      <c r="T122" s="47"/>
      <c r="U122" s="47"/>
    </row>
    <row r="123" spans="1:21" x14ac:dyDescent="0.25">
      <c r="A123" s="71"/>
      <c r="B123" s="71"/>
      <c r="C123" s="71"/>
      <c r="D123" s="51" t="s">
        <v>375</v>
      </c>
      <c r="E123" s="51"/>
      <c r="F123" s="51"/>
      <c r="G123" s="51"/>
      <c r="H123" s="71"/>
      <c r="I123" s="71"/>
      <c r="J123" s="71"/>
      <c r="K123" s="71"/>
      <c r="L123" s="71"/>
      <c r="M123" s="51"/>
      <c r="N123" s="72"/>
      <c r="O123" s="47"/>
      <c r="P123" s="47"/>
      <c r="Q123" s="47"/>
      <c r="R123" s="47"/>
      <c r="S123" s="47"/>
      <c r="T123" s="47"/>
      <c r="U123" s="47"/>
    </row>
    <row r="124" spans="1:21" x14ac:dyDescent="0.25">
      <c r="A124" s="281" t="s">
        <v>378</v>
      </c>
      <c r="B124" s="287"/>
      <c r="C124" s="287"/>
      <c r="D124" s="47" t="s">
        <v>101</v>
      </c>
      <c r="E124" s="47"/>
      <c r="F124" s="47"/>
      <c r="G124" s="47"/>
      <c r="H124" s="71"/>
      <c r="I124" s="66">
        <v>200000</v>
      </c>
      <c r="J124" s="66">
        <v>0</v>
      </c>
      <c r="K124" s="66">
        <v>0</v>
      </c>
      <c r="L124" s="66">
        <v>0</v>
      </c>
      <c r="M124" s="51"/>
      <c r="N124" s="72"/>
      <c r="O124" s="47"/>
      <c r="P124" s="47"/>
      <c r="Q124" s="47"/>
      <c r="R124" s="47"/>
      <c r="S124" s="47"/>
      <c r="T124" s="47"/>
      <c r="U124" s="47"/>
    </row>
    <row r="125" spans="1:21" x14ac:dyDescent="0.25">
      <c r="A125" s="71"/>
      <c r="B125" s="71"/>
      <c r="C125" s="71"/>
      <c r="D125" s="71"/>
      <c r="E125" s="71"/>
      <c r="F125" s="71"/>
      <c r="G125" s="71"/>
      <c r="H125" s="71"/>
      <c r="I125" s="285">
        <f>+I124</f>
        <v>200000</v>
      </c>
      <c r="J125" s="285">
        <f>+J124</f>
        <v>0</v>
      </c>
      <c r="K125" s="285">
        <f>+I125-J125</f>
        <v>200000</v>
      </c>
      <c r="L125" s="326">
        <f>+K125*30%</f>
        <v>60000</v>
      </c>
      <c r="M125" s="51"/>
      <c r="N125" s="72"/>
      <c r="O125" s="47"/>
      <c r="P125" s="47"/>
      <c r="Q125" s="47"/>
      <c r="R125" s="47"/>
      <c r="S125" s="47"/>
      <c r="T125" s="47"/>
      <c r="U125" s="47"/>
    </row>
    <row r="126" spans="1:21" x14ac:dyDescent="0.2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327" t="s">
        <v>665</v>
      </c>
      <c r="M126" s="51"/>
      <c r="N126" s="72"/>
      <c r="O126" s="47"/>
      <c r="P126" s="47"/>
      <c r="Q126" s="47"/>
      <c r="R126" s="47"/>
      <c r="S126" s="47"/>
      <c r="T126" s="47"/>
      <c r="U126" s="47"/>
    </row>
    <row r="127" spans="1:2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72"/>
      <c r="O127" s="47"/>
      <c r="P127" s="47"/>
      <c r="Q127" s="47"/>
      <c r="R127" s="47"/>
      <c r="S127" s="47"/>
      <c r="T127" s="47"/>
      <c r="U127" s="47"/>
    </row>
    <row r="128" spans="1:21" x14ac:dyDescent="0.25">
      <c r="A128" s="284"/>
      <c r="B128" s="284"/>
      <c r="C128" s="284"/>
      <c r="D128" s="284"/>
      <c r="E128" s="284"/>
      <c r="F128" s="284"/>
      <c r="G128" s="284"/>
      <c r="H128" s="284"/>
      <c r="I128" s="284"/>
      <c r="J128" s="286" t="s">
        <v>660</v>
      </c>
      <c r="K128" s="285">
        <f>K121+K116+K125</f>
        <v>600000</v>
      </c>
      <c r="L128" s="326">
        <f>L121+L116+L125</f>
        <v>180000</v>
      </c>
      <c r="M128" s="51"/>
      <c r="N128" s="72"/>
      <c r="O128" s="47"/>
      <c r="P128" s="47"/>
      <c r="Q128" s="47"/>
      <c r="R128" s="47"/>
      <c r="S128" s="47"/>
      <c r="T128" s="47"/>
      <c r="U128" s="47"/>
    </row>
    <row r="129" spans="1:21" x14ac:dyDescent="0.25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327" t="s">
        <v>666</v>
      </c>
      <c r="M129" s="51"/>
      <c r="N129" s="72"/>
      <c r="O129" s="47"/>
      <c r="P129" s="47"/>
      <c r="Q129" s="47"/>
      <c r="R129" s="47"/>
      <c r="S129" s="47"/>
      <c r="T129" s="47"/>
      <c r="U129" s="47"/>
    </row>
    <row r="130" spans="1:21" x14ac:dyDescent="0.25">
      <c r="A130" s="281" t="s">
        <v>567</v>
      </c>
      <c r="B130" s="281"/>
      <c r="C130" s="281"/>
      <c r="D130" s="281"/>
      <c r="E130" s="281"/>
      <c r="F130" s="281"/>
      <c r="G130" s="281"/>
      <c r="H130" s="282"/>
      <c r="I130" s="282"/>
      <c r="J130" s="282"/>
      <c r="K130" s="282"/>
      <c r="L130" s="282"/>
      <c r="M130" s="51"/>
      <c r="N130" s="72"/>
      <c r="O130" s="47"/>
      <c r="P130" s="47"/>
      <c r="Q130" s="47"/>
      <c r="R130" s="47"/>
      <c r="S130" s="47"/>
      <c r="T130" s="47"/>
      <c r="U130" s="47"/>
    </row>
    <row r="131" spans="1:21" x14ac:dyDescent="0.25">
      <c r="A131" s="47"/>
      <c r="B131" s="47"/>
      <c r="C131" s="47"/>
      <c r="D131" s="47"/>
      <c r="E131" s="47"/>
      <c r="F131" s="47"/>
      <c r="G131" s="47"/>
      <c r="H131" s="47"/>
      <c r="I131" s="71" t="s">
        <v>68</v>
      </c>
      <c r="J131" s="71" t="s">
        <v>28</v>
      </c>
      <c r="K131" s="71"/>
      <c r="L131" s="71"/>
      <c r="M131" s="51"/>
      <c r="N131" s="72"/>
      <c r="O131" s="47"/>
      <c r="P131" s="47"/>
      <c r="Q131" s="47"/>
      <c r="R131" s="47"/>
      <c r="S131" s="47"/>
      <c r="T131" s="47"/>
      <c r="U131" s="47"/>
    </row>
    <row r="132" spans="1:21" x14ac:dyDescent="0.25">
      <c r="A132" s="47"/>
      <c r="B132" s="47"/>
      <c r="C132" s="47"/>
      <c r="D132" s="47"/>
      <c r="E132" s="47"/>
      <c r="F132" s="47"/>
      <c r="G132" s="47"/>
      <c r="H132" s="47"/>
      <c r="I132" s="71" t="s">
        <v>1</v>
      </c>
      <c r="J132" s="71" t="s">
        <v>1</v>
      </c>
      <c r="K132" s="71"/>
      <c r="L132" s="71"/>
      <c r="M132" s="51"/>
      <c r="N132" s="72"/>
      <c r="O132" s="47"/>
      <c r="P132" s="47"/>
      <c r="Q132" s="47"/>
      <c r="R132" s="47"/>
      <c r="S132" s="47"/>
      <c r="T132" s="47"/>
      <c r="U132" s="47"/>
    </row>
    <row r="133" spans="1:21" x14ac:dyDescent="0.25">
      <c r="A133" s="47"/>
      <c r="B133" s="47" t="s">
        <v>202</v>
      </c>
      <c r="C133" s="47"/>
      <c r="D133" s="47"/>
      <c r="E133" s="47"/>
      <c r="F133" s="47"/>
      <c r="G133" s="47"/>
      <c r="H133" s="47"/>
      <c r="I133" s="48">
        <f>+L128</f>
        <v>180000</v>
      </c>
      <c r="J133" s="48"/>
      <c r="K133" s="48"/>
      <c r="L133" s="48"/>
      <c r="M133" s="51"/>
      <c r="N133" s="72"/>
      <c r="O133" s="47"/>
      <c r="P133" s="47"/>
      <c r="Q133" s="47"/>
      <c r="R133" s="47"/>
      <c r="S133" s="47"/>
      <c r="T133" s="47"/>
      <c r="U133" s="47"/>
    </row>
    <row r="134" spans="1:21" x14ac:dyDescent="0.25">
      <c r="A134" s="47"/>
      <c r="B134" s="47" t="s">
        <v>270</v>
      </c>
      <c r="C134" s="47"/>
      <c r="D134" s="47"/>
      <c r="E134" s="47"/>
      <c r="F134" s="47"/>
      <c r="G134" s="47"/>
      <c r="H134" s="47"/>
      <c r="I134" s="48"/>
      <c r="J134" s="48">
        <f>+I133</f>
        <v>180000</v>
      </c>
      <c r="K134" s="48" t="s">
        <v>661</v>
      </c>
      <c r="L134" s="48"/>
      <c r="M134" s="51"/>
      <c r="N134" s="72"/>
      <c r="O134" s="47"/>
      <c r="P134" s="47"/>
      <c r="Q134" s="47"/>
      <c r="R134" s="47"/>
      <c r="S134" s="47"/>
      <c r="T134" s="47"/>
      <c r="U134" s="47"/>
    </row>
    <row r="135" spans="1:21" x14ac:dyDescent="0.25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51"/>
      <c r="N135" s="72"/>
      <c r="O135" s="47"/>
      <c r="P135" s="47"/>
      <c r="Q135" s="47"/>
      <c r="R135" s="47"/>
      <c r="S135" s="47"/>
      <c r="T135" s="47"/>
      <c r="U135" s="47"/>
    </row>
    <row r="136" spans="1:21" x14ac:dyDescent="0.25">
      <c r="A136" s="71"/>
      <c r="B136" s="325" t="s">
        <v>662</v>
      </c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51"/>
      <c r="N136" s="72"/>
      <c r="O136" s="47"/>
      <c r="P136" s="47"/>
      <c r="Q136" s="47"/>
      <c r="R136" s="47"/>
      <c r="S136" s="47"/>
      <c r="T136" s="47"/>
      <c r="U136" s="47"/>
    </row>
    <row r="137" spans="1:21" x14ac:dyDescent="0.25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51"/>
      <c r="N137" s="72"/>
      <c r="O137" s="47"/>
      <c r="P137" s="47"/>
      <c r="Q137" s="47"/>
      <c r="R137" s="47"/>
      <c r="S137" s="47"/>
      <c r="T137" s="47"/>
      <c r="U137" s="47"/>
    </row>
    <row r="138" spans="1:21" x14ac:dyDescent="0.25">
      <c r="A138" s="403" t="s">
        <v>807</v>
      </c>
      <c r="B138" s="403"/>
      <c r="C138" s="403"/>
      <c r="D138" s="403"/>
      <c r="E138" s="403"/>
      <c r="F138" s="403"/>
      <c r="G138" s="403"/>
      <c r="H138" s="403"/>
      <c r="I138" s="403"/>
      <c r="J138" s="403"/>
      <c r="K138" s="403"/>
      <c r="L138" s="403"/>
      <c r="M138" s="403"/>
      <c r="N138" s="72"/>
    </row>
    <row r="139" spans="1:21" x14ac:dyDescent="0.25">
      <c r="A139" s="278" t="s">
        <v>569</v>
      </c>
      <c r="B139" s="281"/>
      <c r="C139" s="281"/>
      <c r="D139" s="281"/>
      <c r="E139" s="281"/>
      <c r="F139" s="281"/>
      <c r="G139" s="281"/>
      <c r="H139" s="282"/>
      <c r="I139" s="282"/>
      <c r="J139" s="282"/>
      <c r="K139" s="282"/>
      <c r="L139" s="282"/>
      <c r="M139" s="282"/>
      <c r="N139" s="72"/>
      <c r="O139" s="47"/>
      <c r="P139" s="47"/>
      <c r="Q139" s="47"/>
      <c r="R139" s="47"/>
      <c r="S139" s="47"/>
      <c r="T139" s="47"/>
      <c r="U139" s="47"/>
    </row>
    <row r="140" spans="1:21" x14ac:dyDescent="0.25">
      <c r="A140" s="47" t="s">
        <v>568</v>
      </c>
      <c r="B140" s="47"/>
      <c r="C140" s="47"/>
      <c r="D140" s="47"/>
      <c r="E140" s="47"/>
      <c r="F140" s="47"/>
      <c r="G140" s="47"/>
      <c r="H140" s="47"/>
      <c r="I140" s="71" t="s">
        <v>130</v>
      </c>
      <c r="J140" s="71" t="s">
        <v>135</v>
      </c>
      <c r="K140" s="71" t="s">
        <v>136</v>
      </c>
      <c r="L140" s="71" t="s">
        <v>130</v>
      </c>
      <c r="M140" s="51"/>
      <c r="N140" s="72"/>
      <c r="O140" s="47"/>
      <c r="P140" s="47"/>
      <c r="Q140" s="47"/>
      <c r="R140" s="47"/>
      <c r="S140" s="47"/>
      <c r="T140" s="47"/>
      <c r="U140" s="47"/>
    </row>
    <row r="141" spans="1:21" x14ac:dyDescent="0.25">
      <c r="A141" s="47"/>
      <c r="B141" s="47"/>
      <c r="C141" s="47"/>
      <c r="D141" s="47"/>
      <c r="E141" s="47"/>
      <c r="F141" s="47"/>
      <c r="G141" s="47"/>
      <c r="H141" s="47"/>
      <c r="I141" s="71" t="s">
        <v>131</v>
      </c>
      <c r="J141" s="71" t="s">
        <v>133</v>
      </c>
      <c r="K141" s="71" t="s">
        <v>134</v>
      </c>
      <c r="L141" s="71" t="s">
        <v>132</v>
      </c>
      <c r="M141" s="51"/>
      <c r="N141" s="72"/>
      <c r="O141" s="47"/>
      <c r="P141" s="47"/>
      <c r="Q141" s="47"/>
      <c r="R141" s="47"/>
      <c r="S141" s="47"/>
      <c r="T141" s="47"/>
      <c r="U141" s="47"/>
    </row>
    <row r="142" spans="1:21" x14ac:dyDescent="0.25">
      <c r="A142" s="80" t="s">
        <v>379</v>
      </c>
      <c r="B142" s="47"/>
      <c r="C142" s="47"/>
      <c r="D142" s="47"/>
      <c r="E142" s="47"/>
      <c r="F142" s="47"/>
      <c r="G142" s="47"/>
      <c r="H142" s="47"/>
      <c r="I142" s="71" t="s">
        <v>1</v>
      </c>
      <c r="J142" s="71" t="s">
        <v>1</v>
      </c>
      <c r="K142" s="71" t="s">
        <v>1</v>
      </c>
      <c r="L142" s="71" t="s">
        <v>1</v>
      </c>
      <c r="M142" s="51"/>
      <c r="N142" s="72"/>
      <c r="O142" s="47"/>
      <c r="P142" s="47"/>
      <c r="Q142" s="47"/>
      <c r="R142" s="47"/>
      <c r="S142" s="47"/>
      <c r="T142" s="47"/>
      <c r="U142" s="47"/>
    </row>
    <row r="143" spans="1:21" x14ac:dyDescent="0.25">
      <c r="A143" s="47" t="s">
        <v>100</v>
      </c>
      <c r="B143" s="47"/>
      <c r="C143" s="47"/>
      <c r="D143" s="47"/>
      <c r="E143" s="47"/>
      <c r="F143" s="47"/>
      <c r="G143" s="47"/>
      <c r="H143" s="47"/>
      <c r="I143" s="48">
        <v>0</v>
      </c>
      <c r="J143" s="48">
        <v>100000</v>
      </c>
      <c r="K143" s="48">
        <v>0</v>
      </c>
      <c r="L143" s="48">
        <f>+I143+J143+K143</f>
        <v>100000</v>
      </c>
      <c r="M143" s="51"/>
      <c r="N143" s="72"/>
      <c r="O143" s="47"/>
      <c r="P143" s="47"/>
      <c r="Q143" s="47"/>
      <c r="R143" s="47"/>
      <c r="S143" s="47"/>
      <c r="T143" s="47"/>
      <c r="U143" s="47"/>
    </row>
    <row r="144" spans="1:21" x14ac:dyDescent="0.25">
      <c r="A144" s="47" t="s">
        <v>4</v>
      </c>
      <c r="B144" s="47"/>
      <c r="C144" s="47"/>
      <c r="D144" s="47"/>
      <c r="E144" s="47"/>
      <c r="F144" s="47"/>
      <c r="G144" s="47"/>
      <c r="H144" s="47"/>
      <c r="I144" s="48">
        <v>0</v>
      </c>
      <c r="J144" s="48">
        <v>300000</v>
      </c>
      <c r="K144" s="48">
        <v>0</v>
      </c>
      <c r="L144" s="48">
        <f>+I144+J144+K144</f>
        <v>300000</v>
      </c>
      <c r="M144" s="51"/>
      <c r="N144" s="72"/>
      <c r="O144" s="47"/>
      <c r="P144" s="47"/>
      <c r="Q144" s="47"/>
      <c r="R144" s="47"/>
      <c r="S144" s="47"/>
      <c r="T144" s="47"/>
      <c r="U144" s="47"/>
    </row>
    <row r="145" spans="1:21" x14ac:dyDescent="0.25">
      <c r="A145" s="47" t="s">
        <v>101</v>
      </c>
      <c r="B145" s="47"/>
      <c r="C145" s="47"/>
      <c r="D145" s="47"/>
      <c r="E145" s="47"/>
      <c r="F145" s="47"/>
      <c r="G145" s="47"/>
      <c r="H145" s="47"/>
      <c r="I145" s="49">
        <v>0</v>
      </c>
      <c r="J145" s="49">
        <v>200000</v>
      </c>
      <c r="K145" s="49">
        <v>0</v>
      </c>
      <c r="L145" s="49">
        <f>+I145+J145+K145</f>
        <v>200000</v>
      </c>
      <c r="M145" s="51"/>
      <c r="N145" s="72"/>
      <c r="O145" s="47"/>
      <c r="P145" s="47"/>
      <c r="Q145" s="47"/>
      <c r="R145" s="47"/>
      <c r="S145" s="47"/>
      <c r="T145" s="47"/>
      <c r="U145" s="47"/>
    </row>
    <row r="146" spans="1:21" x14ac:dyDescent="0.25">
      <c r="A146" s="278"/>
      <c r="B146" s="278"/>
      <c r="C146" s="278"/>
      <c r="D146" s="278"/>
      <c r="E146" s="278"/>
      <c r="F146" s="278"/>
      <c r="G146" s="278"/>
      <c r="H146" s="278"/>
      <c r="I146" s="288">
        <f>SUM(I143:I145)</f>
        <v>0</v>
      </c>
      <c r="J146" s="288">
        <f>SUM(J143:J145)</f>
        <v>600000</v>
      </c>
      <c r="K146" s="288">
        <f t="shared" ref="K146:L146" si="4">SUM(K143:K145)</f>
        <v>0</v>
      </c>
      <c r="L146" s="288">
        <f t="shared" si="4"/>
        <v>600000</v>
      </c>
      <c r="M146" s="51"/>
      <c r="N146" s="72"/>
      <c r="O146" s="47"/>
      <c r="P146" s="47"/>
      <c r="Q146" s="47"/>
      <c r="R146" s="47"/>
      <c r="S146" s="47"/>
      <c r="T146" s="47"/>
      <c r="U146" s="47"/>
    </row>
    <row r="147" spans="1:21" x14ac:dyDescent="0.25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51"/>
      <c r="N147" s="72"/>
      <c r="O147" s="47"/>
      <c r="P147" s="47"/>
      <c r="Q147" s="47"/>
      <c r="R147" s="47"/>
      <c r="S147" s="47"/>
      <c r="T147" s="47"/>
      <c r="U147" s="47"/>
    </row>
    <row r="148" spans="1:21" x14ac:dyDescent="0.25">
      <c r="A148" s="403" t="s">
        <v>808</v>
      </c>
      <c r="B148" s="403"/>
      <c r="C148" s="403"/>
      <c r="D148" s="403"/>
      <c r="E148" s="403"/>
      <c r="F148" s="403"/>
      <c r="G148" s="403"/>
      <c r="H148" s="403"/>
      <c r="I148" s="403"/>
      <c r="J148" s="403"/>
      <c r="K148" s="403"/>
      <c r="L148" s="403"/>
      <c r="M148" s="403"/>
      <c r="N148" s="72"/>
    </row>
    <row r="149" spans="1:21" x14ac:dyDescent="0.25">
      <c r="A149" s="278" t="s">
        <v>138</v>
      </c>
      <c r="B149" s="281"/>
      <c r="C149" s="281"/>
      <c r="D149" s="281"/>
      <c r="E149" s="281"/>
      <c r="F149" s="281"/>
      <c r="G149" s="281"/>
      <c r="H149" s="282"/>
      <c r="I149" s="282"/>
      <c r="J149" s="282"/>
      <c r="K149" s="282"/>
      <c r="L149" s="282"/>
      <c r="M149" s="282"/>
      <c r="N149" s="72"/>
      <c r="O149" s="47"/>
      <c r="P149" s="47"/>
      <c r="Q149" s="47"/>
      <c r="R149" s="47"/>
      <c r="S149" s="47"/>
      <c r="T149" s="47"/>
      <c r="U149" s="47"/>
    </row>
    <row r="150" spans="1:21" x14ac:dyDescent="0.25">
      <c r="A150" s="47"/>
      <c r="B150" s="47"/>
      <c r="C150" s="47"/>
      <c r="D150" s="47"/>
      <c r="E150" s="47"/>
      <c r="F150" s="47"/>
      <c r="G150" s="47"/>
      <c r="H150" s="47"/>
      <c r="I150" s="71"/>
      <c r="J150" s="71" t="s">
        <v>1</v>
      </c>
      <c r="K150" s="71"/>
      <c r="L150" s="71"/>
      <c r="M150" s="51"/>
      <c r="N150" s="72"/>
      <c r="O150" s="47"/>
      <c r="P150" s="47"/>
      <c r="Q150" s="47"/>
      <c r="R150" s="47"/>
      <c r="S150" s="47"/>
      <c r="T150" s="47"/>
      <c r="U150" s="47"/>
    </row>
    <row r="151" spans="1:21" x14ac:dyDescent="0.25">
      <c r="A151" s="47"/>
      <c r="B151" s="51" t="s">
        <v>122</v>
      </c>
      <c r="C151" s="47"/>
      <c r="D151" s="47"/>
      <c r="E151" s="47"/>
      <c r="F151" s="47"/>
      <c r="G151" s="47"/>
      <c r="H151" s="47"/>
      <c r="I151" s="71"/>
      <c r="J151" s="75">
        <v>500000</v>
      </c>
      <c r="K151" s="75"/>
      <c r="L151" s="71"/>
      <c r="M151" s="51"/>
      <c r="N151" s="72"/>
      <c r="O151" s="47"/>
      <c r="P151" s="47"/>
      <c r="Q151" s="47"/>
      <c r="R151" s="47"/>
      <c r="S151" s="47"/>
      <c r="T151" s="47"/>
      <c r="U151" s="47"/>
    </row>
    <row r="152" spans="1:21" x14ac:dyDescent="0.25">
      <c r="A152" s="47"/>
      <c r="B152" s="80" t="s">
        <v>126</v>
      </c>
      <c r="C152" s="47"/>
      <c r="D152" s="47"/>
      <c r="E152" s="47"/>
      <c r="F152" s="47"/>
      <c r="G152" s="47"/>
      <c r="H152" s="47"/>
      <c r="I152" s="48"/>
      <c r="J152" s="48"/>
      <c r="K152" s="48"/>
      <c r="L152" s="48"/>
      <c r="M152" s="51"/>
      <c r="N152" s="72"/>
      <c r="O152" s="47"/>
      <c r="P152" s="47"/>
      <c r="Q152" s="47"/>
      <c r="R152" s="47"/>
      <c r="S152" s="47"/>
      <c r="T152" s="47"/>
      <c r="U152" s="47"/>
    </row>
    <row r="153" spans="1:21" x14ac:dyDescent="0.25">
      <c r="A153" s="47"/>
      <c r="B153" s="47" t="s">
        <v>135</v>
      </c>
      <c r="C153" s="47" t="s">
        <v>100</v>
      </c>
      <c r="D153" s="47"/>
      <c r="E153" s="47"/>
      <c r="F153" s="47"/>
      <c r="G153" s="47"/>
      <c r="H153" s="47"/>
      <c r="I153" s="48"/>
      <c r="J153" s="48">
        <f>+J143</f>
        <v>100000</v>
      </c>
      <c r="K153" s="48"/>
      <c r="L153" s="48"/>
      <c r="M153" s="51"/>
      <c r="N153" s="72"/>
      <c r="O153" s="47"/>
      <c r="P153" s="47"/>
      <c r="Q153" s="47"/>
      <c r="R153" s="47"/>
      <c r="S153" s="47"/>
      <c r="T153" s="47"/>
      <c r="U153" s="47"/>
    </row>
    <row r="154" spans="1:21" x14ac:dyDescent="0.25">
      <c r="A154" s="47"/>
      <c r="B154" s="47" t="s">
        <v>135</v>
      </c>
      <c r="C154" s="47" t="s">
        <v>4</v>
      </c>
      <c r="D154" s="47"/>
      <c r="E154" s="47"/>
      <c r="F154" s="47"/>
      <c r="G154" s="47"/>
      <c r="H154" s="47"/>
      <c r="I154" s="48"/>
      <c r="J154" s="48">
        <f>+J144</f>
        <v>300000</v>
      </c>
      <c r="K154" s="48"/>
      <c r="L154" s="48">
        <f>+J153+J154+J155</f>
        <v>600000</v>
      </c>
      <c r="M154" s="51"/>
      <c r="N154" s="72"/>
      <c r="O154" s="47"/>
      <c r="P154" s="47"/>
      <c r="Q154" s="47"/>
      <c r="R154" s="47"/>
      <c r="S154" s="47"/>
      <c r="T154" s="47"/>
      <c r="U154" s="47"/>
    </row>
    <row r="155" spans="1:21" x14ac:dyDescent="0.25">
      <c r="A155" s="47"/>
      <c r="B155" s="47" t="s">
        <v>135</v>
      </c>
      <c r="C155" s="47" t="s">
        <v>101</v>
      </c>
      <c r="D155" s="47"/>
      <c r="E155" s="47"/>
      <c r="F155" s="47"/>
      <c r="G155" s="47"/>
      <c r="H155" s="47"/>
      <c r="I155" s="48"/>
      <c r="J155" s="48">
        <f>+J145</f>
        <v>200000</v>
      </c>
      <c r="K155" s="48"/>
      <c r="L155" s="48"/>
      <c r="M155" s="51"/>
      <c r="N155" s="72"/>
      <c r="O155" s="47"/>
      <c r="P155" s="47"/>
      <c r="Q155" s="47"/>
      <c r="R155" s="47"/>
      <c r="S155" s="47"/>
      <c r="T155" s="47"/>
      <c r="U155" s="47"/>
    </row>
    <row r="156" spans="1:21" x14ac:dyDescent="0.25">
      <c r="A156" s="47"/>
      <c r="B156" s="80" t="s">
        <v>127</v>
      </c>
      <c r="C156" s="47"/>
      <c r="D156" s="47"/>
      <c r="E156" s="47"/>
      <c r="F156" s="47"/>
      <c r="G156" s="47"/>
      <c r="H156" s="47"/>
      <c r="I156" s="48"/>
      <c r="J156" s="48"/>
      <c r="K156" s="48"/>
      <c r="L156" s="48"/>
      <c r="M156" s="51"/>
      <c r="N156" s="72"/>
      <c r="O156" s="47"/>
      <c r="P156" s="47"/>
      <c r="Q156" s="47"/>
      <c r="R156" s="47"/>
      <c r="S156" s="47"/>
      <c r="T156" s="47"/>
      <c r="U156" s="47"/>
    </row>
    <row r="157" spans="1:21" x14ac:dyDescent="0.25">
      <c r="A157" s="47"/>
      <c r="B157" s="47" t="s">
        <v>135</v>
      </c>
      <c r="C157" s="47" t="s">
        <v>380</v>
      </c>
      <c r="D157" s="47"/>
      <c r="E157" s="47"/>
      <c r="F157" s="47"/>
      <c r="G157" s="47"/>
      <c r="H157" s="47"/>
      <c r="I157" s="48"/>
      <c r="J157" s="48">
        <v>400000</v>
      </c>
      <c r="K157" s="48"/>
      <c r="L157" s="48"/>
      <c r="M157" s="51"/>
      <c r="N157" s="72"/>
      <c r="O157" s="47"/>
      <c r="P157" s="47"/>
      <c r="Q157" s="47"/>
      <c r="R157" s="47"/>
      <c r="S157" s="47"/>
      <c r="T157" s="47"/>
      <c r="U157" s="47"/>
    </row>
    <row r="158" spans="1:21" x14ac:dyDescent="0.25">
      <c r="A158" s="281"/>
      <c r="B158" s="278" t="s">
        <v>5</v>
      </c>
      <c r="C158" s="281"/>
      <c r="D158" s="281"/>
      <c r="E158" s="281"/>
      <c r="F158" s="281"/>
      <c r="G158" s="281"/>
      <c r="H158" s="281"/>
      <c r="I158" s="280"/>
      <c r="J158" s="279">
        <f>SUM(J151:J157)</f>
        <v>1500000</v>
      </c>
      <c r="K158" s="280"/>
      <c r="L158" s="280"/>
      <c r="M158" s="282"/>
      <c r="N158" s="72"/>
      <c r="O158" s="47"/>
      <c r="P158" s="47"/>
      <c r="Q158" s="47"/>
      <c r="R158" s="47"/>
      <c r="S158" s="47"/>
      <c r="T158" s="47"/>
      <c r="U158" s="47"/>
    </row>
    <row r="159" spans="1:21" x14ac:dyDescent="0.25">
      <c r="A159" s="281"/>
      <c r="B159" s="278" t="s">
        <v>34</v>
      </c>
      <c r="C159" s="281"/>
      <c r="D159" s="281"/>
      <c r="E159" s="281"/>
      <c r="F159" s="281"/>
      <c r="G159" s="281"/>
      <c r="H159" s="281"/>
      <c r="I159" s="289">
        <v>0.3</v>
      </c>
      <c r="J159" s="279">
        <f>+I159*J158</f>
        <v>450000</v>
      </c>
      <c r="K159" s="280"/>
      <c r="L159" s="280"/>
      <c r="M159" s="282"/>
      <c r="N159" s="72"/>
      <c r="O159" s="47"/>
      <c r="P159" s="47"/>
      <c r="Q159" s="47"/>
      <c r="R159" s="47"/>
      <c r="S159" s="47"/>
      <c r="T159" s="47"/>
      <c r="U159" s="47"/>
    </row>
    <row r="160" spans="1:21" x14ac:dyDescent="0.25">
      <c r="A160" s="47"/>
      <c r="B160" s="47"/>
      <c r="C160" s="47"/>
      <c r="D160" s="47"/>
      <c r="E160" s="47"/>
      <c r="F160" s="47"/>
      <c r="G160" s="47"/>
      <c r="H160" s="47"/>
      <c r="I160" s="48"/>
      <c r="J160" s="48"/>
      <c r="K160" s="48"/>
      <c r="L160" s="48"/>
      <c r="M160" s="51"/>
      <c r="N160" s="72"/>
      <c r="O160" s="47"/>
      <c r="P160" s="47"/>
      <c r="Q160" s="47"/>
      <c r="R160" s="47"/>
      <c r="S160" s="47"/>
      <c r="T160" s="47"/>
      <c r="U160" s="47"/>
    </row>
    <row r="161" spans="1:21" x14ac:dyDescent="0.25">
      <c r="A161" s="281" t="s">
        <v>394</v>
      </c>
      <c r="B161" s="281"/>
      <c r="C161" s="281"/>
      <c r="D161" s="281"/>
      <c r="E161" s="281"/>
      <c r="F161" s="281"/>
      <c r="G161" s="281"/>
      <c r="H161" s="282"/>
      <c r="I161" s="282"/>
      <c r="J161" s="282"/>
      <c r="K161" s="282"/>
      <c r="L161" s="282"/>
      <c r="M161" s="282"/>
      <c r="N161" s="72"/>
      <c r="O161" s="47"/>
      <c r="P161" s="47"/>
      <c r="Q161" s="47"/>
      <c r="R161" s="47"/>
      <c r="S161" s="47"/>
      <c r="T161" s="47"/>
      <c r="U161" s="47"/>
    </row>
    <row r="162" spans="1:21" x14ac:dyDescent="0.25">
      <c r="A162" s="47"/>
      <c r="B162" s="47"/>
      <c r="C162" s="47"/>
      <c r="D162" s="47"/>
      <c r="E162" s="47"/>
      <c r="F162" s="47"/>
      <c r="G162" s="47"/>
      <c r="H162" s="47"/>
      <c r="I162" s="71" t="s">
        <v>68</v>
      </c>
      <c r="J162" s="71" t="s">
        <v>28</v>
      </c>
      <c r="K162" s="71"/>
      <c r="L162" s="71"/>
      <c r="M162" s="51"/>
      <c r="N162" s="72"/>
      <c r="O162" s="47"/>
      <c r="P162" s="47"/>
      <c r="Q162" s="47"/>
      <c r="R162" s="47"/>
      <c r="S162" s="47"/>
      <c r="T162" s="47"/>
      <c r="U162" s="47"/>
    </row>
    <row r="163" spans="1:21" x14ac:dyDescent="0.25">
      <c r="A163" s="47"/>
      <c r="B163" s="47"/>
      <c r="C163" s="47"/>
      <c r="D163" s="47"/>
      <c r="E163" s="47"/>
      <c r="F163" s="47"/>
      <c r="G163" s="47"/>
      <c r="H163" s="47"/>
      <c r="I163" s="71" t="s">
        <v>1</v>
      </c>
      <c r="J163" s="71" t="s">
        <v>1</v>
      </c>
      <c r="K163" s="71"/>
      <c r="L163" s="71"/>
      <c r="M163" s="51"/>
      <c r="N163" s="72"/>
      <c r="O163" s="47"/>
      <c r="P163" s="47"/>
      <c r="Q163" s="47"/>
      <c r="R163" s="47"/>
      <c r="S163" s="47"/>
      <c r="T163" s="47"/>
      <c r="U163" s="47"/>
    </row>
    <row r="164" spans="1:21" x14ac:dyDescent="0.25">
      <c r="A164" s="47"/>
      <c r="B164" s="47" t="s">
        <v>240</v>
      </c>
      <c r="C164" s="47"/>
      <c r="D164" s="47"/>
      <c r="E164" s="47"/>
      <c r="F164" s="47"/>
      <c r="G164" s="47"/>
      <c r="H164" s="47"/>
      <c r="I164" s="48">
        <f>+J159</f>
        <v>450000</v>
      </c>
      <c r="J164" s="48"/>
      <c r="K164" s="48"/>
      <c r="L164" s="48"/>
      <c r="M164" s="51"/>
      <c r="N164" s="72"/>
      <c r="O164" s="47"/>
      <c r="P164" s="47"/>
      <c r="Q164" s="47"/>
      <c r="R164" s="47"/>
      <c r="S164" s="47"/>
      <c r="T164" s="47"/>
      <c r="U164" s="47"/>
    </row>
    <row r="165" spans="1:21" x14ac:dyDescent="0.25">
      <c r="A165" s="47"/>
      <c r="B165" s="47" t="s">
        <v>171</v>
      </c>
      <c r="C165" s="47"/>
      <c r="D165" s="47"/>
      <c r="E165" s="47"/>
      <c r="F165" s="47"/>
      <c r="G165" s="47"/>
      <c r="H165" s="47"/>
      <c r="I165" s="48"/>
      <c r="J165" s="48">
        <f>+I164</f>
        <v>450000</v>
      </c>
      <c r="K165" s="48"/>
      <c r="L165" s="48"/>
      <c r="M165" s="51"/>
      <c r="N165" s="72"/>
      <c r="O165" s="47"/>
      <c r="P165" s="47"/>
      <c r="Q165" s="47"/>
      <c r="R165" s="47"/>
      <c r="S165" s="47"/>
      <c r="T165" s="47"/>
      <c r="U165" s="47"/>
    </row>
    <row r="166" spans="1:21" x14ac:dyDescent="0.25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51"/>
      <c r="N166" s="72"/>
      <c r="O166" s="47"/>
      <c r="P166" s="47"/>
      <c r="Q166" s="47"/>
      <c r="R166" s="47"/>
      <c r="S166" s="47"/>
      <c r="T166" s="47"/>
      <c r="U166" s="47"/>
    </row>
    <row r="167" spans="1:21" x14ac:dyDescent="0.25">
      <c r="A167" s="403" t="s">
        <v>809</v>
      </c>
      <c r="B167" s="403"/>
      <c r="C167" s="403"/>
      <c r="D167" s="403"/>
      <c r="E167" s="403"/>
      <c r="F167" s="403"/>
      <c r="G167" s="403"/>
      <c r="H167" s="403"/>
      <c r="I167" s="403"/>
      <c r="J167" s="403"/>
      <c r="K167" s="403"/>
      <c r="L167" s="403"/>
      <c r="M167" s="403"/>
      <c r="N167" s="72"/>
    </row>
    <row r="168" spans="1:21" x14ac:dyDescent="0.25">
      <c r="A168" s="47"/>
      <c r="B168" s="47"/>
      <c r="C168" s="47"/>
      <c r="D168" s="47"/>
      <c r="E168" s="47"/>
      <c r="F168" s="47"/>
      <c r="G168" s="47"/>
      <c r="H168" s="47"/>
      <c r="I168" s="71" t="s">
        <v>68</v>
      </c>
      <c r="J168" s="71" t="s">
        <v>28</v>
      </c>
      <c r="K168" s="71"/>
      <c r="L168" s="71"/>
      <c r="M168" s="51"/>
      <c r="N168" s="72"/>
      <c r="O168" s="47"/>
      <c r="P168" s="47"/>
      <c r="Q168" s="47"/>
      <c r="R168" s="47"/>
      <c r="S168" s="47"/>
      <c r="T168" s="47"/>
      <c r="U168" s="47"/>
    </row>
    <row r="169" spans="1:21" x14ac:dyDescent="0.25">
      <c r="A169" s="47"/>
      <c r="B169" s="47"/>
      <c r="C169" s="47"/>
      <c r="D169" s="47"/>
      <c r="E169" s="47"/>
      <c r="F169" s="47"/>
      <c r="G169" s="47"/>
      <c r="H169" s="47"/>
      <c r="I169" s="71" t="s">
        <v>1</v>
      </c>
      <c r="J169" s="71" t="s">
        <v>1</v>
      </c>
      <c r="K169" s="71"/>
      <c r="L169" s="71"/>
      <c r="M169" s="51"/>
      <c r="N169" s="72"/>
      <c r="O169" s="47"/>
      <c r="P169" s="47"/>
      <c r="Q169" s="47"/>
      <c r="R169" s="47"/>
      <c r="S169" s="47"/>
      <c r="T169" s="47"/>
      <c r="U169" s="47"/>
    </row>
    <row r="170" spans="1:21" x14ac:dyDescent="0.25">
      <c r="A170" s="47"/>
      <c r="B170" s="47" t="s">
        <v>202</v>
      </c>
      <c r="C170" s="47"/>
      <c r="D170" s="47"/>
      <c r="E170" s="47"/>
      <c r="F170" s="47"/>
      <c r="G170" s="47"/>
      <c r="H170" s="47"/>
      <c r="I170" s="48">
        <f>+I133</f>
        <v>180000</v>
      </c>
      <c r="J170" s="48"/>
      <c r="K170" s="48"/>
      <c r="L170" s="48"/>
      <c r="M170" s="51"/>
      <c r="N170" s="72"/>
      <c r="O170" s="47"/>
      <c r="P170" s="47"/>
      <c r="Q170" s="47"/>
      <c r="R170" s="47"/>
      <c r="S170" s="47"/>
      <c r="T170" s="47"/>
      <c r="U170" s="47"/>
    </row>
    <row r="171" spans="1:21" x14ac:dyDescent="0.25">
      <c r="A171" s="47"/>
      <c r="B171" s="47" t="s">
        <v>270</v>
      </c>
      <c r="C171" s="47"/>
      <c r="D171" s="47"/>
      <c r="E171" s="47"/>
      <c r="F171" s="47"/>
      <c r="G171" s="47"/>
      <c r="H171" s="47"/>
      <c r="I171" s="48"/>
      <c r="J171" s="48">
        <f>+I170</f>
        <v>180000</v>
      </c>
      <c r="K171" s="48"/>
      <c r="L171" s="48"/>
      <c r="M171" s="51"/>
      <c r="N171" s="72"/>
      <c r="O171" s="47"/>
      <c r="P171" s="47"/>
      <c r="Q171" s="47"/>
      <c r="R171" s="47"/>
      <c r="S171" s="47"/>
      <c r="T171" s="47"/>
      <c r="U171" s="47"/>
    </row>
    <row r="172" spans="1:21" x14ac:dyDescent="0.25">
      <c r="A172" s="47"/>
      <c r="B172" s="47"/>
      <c r="C172" s="47"/>
      <c r="D172" s="47"/>
      <c r="E172" s="47"/>
      <c r="F172" s="47"/>
      <c r="G172" s="47"/>
      <c r="H172" s="47"/>
      <c r="I172" s="71" t="s">
        <v>68</v>
      </c>
      <c r="J172" s="71" t="s">
        <v>28</v>
      </c>
      <c r="K172" s="71"/>
      <c r="L172" s="71"/>
      <c r="M172" s="51"/>
      <c r="N172" s="72"/>
      <c r="O172" s="47"/>
      <c r="P172" s="47"/>
      <c r="Q172" s="47"/>
      <c r="R172" s="47"/>
      <c r="S172" s="47"/>
      <c r="T172" s="47"/>
      <c r="U172" s="47"/>
    </row>
    <row r="173" spans="1:21" x14ac:dyDescent="0.25">
      <c r="A173" s="47"/>
      <c r="B173" s="47"/>
      <c r="C173" s="47"/>
      <c r="D173" s="47"/>
      <c r="E173" s="47"/>
      <c r="F173" s="47"/>
      <c r="G173" s="47"/>
      <c r="H173" s="47"/>
      <c r="I173" s="71" t="s">
        <v>1</v>
      </c>
      <c r="J173" s="71" t="s">
        <v>1</v>
      </c>
      <c r="K173" s="71"/>
      <c r="L173" s="71"/>
      <c r="M173" s="51"/>
      <c r="N173" s="72"/>
      <c r="O173" s="47"/>
      <c r="P173" s="47"/>
      <c r="Q173" s="47"/>
      <c r="R173" s="47"/>
      <c r="S173" s="47"/>
      <c r="T173" s="47"/>
      <c r="U173" s="47"/>
    </row>
    <row r="174" spans="1:21" x14ac:dyDescent="0.25">
      <c r="A174" s="47"/>
      <c r="B174" s="47" t="s">
        <v>240</v>
      </c>
      <c r="C174" s="47"/>
      <c r="D174" s="47"/>
      <c r="E174" s="47"/>
      <c r="F174" s="47"/>
      <c r="G174" s="47"/>
      <c r="H174" s="47"/>
      <c r="I174" s="48">
        <f>+I164</f>
        <v>450000</v>
      </c>
      <c r="J174" s="48"/>
      <c r="K174" s="48"/>
      <c r="L174" s="48"/>
      <c r="M174" s="51"/>
      <c r="N174" s="72"/>
      <c r="O174" s="47"/>
      <c r="P174" s="47"/>
      <c r="Q174" s="47"/>
      <c r="R174" s="47"/>
      <c r="S174" s="47"/>
      <c r="T174" s="47"/>
      <c r="U174" s="47"/>
    </row>
    <row r="175" spans="1:21" x14ac:dyDescent="0.25">
      <c r="A175" s="47"/>
      <c r="B175" s="47" t="s">
        <v>171</v>
      </c>
      <c r="C175" s="47"/>
      <c r="D175" s="47"/>
      <c r="E175" s="47"/>
      <c r="F175" s="47"/>
      <c r="G175" s="47"/>
      <c r="H175" s="47"/>
      <c r="I175" s="48"/>
      <c r="J175" s="48">
        <f>+I174</f>
        <v>450000</v>
      </c>
      <c r="K175" s="48"/>
      <c r="L175" s="48"/>
      <c r="M175" s="51"/>
      <c r="N175" s="72"/>
      <c r="O175" s="47"/>
      <c r="P175" s="47"/>
      <c r="Q175" s="47"/>
      <c r="R175" s="47"/>
      <c r="S175" s="47"/>
      <c r="T175" s="47"/>
      <c r="U175" s="47"/>
    </row>
    <row r="176" spans="1:21" x14ac:dyDescent="0.25">
      <c r="A176" s="281"/>
      <c r="B176" s="281"/>
      <c r="C176" s="281"/>
      <c r="D176" s="281"/>
      <c r="E176" s="281"/>
      <c r="F176" s="281"/>
      <c r="G176" s="281"/>
      <c r="H176" s="281"/>
      <c r="I176" s="290" t="s">
        <v>381</v>
      </c>
      <c r="J176" s="291">
        <f>+J171-I174</f>
        <v>-270000</v>
      </c>
      <c r="K176" s="280" t="s">
        <v>382</v>
      </c>
      <c r="L176" s="280"/>
      <c r="M176" s="282"/>
      <c r="N176" s="72"/>
      <c r="O176" s="47"/>
      <c r="P176" s="47"/>
      <c r="Q176" s="47"/>
      <c r="R176" s="47"/>
      <c r="S176" s="47"/>
      <c r="T176" s="47"/>
      <c r="U176" s="47"/>
    </row>
    <row r="177" spans="1:21" x14ac:dyDescent="0.25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51"/>
      <c r="N177" s="72"/>
      <c r="O177" s="47"/>
      <c r="P177" s="47"/>
      <c r="Q177" s="47"/>
      <c r="R177" s="47"/>
      <c r="S177" s="47"/>
      <c r="T177" s="47"/>
      <c r="U177" s="47"/>
    </row>
    <row r="178" spans="1:21" x14ac:dyDescent="0.25">
      <c r="A178" s="281" t="s">
        <v>570</v>
      </c>
      <c r="B178" s="281"/>
      <c r="C178" s="281"/>
      <c r="D178" s="281"/>
      <c r="E178" s="281"/>
      <c r="F178" s="281"/>
      <c r="G178" s="281"/>
      <c r="H178" s="282"/>
      <c r="I178" s="282"/>
      <c r="J178" s="282"/>
      <c r="K178" s="282"/>
      <c r="L178" s="282"/>
      <c r="M178" s="282"/>
      <c r="N178" s="72"/>
      <c r="O178" s="47"/>
      <c r="P178" s="47"/>
      <c r="Q178" s="47"/>
      <c r="R178" s="47"/>
      <c r="S178" s="47"/>
      <c r="T178" s="47"/>
      <c r="U178" s="47"/>
    </row>
    <row r="179" spans="1:21" x14ac:dyDescent="0.25">
      <c r="A179" s="47"/>
      <c r="B179" s="47"/>
      <c r="C179" s="47"/>
      <c r="D179" s="47"/>
      <c r="E179" s="47"/>
      <c r="F179" s="47"/>
      <c r="G179" s="47"/>
      <c r="H179" s="47"/>
      <c r="I179" s="71"/>
      <c r="J179" s="71" t="s">
        <v>1</v>
      </c>
      <c r="K179" s="71"/>
      <c r="L179" s="71"/>
      <c r="M179" s="51"/>
      <c r="N179" s="72"/>
      <c r="O179" s="47"/>
      <c r="P179" s="47"/>
      <c r="Q179" s="47"/>
      <c r="R179" s="47"/>
      <c r="S179" s="47"/>
      <c r="T179" s="47"/>
      <c r="U179" s="47"/>
    </row>
    <row r="180" spans="1:21" x14ac:dyDescent="0.25">
      <c r="A180" s="47"/>
      <c r="B180" s="51" t="s">
        <v>122</v>
      </c>
      <c r="C180" s="47"/>
      <c r="D180" s="47"/>
      <c r="E180" s="47"/>
      <c r="F180" s="47"/>
      <c r="G180" s="47"/>
      <c r="H180" s="47"/>
      <c r="I180" s="71"/>
      <c r="J180" s="87">
        <v>500000</v>
      </c>
      <c r="K180" s="75"/>
      <c r="L180" s="71"/>
      <c r="M180" s="51"/>
      <c r="N180" s="72"/>
      <c r="O180" s="47"/>
      <c r="P180" s="47"/>
      <c r="Q180" s="47"/>
      <c r="R180" s="47"/>
      <c r="S180" s="47"/>
      <c r="T180" s="47"/>
      <c r="U180" s="47"/>
    </row>
    <row r="181" spans="1:21" x14ac:dyDescent="0.25">
      <c r="A181" s="47"/>
      <c r="B181" s="80" t="s">
        <v>127</v>
      </c>
      <c r="C181" s="47"/>
      <c r="D181" s="47"/>
      <c r="E181" s="47"/>
      <c r="F181" s="47"/>
      <c r="G181" s="47"/>
      <c r="H181" s="47"/>
      <c r="I181" s="48"/>
      <c r="J181" s="48"/>
      <c r="K181" s="48"/>
      <c r="L181" s="48"/>
      <c r="M181" s="51"/>
      <c r="N181" s="72"/>
      <c r="O181" s="47"/>
      <c r="P181" s="47"/>
      <c r="Q181" s="47"/>
      <c r="R181" s="47"/>
      <c r="S181" s="47"/>
      <c r="T181" s="47"/>
      <c r="U181" s="47"/>
    </row>
    <row r="182" spans="1:21" x14ac:dyDescent="0.25">
      <c r="A182" s="47"/>
      <c r="B182" s="47" t="s">
        <v>135</v>
      </c>
      <c r="C182" s="47" t="s">
        <v>380</v>
      </c>
      <c r="D182" s="47"/>
      <c r="E182" s="47"/>
      <c r="F182" s="47"/>
      <c r="G182" s="47"/>
      <c r="H182" s="47"/>
      <c r="I182" s="48"/>
      <c r="J182" s="48">
        <v>400000</v>
      </c>
      <c r="K182" s="48"/>
      <c r="L182" s="48"/>
      <c r="M182" s="51"/>
      <c r="N182" s="72"/>
      <c r="O182" s="47"/>
      <c r="P182" s="47"/>
      <c r="Q182" s="47"/>
      <c r="R182" s="47"/>
      <c r="S182" s="47"/>
      <c r="T182" s="47"/>
      <c r="U182" s="47"/>
    </row>
    <row r="183" spans="1:21" x14ac:dyDescent="0.25">
      <c r="A183" s="47"/>
      <c r="B183" s="278" t="s">
        <v>5</v>
      </c>
      <c r="C183" s="281"/>
      <c r="D183" s="281"/>
      <c r="E183" s="281"/>
      <c r="F183" s="281"/>
      <c r="G183" s="281"/>
      <c r="H183" s="281"/>
      <c r="I183" s="280"/>
      <c r="J183" s="279">
        <f>SUM(J180:J182)</f>
        <v>900000</v>
      </c>
      <c r="K183" s="48"/>
      <c r="L183" s="48"/>
      <c r="M183" s="51"/>
      <c r="N183" s="72"/>
      <c r="O183" s="47"/>
      <c r="P183" s="47"/>
      <c r="Q183" s="47"/>
      <c r="R183" s="47"/>
      <c r="S183" s="47"/>
      <c r="T183" s="47"/>
      <c r="U183" s="47"/>
    </row>
    <row r="184" spans="1:21" x14ac:dyDescent="0.25">
      <c r="A184" s="47"/>
      <c r="B184" s="278" t="s">
        <v>667</v>
      </c>
      <c r="C184" s="281"/>
      <c r="D184" s="281"/>
      <c r="E184" s="281"/>
      <c r="F184" s="281"/>
      <c r="G184" s="281"/>
      <c r="H184" s="281"/>
      <c r="I184" s="289">
        <v>0.3</v>
      </c>
      <c r="J184" s="279">
        <f>+I184*J183</f>
        <v>270000</v>
      </c>
      <c r="K184" s="48"/>
      <c r="L184" s="48"/>
      <c r="M184" s="51"/>
      <c r="N184" s="72"/>
      <c r="O184" s="47"/>
      <c r="P184" s="47"/>
      <c r="Q184" s="47"/>
      <c r="R184" s="47"/>
      <c r="S184" s="47"/>
      <c r="T184" s="47"/>
      <c r="U184" s="47"/>
    </row>
    <row r="185" spans="1:21" x14ac:dyDescent="0.25">
      <c r="A185" s="328" t="s">
        <v>668</v>
      </c>
      <c r="B185" s="47"/>
      <c r="C185" s="47"/>
      <c r="D185" s="47"/>
      <c r="E185" s="47"/>
      <c r="F185" s="47"/>
      <c r="G185" s="47"/>
      <c r="H185" s="47"/>
      <c r="I185" s="48"/>
      <c r="J185" s="48"/>
      <c r="K185" s="48"/>
      <c r="L185" s="48"/>
      <c r="M185" s="51"/>
      <c r="N185" s="72"/>
      <c r="O185" s="47"/>
      <c r="P185" s="47"/>
      <c r="Q185" s="47"/>
      <c r="R185" s="47"/>
      <c r="S185" s="47"/>
      <c r="T185" s="47"/>
      <c r="U185" s="47"/>
    </row>
    <row r="186" spans="1:21" hidden="1" x14ac:dyDescent="0.25">
      <c r="A186" s="328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51"/>
      <c r="N186" s="72"/>
      <c r="O186" s="47"/>
      <c r="P186" s="47"/>
      <c r="Q186" s="47"/>
      <c r="R186" s="47"/>
      <c r="S186" s="47"/>
      <c r="T186" s="47"/>
      <c r="U186" s="47"/>
    </row>
    <row r="187" spans="1:21" hidden="1" x14ac:dyDescent="0.25">
      <c r="A187" s="54" t="s">
        <v>383</v>
      </c>
      <c r="B187" s="54"/>
      <c r="C187" s="54"/>
      <c r="D187" s="54"/>
      <c r="E187" s="54"/>
      <c r="F187" s="54"/>
      <c r="G187" s="54"/>
      <c r="H187" s="74"/>
      <c r="I187" s="74"/>
      <c r="J187" s="74"/>
      <c r="K187" s="74"/>
      <c r="L187" s="74"/>
      <c r="M187" s="51"/>
      <c r="N187" s="72"/>
      <c r="O187" s="47"/>
      <c r="P187" s="47"/>
      <c r="Q187" s="47"/>
      <c r="R187" s="47"/>
      <c r="S187" s="47"/>
      <c r="T187" s="47"/>
      <c r="U187" s="47"/>
    </row>
    <row r="188" spans="1:21" hidden="1" x14ac:dyDescent="0.25">
      <c r="A188" s="47"/>
      <c r="B188" s="47"/>
      <c r="C188" s="47"/>
      <c r="D188" s="47"/>
      <c r="E188" s="47"/>
      <c r="F188" s="47"/>
      <c r="G188" s="47"/>
      <c r="H188" s="47"/>
      <c r="I188" s="71"/>
      <c r="J188" s="71" t="s">
        <v>1</v>
      </c>
      <c r="K188" s="71"/>
      <c r="L188" s="71"/>
      <c r="M188" s="51"/>
      <c r="N188" s="72"/>
      <c r="O188" s="47"/>
      <c r="P188" s="47"/>
      <c r="Q188" s="47"/>
      <c r="R188" s="47"/>
      <c r="S188" s="47"/>
      <c r="T188" s="47"/>
      <c r="U188" s="47"/>
    </row>
    <row r="189" spans="1:21" hidden="1" x14ac:dyDescent="0.25">
      <c r="A189" s="47"/>
      <c r="B189" s="51" t="s">
        <v>122</v>
      </c>
      <c r="C189" s="47"/>
      <c r="D189" s="47"/>
      <c r="E189" s="47"/>
      <c r="F189" s="47"/>
      <c r="G189" s="47"/>
      <c r="H189" s="47"/>
      <c r="I189" s="71"/>
      <c r="J189" s="75">
        <v>500000</v>
      </c>
      <c r="K189" s="75"/>
      <c r="L189" s="71"/>
      <c r="M189" s="51"/>
      <c r="N189" s="72"/>
      <c r="O189" s="47"/>
      <c r="P189" s="47"/>
      <c r="Q189" s="47"/>
      <c r="R189" s="47"/>
      <c r="S189" s="47"/>
      <c r="T189" s="47"/>
      <c r="U189" s="47"/>
    </row>
    <row r="190" spans="1:21" hidden="1" x14ac:dyDescent="0.25">
      <c r="A190" s="47"/>
      <c r="B190" s="80" t="s">
        <v>127</v>
      </c>
      <c r="C190" s="47"/>
      <c r="D190" s="47"/>
      <c r="E190" s="47"/>
      <c r="F190" s="47"/>
      <c r="G190" s="47"/>
      <c r="H190" s="47"/>
      <c r="I190" s="48"/>
      <c r="J190" s="48"/>
      <c r="K190" s="48"/>
      <c r="L190" s="48"/>
      <c r="M190" s="51"/>
      <c r="N190" s="72"/>
      <c r="O190" s="47"/>
      <c r="P190" s="47"/>
      <c r="Q190" s="47"/>
      <c r="R190" s="47"/>
      <c r="S190" s="47"/>
      <c r="T190" s="47"/>
      <c r="U190" s="47"/>
    </row>
    <row r="191" spans="1:21" hidden="1" x14ac:dyDescent="0.25">
      <c r="A191" s="47"/>
      <c r="B191" s="47" t="s">
        <v>135</v>
      </c>
      <c r="C191" s="47" t="s">
        <v>380</v>
      </c>
      <c r="D191" s="47"/>
      <c r="E191" s="47"/>
      <c r="F191" s="47"/>
      <c r="G191" s="47"/>
      <c r="H191" s="47"/>
      <c r="I191" s="48"/>
      <c r="J191" s="48">
        <v>400000</v>
      </c>
      <c r="K191" s="48"/>
      <c r="L191" s="48"/>
      <c r="M191" s="51"/>
      <c r="N191" s="72"/>
      <c r="O191" s="47"/>
      <c r="P191" s="47"/>
      <c r="Q191" s="47"/>
      <c r="R191" s="47"/>
      <c r="S191" s="47"/>
      <c r="T191" s="47"/>
      <c r="U191" s="47"/>
    </row>
    <row r="192" spans="1:21" hidden="1" x14ac:dyDescent="0.25">
      <c r="A192" s="47"/>
      <c r="B192" s="45" t="s">
        <v>5</v>
      </c>
      <c r="C192" s="54"/>
      <c r="D192" s="54"/>
      <c r="E192" s="54"/>
      <c r="F192" s="54"/>
      <c r="G192" s="54"/>
      <c r="H192" s="54"/>
      <c r="I192" s="67"/>
      <c r="J192" s="68">
        <f>SUM(J189:J191)</f>
        <v>900000</v>
      </c>
      <c r="K192" s="48"/>
      <c r="L192" s="48"/>
      <c r="M192" s="51"/>
      <c r="N192" s="72"/>
      <c r="O192" s="47"/>
      <c r="P192" s="47"/>
      <c r="Q192" s="47"/>
      <c r="R192" s="47"/>
      <c r="S192" s="47"/>
      <c r="T192" s="47"/>
      <c r="U192" s="47"/>
    </row>
    <row r="193" spans="1:21" hidden="1" x14ac:dyDescent="0.25">
      <c r="A193" s="47"/>
      <c r="B193" s="45" t="s">
        <v>34</v>
      </c>
      <c r="C193" s="54"/>
      <c r="D193" s="54"/>
      <c r="E193" s="54"/>
      <c r="F193" s="54"/>
      <c r="G193" s="54"/>
      <c r="H193" s="54"/>
      <c r="I193" s="82">
        <v>0.3</v>
      </c>
      <c r="J193" s="68">
        <f>+I193*J192</f>
        <v>270000</v>
      </c>
      <c r="K193" s="48"/>
      <c r="L193" s="48"/>
      <c r="M193" s="51"/>
      <c r="N193" s="72"/>
      <c r="O193" s="47"/>
      <c r="P193" s="47"/>
      <c r="Q193" s="47"/>
      <c r="R193" s="47"/>
      <c r="S193" s="47"/>
      <c r="T193" s="47"/>
      <c r="U193" s="47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51"/>
      <c r="N194" s="72"/>
      <c r="O194" s="47"/>
      <c r="P194" s="47"/>
      <c r="Q194" s="47"/>
      <c r="R194" s="47"/>
      <c r="S194" s="47"/>
      <c r="T194" s="47"/>
      <c r="U194" s="47"/>
    </row>
    <row r="195" spans="1:21" x14ac:dyDescent="0.25">
      <c r="A195" s="403" t="s">
        <v>810</v>
      </c>
      <c r="B195" s="403"/>
      <c r="C195" s="403"/>
      <c r="D195" s="403"/>
      <c r="E195" s="403"/>
      <c r="F195" s="403"/>
      <c r="G195" s="403"/>
      <c r="H195" s="403"/>
      <c r="I195" s="403"/>
      <c r="J195" s="403"/>
      <c r="K195" s="403"/>
      <c r="L195" s="403"/>
      <c r="M195" s="403"/>
      <c r="N195" s="72"/>
    </row>
    <row r="196" spans="1:21" x14ac:dyDescent="0.25">
      <c r="A196" s="278" t="s">
        <v>571</v>
      </c>
      <c r="B196" s="281"/>
      <c r="C196" s="281"/>
      <c r="D196" s="281"/>
      <c r="E196" s="281"/>
      <c r="F196" s="281"/>
      <c r="G196" s="281"/>
      <c r="H196" s="282"/>
      <c r="I196" s="282"/>
      <c r="J196" s="282"/>
      <c r="K196" s="282"/>
      <c r="L196" s="282"/>
      <c r="M196" s="282"/>
      <c r="N196" s="72"/>
      <c r="O196" s="47"/>
      <c r="P196" s="47"/>
      <c r="Q196" s="47"/>
      <c r="R196" s="47"/>
      <c r="S196" s="47"/>
      <c r="T196" s="47"/>
      <c r="U196" s="47"/>
    </row>
    <row r="197" spans="1:21" x14ac:dyDescent="0.25">
      <c r="A197" s="47"/>
      <c r="B197" s="47"/>
      <c r="C197" s="47"/>
      <c r="D197" s="47"/>
      <c r="E197" s="47"/>
      <c r="F197" s="47"/>
      <c r="G197" s="47"/>
      <c r="H197" s="47"/>
      <c r="I197" s="71"/>
      <c r="J197" s="71" t="s">
        <v>33</v>
      </c>
      <c r="K197" s="71"/>
      <c r="L197" s="71"/>
      <c r="M197" s="51"/>
      <c r="N197" s="72"/>
      <c r="O197" s="47"/>
      <c r="P197" s="47"/>
      <c r="Q197" s="47"/>
      <c r="R197" s="47"/>
      <c r="S197" s="47"/>
      <c r="T197" s="47"/>
      <c r="U197" s="47"/>
    </row>
    <row r="198" spans="1:21" x14ac:dyDescent="0.25">
      <c r="A198" s="47"/>
      <c r="B198" s="47"/>
      <c r="C198" s="47"/>
      <c r="D198" s="47"/>
      <c r="E198" s="47"/>
      <c r="F198" s="47"/>
      <c r="G198" s="47"/>
      <c r="H198" s="47"/>
      <c r="I198" s="71"/>
      <c r="J198" s="71" t="s">
        <v>78</v>
      </c>
      <c r="K198" s="71" t="s">
        <v>405</v>
      </c>
      <c r="L198" s="71"/>
      <c r="M198" s="51"/>
      <c r="N198" s="72"/>
      <c r="O198" s="47"/>
      <c r="P198" s="47"/>
      <c r="Q198" s="47"/>
      <c r="R198" s="47"/>
      <c r="S198" s="47"/>
      <c r="T198" s="47"/>
      <c r="U198" s="47"/>
    </row>
    <row r="199" spans="1:21" x14ac:dyDescent="0.25">
      <c r="A199" s="47"/>
      <c r="B199" s="47"/>
      <c r="C199" s="47"/>
      <c r="D199" s="47"/>
      <c r="E199" s="47"/>
      <c r="F199" s="47"/>
      <c r="G199" s="47"/>
      <c r="H199" s="47"/>
      <c r="I199" s="71"/>
      <c r="J199" s="71" t="s">
        <v>1</v>
      </c>
      <c r="K199" s="71" t="s">
        <v>1</v>
      </c>
      <c r="L199" s="71"/>
      <c r="M199" s="51"/>
      <c r="N199" s="72"/>
      <c r="O199" s="47"/>
      <c r="P199" s="47"/>
      <c r="Q199" s="47"/>
      <c r="R199" s="47"/>
      <c r="S199" s="47"/>
      <c r="T199" s="47"/>
      <c r="U199" s="47"/>
    </row>
    <row r="200" spans="1:21" x14ac:dyDescent="0.25">
      <c r="A200" s="47"/>
      <c r="B200" s="51" t="s">
        <v>122</v>
      </c>
      <c r="C200" s="47"/>
      <c r="D200" s="47"/>
      <c r="E200" s="47"/>
      <c r="F200" s="47"/>
      <c r="G200" s="47"/>
      <c r="H200" s="47"/>
      <c r="I200" s="71"/>
      <c r="J200" s="75">
        <v>500000</v>
      </c>
      <c r="K200" s="75">
        <f>+J200*30%</f>
        <v>150000</v>
      </c>
      <c r="L200" s="142" t="s">
        <v>669</v>
      </c>
      <c r="M200" s="51"/>
      <c r="N200" s="72"/>
      <c r="O200" s="47"/>
      <c r="P200" s="47"/>
      <c r="Q200" s="47"/>
      <c r="R200" s="47"/>
      <c r="S200" s="47"/>
      <c r="T200" s="47"/>
      <c r="U200" s="47"/>
    </row>
    <row r="201" spans="1:21" x14ac:dyDescent="0.25">
      <c r="A201" s="47"/>
      <c r="B201" s="80" t="s">
        <v>126</v>
      </c>
      <c r="C201" s="47"/>
      <c r="D201" s="47"/>
      <c r="E201" s="47"/>
      <c r="F201" s="47"/>
      <c r="G201" s="47"/>
      <c r="H201" s="47"/>
      <c r="I201" s="48"/>
      <c r="J201" s="48"/>
      <c r="K201" s="48"/>
      <c r="L201" s="107"/>
      <c r="M201" s="51"/>
      <c r="N201" s="72"/>
      <c r="O201" s="47"/>
      <c r="P201" s="47"/>
      <c r="Q201" s="47"/>
      <c r="R201" s="47"/>
      <c r="S201" s="47"/>
      <c r="T201" s="47"/>
      <c r="U201" s="47"/>
    </row>
    <row r="202" spans="1:21" x14ac:dyDescent="0.25">
      <c r="A202" s="47"/>
      <c r="B202" s="47" t="s">
        <v>135</v>
      </c>
      <c r="C202" s="47" t="s">
        <v>100</v>
      </c>
      <c r="D202" s="47"/>
      <c r="E202" s="47"/>
      <c r="F202" s="47"/>
      <c r="G202" s="47"/>
      <c r="H202" s="47"/>
      <c r="I202" s="48"/>
      <c r="J202" s="48">
        <f>+J143</f>
        <v>100000</v>
      </c>
      <c r="K202" s="66">
        <f t="shared" ref="K202:K206" si="5">+J202*30%</f>
        <v>30000</v>
      </c>
      <c r="L202" s="142" t="s">
        <v>670</v>
      </c>
      <c r="M202" s="51"/>
      <c r="N202" s="72"/>
      <c r="O202" s="47"/>
      <c r="P202" s="47"/>
      <c r="Q202" s="47"/>
      <c r="R202" s="47"/>
      <c r="S202" s="47"/>
      <c r="T202" s="47"/>
      <c r="U202" s="47"/>
    </row>
    <row r="203" spans="1:21" x14ac:dyDescent="0.25">
      <c r="A203" s="47"/>
      <c r="B203" s="47" t="s">
        <v>135</v>
      </c>
      <c r="C203" s="47" t="s">
        <v>4</v>
      </c>
      <c r="D203" s="47"/>
      <c r="E203" s="47"/>
      <c r="F203" s="47"/>
      <c r="G203" s="47"/>
      <c r="H203" s="47"/>
      <c r="I203" s="48"/>
      <c r="J203" s="48">
        <f>+J144</f>
        <v>300000</v>
      </c>
      <c r="K203" s="66">
        <f t="shared" si="5"/>
        <v>90000</v>
      </c>
      <c r="L203" s="142" t="s">
        <v>671</v>
      </c>
      <c r="M203" s="51"/>
      <c r="N203" s="72"/>
      <c r="O203" s="47"/>
      <c r="P203" s="47"/>
      <c r="Q203" s="47"/>
      <c r="R203" s="47"/>
      <c r="S203" s="47"/>
      <c r="T203" s="47"/>
      <c r="U203" s="47"/>
    </row>
    <row r="204" spans="1:21" x14ac:dyDescent="0.25">
      <c r="A204" s="47"/>
      <c r="B204" s="47" t="s">
        <v>135</v>
      </c>
      <c r="C204" s="47" t="s">
        <v>101</v>
      </c>
      <c r="D204" s="47"/>
      <c r="E204" s="47"/>
      <c r="F204" s="47"/>
      <c r="G204" s="47"/>
      <c r="H204" s="47"/>
      <c r="I204" s="48"/>
      <c r="J204" s="48">
        <f>+J145</f>
        <v>200000</v>
      </c>
      <c r="K204" s="66">
        <f t="shared" si="5"/>
        <v>60000</v>
      </c>
      <c r="L204" s="142" t="s">
        <v>672</v>
      </c>
      <c r="M204" s="51"/>
      <c r="N204" s="72"/>
      <c r="O204" s="47"/>
      <c r="P204" s="47"/>
      <c r="Q204" s="47"/>
      <c r="R204" s="47"/>
      <c r="S204" s="47"/>
      <c r="T204" s="47"/>
      <c r="U204" s="47"/>
    </row>
    <row r="205" spans="1:21" x14ac:dyDescent="0.25">
      <c r="A205" s="47"/>
      <c r="B205" s="80" t="s">
        <v>127</v>
      </c>
      <c r="C205" s="47"/>
      <c r="D205" s="47"/>
      <c r="E205" s="47"/>
      <c r="F205" s="47"/>
      <c r="G205" s="47"/>
      <c r="H205" s="47"/>
      <c r="I205" s="48"/>
      <c r="J205" s="48"/>
      <c r="K205" s="48"/>
      <c r="L205" s="107"/>
      <c r="M205" s="51"/>
      <c r="N205" s="72"/>
      <c r="O205" s="47"/>
      <c r="P205" s="47"/>
      <c r="Q205" s="47"/>
      <c r="R205" s="47"/>
      <c r="S205" s="47"/>
      <c r="T205" s="47"/>
      <c r="U205" s="47"/>
    </row>
    <row r="206" spans="1:21" x14ac:dyDescent="0.25">
      <c r="A206" s="47"/>
      <c r="B206" s="47" t="s">
        <v>135</v>
      </c>
      <c r="C206" s="47" t="s">
        <v>380</v>
      </c>
      <c r="D206" s="47"/>
      <c r="E206" s="47"/>
      <c r="F206" s="47"/>
      <c r="G206" s="47"/>
      <c r="H206" s="47"/>
      <c r="I206" s="48"/>
      <c r="J206" s="48">
        <v>400000</v>
      </c>
      <c r="K206" s="66">
        <f t="shared" si="5"/>
        <v>120000</v>
      </c>
      <c r="L206" s="142" t="s">
        <v>673</v>
      </c>
      <c r="M206" s="51"/>
      <c r="N206" s="72"/>
      <c r="O206" s="47"/>
      <c r="P206" s="47"/>
      <c r="Q206" s="47"/>
      <c r="R206" s="47"/>
      <c r="S206" s="47"/>
      <c r="T206" s="47"/>
      <c r="U206" s="47"/>
    </row>
    <row r="207" spans="1:21" x14ac:dyDescent="0.25">
      <c r="A207" s="281"/>
      <c r="B207" s="278"/>
      <c r="C207" s="281"/>
      <c r="D207" s="281"/>
      <c r="E207" s="281"/>
      <c r="F207" s="281"/>
      <c r="G207" s="281"/>
      <c r="H207" s="281"/>
      <c r="I207" s="280"/>
      <c r="J207" s="279">
        <f>SUM(J200:J206)</f>
        <v>1500000</v>
      </c>
      <c r="K207" s="279">
        <f>SUM(K200:K206)</f>
        <v>450000</v>
      </c>
      <c r="L207" s="280"/>
      <c r="M207" s="282"/>
      <c r="N207" s="72"/>
      <c r="O207" s="47"/>
      <c r="P207" s="47"/>
      <c r="Q207" s="47"/>
      <c r="R207" s="47"/>
      <c r="S207" s="47"/>
      <c r="T207" s="47"/>
      <c r="U207" s="47"/>
    </row>
    <row r="208" spans="1:21" x14ac:dyDescent="0.25">
      <c r="A208" s="328" t="s">
        <v>422</v>
      </c>
      <c r="B208" s="47"/>
      <c r="C208" s="47"/>
      <c r="D208" s="47"/>
      <c r="E208" s="47"/>
      <c r="F208" s="47"/>
      <c r="G208" s="47"/>
      <c r="H208" s="47"/>
      <c r="I208" s="48"/>
      <c r="J208" s="48"/>
      <c r="K208" s="48"/>
      <c r="L208" s="48"/>
      <c r="M208" s="51"/>
      <c r="N208" s="72"/>
      <c r="O208" s="47"/>
      <c r="P208" s="47"/>
      <c r="Q208" s="47"/>
      <c r="R208" s="47"/>
      <c r="S208" s="47"/>
      <c r="T208" s="47"/>
      <c r="U208" s="47"/>
    </row>
    <row r="209" spans="1:21" x14ac:dyDescent="0.25">
      <c r="A209" s="47"/>
      <c r="B209" s="47"/>
      <c r="C209" s="47"/>
      <c r="D209" s="47"/>
      <c r="E209" s="47"/>
      <c r="F209" s="47"/>
      <c r="G209" s="47"/>
      <c r="H209" s="47"/>
      <c r="I209" s="48"/>
      <c r="J209" s="48"/>
      <c r="K209" s="48"/>
      <c r="L209" s="48"/>
      <c r="M209" s="51"/>
      <c r="N209" s="72"/>
      <c r="O209" s="47"/>
      <c r="P209" s="47"/>
      <c r="Q209" s="47"/>
      <c r="R209" s="47"/>
      <c r="S209" s="47"/>
      <c r="T209" s="47"/>
      <c r="U209" s="47"/>
    </row>
    <row r="210" spans="1:21" x14ac:dyDescent="0.25">
      <c r="A210" s="403" t="s">
        <v>811</v>
      </c>
      <c r="B210" s="403"/>
      <c r="C210" s="403"/>
      <c r="D210" s="403"/>
      <c r="E210" s="403"/>
      <c r="F210" s="403"/>
      <c r="G210" s="403"/>
      <c r="H210" s="403"/>
      <c r="I210" s="403"/>
      <c r="J210" s="403"/>
      <c r="K210" s="403"/>
      <c r="L210" s="403"/>
      <c r="M210" s="403"/>
      <c r="N210" s="72"/>
    </row>
    <row r="211" spans="1:21" x14ac:dyDescent="0.25">
      <c r="A211" s="281" t="s">
        <v>384</v>
      </c>
      <c r="B211" s="281"/>
      <c r="C211" s="281"/>
      <c r="D211" s="281"/>
      <c r="E211" s="281"/>
      <c r="F211" s="281"/>
      <c r="G211" s="281"/>
      <c r="H211" s="282"/>
      <c r="I211" s="282"/>
      <c r="J211" s="282"/>
      <c r="K211" s="282"/>
      <c r="L211" s="282"/>
      <c r="M211" s="282"/>
      <c r="N211" s="72"/>
      <c r="O211" s="47"/>
      <c r="P211" s="47"/>
      <c r="Q211" s="47"/>
      <c r="R211" s="47"/>
      <c r="S211" s="47"/>
      <c r="T211" s="47"/>
      <c r="U211" s="47"/>
    </row>
    <row r="212" spans="1:21" x14ac:dyDescent="0.25">
      <c r="A212" s="47"/>
      <c r="B212" s="47"/>
      <c r="C212" s="47"/>
      <c r="D212" s="47"/>
      <c r="E212" s="47"/>
      <c r="F212" s="47"/>
      <c r="G212" s="47"/>
      <c r="H212" s="47"/>
      <c r="I212" s="71"/>
      <c r="J212" s="71" t="s">
        <v>33</v>
      </c>
      <c r="K212" s="71" t="s">
        <v>386</v>
      </c>
      <c r="L212" s="71" t="s">
        <v>143</v>
      </c>
      <c r="M212" s="51"/>
      <c r="N212" s="72"/>
      <c r="O212" s="47"/>
      <c r="P212" s="47"/>
      <c r="Q212" s="47"/>
      <c r="R212" s="47"/>
      <c r="S212" s="47"/>
      <c r="T212" s="47"/>
      <c r="U212" s="47"/>
    </row>
    <row r="213" spans="1:21" x14ac:dyDescent="0.25">
      <c r="A213" s="47"/>
      <c r="B213" s="47"/>
      <c r="C213" s="47"/>
      <c r="D213" s="47"/>
      <c r="E213" s="47"/>
      <c r="F213" s="47"/>
      <c r="G213" s="47"/>
      <c r="H213" s="47"/>
      <c r="I213" s="71"/>
      <c r="J213" s="71" t="s">
        <v>78</v>
      </c>
      <c r="K213" s="71" t="s">
        <v>385</v>
      </c>
      <c r="L213" s="71" t="s">
        <v>38</v>
      </c>
      <c r="M213" s="51"/>
      <c r="N213" s="72"/>
      <c r="O213" s="47"/>
      <c r="P213" s="47"/>
      <c r="Q213" s="47"/>
      <c r="R213" s="47"/>
      <c r="S213" s="47"/>
      <c r="T213" s="47"/>
      <c r="U213" s="47"/>
    </row>
    <row r="214" spans="1:21" x14ac:dyDescent="0.25">
      <c r="A214" s="47"/>
      <c r="B214" s="47"/>
      <c r="C214" s="47"/>
      <c r="D214" s="47"/>
      <c r="E214" s="47"/>
      <c r="F214" s="47"/>
      <c r="G214" s="47"/>
      <c r="H214" s="47"/>
      <c r="I214" s="71"/>
      <c r="J214" s="71" t="s">
        <v>1</v>
      </c>
      <c r="K214" s="71" t="s">
        <v>1</v>
      </c>
      <c r="L214" s="71" t="s">
        <v>1</v>
      </c>
      <c r="M214" s="51"/>
      <c r="N214" s="72"/>
      <c r="O214" s="47"/>
      <c r="P214" s="47"/>
      <c r="Q214" s="47"/>
      <c r="R214" s="47"/>
      <c r="S214" s="47"/>
      <c r="T214" s="47"/>
      <c r="U214" s="47"/>
    </row>
    <row r="215" spans="1:21" x14ac:dyDescent="0.25">
      <c r="A215" s="47"/>
      <c r="B215" s="51" t="s">
        <v>122</v>
      </c>
      <c r="C215" s="47"/>
      <c r="D215" s="47"/>
      <c r="E215" s="47"/>
      <c r="F215" s="47"/>
      <c r="G215" s="47"/>
      <c r="H215" s="47"/>
      <c r="I215" s="71"/>
      <c r="J215" s="75">
        <f>+J200</f>
        <v>500000</v>
      </c>
      <c r="K215" s="75">
        <f>+J215*30%</f>
        <v>150000</v>
      </c>
      <c r="L215" s="75">
        <f>+K215</f>
        <v>150000</v>
      </c>
      <c r="M215" s="51"/>
      <c r="N215" s="72"/>
      <c r="O215" s="47"/>
      <c r="P215" s="47"/>
      <c r="Q215" s="47"/>
      <c r="R215" s="47"/>
      <c r="S215" s="47"/>
      <c r="T215" s="47"/>
      <c r="U215" s="47"/>
    </row>
    <row r="216" spans="1:21" x14ac:dyDescent="0.25">
      <c r="A216" s="47"/>
      <c r="B216" s="80" t="s">
        <v>126</v>
      </c>
      <c r="C216" s="47"/>
      <c r="D216" s="47"/>
      <c r="E216" s="47"/>
      <c r="F216" s="47"/>
      <c r="G216" s="47"/>
      <c r="H216" s="47"/>
      <c r="I216" s="48"/>
      <c r="J216" s="48"/>
      <c r="K216" s="48"/>
      <c r="L216" s="48"/>
      <c r="M216" s="51"/>
      <c r="N216" s="72"/>
      <c r="O216" s="47"/>
      <c r="P216" s="47"/>
      <c r="Q216" s="47"/>
      <c r="R216" s="47"/>
      <c r="S216" s="47"/>
      <c r="T216" s="47"/>
      <c r="U216" s="47"/>
    </row>
    <row r="217" spans="1:21" x14ac:dyDescent="0.25">
      <c r="A217" s="47"/>
      <c r="B217" s="47" t="s">
        <v>135</v>
      </c>
      <c r="C217" s="47" t="s">
        <v>100</v>
      </c>
      <c r="D217" s="47"/>
      <c r="E217" s="47"/>
      <c r="F217" s="47"/>
      <c r="G217" s="47"/>
      <c r="H217" s="47"/>
      <c r="I217" s="48"/>
      <c r="J217" s="48">
        <f>+J202</f>
        <v>100000</v>
      </c>
      <c r="K217" s="66">
        <f t="shared" ref="K217:K221" si="6">+J217*30%</f>
        <v>30000</v>
      </c>
      <c r="L217" s="292"/>
      <c r="M217" s="51"/>
      <c r="N217" s="72"/>
      <c r="O217" s="47"/>
      <c r="P217" s="47"/>
      <c r="Q217" s="47"/>
      <c r="R217" s="47"/>
      <c r="S217" s="47"/>
      <c r="T217" s="47"/>
      <c r="U217" s="47"/>
    </row>
    <row r="218" spans="1:21" x14ac:dyDescent="0.25">
      <c r="A218" s="47"/>
      <c r="B218" s="47" t="s">
        <v>135</v>
      </c>
      <c r="C218" s="47" t="s">
        <v>4</v>
      </c>
      <c r="D218" s="47"/>
      <c r="E218" s="47"/>
      <c r="F218" s="47"/>
      <c r="G218" s="47"/>
      <c r="H218" s="47"/>
      <c r="I218" s="48"/>
      <c r="J218" s="48">
        <f>+J203</f>
        <v>300000</v>
      </c>
      <c r="K218" s="66">
        <f t="shared" si="6"/>
        <v>90000</v>
      </c>
      <c r="L218" s="292"/>
      <c r="M218" s="51"/>
      <c r="N218" s="72"/>
      <c r="O218" s="47"/>
      <c r="P218" s="47"/>
      <c r="Q218" s="47"/>
      <c r="R218" s="47"/>
      <c r="S218" s="47"/>
      <c r="T218" s="47"/>
      <c r="U218" s="47"/>
    </row>
    <row r="219" spans="1:21" x14ac:dyDescent="0.25">
      <c r="A219" s="47"/>
      <c r="B219" s="47" t="s">
        <v>135</v>
      </c>
      <c r="C219" s="47" t="s">
        <v>101</v>
      </c>
      <c r="D219" s="47"/>
      <c r="E219" s="47"/>
      <c r="F219" s="47"/>
      <c r="G219" s="47"/>
      <c r="H219" s="47"/>
      <c r="I219" s="48"/>
      <c r="J219" s="48">
        <f>+J204</f>
        <v>200000</v>
      </c>
      <c r="K219" s="66">
        <f t="shared" si="6"/>
        <v>60000</v>
      </c>
      <c r="L219" s="292"/>
      <c r="M219" s="51"/>
      <c r="N219" s="72"/>
      <c r="O219" s="47"/>
      <c r="P219" s="47"/>
      <c r="Q219" s="47"/>
      <c r="R219" s="47"/>
      <c r="S219" s="47"/>
      <c r="T219" s="47"/>
      <c r="U219" s="47"/>
    </row>
    <row r="220" spans="1:21" x14ac:dyDescent="0.25">
      <c r="A220" s="47"/>
      <c r="B220" s="80" t="s">
        <v>127</v>
      </c>
      <c r="C220" s="47"/>
      <c r="D220" s="47"/>
      <c r="E220" s="47"/>
      <c r="F220" s="47"/>
      <c r="G220" s="47"/>
      <c r="H220" s="47"/>
      <c r="I220" s="48"/>
      <c r="J220" s="48"/>
      <c r="K220" s="48"/>
      <c r="L220" s="48"/>
      <c r="M220" s="51"/>
      <c r="N220" s="72"/>
      <c r="O220" s="47"/>
      <c r="P220" s="47"/>
      <c r="Q220" s="47"/>
      <c r="R220" s="47"/>
      <c r="S220" s="47"/>
      <c r="T220" s="47"/>
      <c r="U220" s="47"/>
    </row>
    <row r="221" spans="1:21" x14ac:dyDescent="0.25">
      <c r="A221" s="47"/>
      <c r="B221" s="47" t="s">
        <v>135</v>
      </c>
      <c r="C221" s="47" t="s">
        <v>380</v>
      </c>
      <c r="D221" s="47"/>
      <c r="E221" s="47"/>
      <c r="F221" s="47"/>
      <c r="G221" s="47"/>
      <c r="H221" s="47"/>
      <c r="I221" s="48"/>
      <c r="J221" s="48">
        <f>+J206</f>
        <v>400000</v>
      </c>
      <c r="K221" s="66">
        <f t="shared" si="6"/>
        <v>120000</v>
      </c>
      <c r="L221" s="66">
        <f>+K221</f>
        <v>120000</v>
      </c>
      <c r="M221" s="51"/>
      <c r="N221" s="72"/>
      <c r="O221" s="47"/>
      <c r="P221" s="47"/>
      <c r="Q221" s="47"/>
      <c r="R221" s="47"/>
      <c r="S221" s="47"/>
      <c r="T221" s="47"/>
      <c r="U221" s="47"/>
    </row>
    <row r="222" spans="1:21" x14ac:dyDescent="0.25">
      <c r="A222" s="281"/>
      <c r="B222" s="278"/>
      <c r="C222" s="281"/>
      <c r="D222" s="281"/>
      <c r="E222" s="281"/>
      <c r="F222" s="281"/>
      <c r="G222" s="281"/>
      <c r="H222" s="281"/>
      <c r="I222" s="280"/>
      <c r="J222" s="279">
        <f>SUM(J215:J221)</f>
        <v>1500000</v>
      </c>
      <c r="K222" s="279">
        <f>SUM(K215:K221)</f>
        <v>450000</v>
      </c>
      <c r="L222" s="279">
        <f>SUM(L215:L221)</f>
        <v>270000</v>
      </c>
      <c r="M222" s="282"/>
      <c r="N222" s="72"/>
      <c r="O222" s="47"/>
      <c r="P222" s="47"/>
      <c r="Q222" s="47"/>
      <c r="R222" s="47"/>
      <c r="S222" s="47"/>
      <c r="T222" s="47"/>
      <c r="U222" s="47"/>
    </row>
    <row r="223" spans="1:21" x14ac:dyDescent="0.25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51"/>
      <c r="N223" s="72"/>
      <c r="O223" s="47"/>
      <c r="P223" s="47"/>
      <c r="Q223" s="47"/>
      <c r="R223" s="47"/>
      <c r="S223" s="47"/>
      <c r="T223" s="47"/>
      <c r="U223" s="47"/>
    </row>
    <row r="224" spans="1:21" x14ac:dyDescent="0.25">
      <c r="A224" s="281" t="s">
        <v>388</v>
      </c>
      <c r="B224" s="281"/>
      <c r="C224" s="281"/>
      <c r="D224" s="281"/>
      <c r="E224" s="281"/>
      <c r="F224" s="281"/>
      <c r="G224" s="281"/>
      <c r="H224" s="282"/>
      <c r="I224" s="282"/>
      <c r="J224" s="282"/>
      <c r="K224" s="282"/>
      <c r="L224" s="282"/>
      <c r="M224" s="282"/>
      <c r="N224" s="72"/>
      <c r="O224" s="47"/>
      <c r="P224" s="47"/>
      <c r="Q224" s="47"/>
      <c r="R224" s="47"/>
      <c r="S224" s="47"/>
      <c r="T224" s="47"/>
      <c r="U224" s="47"/>
    </row>
    <row r="225" spans="1:21" x14ac:dyDescent="0.25">
      <c r="A225" s="71"/>
      <c r="B225" s="71"/>
      <c r="C225" s="47"/>
      <c r="D225" s="71"/>
      <c r="E225" s="71"/>
      <c r="F225" s="71"/>
      <c r="G225" s="71"/>
      <c r="H225" s="71"/>
      <c r="I225" s="71"/>
      <c r="J225" s="71"/>
      <c r="K225" s="66" t="s">
        <v>1</v>
      </c>
      <c r="L225" s="71"/>
      <c r="M225" s="51"/>
      <c r="N225" s="72"/>
      <c r="O225" s="47"/>
      <c r="P225" s="47"/>
      <c r="Q225" s="47"/>
      <c r="R225" s="47"/>
      <c r="S225" s="47"/>
      <c r="T225" s="47"/>
      <c r="U225" s="47"/>
    </row>
    <row r="226" spans="1:21" x14ac:dyDescent="0.25">
      <c r="A226" s="71"/>
      <c r="B226" s="71"/>
      <c r="C226" s="47" t="s">
        <v>390</v>
      </c>
      <c r="D226" s="71"/>
      <c r="E226" s="71"/>
      <c r="F226" s="71"/>
      <c r="G226" s="71"/>
      <c r="H226" s="71"/>
      <c r="I226" s="71"/>
      <c r="J226" s="71"/>
      <c r="K226" s="66">
        <v>50000</v>
      </c>
      <c r="L226" s="71"/>
      <c r="M226" s="51"/>
      <c r="N226" s="72"/>
      <c r="O226" s="47"/>
      <c r="P226" s="47"/>
      <c r="Q226" s="47"/>
      <c r="R226" s="47"/>
      <c r="S226" s="47"/>
      <c r="T226" s="47"/>
      <c r="U226" s="47"/>
    </row>
    <row r="227" spans="1:21" x14ac:dyDescent="0.25">
      <c r="A227" s="71"/>
      <c r="B227" s="71"/>
      <c r="C227" s="47" t="s">
        <v>391</v>
      </c>
      <c r="D227" s="71"/>
      <c r="E227" s="71"/>
      <c r="F227" s="71"/>
      <c r="G227" s="71"/>
      <c r="H227" s="71"/>
      <c r="I227" s="71"/>
      <c r="J227" s="71"/>
      <c r="K227" s="66">
        <v>40000</v>
      </c>
      <c r="L227" s="71"/>
      <c r="M227" s="51"/>
      <c r="N227" s="72"/>
      <c r="O227" s="47"/>
      <c r="P227" s="47"/>
      <c r="Q227" s="47"/>
      <c r="R227" s="47"/>
      <c r="S227" s="47"/>
      <c r="T227" s="47"/>
      <c r="U227" s="47"/>
    </row>
    <row r="228" spans="1:21" x14ac:dyDescent="0.25">
      <c r="A228" s="71"/>
      <c r="B228" s="71"/>
      <c r="C228" s="47" t="s">
        <v>389</v>
      </c>
      <c r="D228" s="71"/>
      <c r="E228" s="71"/>
      <c r="F228" s="71"/>
      <c r="G228" s="71"/>
      <c r="H228" s="71"/>
      <c r="I228" s="71"/>
      <c r="J228" s="71"/>
      <c r="K228" s="66">
        <v>30000</v>
      </c>
      <c r="L228" s="71"/>
      <c r="M228" s="51"/>
      <c r="N228" s="72"/>
      <c r="O228" s="47"/>
      <c r="P228" s="47"/>
      <c r="Q228" s="47"/>
      <c r="R228" s="47"/>
      <c r="S228" s="47"/>
      <c r="T228" s="47"/>
      <c r="U228" s="47"/>
    </row>
    <row r="229" spans="1:21" x14ac:dyDescent="0.25">
      <c r="A229" s="71"/>
      <c r="B229" s="71"/>
      <c r="C229" s="47"/>
      <c r="D229" s="71"/>
      <c r="E229" s="71"/>
      <c r="F229" s="71"/>
      <c r="G229" s="71"/>
      <c r="H229" s="71"/>
      <c r="I229" s="71"/>
      <c r="J229" s="71"/>
      <c r="K229" s="66"/>
      <c r="L229" s="71"/>
      <c r="M229" s="51"/>
      <c r="N229" s="72"/>
      <c r="O229" s="47"/>
      <c r="P229" s="47"/>
      <c r="Q229" s="47"/>
      <c r="R229" s="47"/>
      <c r="S229" s="47"/>
      <c r="T229" s="47"/>
      <c r="U229" s="47"/>
    </row>
    <row r="230" spans="1:21" x14ac:dyDescent="0.25">
      <c r="A230" s="403" t="s">
        <v>812</v>
      </c>
      <c r="B230" s="403"/>
      <c r="C230" s="403"/>
      <c r="D230" s="403"/>
      <c r="E230" s="403"/>
      <c r="F230" s="403"/>
      <c r="G230" s="403"/>
      <c r="H230" s="403"/>
      <c r="I230" s="403"/>
      <c r="J230" s="403"/>
      <c r="K230" s="403"/>
      <c r="L230" s="403"/>
      <c r="M230" s="403"/>
      <c r="N230" s="72"/>
    </row>
    <row r="231" spans="1:21" x14ac:dyDescent="0.25">
      <c r="A231" s="281" t="s">
        <v>387</v>
      </c>
      <c r="B231" s="281"/>
      <c r="C231" s="281"/>
      <c r="D231" s="281"/>
      <c r="E231" s="281"/>
      <c r="F231" s="281"/>
      <c r="G231" s="281"/>
      <c r="H231" s="282"/>
      <c r="I231" s="282"/>
      <c r="J231" s="282"/>
      <c r="K231" s="282"/>
      <c r="L231" s="282"/>
      <c r="M231" s="282"/>
      <c r="N231" s="72"/>
      <c r="O231" s="47"/>
      <c r="P231" s="47"/>
      <c r="Q231" s="47"/>
      <c r="R231" s="47"/>
      <c r="S231" s="47"/>
      <c r="T231" s="47"/>
      <c r="U231" s="47"/>
    </row>
    <row r="232" spans="1:21" x14ac:dyDescent="0.25">
      <c r="A232" s="71"/>
      <c r="B232" s="71"/>
      <c r="C232" s="71"/>
      <c r="D232" s="71"/>
      <c r="E232" s="71"/>
      <c r="F232" s="71"/>
      <c r="G232" s="71"/>
      <c r="H232" s="71"/>
      <c r="I232" s="71" t="s">
        <v>107</v>
      </c>
      <c r="J232" s="71" t="s">
        <v>107</v>
      </c>
      <c r="K232" s="71"/>
      <c r="L232" s="71"/>
      <c r="M232" s="51"/>
      <c r="N232" s="72"/>
      <c r="O232" s="47"/>
      <c r="P232" s="47"/>
      <c r="Q232" s="47"/>
      <c r="R232" s="47"/>
      <c r="S232" s="47"/>
      <c r="T232" s="47"/>
      <c r="U232" s="47"/>
    </row>
    <row r="233" spans="1:21" x14ac:dyDescent="0.25">
      <c r="A233" s="71"/>
      <c r="B233" s="71"/>
      <c r="C233" s="71"/>
      <c r="D233" s="71"/>
      <c r="E233" s="71"/>
      <c r="F233" s="71"/>
      <c r="G233" s="71"/>
      <c r="H233" s="71"/>
      <c r="I233" s="71" t="s">
        <v>110</v>
      </c>
      <c r="J233" s="71" t="s">
        <v>78</v>
      </c>
      <c r="K233" s="71" t="s">
        <v>276</v>
      </c>
      <c r="L233" s="71" t="s">
        <v>277</v>
      </c>
      <c r="M233" s="51"/>
      <c r="N233" s="72"/>
      <c r="O233" s="47"/>
      <c r="P233" s="47"/>
      <c r="Q233" s="47"/>
      <c r="R233" s="47"/>
      <c r="S233" s="47"/>
      <c r="T233" s="47"/>
      <c r="U233" s="47"/>
    </row>
    <row r="234" spans="1:21" x14ac:dyDescent="0.25">
      <c r="A234" s="71"/>
      <c r="B234" s="71"/>
      <c r="C234" s="71"/>
      <c r="D234" s="71"/>
      <c r="E234" s="71"/>
      <c r="F234" s="71"/>
      <c r="G234" s="71"/>
      <c r="H234" s="71"/>
      <c r="I234" s="71" t="s">
        <v>1</v>
      </c>
      <c r="J234" s="71" t="s">
        <v>1</v>
      </c>
      <c r="K234" s="71" t="s">
        <v>1</v>
      </c>
      <c r="L234" s="71" t="s">
        <v>1</v>
      </c>
      <c r="M234" s="51"/>
      <c r="N234" s="72"/>
      <c r="O234" s="47"/>
      <c r="P234" s="47"/>
      <c r="Q234" s="47"/>
      <c r="R234" s="47"/>
      <c r="S234" s="47"/>
      <c r="T234" s="47"/>
      <c r="U234" s="47"/>
    </row>
    <row r="235" spans="1:21" x14ac:dyDescent="0.25">
      <c r="A235" s="71"/>
      <c r="B235" s="71"/>
      <c r="C235" s="71"/>
      <c r="D235" s="51" t="s">
        <v>112</v>
      </c>
      <c r="E235" s="51"/>
      <c r="F235" s="51"/>
      <c r="G235" s="51"/>
      <c r="H235" s="71"/>
      <c r="I235" s="71"/>
      <c r="J235" s="71"/>
      <c r="K235" s="71"/>
      <c r="L235" s="71"/>
      <c r="M235" s="51"/>
      <c r="N235" s="72"/>
      <c r="O235" s="47"/>
      <c r="P235" s="47"/>
      <c r="Q235" s="47"/>
      <c r="R235" s="47"/>
      <c r="S235" s="47"/>
      <c r="T235" s="47"/>
      <c r="U235" s="47"/>
    </row>
    <row r="236" spans="1:21" x14ac:dyDescent="0.25">
      <c r="A236" s="71"/>
      <c r="B236" s="71"/>
      <c r="C236" s="71"/>
      <c r="D236" s="47" t="s">
        <v>118</v>
      </c>
      <c r="E236" s="47"/>
      <c r="F236" s="47"/>
      <c r="G236" s="47"/>
      <c r="H236" s="71"/>
      <c r="I236" s="66">
        <f>+I114</f>
        <v>500000</v>
      </c>
      <c r="J236" s="66">
        <f>+J114</f>
        <v>500000</v>
      </c>
      <c r="K236" s="71"/>
      <c r="L236" s="71"/>
      <c r="M236" s="51"/>
      <c r="N236" s="72"/>
      <c r="O236" s="47"/>
      <c r="P236" s="47"/>
      <c r="Q236" s="47"/>
      <c r="R236" s="47"/>
      <c r="S236" s="47"/>
      <c r="T236" s="47"/>
      <c r="U236" s="47"/>
    </row>
    <row r="237" spans="1:21" x14ac:dyDescent="0.25">
      <c r="A237" s="51" t="s">
        <v>377</v>
      </c>
      <c r="B237" s="71"/>
      <c r="C237" s="71"/>
      <c r="D237" s="47" t="s">
        <v>374</v>
      </c>
      <c r="E237" s="47"/>
      <c r="F237" s="47"/>
      <c r="G237" s="47"/>
      <c r="H237" s="71"/>
      <c r="I237" s="78">
        <f>+I115-K226</f>
        <v>-150000</v>
      </c>
      <c r="J237" s="78">
        <v>0</v>
      </c>
      <c r="K237" s="71"/>
      <c r="L237" s="71"/>
      <c r="M237" s="51"/>
      <c r="N237" s="72"/>
      <c r="O237" s="47"/>
      <c r="P237" s="47"/>
      <c r="Q237" s="47"/>
      <c r="R237" s="47"/>
      <c r="S237" s="47"/>
      <c r="T237" s="47"/>
      <c r="U237" s="47"/>
    </row>
    <row r="238" spans="1:21" x14ac:dyDescent="0.25">
      <c r="A238" s="71"/>
      <c r="B238" s="71"/>
      <c r="C238" s="71"/>
      <c r="D238" s="71"/>
      <c r="E238" s="71"/>
      <c r="F238" s="71"/>
      <c r="G238" s="71"/>
      <c r="H238" s="71"/>
      <c r="I238" s="285">
        <f>+I236+I237</f>
        <v>350000</v>
      </c>
      <c r="J238" s="285">
        <f>+J236+J237</f>
        <v>500000</v>
      </c>
      <c r="K238" s="285">
        <f>+J238-I238</f>
        <v>150000</v>
      </c>
      <c r="L238" s="326">
        <f>+K238*30%</f>
        <v>45000</v>
      </c>
      <c r="M238" s="51"/>
      <c r="N238" s="72"/>
      <c r="O238" s="47"/>
      <c r="P238" s="47"/>
      <c r="Q238" s="47"/>
      <c r="R238" s="47"/>
      <c r="S238" s="47"/>
      <c r="T238" s="47"/>
      <c r="U238" s="47"/>
    </row>
    <row r="239" spans="1:21" x14ac:dyDescent="0.25">
      <c r="A239" s="71"/>
      <c r="B239" s="71"/>
      <c r="C239" s="71"/>
      <c r="D239" s="71"/>
      <c r="E239" s="71"/>
      <c r="F239" s="71"/>
      <c r="G239" s="71"/>
      <c r="H239" s="71"/>
      <c r="I239" s="71"/>
      <c r="J239" s="71"/>
      <c r="K239" s="71"/>
      <c r="L239" s="329" t="s">
        <v>663</v>
      </c>
      <c r="M239" s="51"/>
      <c r="N239" s="72"/>
      <c r="O239" s="47"/>
      <c r="P239" s="47"/>
      <c r="Q239" s="47"/>
      <c r="R239" s="47"/>
      <c r="S239" s="47"/>
      <c r="T239" s="47"/>
      <c r="U239" s="47"/>
    </row>
    <row r="240" spans="1:21" x14ac:dyDescent="0.25">
      <c r="A240" s="71"/>
      <c r="B240" s="71"/>
      <c r="C240" s="71"/>
      <c r="D240" s="51" t="s">
        <v>93</v>
      </c>
      <c r="E240" s="51"/>
      <c r="F240" s="51"/>
      <c r="G240" s="51"/>
      <c r="H240" s="71"/>
      <c r="I240" s="71"/>
      <c r="J240" s="71"/>
      <c r="K240" s="71"/>
      <c r="L240" s="71"/>
      <c r="M240" s="51"/>
      <c r="N240" s="72"/>
      <c r="O240" s="47"/>
      <c r="P240" s="47"/>
      <c r="Q240" s="47"/>
      <c r="R240" s="47"/>
      <c r="S240" s="47"/>
      <c r="T240" s="47"/>
      <c r="U240" s="47"/>
    </row>
    <row r="241" spans="1:21" x14ac:dyDescent="0.25">
      <c r="A241" s="71"/>
      <c r="B241" s="71"/>
      <c r="C241" s="71"/>
      <c r="D241" s="47" t="s">
        <v>37</v>
      </c>
      <c r="E241" s="47"/>
      <c r="F241" s="47"/>
      <c r="G241" s="47"/>
      <c r="H241" s="71"/>
      <c r="I241" s="66">
        <f>+I119</f>
        <v>400000</v>
      </c>
      <c r="J241" s="66">
        <f>+J119</f>
        <v>400000</v>
      </c>
      <c r="K241" s="71"/>
      <c r="L241" s="71"/>
      <c r="M241" s="51"/>
      <c r="N241" s="72"/>
      <c r="O241" s="47"/>
      <c r="P241" s="47"/>
      <c r="Q241" s="47"/>
      <c r="R241" s="47"/>
      <c r="S241" s="47"/>
      <c r="T241" s="47"/>
      <c r="U241" s="47"/>
    </row>
    <row r="242" spans="1:21" x14ac:dyDescent="0.25">
      <c r="A242" s="51" t="s">
        <v>376</v>
      </c>
      <c r="B242" s="71"/>
      <c r="C242" s="71"/>
      <c r="D242" s="47" t="s">
        <v>374</v>
      </c>
      <c r="E242" s="47"/>
      <c r="F242" s="47"/>
      <c r="G242" s="47"/>
      <c r="H242" s="71"/>
      <c r="I242" s="78">
        <f>+I120-K227</f>
        <v>-340000</v>
      </c>
      <c r="J242" s="78">
        <v>0</v>
      </c>
      <c r="K242" s="71"/>
      <c r="L242" s="71"/>
      <c r="M242" s="51"/>
      <c r="N242" s="72"/>
      <c r="O242" s="47"/>
      <c r="P242" s="47"/>
      <c r="Q242" s="47"/>
      <c r="R242" s="47"/>
      <c r="S242" s="47"/>
      <c r="T242" s="47"/>
      <c r="U242" s="47"/>
    </row>
    <row r="243" spans="1:21" x14ac:dyDescent="0.25">
      <c r="A243" s="71"/>
      <c r="B243" s="71"/>
      <c r="C243" s="71"/>
      <c r="D243" s="71"/>
      <c r="E243" s="71"/>
      <c r="F243" s="71"/>
      <c r="G243" s="71"/>
      <c r="H243" s="71"/>
      <c r="I243" s="285">
        <f>+I241+I242</f>
        <v>60000</v>
      </c>
      <c r="J243" s="285">
        <f>+J241+J242</f>
        <v>400000</v>
      </c>
      <c r="K243" s="285">
        <f>+J243-I243</f>
        <v>340000</v>
      </c>
      <c r="L243" s="326">
        <f>+K243*30%</f>
        <v>102000</v>
      </c>
      <c r="M243" s="51"/>
      <c r="N243" s="72"/>
      <c r="O243" s="47"/>
      <c r="P243" s="47"/>
      <c r="Q243" s="47"/>
      <c r="R243" s="47"/>
      <c r="S243" s="47"/>
      <c r="T243" s="47"/>
      <c r="U243" s="47"/>
    </row>
    <row r="244" spans="1:21" x14ac:dyDescent="0.25">
      <c r="A244" s="71"/>
      <c r="B244" s="71"/>
      <c r="C244" s="71"/>
      <c r="D244" s="71"/>
      <c r="E244" s="71"/>
      <c r="F244" s="71"/>
      <c r="G244" s="71"/>
      <c r="H244" s="71"/>
      <c r="I244" s="71"/>
      <c r="J244" s="71"/>
      <c r="K244" s="71"/>
      <c r="L244" s="329" t="s">
        <v>664</v>
      </c>
      <c r="M244" s="51"/>
      <c r="N244" s="72"/>
      <c r="O244" s="47"/>
      <c r="P244" s="47"/>
      <c r="Q244" s="47"/>
      <c r="R244" s="47"/>
      <c r="S244" s="47"/>
      <c r="T244" s="47"/>
      <c r="U244" s="47"/>
    </row>
    <row r="245" spans="1:21" x14ac:dyDescent="0.25">
      <c r="A245" s="71"/>
      <c r="B245" s="71"/>
      <c r="C245" s="71"/>
      <c r="D245" s="51" t="s">
        <v>375</v>
      </c>
      <c r="E245" s="51"/>
      <c r="F245" s="51"/>
      <c r="G245" s="51"/>
      <c r="H245" s="71"/>
      <c r="I245" s="71"/>
      <c r="J245" s="71"/>
      <c r="K245" s="71"/>
      <c r="L245" s="71"/>
      <c r="M245" s="51"/>
      <c r="N245" s="72"/>
      <c r="O245" s="47"/>
      <c r="P245" s="47"/>
      <c r="Q245" s="47"/>
      <c r="R245" s="47"/>
      <c r="S245" s="47"/>
      <c r="T245" s="47"/>
      <c r="U245" s="47"/>
    </row>
    <row r="246" spans="1:21" x14ac:dyDescent="0.25">
      <c r="A246" s="51" t="s">
        <v>378</v>
      </c>
      <c r="B246" s="71"/>
      <c r="C246" s="71"/>
      <c r="D246" s="47" t="s">
        <v>101</v>
      </c>
      <c r="E246" s="47"/>
      <c r="F246" s="47"/>
      <c r="G246" s="47"/>
      <c r="H246" s="71"/>
      <c r="I246" s="66">
        <f>+I124+K228</f>
        <v>230000</v>
      </c>
      <c r="J246" s="66">
        <f>+J124</f>
        <v>0</v>
      </c>
      <c r="K246" s="66">
        <v>0</v>
      </c>
      <c r="L246" s="66">
        <v>0</v>
      </c>
      <c r="M246" s="51"/>
      <c r="N246" s="72"/>
      <c r="O246" s="47"/>
      <c r="P246" s="47"/>
      <c r="Q246" s="47"/>
      <c r="R246" s="47"/>
      <c r="S246" s="47"/>
      <c r="T246" s="47"/>
      <c r="U246" s="47"/>
    </row>
    <row r="247" spans="1:21" x14ac:dyDescent="0.25">
      <c r="A247" s="71"/>
      <c r="B247" s="71"/>
      <c r="C247" s="71"/>
      <c r="D247" s="71"/>
      <c r="E247" s="71"/>
      <c r="F247" s="71"/>
      <c r="G247" s="71"/>
      <c r="H247" s="71"/>
      <c r="I247" s="285">
        <f>+I246</f>
        <v>230000</v>
      </c>
      <c r="J247" s="285">
        <f>+J246</f>
        <v>0</v>
      </c>
      <c r="K247" s="285">
        <f>+I247-J247</f>
        <v>230000</v>
      </c>
      <c r="L247" s="326">
        <f>+K247*30%</f>
        <v>69000</v>
      </c>
      <c r="M247" s="51"/>
      <c r="N247" s="72"/>
      <c r="O247" s="47"/>
      <c r="P247" s="47"/>
      <c r="Q247" s="47"/>
      <c r="R247" s="47"/>
      <c r="S247" s="47"/>
      <c r="T247" s="47"/>
      <c r="U247" s="47"/>
    </row>
    <row r="248" spans="1:21" x14ac:dyDescent="0.25">
      <c r="A248" s="71"/>
      <c r="B248" s="71"/>
      <c r="C248" s="71"/>
      <c r="D248" s="71"/>
      <c r="E248" s="71"/>
      <c r="F248" s="71"/>
      <c r="G248" s="71"/>
      <c r="H248" s="71"/>
      <c r="I248" s="71"/>
      <c r="J248" s="71"/>
      <c r="K248" s="71"/>
      <c r="L248" s="329" t="s">
        <v>665</v>
      </c>
      <c r="M248" s="51"/>
      <c r="N248" s="72"/>
      <c r="O248" s="47"/>
      <c r="P248" s="47"/>
      <c r="Q248" s="47"/>
      <c r="R248" s="47"/>
      <c r="S248" s="47"/>
      <c r="T248" s="47"/>
      <c r="U248" s="47"/>
    </row>
    <row r="249" spans="1:21" x14ac:dyDescent="0.25">
      <c r="A249" s="284"/>
      <c r="B249" s="284"/>
      <c r="C249" s="284"/>
      <c r="D249" s="284"/>
      <c r="E249" s="284"/>
      <c r="F249" s="284"/>
      <c r="G249" s="284"/>
      <c r="H249" s="284"/>
      <c r="I249" s="284"/>
      <c r="J249" s="286" t="s">
        <v>398</v>
      </c>
      <c r="K249" s="285">
        <f>K243+K238+K247</f>
        <v>720000</v>
      </c>
      <c r="L249" s="326">
        <f>L243+L238+L247</f>
        <v>216000</v>
      </c>
      <c r="M249" s="51"/>
      <c r="N249" s="72"/>
      <c r="O249" s="47"/>
      <c r="P249" s="47"/>
      <c r="Q249" s="47"/>
      <c r="R249" s="47"/>
      <c r="S249" s="47"/>
      <c r="T249" s="47"/>
      <c r="U249" s="47"/>
    </row>
    <row r="250" spans="1:21" x14ac:dyDescent="0.25">
      <c r="A250" s="71"/>
      <c r="B250" s="71"/>
      <c r="C250" s="71"/>
      <c r="D250" s="71"/>
      <c r="E250" s="71"/>
      <c r="F250" s="71"/>
      <c r="G250" s="71"/>
      <c r="H250" s="71"/>
      <c r="I250" s="71"/>
      <c r="J250" s="71"/>
      <c r="K250" s="71"/>
      <c r="L250" s="329" t="s">
        <v>666</v>
      </c>
      <c r="M250" s="51"/>
      <c r="N250" s="72"/>
      <c r="O250" s="47"/>
      <c r="P250" s="47"/>
      <c r="Q250" s="47"/>
      <c r="R250" s="47"/>
      <c r="S250" s="47"/>
      <c r="T250" s="47"/>
      <c r="U250" s="47"/>
    </row>
    <row r="251" spans="1:21" x14ac:dyDescent="0.25">
      <c r="A251" s="7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5"/>
      <c r="M251" s="51"/>
      <c r="N251" s="72"/>
      <c r="O251" s="47"/>
      <c r="P251" s="47"/>
      <c r="Q251" s="47"/>
      <c r="R251" s="47"/>
      <c r="S251" s="47"/>
      <c r="T251" s="47"/>
      <c r="U251" s="47"/>
    </row>
    <row r="252" spans="1:21" x14ac:dyDescent="0.25">
      <c r="A252" s="328" t="s">
        <v>676</v>
      </c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5"/>
      <c r="M252" s="51"/>
      <c r="N252" s="72"/>
      <c r="O252" s="47"/>
      <c r="P252" s="47"/>
      <c r="Q252" s="47"/>
      <c r="R252" s="47"/>
      <c r="S252" s="47"/>
      <c r="T252" s="47"/>
      <c r="U252" s="47"/>
    </row>
    <row r="253" spans="1:21" x14ac:dyDescent="0.25">
      <c r="A253" s="328" t="s">
        <v>678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5"/>
      <c r="M253" s="51"/>
      <c r="N253" s="72"/>
      <c r="O253" s="47"/>
      <c r="P253" s="47"/>
      <c r="Q253" s="47"/>
      <c r="R253" s="47"/>
      <c r="S253" s="47"/>
      <c r="T253" s="47"/>
      <c r="U253" s="47"/>
    </row>
    <row r="254" spans="1:21" x14ac:dyDescent="0.25">
      <c r="A254" s="328" t="s">
        <v>677</v>
      </c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5"/>
      <c r="M254" s="51"/>
      <c r="N254" s="72"/>
      <c r="O254" s="47"/>
      <c r="P254" s="47"/>
      <c r="Q254" s="47"/>
      <c r="R254" s="47"/>
      <c r="S254" s="47"/>
      <c r="T254" s="47"/>
      <c r="U254" s="47"/>
    </row>
    <row r="255" spans="1:21" x14ac:dyDescent="0.25">
      <c r="A255" s="7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5"/>
      <c r="M255" s="51"/>
      <c r="N255" s="72"/>
      <c r="O255" s="47"/>
      <c r="P255" s="47"/>
      <c r="Q255" s="47"/>
      <c r="R255" s="47"/>
      <c r="S255" s="47"/>
      <c r="T255" s="47"/>
      <c r="U255" s="47"/>
    </row>
    <row r="256" spans="1:21" x14ac:dyDescent="0.25">
      <c r="A256" s="281" t="s">
        <v>392</v>
      </c>
      <c r="B256" s="281"/>
      <c r="C256" s="281"/>
      <c r="D256" s="281"/>
      <c r="E256" s="281"/>
      <c r="F256" s="281"/>
      <c r="G256" s="281"/>
      <c r="H256" s="282"/>
      <c r="I256" s="282"/>
      <c r="J256" s="282"/>
      <c r="K256" s="282"/>
      <c r="L256" s="282"/>
      <c r="M256" s="282"/>
      <c r="N256" s="72"/>
      <c r="O256" s="47"/>
      <c r="P256" s="47"/>
      <c r="Q256" s="47"/>
      <c r="R256" s="47"/>
      <c r="S256" s="47"/>
      <c r="T256" s="47"/>
      <c r="U256" s="47"/>
    </row>
    <row r="257" spans="1:21" x14ac:dyDescent="0.25">
      <c r="A257" s="47"/>
      <c r="B257" s="47"/>
      <c r="C257" s="47"/>
      <c r="D257" s="47"/>
      <c r="E257" s="47"/>
      <c r="F257" s="47"/>
      <c r="G257" s="47"/>
      <c r="H257" s="47"/>
      <c r="I257" s="71" t="s">
        <v>68</v>
      </c>
      <c r="J257" s="71" t="s">
        <v>28</v>
      </c>
      <c r="K257" s="71"/>
      <c r="L257" s="71"/>
      <c r="M257" s="51"/>
      <c r="N257" s="72"/>
      <c r="O257" s="47"/>
      <c r="P257" s="47"/>
      <c r="Q257" s="47"/>
      <c r="R257" s="47"/>
      <c r="S257" s="47"/>
      <c r="T257" s="47"/>
      <c r="U257" s="47"/>
    </row>
    <row r="258" spans="1:21" x14ac:dyDescent="0.25">
      <c r="A258" s="47"/>
      <c r="B258" s="47"/>
      <c r="C258" s="47"/>
      <c r="D258" s="47"/>
      <c r="E258" s="47"/>
      <c r="F258" s="47"/>
      <c r="G258" s="47"/>
      <c r="H258" s="47"/>
      <c r="I258" s="71" t="s">
        <v>1</v>
      </c>
      <c r="J258" s="71" t="s">
        <v>1</v>
      </c>
      <c r="K258" s="71"/>
      <c r="L258" s="71"/>
      <c r="M258" s="51"/>
      <c r="N258" s="72"/>
      <c r="O258" s="47"/>
      <c r="P258" s="47"/>
      <c r="Q258" s="47"/>
      <c r="R258" s="47"/>
      <c r="S258" s="47"/>
      <c r="T258" s="47"/>
      <c r="U258" s="47"/>
    </row>
    <row r="259" spans="1:21" x14ac:dyDescent="0.25">
      <c r="A259" s="47"/>
      <c r="B259" s="47" t="s">
        <v>202</v>
      </c>
      <c r="C259" s="47"/>
      <c r="D259" s="47"/>
      <c r="E259" s="47"/>
      <c r="F259" s="47"/>
      <c r="G259" s="47"/>
      <c r="H259" s="47"/>
      <c r="I259" s="48">
        <f>+L249-L128</f>
        <v>36000</v>
      </c>
      <c r="J259" s="48"/>
      <c r="K259" s="48"/>
      <c r="L259" s="48"/>
      <c r="M259" s="51"/>
      <c r="N259" s="72"/>
      <c r="O259" s="47"/>
      <c r="P259" s="47"/>
      <c r="Q259" s="47"/>
      <c r="R259" s="47"/>
      <c r="S259" s="47"/>
      <c r="T259" s="47"/>
      <c r="U259" s="47"/>
    </row>
    <row r="260" spans="1:21" x14ac:dyDescent="0.25">
      <c r="A260" s="47"/>
      <c r="B260" s="47" t="s">
        <v>270</v>
      </c>
      <c r="C260" s="47"/>
      <c r="D260" s="47"/>
      <c r="E260" s="47"/>
      <c r="F260" s="47"/>
      <c r="G260" s="47"/>
      <c r="H260" s="47"/>
      <c r="I260" s="48"/>
      <c r="J260" s="48">
        <f>+I259</f>
        <v>36000</v>
      </c>
      <c r="K260" s="48" t="s">
        <v>674</v>
      </c>
      <c r="L260" s="48"/>
      <c r="M260" s="51"/>
      <c r="N260" s="72"/>
      <c r="O260" s="47"/>
      <c r="P260" s="47"/>
      <c r="Q260" s="47"/>
      <c r="R260" s="47"/>
      <c r="S260" s="47"/>
      <c r="T260" s="47"/>
      <c r="U260" s="47"/>
    </row>
    <row r="261" spans="1:21" x14ac:dyDescent="0.25">
      <c r="A261" s="47"/>
      <c r="B261" s="47"/>
      <c r="C261" s="47"/>
      <c r="D261" s="47"/>
      <c r="E261" s="47"/>
      <c r="F261" s="47"/>
      <c r="G261" s="47"/>
      <c r="H261" s="47"/>
      <c r="I261" s="48"/>
      <c r="J261" s="48"/>
      <c r="K261" s="48"/>
      <c r="L261" s="48"/>
      <c r="M261" s="51"/>
      <c r="N261" s="72"/>
      <c r="O261" s="47"/>
      <c r="P261" s="47"/>
      <c r="Q261" s="47"/>
      <c r="R261" s="47"/>
      <c r="S261" s="47"/>
      <c r="T261" s="47"/>
      <c r="U261" s="47"/>
    </row>
    <row r="262" spans="1:21" x14ac:dyDescent="0.25">
      <c r="A262" s="71"/>
      <c r="B262" s="325" t="s">
        <v>675</v>
      </c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51"/>
      <c r="N262" s="72"/>
      <c r="O262" s="47"/>
      <c r="P262" s="47"/>
      <c r="Q262" s="47"/>
      <c r="R262" s="47"/>
      <c r="S262" s="47"/>
      <c r="T262" s="47"/>
      <c r="U262" s="47"/>
    </row>
    <row r="263" spans="1:21" x14ac:dyDescent="0.25">
      <c r="A263" s="71"/>
      <c r="B263" s="325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51"/>
      <c r="N263" s="72"/>
      <c r="O263" s="47"/>
      <c r="P263" s="47"/>
      <c r="Q263" s="47"/>
      <c r="R263" s="47"/>
      <c r="S263" s="47"/>
      <c r="T263" s="47"/>
      <c r="U263" s="47"/>
    </row>
    <row r="264" spans="1:21" x14ac:dyDescent="0.25">
      <c r="A264" s="71"/>
      <c r="B264" s="325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51"/>
      <c r="N264" s="72"/>
      <c r="O264" s="47"/>
      <c r="P264" s="47"/>
      <c r="Q264" s="47"/>
      <c r="R264" s="47"/>
      <c r="S264" s="47"/>
      <c r="T264" s="47"/>
      <c r="U264" s="47"/>
    </row>
    <row r="265" spans="1:21" x14ac:dyDescent="0.25">
      <c r="A265" s="403" t="s">
        <v>813</v>
      </c>
      <c r="B265" s="403"/>
      <c r="C265" s="403"/>
      <c r="D265" s="403"/>
      <c r="E265" s="403"/>
      <c r="F265" s="403"/>
      <c r="G265" s="403"/>
      <c r="H265" s="403"/>
      <c r="I265" s="403"/>
      <c r="J265" s="403"/>
      <c r="K265" s="403"/>
      <c r="L265" s="403"/>
      <c r="M265" s="403"/>
      <c r="N265" s="72"/>
    </row>
    <row r="266" spans="1:21" x14ac:dyDescent="0.25">
      <c r="A266" s="278" t="s">
        <v>393</v>
      </c>
      <c r="B266" s="281"/>
      <c r="C266" s="281"/>
      <c r="D266" s="281"/>
      <c r="E266" s="281"/>
      <c r="F266" s="281"/>
      <c r="G266" s="281"/>
      <c r="H266" s="282"/>
      <c r="I266" s="282"/>
      <c r="J266" s="282"/>
      <c r="K266" s="282"/>
      <c r="L266" s="282"/>
      <c r="M266" s="283"/>
      <c r="N266" s="72"/>
      <c r="O266" s="47"/>
      <c r="P266" s="47"/>
      <c r="Q266" s="47"/>
      <c r="R266" s="47"/>
      <c r="S266" s="47"/>
      <c r="T266" s="47"/>
      <c r="U266" s="47"/>
    </row>
    <row r="267" spans="1:21" x14ac:dyDescent="0.25">
      <c r="A267" s="47"/>
      <c r="B267" s="47"/>
      <c r="C267" s="47"/>
      <c r="D267" s="47"/>
      <c r="E267" s="47"/>
      <c r="F267" s="47"/>
      <c r="G267" s="47"/>
      <c r="H267" s="47"/>
      <c r="I267" s="71" t="s">
        <v>130</v>
      </c>
      <c r="J267" s="71" t="s">
        <v>135</v>
      </c>
      <c r="K267" s="71" t="s">
        <v>136</v>
      </c>
      <c r="L267" s="71" t="s">
        <v>130</v>
      </c>
      <c r="M267" s="51"/>
      <c r="N267" s="72"/>
      <c r="O267" s="47"/>
      <c r="P267" s="47"/>
      <c r="Q267" s="47"/>
      <c r="R267" s="47"/>
      <c r="S267" s="47"/>
      <c r="T267" s="47"/>
      <c r="U267" s="47"/>
    </row>
    <row r="268" spans="1:21" x14ac:dyDescent="0.25">
      <c r="A268" s="47"/>
      <c r="B268" s="47"/>
      <c r="C268" s="47"/>
      <c r="D268" s="47"/>
      <c r="E268" s="47"/>
      <c r="F268" s="47"/>
      <c r="G268" s="47"/>
      <c r="H268" s="47"/>
      <c r="I268" s="71" t="s">
        <v>131</v>
      </c>
      <c r="J268" s="71" t="s">
        <v>133</v>
      </c>
      <c r="K268" s="71" t="s">
        <v>134</v>
      </c>
      <c r="L268" s="71" t="s">
        <v>132</v>
      </c>
      <c r="M268" s="51"/>
      <c r="N268" s="72"/>
      <c r="O268" s="47"/>
      <c r="P268" s="47"/>
      <c r="Q268" s="47"/>
      <c r="R268" s="47"/>
      <c r="S268" s="47"/>
      <c r="T268" s="47"/>
      <c r="U268" s="47"/>
    </row>
    <row r="269" spans="1:21" x14ac:dyDescent="0.25">
      <c r="A269" s="47"/>
      <c r="B269" s="80" t="s">
        <v>379</v>
      </c>
      <c r="C269" s="47"/>
      <c r="D269" s="47"/>
      <c r="E269" s="47"/>
      <c r="F269" s="47"/>
      <c r="G269" s="47"/>
      <c r="H269" s="47"/>
      <c r="I269" s="71" t="s">
        <v>1</v>
      </c>
      <c r="J269" s="71" t="s">
        <v>1</v>
      </c>
      <c r="K269" s="71" t="s">
        <v>1</v>
      </c>
      <c r="L269" s="71" t="s">
        <v>1</v>
      </c>
      <c r="M269" s="51"/>
      <c r="N269" s="72"/>
      <c r="O269" s="47"/>
      <c r="P269" s="47"/>
      <c r="Q269" s="47"/>
      <c r="R269" s="47"/>
      <c r="S269" s="47"/>
      <c r="T269" s="47"/>
      <c r="U269" s="47"/>
    </row>
    <row r="270" spans="1:21" x14ac:dyDescent="0.25">
      <c r="A270" s="47"/>
      <c r="B270" s="47" t="s">
        <v>100</v>
      </c>
      <c r="C270" s="47"/>
      <c r="D270" s="47"/>
      <c r="E270" s="47"/>
      <c r="F270" s="47"/>
      <c r="G270" s="47"/>
      <c r="H270" s="47"/>
      <c r="I270" s="48">
        <f>+L143</f>
        <v>100000</v>
      </c>
      <c r="J270" s="48">
        <f>+K226</f>
        <v>50000</v>
      </c>
      <c r="K270" s="48">
        <v>0</v>
      </c>
      <c r="L270" s="48">
        <f>+I270+J270+K270</f>
        <v>150000</v>
      </c>
      <c r="M270" s="51"/>
      <c r="N270" s="72"/>
      <c r="O270" s="47"/>
      <c r="P270" s="47"/>
      <c r="Q270" s="47"/>
      <c r="R270" s="47"/>
      <c r="S270" s="47"/>
      <c r="T270" s="47"/>
      <c r="U270" s="47"/>
    </row>
    <row r="271" spans="1:21" x14ac:dyDescent="0.25">
      <c r="A271" s="47"/>
      <c r="B271" s="47" t="s">
        <v>4</v>
      </c>
      <c r="C271" s="47"/>
      <c r="D271" s="47"/>
      <c r="E271" s="47"/>
      <c r="F271" s="47"/>
      <c r="G271" s="47"/>
      <c r="H271" s="47"/>
      <c r="I271" s="48">
        <f>+L144</f>
        <v>300000</v>
      </c>
      <c r="J271" s="48">
        <f>+K227</f>
        <v>40000</v>
      </c>
      <c r="K271" s="48">
        <v>0</v>
      </c>
      <c r="L271" s="48">
        <f>+I271+J271+K271</f>
        <v>340000</v>
      </c>
      <c r="M271" s="51"/>
      <c r="N271" s="72"/>
      <c r="O271" s="47"/>
      <c r="P271" s="47"/>
      <c r="Q271" s="47"/>
      <c r="R271" s="47"/>
      <c r="S271" s="47"/>
      <c r="T271" s="47"/>
      <c r="U271" s="47"/>
    </row>
    <row r="272" spans="1:21" x14ac:dyDescent="0.25">
      <c r="A272" s="47"/>
      <c r="B272" s="47" t="s">
        <v>101</v>
      </c>
      <c r="C272" s="47"/>
      <c r="D272" s="47"/>
      <c r="E272" s="47"/>
      <c r="F272" s="47"/>
      <c r="G272" s="47"/>
      <c r="H272" s="47"/>
      <c r="I272" s="48">
        <f>+L145</f>
        <v>200000</v>
      </c>
      <c r="J272" s="48">
        <f>+K228</f>
        <v>30000</v>
      </c>
      <c r="K272" s="48">
        <v>0</v>
      </c>
      <c r="L272" s="48">
        <f>+I272+J272+K272</f>
        <v>230000</v>
      </c>
      <c r="M272" s="51"/>
      <c r="N272" s="72"/>
      <c r="O272" s="47"/>
      <c r="P272" s="47"/>
      <c r="Q272" s="47"/>
      <c r="R272" s="47"/>
      <c r="S272" s="47"/>
      <c r="T272" s="47"/>
      <c r="U272" s="47"/>
    </row>
    <row r="273" spans="1:21" x14ac:dyDescent="0.25">
      <c r="A273" s="278"/>
      <c r="B273" s="278"/>
      <c r="C273" s="278"/>
      <c r="D273" s="278"/>
      <c r="E273" s="278"/>
      <c r="F273" s="278"/>
      <c r="G273" s="278"/>
      <c r="H273" s="278"/>
      <c r="I273" s="279">
        <f>SUM(I270:I272)</f>
        <v>600000</v>
      </c>
      <c r="J273" s="279">
        <f>SUM(J270:J272)</f>
        <v>120000</v>
      </c>
      <c r="K273" s="279">
        <f t="shared" ref="K273" si="7">SUM(K270:K272)</f>
        <v>0</v>
      </c>
      <c r="L273" s="279">
        <f t="shared" ref="L273" si="8">SUM(L270:L272)</f>
        <v>720000</v>
      </c>
      <c r="M273" s="283"/>
      <c r="N273" s="72"/>
      <c r="O273" s="47"/>
      <c r="P273" s="47"/>
      <c r="Q273" s="47"/>
      <c r="R273" s="47"/>
      <c r="S273" s="47"/>
      <c r="T273" s="47"/>
      <c r="U273" s="47"/>
    </row>
    <row r="274" spans="1:21" x14ac:dyDescent="0.25">
      <c r="A274" s="47"/>
      <c r="B274" s="328" t="s">
        <v>679</v>
      </c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51"/>
      <c r="N274" s="72"/>
      <c r="O274" s="47"/>
      <c r="P274" s="47"/>
      <c r="Q274" s="47"/>
      <c r="R274" s="47"/>
      <c r="S274" s="47"/>
      <c r="T274" s="47"/>
      <c r="U274" s="47"/>
    </row>
    <row r="275" spans="1:21" x14ac:dyDescent="0.25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51"/>
      <c r="N275" s="72"/>
      <c r="O275" s="47"/>
      <c r="P275" s="47"/>
      <c r="Q275" s="47"/>
      <c r="R275" s="47"/>
      <c r="S275" s="47"/>
      <c r="T275" s="47"/>
      <c r="U275" s="47"/>
    </row>
    <row r="276" spans="1:21" x14ac:dyDescent="0.25">
      <c r="A276" s="278" t="s">
        <v>138</v>
      </c>
      <c r="B276" s="278"/>
      <c r="C276" s="278"/>
      <c r="D276" s="278"/>
      <c r="E276" s="278"/>
      <c r="F276" s="278"/>
      <c r="G276" s="278"/>
      <c r="H276" s="283"/>
      <c r="I276" s="283"/>
      <c r="J276" s="283"/>
      <c r="K276" s="283"/>
      <c r="L276" s="283"/>
      <c r="M276" s="283"/>
      <c r="N276" s="72"/>
      <c r="O276" s="47"/>
      <c r="P276" s="47"/>
      <c r="Q276" s="47"/>
      <c r="R276" s="47"/>
      <c r="S276" s="47"/>
      <c r="T276" s="47"/>
      <c r="U276" s="47"/>
    </row>
    <row r="277" spans="1:21" x14ac:dyDescent="0.25">
      <c r="A277" s="47"/>
      <c r="B277" s="47"/>
      <c r="C277" s="47"/>
      <c r="D277" s="47"/>
      <c r="E277" s="47"/>
      <c r="F277" s="47"/>
      <c r="G277" s="47"/>
      <c r="H277" s="47"/>
      <c r="I277" s="71"/>
      <c r="J277" s="71" t="s">
        <v>1</v>
      </c>
      <c r="K277" s="71"/>
      <c r="L277" s="71"/>
      <c r="M277" s="51"/>
      <c r="N277" s="72"/>
      <c r="O277" s="47"/>
      <c r="P277" s="47"/>
      <c r="Q277" s="47"/>
      <c r="R277" s="47"/>
      <c r="S277" s="47"/>
      <c r="T277" s="47"/>
      <c r="U277" s="47"/>
    </row>
    <row r="278" spans="1:21" x14ac:dyDescent="0.25">
      <c r="A278" s="47"/>
      <c r="B278" s="51" t="s">
        <v>122</v>
      </c>
      <c r="C278" s="47"/>
      <c r="D278" s="47"/>
      <c r="E278" s="47"/>
      <c r="F278" s="47"/>
      <c r="G278" s="47"/>
      <c r="H278" s="47"/>
      <c r="I278" s="71"/>
      <c r="J278" s="75">
        <v>300000</v>
      </c>
      <c r="K278" s="75"/>
      <c r="L278" s="71"/>
      <c r="M278" s="51"/>
      <c r="N278" s="72"/>
      <c r="O278" s="47"/>
      <c r="P278" s="47"/>
      <c r="Q278" s="47"/>
      <c r="R278" s="47"/>
      <c r="S278" s="47"/>
      <c r="T278" s="47"/>
      <c r="U278" s="47"/>
    </row>
    <row r="279" spans="1:21" x14ac:dyDescent="0.25">
      <c r="A279" s="47"/>
      <c r="B279" s="80" t="s">
        <v>126</v>
      </c>
      <c r="C279" s="47"/>
      <c r="D279" s="47"/>
      <c r="E279" s="47"/>
      <c r="F279" s="47"/>
      <c r="G279" s="47"/>
      <c r="H279" s="47"/>
      <c r="I279" s="48"/>
      <c r="J279" s="48"/>
      <c r="K279" s="48"/>
      <c r="L279" s="48"/>
      <c r="M279" s="51"/>
      <c r="N279" s="72"/>
      <c r="O279" s="47"/>
      <c r="P279" s="47"/>
      <c r="Q279" s="47"/>
      <c r="R279" s="47"/>
      <c r="S279" s="47"/>
      <c r="T279" s="47"/>
      <c r="U279" s="47"/>
    </row>
    <row r="280" spans="1:21" x14ac:dyDescent="0.25">
      <c r="A280" s="47"/>
      <c r="B280" s="47" t="s">
        <v>135</v>
      </c>
      <c r="C280" s="47" t="s">
        <v>100</v>
      </c>
      <c r="D280" s="47"/>
      <c r="E280" s="47"/>
      <c r="F280" s="47"/>
      <c r="G280" s="47"/>
      <c r="H280" s="47"/>
      <c r="I280" s="48"/>
      <c r="J280" s="48">
        <f>+J270</f>
        <v>50000</v>
      </c>
      <c r="K280" s="48"/>
      <c r="L280" s="48"/>
      <c r="M280" s="51"/>
      <c r="N280" s="72"/>
      <c r="O280" s="47"/>
      <c r="P280" s="47"/>
      <c r="Q280" s="47"/>
      <c r="R280" s="47"/>
      <c r="S280" s="47"/>
      <c r="T280" s="47"/>
      <c r="U280" s="47"/>
    </row>
    <row r="281" spans="1:21" x14ac:dyDescent="0.25">
      <c r="A281" s="47"/>
      <c r="B281" s="47" t="s">
        <v>135</v>
      </c>
      <c r="C281" s="47" t="s">
        <v>4</v>
      </c>
      <c r="D281" s="47"/>
      <c r="E281" s="47"/>
      <c r="F281" s="47"/>
      <c r="G281" s="47"/>
      <c r="H281" s="47"/>
      <c r="I281" s="48"/>
      <c r="J281" s="48">
        <f>+J271</f>
        <v>40000</v>
      </c>
      <c r="K281" s="48"/>
      <c r="L281" s="48">
        <f>+J280+J281+J282</f>
        <v>120000</v>
      </c>
      <c r="M281" s="51"/>
      <c r="N281" s="72"/>
      <c r="O281" s="47"/>
      <c r="P281" s="47"/>
      <c r="Q281" s="47"/>
      <c r="R281" s="47"/>
      <c r="S281" s="47"/>
      <c r="T281" s="47"/>
      <c r="U281" s="47"/>
    </row>
    <row r="282" spans="1:21" x14ac:dyDescent="0.25">
      <c r="A282" s="47"/>
      <c r="B282" s="47" t="s">
        <v>135</v>
      </c>
      <c r="C282" s="47" t="s">
        <v>101</v>
      </c>
      <c r="D282" s="47"/>
      <c r="E282" s="47"/>
      <c r="F282" s="47"/>
      <c r="G282" s="47"/>
      <c r="H282" s="47"/>
      <c r="I282" s="48"/>
      <c r="J282" s="48">
        <f>+J272</f>
        <v>30000</v>
      </c>
      <c r="K282" s="48"/>
      <c r="L282" s="48"/>
      <c r="M282" s="51"/>
      <c r="N282" s="72"/>
      <c r="O282" s="47"/>
      <c r="P282" s="47"/>
      <c r="Q282" s="47"/>
      <c r="R282" s="47"/>
      <c r="S282" s="47"/>
      <c r="T282" s="47"/>
      <c r="U282" s="47"/>
    </row>
    <row r="283" spans="1:21" x14ac:dyDescent="0.25">
      <c r="A283" s="47"/>
      <c r="B283" s="80" t="s">
        <v>127</v>
      </c>
      <c r="C283" s="47"/>
      <c r="D283" s="47"/>
      <c r="E283" s="47"/>
      <c r="F283" s="47"/>
      <c r="G283" s="47"/>
      <c r="H283" s="47"/>
      <c r="I283" s="48"/>
      <c r="J283" s="48"/>
      <c r="K283" s="48"/>
      <c r="L283" s="48"/>
      <c r="M283" s="51"/>
      <c r="N283" s="72"/>
      <c r="O283" s="47"/>
      <c r="P283" s="47"/>
      <c r="Q283" s="47"/>
      <c r="R283" s="47"/>
      <c r="S283" s="47"/>
      <c r="T283" s="47"/>
      <c r="U283" s="47"/>
    </row>
    <row r="284" spans="1:21" x14ac:dyDescent="0.25">
      <c r="A284" s="47"/>
      <c r="B284" s="47" t="s">
        <v>135</v>
      </c>
      <c r="C284" s="47" t="s">
        <v>380</v>
      </c>
      <c r="D284" s="47"/>
      <c r="E284" s="47"/>
      <c r="F284" s="47"/>
      <c r="G284" s="47"/>
      <c r="H284" s="47"/>
      <c r="I284" s="48"/>
      <c r="J284" s="48">
        <v>100000</v>
      </c>
      <c r="K284" s="48"/>
      <c r="L284" s="48"/>
      <c r="M284" s="51"/>
      <c r="N284" s="72"/>
      <c r="O284" s="47"/>
      <c r="P284" s="47"/>
      <c r="Q284" s="47"/>
      <c r="R284" s="47"/>
      <c r="S284" s="47"/>
      <c r="T284" s="47"/>
      <c r="U284" s="47"/>
    </row>
    <row r="285" spans="1:21" x14ac:dyDescent="0.25">
      <c r="A285" s="281"/>
      <c r="B285" s="278" t="s">
        <v>5</v>
      </c>
      <c r="C285" s="281"/>
      <c r="D285" s="281"/>
      <c r="E285" s="281"/>
      <c r="F285" s="281"/>
      <c r="G285" s="281"/>
      <c r="H285" s="281"/>
      <c r="I285" s="280"/>
      <c r="J285" s="279">
        <f>SUM(J278:J284)</f>
        <v>520000</v>
      </c>
      <c r="K285" s="280"/>
      <c r="L285" s="280"/>
      <c r="M285" s="283"/>
      <c r="N285" s="72"/>
      <c r="O285" s="47"/>
      <c r="P285" s="47"/>
      <c r="Q285" s="47"/>
      <c r="R285" s="47"/>
      <c r="S285" s="47"/>
      <c r="T285" s="47"/>
      <c r="U285" s="47"/>
    </row>
    <row r="286" spans="1:21" x14ac:dyDescent="0.25">
      <c r="A286" s="281"/>
      <c r="B286" s="278" t="s">
        <v>34</v>
      </c>
      <c r="C286" s="281"/>
      <c r="D286" s="281"/>
      <c r="E286" s="281"/>
      <c r="F286" s="281"/>
      <c r="G286" s="281"/>
      <c r="H286" s="281"/>
      <c r="I286" s="289">
        <v>0.3</v>
      </c>
      <c r="J286" s="279">
        <f>+I286*J285</f>
        <v>156000</v>
      </c>
      <c r="K286" s="280"/>
      <c r="L286" s="280"/>
      <c r="M286" s="283"/>
      <c r="N286" s="72"/>
      <c r="O286" s="47"/>
      <c r="P286" s="47"/>
      <c r="Q286" s="47"/>
      <c r="R286" s="47"/>
      <c r="S286" s="47"/>
      <c r="T286" s="47"/>
      <c r="U286" s="47"/>
    </row>
    <row r="287" spans="1:21" x14ac:dyDescent="0.25">
      <c r="A287" s="47"/>
      <c r="B287" s="47"/>
      <c r="C287" s="47"/>
      <c r="D287" s="47"/>
      <c r="E287" s="47"/>
      <c r="F287" s="47"/>
      <c r="G287" s="47"/>
      <c r="H287" s="47"/>
      <c r="I287" s="48"/>
      <c r="J287" s="48"/>
      <c r="K287" s="48"/>
      <c r="L287" s="48"/>
      <c r="M287" s="51"/>
      <c r="N287" s="72"/>
      <c r="O287" s="47"/>
      <c r="P287" s="47"/>
      <c r="Q287" s="47"/>
      <c r="R287" s="47"/>
      <c r="S287" s="47"/>
      <c r="T287" s="47"/>
      <c r="U287" s="47"/>
    </row>
    <row r="288" spans="1:21" x14ac:dyDescent="0.25">
      <c r="A288" s="278" t="s">
        <v>395</v>
      </c>
      <c r="B288" s="281"/>
      <c r="C288" s="281"/>
      <c r="D288" s="281"/>
      <c r="E288" s="281"/>
      <c r="F288" s="281"/>
      <c r="G288" s="281"/>
      <c r="H288" s="282"/>
      <c r="I288" s="282"/>
      <c r="J288" s="282"/>
      <c r="K288" s="282"/>
      <c r="L288" s="282"/>
      <c r="M288" s="283"/>
      <c r="N288" s="72"/>
      <c r="O288" s="47"/>
      <c r="P288" s="47"/>
      <c r="Q288" s="47"/>
      <c r="R288" s="47"/>
      <c r="S288" s="47"/>
      <c r="T288" s="47"/>
      <c r="U288" s="47"/>
    </row>
    <row r="289" spans="1:21" x14ac:dyDescent="0.25">
      <c r="A289" s="47"/>
      <c r="B289" s="47"/>
      <c r="C289" s="47"/>
      <c r="D289" s="47"/>
      <c r="E289" s="47"/>
      <c r="F289" s="47"/>
      <c r="G289" s="47"/>
      <c r="H289" s="47"/>
      <c r="I289" s="71" t="s">
        <v>68</v>
      </c>
      <c r="J289" s="71" t="s">
        <v>28</v>
      </c>
      <c r="K289" s="71"/>
      <c r="L289" s="71"/>
      <c r="M289" s="51"/>
      <c r="N289" s="72"/>
      <c r="O289" s="47"/>
      <c r="P289" s="47"/>
      <c r="Q289" s="47"/>
      <c r="R289" s="47"/>
      <c r="S289" s="47"/>
      <c r="T289" s="47"/>
      <c r="U289" s="47"/>
    </row>
    <row r="290" spans="1:21" x14ac:dyDescent="0.25">
      <c r="A290" s="47"/>
      <c r="B290" s="47"/>
      <c r="C290" s="47"/>
      <c r="D290" s="47"/>
      <c r="E290" s="47"/>
      <c r="F290" s="47"/>
      <c r="G290" s="47"/>
      <c r="H290" s="47"/>
      <c r="I290" s="71" t="s">
        <v>1</v>
      </c>
      <c r="J290" s="71" t="s">
        <v>1</v>
      </c>
      <c r="K290" s="71"/>
      <c r="L290" s="71"/>
      <c r="M290" s="51"/>
      <c r="N290" s="72"/>
      <c r="O290" s="47"/>
      <c r="P290" s="47"/>
      <c r="Q290" s="47"/>
      <c r="R290" s="47"/>
      <c r="S290" s="47"/>
      <c r="T290" s="47"/>
      <c r="U290" s="47"/>
    </row>
    <row r="291" spans="1:21" x14ac:dyDescent="0.25">
      <c r="A291" s="47"/>
      <c r="B291" s="47" t="s">
        <v>240</v>
      </c>
      <c r="C291" s="47"/>
      <c r="D291" s="47"/>
      <c r="E291" s="47"/>
      <c r="F291" s="47"/>
      <c r="G291" s="47"/>
      <c r="H291" s="47"/>
      <c r="I291" s="48">
        <f>+J286</f>
        <v>156000</v>
      </c>
      <c r="J291" s="48"/>
      <c r="K291" s="48"/>
      <c r="L291" s="48"/>
      <c r="M291" s="51"/>
      <c r="N291" s="72"/>
      <c r="O291" s="47"/>
      <c r="P291" s="47"/>
      <c r="Q291" s="47"/>
      <c r="R291" s="47"/>
      <c r="S291" s="47"/>
      <c r="T291" s="47"/>
      <c r="U291" s="47"/>
    </row>
    <row r="292" spans="1:21" x14ac:dyDescent="0.25">
      <c r="A292" s="47"/>
      <c r="B292" s="47" t="s">
        <v>171</v>
      </c>
      <c r="C292" s="47"/>
      <c r="D292" s="47"/>
      <c r="E292" s="47"/>
      <c r="F292" s="47"/>
      <c r="G292" s="47"/>
      <c r="H292" s="47"/>
      <c r="I292" s="48"/>
      <c r="J292" s="48">
        <f>+I291</f>
        <v>156000</v>
      </c>
      <c r="K292" s="48"/>
      <c r="L292" s="48"/>
      <c r="M292" s="51"/>
      <c r="N292" s="72"/>
      <c r="O292" s="47"/>
      <c r="P292" s="47"/>
      <c r="Q292" s="47"/>
      <c r="R292" s="47"/>
      <c r="S292" s="47"/>
      <c r="T292" s="47"/>
      <c r="U292" s="47"/>
    </row>
    <row r="293" spans="1:21" x14ac:dyDescent="0.25">
      <c r="A293" s="47"/>
      <c r="B293" s="47"/>
      <c r="C293" s="47"/>
      <c r="D293" s="47"/>
      <c r="E293" s="47"/>
      <c r="F293" s="47"/>
      <c r="G293" s="47"/>
      <c r="H293" s="47"/>
      <c r="I293" s="48"/>
      <c r="J293" s="48"/>
      <c r="K293" s="48"/>
      <c r="L293" s="48"/>
      <c r="M293" s="51"/>
      <c r="N293" s="72"/>
      <c r="O293" s="47"/>
      <c r="P293" s="47"/>
      <c r="Q293" s="47"/>
      <c r="R293" s="47"/>
      <c r="S293" s="47"/>
      <c r="T293" s="47"/>
      <c r="U293" s="47"/>
    </row>
    <row r="294" spans="1:21" x14ac:dyDescent="0.25">
      <c r="A294" s="403" t="s">
        <v>814</v>
      </c>
      <c r="B294" s="403"/>
      <c r="C294" s="403"/>
      <c r="D294" s="403"/>
      <c r="E294" s="403"/>
      <c r="F294" s="403"/>
      <c r="G294" s="403"/>
      <c r="H294" s="403"/>
      <c r="I294" s="403"/>
      <c r="J294" s="403"/>
      <c r="K294" s="403"/>
      <c r="L294" s="403"/>
      <c r="M294" s="403"/>
      <c r="N294" s="72"/>
    </row>
    <row r="295" spans="1:21" x14ac:dyDescent="0.25">
      <c r="A295" s="278" t="s">
        <v>396</v>
      </c>
      <c r="B295" s="278"/>
      <c r="C295" s="278"/>
      <c r="D295" s="278"/>
      <c r="E295" s="278"/>
      <c r="F295" s="278"/>
      <c r="G295" s="278"/>
      <c r="H295" s="283"/>
      <c r="I295" s="283"/>
      <c r="J295" s="283"/>
      <c r="K295" s="283"/>
      <c r="L295" s="283"/>
      <c r="M295" s="282"/>
      <c r="N295" s="72"/>
      <c r="O295" s="47"/>
      <c r="P295" s="47"/>
      <c r="Q295" s="47"/>
      <c r="R295" s="47"/>
      <c r="S295" s="47"/>
      <c r="T295" s="47"/>
      <c r="U295" s="47"/>
    </row>
    <row r="296" spans="1:21" x14ac:dyDescent="0.25">
      <c r="A296" s="47"/>
      <c r="B296" s="47"/>
      <c r="C296" s="47"/>
      <c r="D296" s="47"/>
      <c r="E296" s="47"/>
      <c r="F296" s="47"/>
      <c r="G296" s="47"/>
      <c r="H296" s="47"/>
      <c r="I296" s="71"/>
      <c r="J296" s="71" t="s">
        <v>1</v>
      </c>
      <c r="K296" s="71"/>
      <c r="L296" s="71"/>
      <c r="M296" s="51"/>
      <c r="N296" s="72"/>
      <c r="O296" s="47"/>
      <c r="P296" s="47"/>
      <c r="Q296" s="47"/>
      <c r="R296" s="47"/>
      <c r="S296" s="47"/>
      <c r="T296" s="47"/>
      <c r="U296" s="47"/>
    </row>
    <row r="297" spans="1:21" x14ac:dyDescent="0.25">
      <c r="A297" s="47"/>
      <c r="B297" s="51" t="s">
        <v>122</v>
      </c>
      <c r="C297" s="47"/>
      <c r="D297" s="47"/>
      <c r="E297" s="47"/>
      <c r="F297" s="47"/>
      <c r="G297" s="47"/>
      <c r="H297" s="47"/>
      <c r="I297" s="71"/>
      <c r="J297" s="87">
        <f>+J278</f>
        <v>300000</v>
      </c>
      <c r="K297" s="75"/>
      <c r="L297" s="71"/>
      <c r="M297" s="51"/>
      <c r="N297" s="72"/>
      <c r="O297" s="47"/>
      <c r="P297" s="47"/>
      <c r="Q297" s="47"/>
      <c r="R297" s="47"/>
      <c r="S297" s="47"/>
      <c r="T297" s="47"/>
      <c r="U297" s="47"/>
    </row>
    <row r="298" spans="1:21" x14ac:dyDescent="0.25">
      <c r="A298" s="47"/>
      <c r="B298" s="80" t="s">
        <v>127</v>
      </c>
      <c r="C298" s="47"/>
      <c r="D298" s="47"/>
      <c r="E298" s="47"/>
      <c r="F298" s="47"/>
      <c r="G298" s="47"/>
      <c r="H298" s="47"/>
      <c r="I298" s="48"/>
      <c r="J298" s="48"/>
      <c r="K298" s="48"/>
      <c r="L298" s="48"/>
      <c r="M298" s="51"/>
      <c r="N298" s="72"/>
      <c r="O298" s="47"/>
      <c r="P298" s="47"/>
      <c r="Q298" s="47"/>
      <c r="R298" s="47"/>
      <c r="S298" s="47"/>
      <c r="T298" s="47"/>
      <c r="U298" s="47"/>
    </row>
    <row r="299" spans="1:21" x14ac:dyDescent="0.25">
      <c r="A299" s="47"/>
      <c r="B299" s="47" t="s">
        <v>135</v>
      </c>
      <c r="C299" s="47" t="s">
        <v>380</v>
      </c>
      <c r="D299" s="47"/>
      <c r="E299" s="47"/>
      <c r="F299" s="47"/>
      <c r="G299" s="47"/>
      <c r="H299" s="47"/>
      <c r="I299" s="48"/>
      <c r="J299" s="48">
        <f>+J284</f>
        <v>100000</v>
      </c>
      <c r="K299" s="48"/>
      <c r="L299" s="48"/>
      <c r="M299" s="51"/>
      <c r="N299" s="72"/>
      <c r="O299" s="47"/>
      <c r="P299" s="47"/>
      <c r="Q299" s="47"/>
      <c r="R299" s="47"/>
      <c r="S299" s="47"/>
      <c r="T299" s="47"/>
      <c r="U299" s="47"/>
    </row>
    <row r="300" spans="1:21" x14ac:dyDescent="0.25">
      <c r="A300" s="281"/>
      <c r="B300" s="278" t="s">
        <v>5</v>
      </c>
      <c r="C300" s="281"/>
      <c r="D300" s="281"/>
      <c r="E300" s="281"/>
      <c r="F300" s="281"/>
      <c r="G300" s="281"/>
      <c r="H300" s="281"/>
      <c r="I300" s="280"/>
      <c r="J300" s="279">
        <f>SUM(J297:J299)</f>
        <v>400000</v>
      </c>
      <c r="K300" s="280"/>
      <c r="L300" s="280"/>
      <c r="M300" s="282"/>
      <c r="N300" s="72"/>
      <c r="O300" s="47"/>
      <c r="P300" s="47"/>
      <c r="Q300" s="47"/>
      <c r="R300" s="47"/>
      <c r="S300" s="47"/>
      <c r="T300" s="47"/>
      <c r="U300" s="47"/>
    </row>
    <row r="301" spans="1:21" x14ac:dyDescent="0.25">
      <c r="A301" s="281"/>
      <c r="B301" s="278" t="s">
        <v>667</v>
      </c>
      <c r="C301" s="281"/>
      <c r="D301" s="281"/>
      <c r="E301" s="281"/>
      <c r="F301" s="281"/>
      <c r="G301" s="281"/>
      <c r="H301" s="281"/>
      <c r="I301" s="289">
        <v>0.3</v>
      </c>
      <c r="J301" s="279">
        <f>+I301*J300</f>
        <v>120000</v>
      </c>
      <c r="K301" s="280"/>
      <c r="L301" s="280"/>
      <c r="M301" s="282"/>
      <c r="N301" s="72"/>
      <c r="O301" s="47"/>
      <c r="P301" s="47"/>
      <c r="Q301" s="47"/>
      <c r="R301" s="47"/>
      <c r="S301" s="47"/>
      <c r="T301" s="47"/>
      <c r="U301" s="47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51"/>
      <c r="N302" s="72"/>
      <c r="O302" s="47"/>
      <c r="P302" s="47"/>
      <c r="Q302" s="47"/>
      <c r="R302" s="47"/>
      <c r="S302" s="47"/>
      <c r="T302" s="47"/>
      <c r="U302" s="47"/>
    </row>
    <row r="303" spans="1:21" x14ac:dyDescent="0.25">
      <c r="A303" s="328" t="s">
        <v>668</v>
      </c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51"/>
      <c r="N303" s="72"/>
      <c r="O303" s="47"/>
      <c r="P303" s="47"/>
      <c r="Q303" s="47"/>
      <c r="R303" s="47"/>
      <c r="S303" s="47"/>
      <c r="T303" s="47"/>
      <c r="U303" s="47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51"/>
      <c r="N304" s="72"/>
      <c r="O304" s="47"/>
      <c r="P304" s="47"/>
      <c r="Q304" s="47"/>
      <c r="R304" s="47"/>
      <c r="S304" s="47"/>
      <c r="T304" s="47"/>
      <c r="U304" s="47"/>
    </row>
    <row r="305" spans="1:21" x14ac:dyDescent="0.25">
      <c r="A305" s="278" t="s">
        <v>397</v>
      </c>
      <c r="B305" s="278"/>
      <c r="C305" s="278"/>
      <c r="D305" s="278"/>
      <c r="E305" s="278"/>
      <c r="F305" s="278"/>
      <c r="G305" s="278"/>
      <c r="H305" s="283"/>
      <c r="I305" s="283"/>
      <c r="J305" s="283"/>
      <c r="K305" s="283"/>
      <c r="L305" s="283"/>
      <c r="M305" s="282"/>
      <c r="N305" s="72"/>
      <c r="O305" s="47"/>
      <c r="P305" s="47"/>
      <c r="Q305" s="47"/>
      <c r="R305" s="47"/>
      <c r="S305" s="47"/>
      <c r="T305" s="47"/>
      <c r="U305" s="47"/>
    </row>
    <row r="306" spans="1:21" x14ac:dyDescent="0.25">
      <c r="A306" s="47"/>
      <c r="B306" s="47"/>
      <c r="C306" s="47"/>
      <c r="D306" s="47"/>
      <c r="E306" s="47"/>
      <c r="F306" s="47"/>
      <c r="G306" s="47"/>
      <c r="H306" s="47"/>
      <c r="I306" s="71"/>
      <c r="J306" s="71">
        <v>2011</v>
      </c>
      <c r="K306" s="71">
        <v>2012</v>
      </c>
      <c r="L306" s="75"/>
      <c r="M306" s="51"/>
      <c r="N306" s="72"/>
      <c r="O306" s="47"/>
      <c r="P306" s="47"/>
      <c r="Q306" s="47"/>
      <c r="R306" s="47"/>
      <c r="S306" s="47"/>
      <c r="T306" s="47"/>
      <c r="U306" s="47"/>
    </row>
    <row r="307" spans="1:21" x14ac:dyDescent="0.25">
      <c r="A307" s="47"/>
      <c r="B307" s="47"/>
      <c r="C307" s="47"/>
      <c r="D307" s="47"/>
      <c r="E307" s="47"/>
      <c r="F307" s="47"/>
      <c r="G307" s="47"/>
      <c r="H307" s="47"/>
      <c r="I307" s="71"/>
      <c r="J307" s="71" t="s">
        <v>1</v>
      </c>
      <c r="K307" s="71" t="s">
        <v>1</v>
      </c>
      <c r="L307" s="75" t="s">
        <v>82</v>
      </c>
      <c r="M307" s="51"/>
      <c r="N307" s="72"/>
      <c r="O307" s="47"/>
      <c r="P307" s="47"/>
      <c r="Q307" s="47"/>
      <c r="R307" s="47"/>
      <c r="S307" s="47"/>
      <c r="T307" s="47"/>
      <c r="U307" s="47"/>
    </row>
    <row r="308" spans="1:21" x14ac:dyDescent="0.25">
      <c r="A308" s="47"/>
      <c r="B308" s="51" t="s">
        <v>122</v>
      </c>
      <c r="C308" s="47"/>
      <c r="D308" s="47"/>
      <c r="E308" s="47"/>
      <c r="F308" s="47"/>
      <c r="G308" s="47"/>
      <c r="H308" s="47"/>
      <c r="I308" s="71"/>
      <c r="J308" s="75">
        <f>+J200</f>
        <v>500000</v>
      </c>
      <c r="K308" s="75">
        <f>+J278</f>
        <v>300000</v>
      </c>
      <c r="L308" s="71" t="s">
        <v>1</v>
      </c>
      <c r="M308" s="51"/>
      <c r="N308" s="72"/>
      <c r="O308" s="47"/>
      <c r="P308" s="47"/>
      <c r="Q308" s="47"/>
      <c r="R308" s="47"/>
      <c r="S308" s="47"/>
      <c r="T308" s="47"/>
      <c r="U308" s="47"/>
    </row>
    <row r="309" spans="1:21" x14ac:dyDescent="0.25">
      <c r="A309" s="47"/>
      <c r="B309" s="80" t="s">
        <v>126</v>
      </c>
      <c r="C309" s="47"/>
      <c r="D309" s="47"/>
      <c r="E309" s="47"/>
      <c r="F309" s="47"/>
      <c r="G309" s="47"/>
      <c r="H309" s="47"/>
      <c r="I309" s="48"/>
      <c r="J309" s="75" t="s">
        <v>48</v>
      </c>
      <c r="K309" s="75" t="s">
        <v>49</v>
      </c>
      <c r="L309" s="75" t="s">
        <v>573</v>
      </c>
      <c r="M309" s="51"/>
      <c r="N309" s="72"/>
      <c r="O309" s="47"/>
      <c r="P309" s="47"/>
      <c r="Q309" s="47"/>
      <c r="R309" s="47"/>
      <c r="S309" s="47"/>
      <c r="T309" s="47"/>
      <c r="U309" s="47"/>
    </row>
    <row r="310" spans="1:21" x14ac:dyDescent="0.25">
      <c r="A310" s="47"/>
      <c r="B310" s="47" t="s">
        <v>135</v>
      </c>
      <c r="C310" s="47" t="s">
        <v>100</v>
      </c>
      <c r="D310" s="47"/>
      <c r="E310" s="47"/>
      <c r="F310" s="47"/>
      <c r="G310" s="47"/>
      <c r="H310" s="47"/>
      <c r="I310" s="79" t="s">
        <v>574</v>
      </c>
      <c r="J310" s="48">
        <f>+J153</f>
        <v>100000</v>
      </c>
      <c r="K310" s="48">
        <f>+J280</f>
        <v>50000</v>
      </c>
      <c r="L310" s="48">
        <f>+K310+J310</f>
        <v>150000</v>
      </c>
      <c r="M310" s="51"/>
      <c r="N310" s="72"/>
      <c r="O310" s="47"/>
      <c r="P310" s="47"/>
      <c r="Q310" s="47"/>
      <c r="R310" s="47"/>
      <c r="S310" s="47"/>
      <c r="T310" s="47"/>
      <c r="U310" s="47"/>
    </row>
    <row r="311" spans="1:21" x14ac:dyDescent="0.25">
      <c r="A311" s="47"/>
      <c r="B311" s="47" t="s">
        <v>135</v>
      </c>
      <c r="C311" s="47" t="s">
        <v>4</v>
      </c>
      <c r="D311" s="47"/>
      <c r="E311" s="47"/>
      <c r="F311" s="47"/>
      <c r="G311" s="47"/>
      <c r="H311" s="47"/>
      <c r="I311" s="79" t="s">
        <v>574</v>
      </c>
      <c r="J311" s="48">
        <f>+J154</f>
        <v>300000</v>
      </c>
      <c r="K311" s="48">
        <f>+J281</f>
        <v>40000</v>
      </c>
      <c r="L311" s="48">
        <f>+K311+J311</f>
        <v>340000</v>
      </c>
      <c r="M311" s="51"/>
      <c r="N311" s="72"/>
      <c r="O311" s="47"/>
      <c r="P311" s="47"/>
      <c r="Q311" s="47"/>
      <c r="R311" s="47"/>
      <c r="S311" s="47"/>
      <c r="T311" s="47"/>
      <c r="U311" s="47"/>
    </row>
    <row r="312" spans="1:21" x14ac:dyDescent="0.25">
      <c r="A312" s="47"/>
      <c r="B312" s="47" t="s">
        <v>135</v>
      </c>
      <c r="C312" s="47" t="s">
        <v>101</v>
      </c>
      <c r="D312" s="47"/>
      <c r="E312" s="47"/>
      <c r="F312" s="47"/>
      <c r="G312" s="47"/>
      <c r="H312" s="47"/>
      <c r="I312" s="79" t="s">
        <v>574</v>
      </c>
      <c r="J312" s="48">
        <f>+J155</f>
        <v>200000</v>
      </c>
      <c r="K312" s="48">
        <f>+J282</f>
        <v>30000</v>
      </c>
      <c r="L312" s="48">
        <f>+K312+J312</f>
        <v>230000</v>
      </c>
      <c r="M312" s="51"/>
      <c r="N312" s="72"/>
      <c r="O312" s="47"/>
      <c r="P312" s="47"/>
      <c r="Q312" s="47"/>
      <c r="R312" s="47"/>
      <c r="S312" s="47"/>
      <c r="T312" s="47"/>
      <c r="U312" s="47"/>
    </row>
    <row r="313" spans="1:21" x14ac:dyDescent="0.25">
      <c r="A313" s="47"/>
      <c r="B313" s="80" t="s">
        <v>127</v>
      </c>
      <c r="C313" s="47"/>
      <c r="D313" s="47"/>
      <c r="E313" s="47"/>
      <c r="F313" s="47"/>
      <c r="G313" s="47"/>
      <c r="H313" s="47"/>
      <c r="I313" s="48"/>
      <c r="J313" s="48"/>
      <c r="K313" s="48"/>
      <c r="L313" s="48"/>
      <c r="M313" s="51"/>
      <c r="N313" s="72"/>
      <c r="O313" s="47"/>
      <c r="P313" s="47"/>
      <c r="Q313" s="47"/>
      <c r="R313" s="47"/>
      <c r="S313" s="47"/>
      <c r="T313" s="47"/>
      <c r="U313" s="47"/>
    </row>
    <row r="314" spans="1:21" x14ac:dyDescent="0.25">
      <c r="A314" s="47"/>
      <c r="B314" s="47" t="s">
        <v>135</v>
      </c>
      <c r="C314" s="47" t="s">
        <v>380</v>
      </c>
      <c r="D314" s="47"/>
      <c r="E314" s="47"/>
      <c r="F314" s="47"/>
      <c r="G314" s="47"/>
      <c r="H314" s="47"/>
      <c r="I314" s="48"/>
      <c r="J314" s="48">
        <v>400000</v>
      </c>
      <c r="K314" s="48">
        <f>+J284</f>
        <v>100000</v>
      </c>
      <c r="L314" s="48"/>
      <c r="M314" s="51"/>
      <c r="N314" s="72"/>
      <c r="O314" s="47"/>
      <c r="P314" s="47"/>
      <c r="Q314" s="47"/>
      <c r="R314" s="47"/>
      <c r="S314" s="47"/>
      <c r="T314" s="47"/>
      <c r="U314" s="47"/>
    </row>
    <row r="315" spans="1:21" x14ac:dyDescent="0.25">
      <c r="A315" s="281"/>
      <c r="B315" s="278" t="s">
        <v>5</v>
      </c>
      <c r="C315" s="281"/>
      <c r="D315" s="281"/>
      <c r="E315" s="281"/>
      <c r="F315" s="281"/>
      <c r="G315" s="281"/>
      <c r="H315" s="281"/>
      <c r="I315" s="280"/>
      <c r="J315" s="279">
        <f>SUM(J308:J314)</f>
        <v>1500000</v>
      </c>
      <c r="K315" s="279">
        <f>SUM(K308:K314)</f>
        <v>520000</v>
      </c>
      <c r="L315" s="48"/>
      <c r="M315" s="51"/>
      <c r="N315" s="72"/>
      <c r="O315" s="47"/>
      <c r="P315" s="47"/>
      <c r="Q315" s="47"/>
      <c r="R315" s="47"/>
      <c r="S315" s="47"/>
      <c r="T315" s="47"/>
      <c r="U315" s="47"/>
    </row>
    <row r="316" spans="1:21" x14ac:dyDescent="0.25">
      <c r="A316" s="281"/>
      <c r="B316" s="281"/>
      <c r="C316" s="281"/>
      <c r="D316" s="281"/>
      <c r="E316" s="281"/>
      <c r="F316" s="281"/>
      <c r="G316" s="281"/>
      <c r="H316" s="281"/>
      <c r="I316" s="280"/>
      <c r="J316" s="293" t="s">
        <v>576</v>
      </c>
      <c r="K316" s="294" t="s">
        <v>575</v>
      </c>
      <c r="L316" s="279">
        <f>SUM(L310:L315)</f>
        <v>720000</v>
      </c>
      <c r="M316" s="282"/>
      <c r="N316" s="72"/>
      <c r="O316" s="47"/>
      <c r="P316" s="47"/>
      <c r="Q316" s="47"/>
      <c r="R316" s="47"/>
      <c r="S316" s="47"/>
      <c r="T316" s="47"/>
      <c r="U316" s="47"/>
    </row>
    <row r="317" spans="1:21" x14ac:dyDescent="0.25">
      <c r="A317" s="281"/>
      <c r="B317" s="281"/>
      <c r="C317" s="281"/>
      <c r="D317" s="281"/>
      <c r="E317" s="281"/>
      <c r="F317" s="281"/>
      <c r="G317" s="281"/>
      <c r="H317" s="281"/>
      <c r="I317" s="280"/>
      <c r="J317" s="280"/>
      <c r="K317" s="293" t="s">
        <v>572</v>
      </c>
      <c r="L317" s="279">
        <f>+L316*30%</f>
        <v>216000</v>
      </c>
      <c r="M317" s="282"/>
      <c r="N317" s="72"/>
      <c r="O317" s="47"/>
      <c r="P317" s="47"/>
      <c r="Q317" s="47"/>
      <c r="R317" s="47"/>
      <c r="S317" s="47"/>
      <c r="T317" s="47"/>
      <c r="U317" s="47"/>
    </row>
    <row r="318" spans="1:21" x14ac:dyDescent="0.25">
      <c r="A318" s="83"/>
      <c r="B318" s="83"/>
      <c r="C318" s="83"/>
      <c r="D318" s="83"/>
      <c r="E318" s="83"/>
      <c r="F318" s="83"/>
      <c r="G318" s="83"/>
      <c r="H318" s="83"/>
      <c r="I318" s="83"/>
      <c r="J318" s="83"/>
      <c r="K318" s="83"/>
      <c r="L318" s="83"/>
      <c r="M318" s="51"/>
      <c r="N318" s="72"/>
      <c r="O318" s="47"/>
      <c r="P318" s="47"/>
      <c r="Q318" s="47"/>
      <c r="R318" s="47"/>
      <c r="S318" s="47"/>
      <c r="T318" s="47"/>
      <c r="U318" s="47"/>
    </row>
    <row r="319" spans="1:21" x14ac:dyDescent="0.25">
      <c r="A319" s="403" t="s">
        <v>815</v>
      </c>
      <c r="B319" s="403"/>
      <c r="C319" s="403"/>
      <c r="D319" s="403"/>
      <c r="E319" s="403"/>
      <c r="F319" s="403"/>
      <c r="G319" s="403"/>
      <c r="H319" s="403"/>
      <c r="I319" s="403"/>
      <c r="J319" s="403"/>
      <c r="K319" s="403"/>
      <c r="L319" s="403"/>
      <c r="M319" s="403"/>
      <c r="N319" s="72"/>
    </row>
    <row r="320" spans="1:21" x14ac:dyDescent="0.25">
      <c r="A320" s="278" t="s">
        <v>399</v>
      </c>
      <c r="B320" s="278"/>
      <c r="C320" s="278"/>
      <c r="D320" s="278"/>
      <c r="E320" s="278"/>
      <c r="F320" s="278"/>
      <c r="G320" s="278"/>
      <c r="H320" s="283"/>
      <c r="I320" s="283"/>
      <c r="J320" s="283"/>
      <c r="K320" s="283"/>
      <c r="L320" s="283"/>
      <c r="M320" s="284"/>
      <c r="N320" s="72"/>
      <c r="O320" s="47"/>
      <c r="P320" s="47"/>
      <c r="Q320" s="47"/>
      <c r="R320" s="47"/>
      <c r="S320" s="47"/>
      <c r="T320" s="47"/>
      <c r="U320" s="47"/>
    </row>
    <row r="321" spans="1:21" x14ac:dyDescent="0.25">
      <c r="A321" s="47"/>
      <c r="B321" s="47"/>
      <c r="C321" s="47"/>
      <c r="D321" s="47"/>
      <c r="E321" s="47"/>
      <c r="F321" s="47"/>
      <c r="G321" s="47"/>
      <c r="H321" s="71"/>
      <c r="I321" s="71"/>
      <c r="J321" s="71"/>
      <c r="K321" s="75"/>
      <c r="L321" s="75"/>
      <c r="M321" s="51"/>
      <c r="N321" s="72"/>
      <c r="O321" s="47"/>
      <c r="P321" s="47"/>
      <c r="Q321" s="47"/>
      <c r="R321" s="47"/>
      <c r="S321" s="47"/>
      <c r="T321" s="47"/>
      <c r="U321" s="47"/>
    </row>
    <row r="322" spans="1:21" x14ac:dyDescent="0.25">
      <c r="A322" s="278" t="s">
        <v>402</v>
      </c>
      <c r="B322" s="281"/>
      <c r="C322" s="281"/>
      <c r="D322" s="281"/>
      <c r="E322" s="281"/>
      <c r="F322" s="281"/>
      <c r="G322" s="281"/>
      <c r="H322" s="284"/>
      <c r="I322" s="284">
        <v>2011</v>
      </c>
      <c r="J322" s="284">
        <v>2012</v>
      </c>
      <c r="K322" s="284" t="s">
        <v>276</v>
      </c>
      <c r="L322" s="284" t="s">
        <v>408</v>
      </c>
      <c r="M322" s="284"/>
      <c r="N322" s="72"/>
      <c r="O322" s="47"/>
      <c r="P322" s="47"/>
      <c r="Q322" s="47"/>
      <c r="R322" s="47"/>
      <c r="S322" s="47"/>
      <c r="T322" s="47"/>
      <c r="U322" s="47"/>
    </row>
    <row r="323" spans="1:21" x14ac:dyDescent="0.25">
      <c r="A323" s="281"/>
      <c r="B323" s="281"/>
      <c r="C323" s="281"/>
      <c r="D323" s="281"/>
      <c r="E323" s="281"/>
      <c r="F323" s="281"/>
      <c r="G323" s="281"/>
      <c r="H323" s="284"/>
      <c r="I323" s="284" t="s">
        <v>1</v>
      </c>
      <c r="J323" s="284" t="s">
        <v>1</v>
      </c>
      <c r="K323" s="284" t="s">
        <v>1</v>
      </c>
      <c r="L323" s="284" t="s">
        <v>1</v>
      </c>
      <c r="M323" s="284"/>
      <c r="N323" s="72"/>
      <c r="O323" s="47"/>
      <c r="P323" s="47"/>
      <c r="Q323" s="47"/>
      <c r="R323" s="47"/>
      <c r="S323" s="47"/>
      <c r="T323" s="47"/>
      <c r="U323" s="47"/>
    </row>
    <row r="324" spans="1:21" x14ac:dyDescent="0.25">
      <c r="A324" s="51" t="s">
        <v>122</v>
      </c>
      <c r="B324" s="51"/>
      <c r="C324" s="47"/>
      <c r="D324" s="47"/>
      <c r="E324" s="47"/>
      <c r="F324" s="47"/>
      <c r="G324" s="47"/>
      <c r="H324" s="71"/>
      <c r="I324" s="75">
        <f>+J217</f>
        <v>100000</v>
      </c>
      <c r="J324" s="75">
        <f>+J293</f>
        <v>0</v>
      </c>
      <c r="K324" s="71"/>
      <c r="L324" s="71"/>
      <c r="M324" s="71"/>
      <c r="N324" s="72"/>
      <c r="O324" s="47"/>
      <c r="P324" s="47"/>
      <c r="Q324" s="47"/>
      <c r="R324" s="47"/>
      <c r="S324" s="47"/>
      <c r="T324" s="47"/>
      <c r="U324" s="47"/>
    </row>
    <row r="325" spans="1:21" x14ac:dyDescent="0.25">
      <c r="A325" s="80" t="s">
        <v>126</v>
      </c>
      <c r="B325" s="80"/>
      <c r="C325" s="47"/>
      <c r="D325" s="47"/>
      <c r="E325" s="47"/>
      <c r="F325" s="47"/>
      <c r="G325" s="47"/>
      <c r="H325" s="48"/>
      <c r="I325" s="48"/>
      <c r="J325" s="48"/>
      <c r="K325" s="48"/>
      <c r="L325" s="48"/>
      <c r="M325" s="51"/>
      <c r="N325" s="72"/>
      <c r="O325" s="47"/>
      <c r="P325" s="47"/>
      <c r="Q325" s="47"/>
      <c r="R325" s="47"/>
      <c r="S325" s="47"/>
      <c r="T325" s="47"/>
      <c r="U325" s="47"/>
    </row>
    <row r="326" spans="1:21" x14ac:dyDescent="0.25">
      <c r="A326" s="47" t="s">
        <v>135</v>
      </c>
      <c r="B326" s="47" t="s">
        <v>100</v>
      </c>
      <c r="C326" s="47"/>
      <c r="D326" s="47"/>
      <c r="E326" s="47"/>
      <c r="F326" s="47"/>
      <c r="G326" s="47"/>
      <c r="H326" s="48"/>
      <c r="I326" s="48">
        <f t="shared" ref="I326:J328" si="9">+J310</f>
        <v>100000</v>
      </c>
      <c r="J326" s="48">
        <f t="shared" si="9"/>
        <v>50000</v>
      </c>
      <c r="K326" s="48">
        <f>+J326+I326</f>
        <v>150000</v>
      </c>
      <c r="L326" s="48"/>
      <c r="M326" s="51"/>
      <c r="N326" s="72"/>
      <c r="O326" s="47"/>
      <c r="P326" s="47"/>
      <c r="Q326" s="47"/>
      <c r="R326" s="47"/>
      <c r="S326" s="47"/>
      <c r="T326" s="47"/>
      <c r="U326" s="47"/>
    </row>
    <row r="327" spans="1:21" x14ac:dyDescent="0.25">
      <c r="A327" s="47" t="s">
        <v>135</v>
      </c>
      <c r="B327" s="47" t="s">
        <v>4</v>
      </c>
      <c r="C327" s="47"/>
      <c r="D327" s="47"/>
      <c r="E327" s="47"/>
      <c r="F327" s="47"/>
      <c r="G327" s="47"/>
      <c r="H327" s="48"/>
      <c r="I327" s="48">
        <f t="shared" si="9"/>
        <v>300000</v>
      </c>
      <c r="J327" s="48">
        <f t="shared" si="9"/>
        <v>40000</v>
      </c>
      <c r="K327" s="48">
        <f>+J327+I327</f>
        <v>340000</v>
      </c>
      <c r="L327" s="48"/>
      <c r="M327" s="51"/>
      <c r="N327" s="72"/>
      <c r="O327" s="47"/>
      <c r="P327" s="47"/>
      <c r="Q327" s="47"/>
      <c r="R327" s="47"/>
      <c r="S327" s="47"/>
      <c r="T327" s="47"/>
      <c r="U327" s="47"/>
    </row>
    <row r="328" spans="1:21" x14ac:dyDescent="0.25">
      <c r="A328" s="47" t="s">
        <v>135</v>
      </c>
      <c r="B328" s="47" t="s">
        <v>101</v>
      </c>
      <c r="C328" s="47"/>
      <c r="D328" s="47"/>
      <c r="E328" s="47"/>
      <c r="F328" s="47"/>
      <c r="G328" s="47"/>
      <c r="H328" s="48"/>
      <c r="I328" s="48">
        <f t="shared" si="9"/>
        <v>200000</v>
      </c>
      <c r="J328" s="48">
        <f t="shared" si="9"/>
        <v>30000</v>
      </c>
      <c r="K328" s="48">
        <f>+J328+I328</f>
        <v>230000</v>
      </c>
      <c r="L328" s="48"/>
      <c r="M328" s="51"/>
      <c r="N328" s="72"/>
      <c r="O328" s="47"/>
      <c r="P328" s="47"/>
      <c r="Q328" s="47"/>
      <c r="R328" s="47"/>
      <c r="S328" s="47"/>
      <c r="T328" s="47"/>
      <c r="U328" s="47"/>
    </row>
    <row r="329" spans="1:21" x14ac:dyDescent="0.25">
      <c r="A329" s="80" t="s">
        <v>127</v>
      </c>
      <c r="B329" s="47"/>
      <c r="C329" s="47"/>
      <c r="D329" s="47"/>
      <c r="E329" s="47"/>
      <c r="F329" s="47"/>
      <c r="G329" s="47"/>
      <c r="H329" s="48"/>
      <c r="I329" s="48"/>
      <c r="J329" s="48"/>
      <c r="K329" s="48"/>
      <c r="L329" s="48"/>
      <c r="M329" s="51"/>
      <c r="N329" s="72"/>
      <c r="O329" s="47"/>
      <c r="P329" s="47"/>
      <c r="Q329" s="47"/>
      <c r="R329" s="47"/>
      <c r="S329" s="47"/>
      <c r="T329" s="47"/>
      <c r="U329" s="47"/>
    </row>
    <row r="330" spans="1:21" x14ac:dyDescent="0.25">
      <c r="A330" s="47" t="s">
        <v>135</v>
      </c>
      <c r="B330" s="47" t="s">
        <v>380</v>
      </c>
      <c r="C330" s="47"/>
      <c r="D330" s="47"/>
      <c r="E330" s="47"/>
      <c r="F330" s="47"/>
      <c r="G330" s="47"/>
      <c r="H330" s="48"/>
      <c r="I330" s="48">
        <v>400000</v>
      </c>
      <c r="J330" s="48">
        <f>+J300</f>
        <v>400000</v>
      </c>
      <c r="K330" s="48"/>
      <c r="L330" s="48"/>
      <c r="M330" s="51"/>
      <c r="N330" s="72"/>
      <c r="O330" s="47"/>
      <c r="P330" s="47"/>
      <c r="Q330" s="47"/>
      <c r="R330" s="47"/>
      <c r="S330" s="47"/>
      <c r="T330" s="47"/>
      <c r="U330" s="47"/>
    </row>
    <row r="331" spans="1:21" ht="15.75" thickBot="1" x14ac:dyDescent="0.3">
      <c r="A331" s="45" t="s">
        <v>5</v>
      </c>
      <c r="B331" s="54"/>
      <c r="C331" s="54"/>
      <c r="D331" s="54"/>
      <c r="E331" s="54"/>
      <c r="F331" s="54"/>
      <c r="G331" s="54"/>
      <c r="H331" s="67"/>
      <c r="I331" s="68">
        <f>SUM(I324:I330)</f>
        <v>1100000</v>
      </c>
      <c r="J331" s="68">
        <f>SUM(J324:J330)</f>
        <v>520000</v>
      </c>
      <c r="K331" s="48"/>
      <c r="L331" s="48"/>
      <c r="M331" s="51"/>
      <c r="N331" s="72"/>
      <c r="O331" s="47"/>
      <c r="P331" s="47"/>
      <c r="Q331" s="47"/>
      <c r="R331" s="47"/>
      <c r="S331" s="47"/>
      <c r="T331" s="47"/>
      <c r="U331" s="47"/>
    </row>
    <row r="332" spans="1:21" ht="15.75" thickBot="1" x14ac:dyDescent="0.3">
      <c r="A332" s="45" t="s">
        <v>34</v>
      </c>
      <c r="B332" s="54"/>
      <c r="C332" s="54"/>
      <c r="D332" s="54"/>
      <c r="E332" s="54"/>
      <c r="F332" s="54"/>
      <c r="G332" s="54"/>
      <c r="H332" s="82">
        <v>0.3</v>
      </c>
      <c r="I332" s="68">
        <f>+H332*I331</f>
        <v>330000</v>
      </c>
      <c r="J332" s="68">
        <f>+H332*J331</f>
        <v>156000</v>
      </c>
      <c r="K332" s="86">
        <f>SUM(K324:K331)</f>
        <v>720000</v>
      </c>
      <c r="L332" s="86">
        <f>+K332*30%</f>
        <v>216000</v>
      </c>
      <c r="M332" s="51"/>
      <c r="N332" s="72"/>
      <c r="O332" s="47"/>
      <c r="P332" s="47"/>
      <c r="Q332" s="47"/>
      <c r="R332" s="47"/>
      <c r="S332" s="47"/>
      <c r="T332" s="47"/>
      <c r="U332" s="47"/>
    </row>
    <row r="333" spans="1:21" x14ac:dyDescent="0.25">
      <c r="A333" s="47"/>
      <c r="B333" s="47"/>
      <c r="C333" s="47"/>
      <c r="D333" s="47"/>
      <c r="E333" s="47"/>
      <c r="F333" s="47"/>
      <c r="G333" s="47"/>
      <c r="H333" s="47"/>
      <c r="I333" s="48"/>
      <c r="J333" s="48"/>
      <c r="K333" s="48"/>
      <c r="L333" s="48"/>
      <c r="M333" s="51"/>
      <c r="N333" s="72"/>
      <c r="O333" s="47"/>
      <c r="P333" s="47"/>
      <c r="Q333" s="47"/>
      <c r="R333" s="47"/>
      <c r="S333" s="47"/>
      <c r="T333" s="47"/>
      <c r="U333" s="47"/>
    </row>
    <row r="334" spans="1:21" x14ac:dyDescent="0.25">
      <c r="A334" s="278" t="s">
        <v>400</v>
      </c>
      <c r="B334" s="281"/>
      <c r="C334" s="281"/>
      <c r="D334" s="281"/>
      <c r="E334" s="281"/>
      <c r="F334" s="281"/>
      <c r="G334" s="281"/>
      <c r="H334" s="284"/>
      <c r="I334" s="284"/>
      <c r="J334" s="284"/>
      <c r="K334" s="285"/>
      <c r="L334" s="285"/>
      <c r="M334" s="284"/>
      <c r="N334" s="72"/>
      <c r="O334" s="47"/>
      <c r="P334" s="47"/>
      <c r="Q334" s="47"/>
      <c r="R334" s="47"/>
      <c r="S334" s="47"/>
      <c r="T334" s="47"/>
      <c r="U334" s="47"/>
    </row>
    <row r="335" spans="1:21" x14ac:dyDescent="0.25">
      <c r="A335" s="284"/>
      <c r="B335" s="284"/>
      <c r="C335" s="284"/>
      <c r="D335" s="284"/>
      <c r="E335" s="284"/>
      <c r="F335" s="284"/>
      <c r="G335" s="284"/>
      <c r="H335" s="284"/>
      <c r="I335" s="284" t="s">
        <v>107</v>
      </c>
      <c r="J335" s="284" t="s">
        <v>107</v>
      </c>
      <c r="K335" s="284"/>
      <c r="L335" s="284"/>
      <c r="M335" s="284"/>
      <c r="N335" s="72"/>
      <c r="O335" s="47"/>
      <c r="P335" s="47"/>
      <c r="Q335" s="47"/>
      <c r="R335" s="47"/>
      <c r="S335" s="47"/>
      <c r="T335" s="47"/>
      <c r="U335" s="47"/>
    </row>
    <row r="336" spans="1:21" x14ac:dyDescent="0.25">
      <c r="A336" s="284"/>
      <c r="B336" s="284"/>
      <c r="C336" s="284"/>
      <c r="D336" s="284"/>
      <c r="E336" s="284"/>
      <c r="F336" s="284"/>
      <c r="G336" s="284"/>
      <c r="H336" s="284"/>
      <c r="I336" s="284" t="s">
        <v>110</v>
      </c>
      <c r="J336" s="284" t="s">
        <v>78</v>
      </c>
      <c r="K336" s="284" t="s">
        <v>276</v>
      </c>
      <c r="L336" s="284" t="s">
        <v>408</v>
      </c>
      <c r="M336" s="284"/>
      <c r="N336" s="72"/>
      <c r="O336" s="47"/>
      <c r="P336" s="47"/>
      <c r="Q336" s="47"/>
      <c r="R336" s="47"/>
      <c r="S336" s="47"/>
      <c r="T336" s="47"/>
      <c r="U336" s="47"/>
    </row>
    <row r="337" spans="1:21" x14ac:dyDescent="0.25">
      <c r="A337" s="71"/>
      <c r="B337" s="71"/>
      <c r="C337" s="71"/>
      <c r="D337" s="71"/>
      <c r="E337" s="71"/>
      <c r="F337" s="71"/>
      <c r="G337" s="71"/>
      <c r="H337" s="71"/>
      <c r="I337" s="71" t="s">
        <v>1</v>
      </c>
      <c r="J337" s="71" t="s">
        <v>1</v>
      </c>
      <c r="K337" s="71" t="s">
        <v>1</v>
      </c>
      <c r="L337" s="71" t="s">
        <v>1</v>
      </c>
      <c r="M337" s="51"/>
      <c r="N337" s="72"/>
      <c r="O337" s="47"/>
      <c r="P337" s="47"/>
      <c r="Q337" s="47"/>
      <c r="R337" s="47"/>
      <c r="S337" s="47"/>
      <c r="T337" s="47"/>
      <c r="U337" s="47"/>
    </row>
    <row r="338" spans="1:21" x14ac:dyDescent="0.25">
      <c r="A338" s="71"/>
      <c r="B338" s="71"/>
      <c r="C338" s="51" t="s">
        <v>112</v>
      </c>
      <c r="D338" s="51"/>
      <c r="E338" s="47"/>
      <c r="F338" s="47"/>
      <c r="G338" s="47"/>
      <c r="H338" s="48"/>
      <c r="I338" s="83">
        <f>+I238</f>
        <v>350000</v>
      </c>
      <c r="J338" s="83">
        <f>+J238</f>
        <v>500000</v>
      </c>
      <c r="K338" s="83">
        <f>+J338-I338</f>
        <v>150000</v>
      </c>
      <c r="L338" s="83"/>
      <c r="M338" s="51"/>
      <c r="N338" s="72"/>
      <c r="O338" s="47"/>
      <c r="P338" s="47"/>
      <c r="Q338" s="47"/>
      <c r="R338" s="47"/>
      <c r="S338" s="47"/>
      <c r="T338" s="47"/>
      <c r="U338" s="47"/>
    </row>
    <row r="339" spans="1:21" x14ac:dyDescent="0.25">
      <c r="A339" s="71"/>
      <c r="B339" s="71"/>
      <c r="C339" s="51" t="s">
        <v>93</v>
      </c>
      <c r="D339" s="51"/>
      <c r="E339" s="51"/>
      <c r="F339" s="51"/>
      <c r="G339" s="51"/>
      <c r="H339" s="71"/>
      <c r="I339" s="83">
        <f>+I243</f>
        <v>60000</v>
      </c>
      <c r="J339" s="83">
        <f>+J243</f>
        <v>400000</v>
      </c>
      <c r="K339" s="83">
        <f>+J339-I339</f>
        <v>340000</v>
      </c>
      <c r="L339" s="83"/>
      <c r="M339" s="51"/>
      <c r="N339" s="72"/>
      <c r="O339" s="47"/>
      <c r="P339" s="47"/>
      <c r="Q339" s="47"/>
      <c r="R339" s="47"/>
      <c r="S339" s="47"/>
      <c r="T339" s="47"/>
      <c r="U339" s="47"/>
    </row>
    <row r="340" spans="1:21" ht="15.75" thickBot="1" x14ac:dyDescent="0.3">
      <c r="A340" s="71"/>
      <c r="B340" s="71"/>
      <c r="C340" s="51" t="s">
        <v>101</v>
      </c>
      <c r="D340" s="51"/>
      <c r="E340" s="47"/>
      <c r="F340" s="47"/>
      <c r="G340" s="47"/>
      <c r="H340" s="48"/>
      <c r="I340" s="83">
        <f>+I247</f>
        <v>230000</v>
      </c>
      <c r="J340" s="83">
        <f>+J247</f>
        <v>0</v>
      </c>
      <c r="K340" s="83">
        <f>+I340-J340</f>
        <v>230000</v>
      </c>
      <c r="L340" s="83"/>
      <c r="M340" s="51"/>
      <c r="N340" s="72"/>
      <c r="O340" s="47"/>
      <c r="P340" s="47"/>
      <c r="Q340" s="47"/>
      <c r="R340" s="47"/>
      <c r="S340" s="47"/>
      <c r="T340" s="47"/>
      <c r="U340" s="47"/>
    </row>
    <row r="341" spans="1:21" ht="15.75" thickBot="1" x14ac:dyDescent="0.3">
      <c r="A341" s="71"/>
      <c r="B341" s="71"/>
      <c r="C341" s="51"/>
      <c r="D341" s="51"/>
      <c r="E341" s="47"/>
      <c r="F341" s="47"/>
      <c r="G341" s="47"/>
      <c r="H341" s="48"/>
      <c r="I341" s="83"/>
      <c r="J341" s="83"/>
      <c r="K341" s="86">
        <f>SUM(K338:K340)</f>
        <v>720000</v>
      </c>
      <c r="L341" s="86">
        <f>+K341*30%</f>
        <v>216000</v>
      </c>
      <c r="M341" s="51"/>
      <c r="N341" s="72"/>
      <c r="O341" s="47"/>
      <c r="P341" s="47"/>
      <c r="Q341" s="47"/>
      <c r="R341" s="47"/>
      <c r="S341" s="47"/>
      <c r="T341" s="47"/>
      <c r="U341" s="47"/>
    </row>
    <row r="342" spans="1:21" x14ac:dyDescent="0.25">
      <c r="A342" s="47"/>
      <c r="B342" s="47"/>
      <c r="C342" s="47"/>
      <c r="D342" s="51"/>
      <c r="E342" s="47"/>
      <c r="F342" s="47"/>
      <c r="G342" s="47"/>
      <c r="H342" s="48"/>
      <c r="I342" s="48"/>
      <c r="J342" s="48"/>
      <c r="K342" s="48"/>
      <c r="L342" s="48"/>
      <c r="M342" s="51"/>
      <c r="N342" s="72"/>
      <c r="O342" s="47"/>
      <c r="P342" s="47"/>
      <c r="Q342" s="47"/>
      <c r="R342" s="47"/>
      <c r="S342" s="47"/>
      <c r="T342" s="47"/>
      <c r="U342" s="47"/>
    </row>
    <row r="343" spans="1:21" x14ac:dyDescent="0.25">
      <c r="A343" s="278" t="s">
        <v>401</v>
      </c>
      <c r="B343" s="281"/>
      <c r="C343" s="281"/>
      <c r="D343" s="281"/>
      <c r="E343" s="281"/>
      <c r="F343" s="281"/>
      <c r="G343" s="281"/>
      <c r="H343" s="284"/>
      <c r="I343" s="280"/>
      <c r="J343" s="280"/>
      <c r="K343" s="284" t="s">
        <v>130</v>
      </c>
      <c r="L343" s="280"/>
      <c r="M343" s="284"/>
      <c r="N343" s="72"/>
      <c r="O343" s="47"/>
      <c r="P343" s="47"/>
      <c r="Q343" s="47"/>
      <c r="R343" s="47"/>
      <c r="S343" s="47"/>
      <c r="T343" s="47"/>
      <c r="U343" s="47"/>
    </row>
    <row r="344" spans="1:21" x14ac:dyDescent="0.25">
      <c r="A344" s="281"/>
      <c r="B344" s="281"/>
      <c r="C344" s="281"/>
      <c r="D344" s="281"/>
      <c r="E344" s="281"/>
      <c r="F344" s="281"/>
      <c r="G344" s="284" t="s">
        <v>130</v>
      </c>
      <c r="H344" s="281"/>
      <c r="I344" s="284" t="s">
        <v>135</v>
      </c>
      <c r="J344" s="284" t="s">
        <v>136</v>
      </c>
      <c r="K344" s="284" t="s">
        <v>132</v>
      </c>
      <c r="L344" s="284"/>
      <c r="M344" s="284"/>
      <c r="N344" s="72"/>
      <c r="O344" s="47"/>
      <c r="P344" s="47"/>
      <c r="Q344" s="47"/>
      <c r="R344" s="47"/>
      <c r="S344" s="47"/>
      <c r="T344" s="47"/>
      <c r="U344" s="47"/>
    </row>
    <row r="345" spans="1:21" x14ac:dyDescent="0.25">
      <c r="A345" s="281"/>
      <c r="B345" s="281"/>
      <c r="C345" s="281"/>
      <c r="D345" s="281"/>
      <c r="E345" s="281"/>
      <c r="F345" s="281"/>
      <c r="G345" s="284" t="s">
        <v>131</v>
      </c>
      <c r="H345" s="281"/>
      <c r="I345" s="284" t="s">
        <v>133</v>
      </c>
      <c r="J345" s="284" t="s">
        <v>134</v>
      </c>
      <c r="K345" s="284" t="s">
        <v>276</v>
      </c>
      <c r="L345" s="284" t="s">
        <v>408</v>
      </c>
      <c r="M345" s="284"/>
      <c r="N345" s="72"/>
      <c r="O345" s="47"/>
      <c r="P345" s="47"/>
      <c r="Q345" s="47"/>
      <c r="R345" s="47"/>
      <c r="S345" s="47"/>
      <c r="T345" s="47"/>
      <c r="U345" s="47"/>
    </row>
    <row r="346" spans="1:21" x14ac:dyDescent="0.25">
      <c r="A346" s="47"/>
      <c r="B346" s="47"/>
      <c r="C346" s="47"/>
      <c r="D346" s="47"/>
      <c r="E346" s="47"/>
      <c r="F346" s="47"/>
      <c r="G346" s="71" t="s">
        <v>1</v>
      </c>
      <c r="H346" s="47"/>
      <c r="I346" s="71" t="s">
        <v>1</v>
      </c>
      <c r="J346" s="71" t="s">
        <v>1</v>
      </c>
      <c r="K346" s="71" t="s">
        <v>1</v>
      </c>
      <c r="L346" s="71"/>
      <c r="M346" s="51"/>
      <c r="N346" s="72"/>
      <c r="O346" s="47"/>
      <c r="P346" s="47"/>
      <c r="Q346" s="47"/>
      <c r="R346" s="47"/>
      <c r="S346" s="47"/>
      <c r="T346" s="47"/>
      <c r="U346" s="47"/>
    </row>
    <row r="347" spans="1:21" x14ac:dyDescent="0.25">
      <c r="A347" s="47" t="s">
        <v>100</v>
      </c>
      <c r="B347" s="47"/>
      <c r="C347" s="47"/>
      <c r="D347" s="47"/>
      <c r="E347" s="47"/>
      <c r="F347" s="47"/>
      <c r="G347" s="48">
        <f>+I270</f>
        <v>100000</v>
      </c>
      <c r="H347" s="47"/>
      <c r="I347" s="48">
        <f t="shared" ref="I347:K349" si="10">+J270</f>
        <v>50000</v>
      </c>
      <c r="J347" s="48">
        <f t="shared" si="10"/>
        <v>0</v>
      </c>
      <c r="K347" s="48">
        <f t="shared" si="10"/>
        <v>150000</v>
      </c>
      <c r="L347" s="48"/>
      <c r="M347" s="51"/>
      <c r="N347" s="72"/>
      <c r="O347" s="47"/>
      <c r="P347" s="47"/>
      <c r="Q347" s="47"/>
      <c r="R347" s="47"/>
      <c r="S347" s="47"/>
      <c r="T347" s="47"/>
      <c r="U347" s="47"/>
    </row>
    <row r="348" spans="1:21" x14ac:dyDescent="0.25">
      <c r="A348" s="47" t="s">
        <v>4</v>
      </c>
      <c r="B348" s="47"/>
      <c r="C348" s="47"/>
      <c r="D348" s="47"/>
      <c r="E348" s="47"/>
      <c r="F348" s="47"/>
      <c r="G348" s="48">
        <f>+I271</f>
        <v>300000</v>
      </c>
      <c r="H348" s="47"/>
      <c r="I348" s="48">
        <f t="shared" si="10"/>
        <v>40000</v>
      </c>
      <c r="J348" s="48">
        <f t="shared" si="10"/>
        <v>0</v>
      </c>
      <c r="K348" s="48">
        <f t="shared" si="10"/>
        <v>340000</v>
      </c>
      <c r="L348" s="48"/>
      <c r="M348" s="51"/>
      <c r="N348" s="72"/>
      <c r="O348" s="47"/>
      <c r="P348" s="47"/>
      <c r="Q348" s="47"/>
      <c r="R348" s="47"/>
      <c r="S348" s="47"/>
      <c r="T348" s="47"/>
      <c r="U348" s="47"/>
    </row>
    <row r="349" spans="1:21" ht="15.75" thickBot="1" x14ac:dyDescent="0.3">
      <c r="A349" s="47" t="s">
        <v>101</v>
      </c>
      <c r="B349" s="47"/>
      <c r="C349" s="47"/>
      <c r="D349" s="47"/>
      <c r="E349" s="47"/>
      <c r="F349" s="47"/>
      <c r="G349" s="48">
        <f>+I272</f>
        <v>200000</v>
      </c>
      <c r="H349" s="47"/>
      <c r="I349" s="48">
        <f t="shared" si="10"/>
        <v>30000</v>
      </c>
      <c r="J349" s="48">
        <f t="shared" si="10"/>
        <v>0</v>
      </c>
      <c r="K349" s="48">
        <f t="shared" si="10"/>
        <v>230000</v>
      </c>
      <c r="L349" s="48"/>
      <c r="M349" s="51"/>
      <c r="N349" s="72"/>
      <c r="O349" s="47"/>
      <c r="P349" s="47"/>
      <c r="Q349" s="47"/>
      <c r="R349" s="47"/>
      <c r="S349" s="47"/>
      <c r="T349" s="47"/>
      <c r="U349" s="47"/>
    </row>
    <row r="350" spans="1:21" ht="15.75" thickBot="1" x14ac:dyDescent="0.3">
      <c r="A350" s="54"/>
      <c r="B350" s="54"/>
      <c r="C350" s="54"/>
      <c r="D350" s="54"/>
      <c r="E350" s="54"/>
      <c r="F350" s="54"/>
      <c r="G350" s="68">
        <f t="shared" ref="G350" si="11">SUM(G347:G349)</f>
        <v>600000</v>
      </c>
      <c r="H350" s="45"/>
      <c r="I350" s="68">
        <f t="shared" ref="I350:J350" si="12">SUM(I347:I349)</f>
        <v>120000</v>
      </c>
      <c r="J350" s="68">
        <f t="shared" si="12"/>
        <v>0</v>
      </c>
      <c r="K350" s="86">
        <f t="shared" ref="K350" si="13">SUM(K347:K349)</f>
        <v>720000</v>
      </c>
      <c r="L350" s="86">
        <f>+K350*30%</f>
        <v>216000</v>
      </c>
      <c r="M350" s="51"/>
      <c r="N350" s="72"/>
      <c r="O350" s="47"/>
      <c r="P350" s="47"/>
      <c r="Q350" s="47"/>
      <c r="R350" s="47"/>
      <c r="S350" s="47"/>
      <c r="T350" s="47"/>
      <c r="U350" s="47"/>
    </row>
    <row r="351" spans="1:21" x14ac:dyDescent="0.25">
      <c r="A351" s="47"/>
      <c r="B351" s="47"/>
      <c r="C351" s="47"/>
      <c r="D351" s="47"/>
      <c r="E351" s="47"/>
      <c r="F351" s="47"/>
      <c r="G351" s="47"/>
      <c r="H351" s="71"/>
      <c r="I351" s="71"/>
      <c r="J351" s="71"/>
      <c r="K351" s="75"/>
      <c r="L351" s="75"/>
      <c r="M351" s="51"/>
      <c r="N351" s="72"/>
      <c r="O351" s="47"/>
      <c r="P351" s="47"/>
      <c r="Q351" s="47"/>
      <c r="R351" s="47"/>
      <c r="S351" s="47"/>
      <c r="T351" s="47"/>
      <c r="U351" s="47"/>
    </row>
    <row r="352" spans="1:21" x14ac:dyDescent="0.25">
      <c r="A352" s="47" t="s">
        <v>406</v>
      </c>
      <c r="B352" s="47"/>
      <c r="C352" s="47"/>
      <c r="D352" s="47"/>
      <c r="E352" s="47"/>
      <c r="F352" s="47"/>
      <c r="G352" s="47"/>
      <c r="H352" s="71"/>
      <c r="I352" s="71"/>
      <c r="J352" s="71"/>
      <c r="K352" s="75"/>
      <c r="L352" s="75"/>
      <c r="M352" s="51"/>
      <c r="N352" s="72"/>
      <c r="O352" s="47"/>
      <c r="P352" s="47"/>
      <c r="Q352" s="47"/>
      <c r="R352" s="47"/>
      <c r="S352" s="47"/>
      <c r="T352" s="47"/>
      <c r="U352" s="47"/>
    </row>
    <row r="353" spans="1:21" x14ac:dyDescent="0.25">
      <c r="A353" s="47" t="s">
        <v>577</v>
      </c>
      <c r="B353" s="47"/>
      <c r="C353" s="47"/>
      <c r="D353" s="47"/>
      <c r="E353" s="47"/>
      <c r="F353" s="47"/>
      <c r="G353" s="47"/>
      <c r="H353" s="71"/>
      <c r="I353" s="71"/>
      <c r="J353" s="71"/>
      <c r="K353" s="75"/>
      <c r="L353" s="75"/>
      <c r="M353" s="51"/>
      <c r="N353" s="72"/>
      <c r="O353" s="47"/>
      <c r="P353" s="47"/>
      <c r="Q353" s="47"/>
      <c r="R353" s="47"/>
      <c r="S353" s="47"/>
      <c r="T353" s="47"/>
      <c r="U353" s="47"/>
    </row>
    <row r="354" spans="1:21" x14ac:dyDescent="0.25">
      <c r="A354" s="47"/>
      <c r="B354" s="47"/>
      <c r="C354" s="47"/>
      <c r="D354" s="47"/>
      <c r="E354" s="47"/>
      <c r="F354" s="47"/>
      <c r="G354" s="47"/>
      <c r="H354" s="71"/>
      <c r="I354" s="71"/>
      <c r="J354" s="71"/>
      <c r="K354" s="75"/>
      <c r="L354" s="75"/>
      <c r="M354" s="51"/>
      <c r="N354" s="72"/>
      <c r="O354" s="47"/>
      <c r="P354" s="47"/>
      <c r="Q354" s="47"/>
      <c r="R354" s="47"/>
      <c r="S354" s="47"/>
      <c r="T354" s="47"/>
      <c r="U354" s="47"/>
    </row>
    <row r="355" spans="1:21" x14ac:dyDescent="0.25">
      <c r="A355" s="403" t="s">
        <v>816</v>
      </c>
      <c r="B355" s="403"/>
      <c r="C355" s="403"/>
      <c r="D355" s="403"/>
      <c r="E355" s="403"/>
      <c r="F355" s="403"/>
      <c r="G355" s="403"/>
      <c r="H355" s="403"/>
      <c r="I355" s="403"/>
      <c r="J355" s="403"/>
      <c r="K355" s="403"/>
      <c r="L355" s="403"/>
      <c r="M355" s="403"/>
      <c r="N355" s="72"/>
    </row>
    <row r="356" spans="1:21" x14ac:dyDescent="0.25">
      <c r="A356" s="278" t="s">
        <v>403</v>
      </c>
      <c r="B356" s="281"/>
      <c r="C356" s="281"/>
      <c r="D356" s="281"/>
      <c r="E356" s="281"/>
      <c r="F356" s="281"/>
      <c r="G356" s="281"/>
      <c r="H356" s="282"/>
      <c r="I356" s="282"/>
      <c r="J356" s="282"/>
      <c r="K356" s="282"/>
      <c r="L356" s="282"/>
      <c r="M356" s="284"/>
      <c r="N356" s="72"/>
      <c r="O356" s="47"/>
      <c r="P356" s="47"/>
      <c r="Q356" s="47"/>
      <c r="R356" s="47"/>
      <c r="S356" s="47"/>
      <c r="T356" s="47"/>
      <c r="U356" s="47"/>
    </row>
    <row r="357" spans="1:21" x14ac:dyDescent="0.25">
      <c r="A357" s="278"/>
      <c r="B357" s="281"/>
      <c r="C357" s="281"/>
      <c r="D357" s="281"/>
      <c r="E357" s="281"/>
      <c r="F357" s="281"/>
      <c r="G357" s="281"/>
      <c r="H357" s="284"/>
      <c r="I357" s="284"/>
      <c r="J357" s="284">
        <v>2013</v>
      </c>
      <c r="K357" s="285" t="s">
        <v>405</v>
      </c>
      <c r="L357" s="285"/>
      <c r="M357" s="284"/>
      <c r="N357" s="72"/>
      <c r="O357" s="47"/>
      <c r="P357" s="47"/>
      <c r="Q357" s="47"/>
      <c r="R357" s="47"/>
      <c r="S357" s="47"/>
      <c r="T357" s="47"/>
      <c r="U357" s="47"/>
    </row>
    <row r="358" spans="1:21" x14ac:dyDescent="0.25">
      <c r="A358" s="281"/>
      <c r="B358" s="281"/>
      <c r="C358" s="281"/>
      <c r="D358" s="281"/>
      <c r="E358" s="281"/>
      <c r="F358" s="281"/>
      <c r="G358" s="281"/>
      <c r="H358" s="284"/>
      <c r="I358" s="284"/>
      <c r="J358" s="284" t="s">
        <v>1</v>
      </c>
      <c r="K358" s="284" t="s">
        <v>1</v>
      </c>
      <c r="L358" s="284"/>
      <c r="M358" s="284"/>
      <c r="N358" s="72"/>
      <c r="O358" s="47"/>
      <c r="P358" s="47"/>
      <c r="Q358" s="47"/>
      <c r="R358" s="47"/>
      <c r="S358" s="47"/>
      <c r="T358" s="47"/>
      <c r="U358" s="47"/>
    </row>
    <row r="359" spans="1:21" x14ac:dyDescent="0.25">
      <c r="A359" s="47"/>
      <c r="B359" s="51" t="s">
        <v>122</v>
      </c>
      <c r="C359" s="47"/>
      <c r="D359" s="47"/>
      <c r="E359" s="47"/>
      <c r="F359" s="47"/>
      <c r="G359" s="47"/>
      <c r="H359" s="71"/>
      <c r="I359" s="75"/>
      <c r="J359" s="87">
        <v>900000</v>
      </c>
      <c r="K359" s="87">
        <f>+J359*0.3</f>
        <v>270000</v>
      </c>
      <c r="L359" s="71"/>
      <c r="M359" s="51"/>
      <c r="N359" s="72"/>
      <c r="O359" s="47"/>
      <c r="P359" s="47"/>
      <c r="Q359" s="47"/>
      <c r="R359" s="47"/>
      <c r="S359" s="47"/>
      <c r="T359" s="47"/>
      <c r="U359" s="47"/>
    </row>
    <row r="360" spans="1:21" x14ac:dyDescent="0.25">
      <c r="A360" s="47"/>
      <c r="B360" s="80" t="s">
        <v>126</v>
      </c>
      <c r="C360" s="47"/>
      <c r="D360" s="47"/>
      <c r="E360" s="47"/>
      <c r="F360" s="47"/>
      <c r="G360" s="47"/>
      <c r="H360" s="48"/>
      <c r="I360" s="48"/>
      <c r="J360" s="48"/>
      <c r="K360" s="48"/>
      <c r="L360" s="48"/>
      <c r="M360" s="51"/>
      <c r="N360" s="72"/>
      <c r="O360" s="47"/>
      <c r="P360" s="47"/>
      <c r="Q360" s="47"/>
      <c r="R360" s="47"/>
      <c r="S360" s="47"/>
      <c r="T360" s="47"/>
      <c r="U360" s="47"/>
    </row>
    <row r="361" spans="1:21" x14ac:dyDescent="0.25">
      <c r="A361" s="47"/>
      <c r="B361" s="47" t="s">
        <v>136</v>
      </c>
      <c r="C361" s="47" t="s">
        <v>100</v>
      </c>
      <c r="D361" s="47"/>
      <c r="E361" s="47"/>
      <c r="F361" s="47"/>
      <c r="G361" s="47"/>
      <c r="H361" s="48"/>
      <c r="I361" s="48"/>
      <c r="J361" s="78">
        <f>-K347</f>
        <v>-150000</v>
      </c>
      <c r="K361" s="78">
        <f>+J361*0.3</f>
        <v>-45000</v>
      </c>
      <c r="L361" s="48"/>
      <c r="M361" s="51"/>
      <c r="N361" s="72"/>
      <c r="O361" s="47"/>
      <c r="P361" s="47"/>
      <c r="Q361" s="47"/>
      <c r="R361" s="47"/>
      <c r="S361" s="47"/>
      <c r="T361" s="47"/>
      <c r="U361" s="47"/>
    </row>
    <row r="362" spans="1:21" x14ac:dyDescent="0.25">
      <c r="A362" s="47"/>
      <c r="B362" s="47" t="s">
        <v>136</v>
      </c>
      <c r="C362" s="47" t="s">
        <v>4</v>
      </c>
      <c r="D362" s="47"/>
      <c r="E362" s="47"/>
      <c r="F362" s="47"/>
      <c r="G362" s="47"/>
      <c r="H362" s="48"/>
      <c r="I362" s="48"/>
      <c r="J362" s="78">
        <f>-K348</f>
        <v>-340000</v>
      </c>
      <c r="K362" s="78">
        <f>+J362*0.3</f>
        <v>-102000</v>
      </c>
      <c r="L362" s="48"/>
      <c r="M362" s="51"/>
      <c r="N362" s="72"/>
      <c r="O362" s="47"/>
      <c r="P362" s="47"/>
      <c r="Q362" s="47"/>
      <c r="R362" s="47"/>
      <c r="S362" s="47"/>
      <c r="T362" s="47"/>
      <c r="U362" s="47"/>
    </row>
    <row r="363" spans="1:21" x14ac:dyDescent="0.25">
      <c r="A363" s="47"/>
      <c r="B363" s="47" t="s">
        <v>136</v>
      </c>
      <c r="C363" s="47" t="s">
        <v>101</v>
      </c>
      <c r="D363" s="47"/>
      <c r="E363" s="47"/>
      <c r="F363" s="47"/>
      <c r="G363" s="47"/>
      <c r="H363" s="48"/>
      <c r="I363" s="48"/>
      <c r="J363" s="78">
        <f>-K349</f>
        <v>-230000</v>
      </c>
      <c r="K363" s="78">
        <f>+J363*0.3</f>
        <v>-69000</v>
      </c>
      <c r="L363" s="48"/>
      <c r="M363" s="51"/>
      <c r="N363" s="72"/>
      <c r="O363" s="47"/>
      <c r="P363" s="47"/>
      <c r="Q363" s="47"/>
      <c r="R363" s="47"/>
      <c r="S363" s="47"/>
      <c r="T363" s="47"/>
      <c r="U363" s="47"/>
    </row>
    <row r="364" spans="1:21" x14ac:dyDescent="0.25">
      <c r="A364" s="47"/>
      <c r="B364" s="47"/>
      <c r="C364" s="47"/>
      <c r="D364" s="47"/>
      <c r="E364" s="47"/>
      <c r="F364" s="47"/>
      <c r="G364" s="47"/>
      <c r="H364" s="48"/>
      <c r="I364" s="48"/>
      <c r="J364" s="68">
        <f>SUM(J359:J363)</f>
        <v>180000</v>
      </c>
      <c r="K364" s="68">
        <f>SUM(K359:K363)</f>
        <v>54000</v>
      </c>
      <c r="L364" s="48"/>
      <c r="M364" s="51"/>
      <c r="N364" s="72"/>
      <c r="O364" s="47"/>
      <c r="P364" s="47"/>
      <c r="Q364" s="47"/>
      <c r="R364" s="47"/>
      <c r="S364" s="47"/>
      <c r="T364" s="47"/>
      <c r="U364" s="47"/>
    </row>
    <row r="365" spans="1:21" x14ac:dyDescent="0.25">
      <c r="A365" s="47"/>
      <c r="B365" s="47"/>
      <c r="C365" s="47"/>
      <c r="D365" s="47"/>
      <c r="E365" s="47"/>
      <c r="F365" s="47"/>
      <c r="G365" s="47"/>
      <c r="H365" s="47"/>
      <c r="I365" s="48"/>
      <c r="J365" s="48"/>
      <c r="K365" s="48"/>
      <c r="L365" s="48"/>
      <c r="M365" s="51"/>
      <c r="N365" s="72"/>
      <c r="O365" s="47"/>
      <c r="P365" s="47"/>
      <c r="Q365" s="47"/>
      <c r="R365" s="47"/>
      <c r="S365" s="47"/>
      <c r="T365" s="47"/>
      <c r="U365" s="47"/>
    </row>
    <row r="366" spans="1:21" x14ac:dyDescent="0.25">
      <c r="A366" s="47"/>
      <c r="B366" s="47"/>
      <c r="C366" s="47"/>
      <c r="D366" s="47"/>
      <c r="E366" s="47"/>
      <c r="F366" s="47"/>
      <c r="G366" s="47"/>
      <c r="H366" s="47"/>
      <c r="I366" s="48"/>
      <c r="J366" s="87" t="s">
        <v>773</v>
      </c>
      <c r="K366" s="89">
        <f>+K361+K362+K363</f>
        <v>-216000</v>
      </c>
      <c r="L366" s="48"/>
      <c r="M366" s="51"/>
      <c r="N366" s="72"/>
      <c r="O366" s="47"/>
      <c r="P366" s="47"/>
      <c r="Q366" s="47"/>
      <c r="R366" s="47"/>
      <c r="S366" s="47"/>
      <c r="T366" s="47"/>
      <c r="U366" s="47"/>
    </row>
    <row r="367" spans="1:21" x14ac:dyDescent="0.25">
      <c r="A367" s="47"/>
      <c r="B367" s="47"/>
      <c r="C367" s="47"/>
      <c r="D367" s="47"/>
      <c r="E367" s="47"/>
      <c r="F367" s="47"/>
      <c r="G367" s="47"/>
      <c r="H367" s="47"/>
      <c r="I367" s="48"/>
      <c r="J367" s="48"/>
      <c r="K367" s="48"/>
      <c r="L367" s="48"/>
      <c r="M367" s="51"/>
      <c r="N367" s="72"/>
      <c r="O367" s="47"/>
      <c r="P367" s="47"/>
      <c r="Q367" s="47"/>
      <c r="R367" s="47"/>
      <c r="S367" s="47"/>
      <c r="T367" s="47"/>
      <c r="U367" s="47"/>
    </row>
    <row r="368" spans="1:21" x14ac:dyDescent="0.25">
      <c r="A368" s="47" t="s">
        <v>404</v>
      </c>
      <c r="B368" s="47"/>
      <c r="C368" s="47"/>
      <c r="D368" s="47"/>
      <c r="E368" s="47"/>
      <c r="F368" s="47"/>
      <c r="G368" s="47"/>
      <c r="H368" s="47"/>
      <c r="I368" s="48"/>
      <c r="J368" s="48"/>
      <c r="K368" s="48"/>
      <c r="L368" s="48"/>
      <c r="M368" s="51"/>
      <c r="N368" s="72"/>
      <c r="O368" s="47"/>
      <c r="P368" s="47"/>
      <c r="Q368" s="47"/>
      <c r="R368" s="47"/>
      <c r="S368" s="47"/>
      <c r="T368" s="47"/>
      <c r="U368" s="47"/>
    </row>
    <row r="369" spans="1:21" x14ac:dyDescent="0.25">
      <c r="A369" s="47"/>
      <c r="B369" s="47"/>
      <c r="C369" s="47"/>
      <c r="D369" s="47"/>
      <c r="E369" s="47"/>
      <c r="F369" s="47"/>
      <c r="G369" s="47"/>
      <c r="H369" s="47"/>
      <c r="I369" s="48"/>
      <c r="J369" s="48"/>
      <c r="K369" s="48"/>
      <c r="L369" s="48"/>
      <c r="M369" s="51"/>
      <c r="N369" s="72"/>
      <c r="O369" s="47"/>
      <c r="P369" s="47"/>
      <c r="Q369" s="47"/>
      <c r="R369" s="47"/>
      <c r="S369" s="47"/>
      <c r="T369" s="47"/>
      <c r="U369" s="47"/>
    </row>
    <row r="370" spans="1:21" x14ac:dyDescent="0.25">
      <c r="A370" s="403" t="s">
        <v>817</v>
      </c>
      <c r="B370" s="403"/>
      <c r="C370" s="403"/>
      <c r="D370" s="403"/>
      <c r="E370" s="403"/>
      <c r="F370" s="403"/>
      <c r="G370" s="403"/>
      <c r="H370" s="403"/>
      <c r="I370" s="403"/>
      <c r="J370" s="403"/>
      <c r="K370" s="403"/>
      <c r="L370" s="403"/>
      <c r="M370" s="403"/>
      <c r="N370" s="72"/>
    </row>
    <row r="371" spans="1:21" x14ac:dyDescent="0.25">
      <c r="A371" s="278"/>
      <c r="B371" s="278"/>
      <c r="C371" s="278"/>
      <c r="D371" s="278"/>
      <c r="E371" s="278"/>
      <c r="F371" s="278"/>
      <c r="G371" s="278"/>
      <c r="H371" s="278"/>
      <c r="I371" s="284" t="s">
        <v>107</v>
      </c>
      <c r="J371" s="284" t="s">
        <v>107</v>
      </c>
      <c r="K371" s="284"/>
      <c r="L371" s="284"/>
      <c r="M371" s="284"/>
      <c r="N371" s="72"/>
      <c r="O371" s="47"/>
      <c r="P371" s="47"/>
      <c r="Q371" s="47"/>
      <c r="R371" s="47"/>
      <c r="S371" s="47"/>
      <c r="T371" s="47"/>
      <c r="U371" s="47"/>
    </row>
    <row r="372" spans="1:21" x14ac:dyDescent="0.25">
      <c r="A372" s="278"/>
      <c r="B372" s="278"/>
      <c r="C372" s="278"/>
      <c r="D372" s="278"/>
      <c r="E372" s="278"/>
      <c r="F372" s="278"/>
      <c r="G372" s="278"/>
      <c r="H372" s="278"/>
      <c r="I372" s="284" t="s">
        <v>110</v>
      </c>
      <c r="J372" s="284" t="s">
        <v>78</v>
      </c>
      <c r="K372" s="284" t="s">
        <v>276</v>
      </c>
      <c r="L372" s="284"/>
      <c r="M372" s="284"/>
      <c r="N372" s="72"/>
      <c r="O372" s="47"/>
      <c r="P372" s="47"/>
      <c r="Q372" s="47"/>
      <c r="R372" s="47"/>
      <c r="S372" s="47"/>
      <c r="T372" s="47"/>
      <c r="U372" s="47"/>
    </row>
    <row r="373" spans="1:21" x14ac:dyDescent="0.25">
      <c r="A373" s="278"/>
      <c r="B373" s="278" t="s">
        <v>150</v>
      </c>
      <c r="C373" s="278"/>
      <c r="D373" s="278"/>
      <c r="E373" s="278"/>
      <c r="F373" s="278"/>
      <c r="G373" s="278"/>
      <c r="H373" s="278"/>
      <c r="I373" s="284" t="s">
        <v>1</v>
      </c>
      <c r="J373" s="284" t="s">
        <v>1</v>
      </c>
      <c r="K373" s="284" t="s">
        <v>1</v>
      </c>
      <c r="L373" s="284"/>
      <c r="M373" s="284"/>
      <c r="N373" s="72"/>
      <c r="O373" s="47"/>
      <c r="P373" s="47"/>
      <c r="Q373" s="47"/>
      <c r="R373" s="47"/>
      <c r="S373" s="47"/>
      <c r="T373" s="47"/>
      <c r="U373" s="47"/>
    </row>
    <row r="374" spans="1:21" x14ac:dyDescent="0.25">
      <c r="A374" s="47"/>
      <c r="B374" s="47" t="s">
        <v>112</v>
      </c>
      <c r="C374" s="47"/>
      <c r="D374" s="47"/>
      <c r="E374" s="47"/>
      <c r="F374" s="47"/>
      <c r="G374" s="47"/>
      <c r="H374" s="47"/>
      <c r="I374" s="90">
        <v>100000</v>
      </c>
      <c r="J374" s="90">
        <v>190000</v>
      </c>
      <c r="K374" s="90">
        <v>90000</v>
      </c>
      <c r="L374" s="47"/>
      <c r="M374" s="51"/>
      <c r="N374" s="72"/>
      <c r="O374" s="47"/>
      <c r="P374" s="47"/>
      <c r="Q374" s="47"/>
      <c r="R374" s="47"/>
      <c r="S374" s="47"/>
      <c r="T374" s="47"/>
      <c r="U374" s="47"/>
    </row>
    <row r="375" spans="1:21" x14ac:dyDescent="0.25">
      <c r="A375" s="47"/>
      <c r="B375" s="47" t="s">
        <v>93</v>
      </c>
      <c r="C375" s="47"/>
      <c r="D375" s="47"/>
      <c r="E375" s="47"/>
      <c r="F375" s="47"/>
      <c r="G375" s="47"/>
      <c r="H375" s="47"/>
      <c r="I375" s="90">
        <v>200000</v>
      </c>
      <c r="J375" s="90">
        <v>250000</v>
      </c>
      <c r="K375" s="90">
        <v>50000</v>
      </c>
      <c r="L375" s="47"/>
      <c r="M375" s="51"/>
      <c r="N375" s="72"/>
      <c r="O375" s="47"/>
      <c r="P375" s="47"/>
      <c r="Q375" s="47"/>
      <c r="R375" s="47"/>
      <c r="S375" s="47"/>
      <c r="T375" s="47"/>
      <c r="U375" s="47"/>
    </row>
    <row r="376" spans="1:21" x14ac:dyDescent="0.25">
      <c r="A376" s="47"/>
      <c r="B376" s="47" t="s">
        <v>151</v>
      </c>
      <c r="C376" s="47"/>
      <c r="D376" s="47"/>
      <c r="E376" s="47"/>
      <c r="F376" s="47"/>
      <c r="G376" s="47"/>
      <c r="H376" s="47"/>
      <c r="I376" s="90">
        <v>200000</v>
      </c>
      <c r="J376" s="90">
        <v>300000</v>
      </c>
      <c r="K376" s="90">
        <v>100000</v>
      </c>
      <c r="L376" s="47"/>
      <c r="M376" s="51"/>
      <c r="N376" s="72"/>
      <c r="O376" s="47"/>
      <c r="P376" s="47"/>
      <c r="Q376" s="47"/>
      <c r="R376" s="47"/>
      <c r="S376" s="47"/>
      <c r="T376" s="47"/>
      <c r="U376" s="47"/>
    </row>
    <row r="377" spans="1:21" x14ac:dyDescent="0.25">
      <c r="A377" s="47"/>
      <c r="B377" s="47" t="s">
        <v>152</v>
      </c>
      <c r="C377" s="47"/>
      <c r="D377" s="47"/>
      <c r="E377" s="47"/>
      <c r="F377" s="47"/>
      <c r="G377" s="47"/>
      <c r="H377" s="47"/>
      <c r="I377" s="90">
        <v>300000</v>
      </c>
      <c r="J377" s="90">
        <v>200000</v>
      </c>
      <c r="K377" s="90">
        <v>100000</v>
      </c>
      <c r="L377" s="47"/>
      <c r="M377" s="51"/>
      <c r="N377" s="72"/>
      <c r="O377" s="47"/>
      <c r="P377" s="47"/>
      <c r="Q377" s="47"/>
      <c r="R377" s="47"/>
      <c r="S377" s="47"/>
      <c r="T377" s="47"/>
      <c r="U377" s="47"/>
    </row>
    <row r="378" spans="1:21" x14ac:dyDescent="0.25">
      <c r="A378" s="47"/>
      <c r="B378" s="47" t="s">
        <v>153</v>
      </c>
      <c r="C378" s="47"/>
      <c r="D378" s="47"/>
      <c r="E378" s="47"/>
      <c r="F378" s="47"/>
      <c r="G378" s="47"/>
      <c r="H378" s="47"/>
      <c r="I378" s="90">
        <v>400000</v>
      </c>
      <c r="J378" s="90">
        <v>100000</v>
      </c>
      <c r="K378" s="90">
        <v>300000</v>
      </c>
      <c r="L378" s="47"/>
      <c r="M378" s="51"/>
      <c r="N378" s="72"/>
      <c r="O378" s="47"/>
      <c r="P378" s="47"/>
      <c r="Q378" s="47"/>
      <c r="R378" s="47"/>
      <c r="S378" s="47"/>
      <c r="T378" s="47"/>
      <c r="U378" s="47"/>
    </row>
    <row r="379" spans="1:21" x14ac:dyDescent="0.25">
      <c r="A379" s="47"/>
      <c r="B379" s="47" t="s">
        <v>101</v>
      </c>
      <c r="C379" s="47"/>
      <c r="D379" s="47"/>
      <c r="E379" s="47"/>
      <c r="F379" s="47"/>
      <c r="G379" s="47"/>
      <c r="H379" s="47"/>
      <c r="I379" s="90">
        <v>100000</v>
      </c>
      <c r="J379" s="90">
        <v>0</v>
      </c>
      <c r="K379" s="90">
        <v>100000</v>
      </c>
      <c r="L379" s="47"/>
      <c r="M379" s="51"/>
      <c r="N379" s="72"/>
      <c r="O379" s="47"/>
      <c r="P379" s="47"/>
      <c r="Q379" s="47"/>
      <c r="R379" s="47"/>
      <c r="S379" s="47"/>
      <c r="T379" s="47"/>
      <c r="U379" s="47"/>
    </row>
    <row r="380" spans="1:21" x14ac:dyDescent="0.25">
      <c r="A380" s="47"/>
      <c r="B380" s="47" t="s">
        <v>154</v>
      </c>
      <c r="C380" s="47"/>
      <c r="D380" s="47"/>
      <c r="E380" s="47"/>
      <c r="F380" s="47"/>
      <c r="G380" s="47"/>
      <c r="H380" s="47"/>
      <c r="I380" s="90">
        <v>300000</v>
      </c>
      <c r="J380" s="90">
        <v>0</v>
      </c>
      <c r="K380" s="90">
        <v>300000</v>
      </c>
      <c r="L380" s="47"/>
      <c r="M380" s="51"/>
      <c r="N380" s="72"/>
      <c r="O380" s="47"/>
      <c r="P380" s="47"/>
      <c r="Q380" s="47"/>
      <c r="R380" s="47"/>
      <c r="S380" s="47"/>
      <c r="T380" s="47"/>
      <c r="U380" s="47"/>
    </row>
    <row r="381" spans="1:21" x14ac:dyDescent="0.25">
      <c r="A381" s="47"/>
      <c r="B381" s="47"/>
      <c r="C381" s="47"/>
      <c r="D381" s="47"/>
      <c r="E381" s="47"/>
      <c r="F381" s="47"/>
      <c r="G381" s="47"/>
      <c r="H381" s="47"/>
      <c r="I381" s="48"/>
      <c r="J381" s="48"/>
      <c r="K381" s="48"/>
      <c r="L381" s="48"/>
      <c r="M381" s="51"/>
      <c r="N381" s="72"/>
      <c r="O381" s="47"/>
      <c r="P381" s="47"/>
      <c r="Q381" s="47"/>
      <c r="R381" s="47"/>
      <c r="S381" s="47"/>
      <c r="T381" s="47"/>
      <c r="U381" s="47"/>
    </row>
    <row r="382" spans="1:21" x14ac:dyDescent="0.25">
      <c r="A382" s="47" t="s">
        <v>406</v>
      </c>
      <c r="B382" s="47"/>
      <c r="C382" s="47"/>
      <c r="D382" s="47"/>
      <c r="E382" s="47"/>
      <c r="F382" s="47"/>
      <c r="G382" s="47"/>
      <c r="H382" s="47"/>
      <c r="I382" s="48"/>
      <c r="J382" s="48"/>
      <c r="K382" s="48"/>
      <c r="L382" s="48"/>
      <c r="M382" s="51"/>
      <c r="N382" s="72"/>
      <c r="O382" s="47"/>
      <c r="P382" s="47"/>
      <c r="Q382" s="47"/>
      <c r="R382" s="47"/>
      <c r="S382" s="47"/>
      <c r="T382" s="47"/>
      <c r="U382" s="47"/>
    </row>
    <row r="383" spans="1:21" x14ac:dyDescent="0.25">
      <c r="A383" s="47"/>
      <c r="B383" s="47"/>
      <c r="C383" s="47"/>
      <c r="D383" s="47"/>
      <c r="E383" s="47"/>
      <c r="F383" s="47"/>
      <c r="G383" s="47"/>
      <c r="H383" s="47"/>
      <c r="I383" s="48"/>
      <c r="J383" s="48"/>
      <c r="K383" s="48"/>
      <c r="L383" s="48"/>
      <c r="M383" s="51"/>
      <c r="N383" s="72"/>
      <c r="O383" s="47"/>
      <c r="P383" s="47"/>
      <c r="Q383" s="47"/>
      <c r="R383" s="47"/>
      <c r="S383" s="47"/>
      <c r="T383" s="47"/>
      <c r="U383" s="47"/>
    </row>
    <row r="384" spans="1:21" x14ac:dyDescent="0.25">
      <c r="A384" s="403" t="s">
        <v>818</v>
      </c>
      <c r="B384" s="403"/>
      <c r="C384" s="403"/>
      <c r="D384" s="403"/>
      <c r="E384" s="403"/>
      <c r="F384" s="403"/>
      <c r="G384" s="403"/>
      <c r="H384" s="403"/>
      <c r="I384" s="403"/>
      <c r="J384" s="403"/>
      <c r="K384" s="403"/>
      <c r="L384" s="403"/>
      <c r="M384" s="403"/>
      <c r="N384" s="72"/>
    </row>
    <row r="385" spans="1:21" x14ac:dyDescent="0.25">
      <c r="A385" s="278"/>
      <c r="B385" s="278"/>
      <c r="C385" s="278"/>
      <c r="D385" s="278"/>
      <c r="E385" s="278"/>
      <c r="F385" s="278"/>
      <c r="G385" s="278"/>
      <c r="H385" s="278"/>
      <c r="I385" s="284" t="s">
        <v>213</v>
      </c>
      <c r="J385" s="284" t="s">
        <v>214</v>
      </c>
      <c r="K385" s="284" t="s">
        <v>276</v>
      </c>
      <c r="L385" s="284" t="s">
        <v>277</v>
      </c>
      <c r="M385" s="284"/>
      <c r="N385" s="72"/>
      <c r="O385" s="47"/>
      <c r="P385" s="47"/>
      <c r="Q385" s="47"/>
      <c r="R385" s="47"/>
      <c r="S385" s="47"/>
      <c r="T385" s="47"/>
      <c r="U385" s="47"/>
    </row>
    <row r="386" spans="1:21" x14ac:dyDescent="0.25">
      <c r="A386" s="278"/>
      <c r="B386" s="278" t="s">
        <v>150</v>
      </c>
      <c r="C386" s="278"/>
      <c r="D386" s="278"/>
      <c r="E386" s="278"/>
      <c r="F386" s="278"/>
      <c r="G386" s="278"/>
      <c r="H386" s="278"/>
      <c r="I386" s="284" t="s">
        <v>1</v>
      </c>
      <c r="J386" s="284" t="s">
        <v>1</v>
      </c>
      <c r="K386" s="284" t="s">
        <v>1</v>
      </c>
      <c r="L386" s="284" t="s">
        <v>1</v>
      </c>
      <c r="M386" s="284"/>
      <c r="N386" s="72"/>
      <c r="O386" s="47"/>
      <c r="P386" s="47"/>
      <c r="Q386" s="47"/>
      <c r="R386" s="47"/>
      <c r="S386" s="47"/>
      <c r="T386" s="47"/>
      <c r="U386" s="47"/>
    </row>
    <row r="387" spans="1:21" x14ac:dyDescent="0.25">
      <c r="A387" s="47"/>
      <c r="B387" s="47" t="s">
        <v>112</v>
      </c>
      <c r="C387" s="47"/>
      <c r="D387" s="47"/>
      <c r="E387" s="47"/>
      <c r="F387" s="47"/>
      <c r="G387" s="47"/>
      <c r="H387" s="47"/>
      <c r="I387" s="90">
        <v>100000</v>
      </c>
      <c r="J387" s="90">
        <v>190000</v>
      </c>
      <c r="K387" s="90">
        <v>90000</v>
      </c>
      <c r="L387" s="90">
        <f>+K387*0.3</f>
        <v>27000</v>
      </c>
      <c r="M387" s="51"/>
      <c r="N387" s="72"/>
      <c r="O387" s="47"/>
      <c r="P387" s="47"/>
      <c r="Q387" s="47"/>
      <c r="R387" s="47"/>
      <c r="S387" s="47"/>
      <c r="T387" s="47"/>
      <c r="U387" s="47"/>
    </row>
    <row r="388" spans="1:21" x14ac:dyDescent="0.25">
      <c r="A388" s="47"/>
      <c r="B388" s="47" t="s">
        <v>93</v>
      </c>
      <c r="C388" s="47"/>
      <c r="D388" s="47"/>
      <c r="E388" s="47"/>
      <c r="F388" s="47"/>
      <c r="G388" s="47"/>
      <c r="H388" s="47"/>
      <c r="I388" s="90">
        <v>200000</v>
      </c>
      <c r="J388" s="90">
        <v>250000</v>
      </c>
      <c r="K388" s="90">
        <v>50000</v>
      </c>
      <c r="L388" s="90">
        <f>+K388*0.3</f>
        <v>15000</v>
      </c>
      <c r="M388" s="51"/>
      <c r="N388" s="72"/>
      <c r="O388" s="47"/>
      <c r="P388" s="47"/>
      <c r="Q388" s="47"/>
      <c r="R388" s="47"/>
      <c r="S388" s="47"/>
      <c r="T388" s="47"/>
      <c r="U388" s="47"/>
    </row>
    <row r="389" spans="1:21" x14ac:dyDescent="0.25">
      <c r="A389" s="47"/>
      <c r="B389" s="47" t="s">
        <v>151</v>
      </c>
      <c r="C389" s="47"/>
      <c r="D389" s="47"/>
      <c r="E389" s="47"/>
      <c r="F389" s="47"/>
      <c r="G389" s="47"/>
      <c r="H389" s="47"/>
      <c r="I389" s="90">
        <v>200000</v>
      </c>
      <c r="J389" s="90">
        <v>300000</v>
      </c>
      <c r="K389" s="90">
        <v>100000</v>
      </c>
      <c r="L389" s="90">
        <f t="shared" ref="L389:L393" si="14">+K389*0.3</f>
        <v>30000</v>
      </c>
      <c r="M389" s="51"/>
      <c r="N389" s="72"/>
      <c r="O389" s="47"/>
      <c r="P389" s="47"/>
      <c r="Q389" s="47"/>
      <c r="R389" s="47"/>
      <c r="S389" s="47"/>
      <c r="T389" s="47"/>
      <c r="U389" s="47"/>
    </row>
    <row r="390" spans="1:21" x14ac:dyDescent="0.25">
      <c r="A390" s="47"/>
      <c r="B390" s="47" t="s">
        <v>152</v>
      </c>
      <c r="C390" s="47"/>
      <c r="D390" s="47"/>
      <c r="E390" s="47"/>
      <c r="F390" s="47"/>
      <c r="G390" s="47"/>
      <c r="H390" s="47"/>
      <c r="I390" s="90">
        <v>300000</v>
      </c>
      <c r="J390" s="90">
        <v>200000</v>
      </c>
      <c r="K390" s="90">
        <v>100000</v>
      </c>
      <c r="L390" s="90">
        <f t="shared" si="14"/>
        <v>30000</v>
      </c>
      <c r="M390" s="51"/>
      <c r="N390" s="72"/>
      <c r="O390" s="47"/>
      <c r="P390" s="47"/>
      <c r="Q390" s="47"/>
      <c r="R390" s="47"/>
      <c r="S390" s="47"/>
      <c r="T390" s="47"/>
      <c r="U390" s="47"/>
    </row>
    <row r="391" spans="1:21" x14ac:dyDescent="0.25">
      <c r="A391" s="47"/>
      <c r="B391" s="47" t="s">
        <v>153</v>
      </c>
      <c r="C391" s="47"/>
      <c r="D391" s="47"/>
      <c r="E391" s="47"/>
      <c r="F391" s="47"/>
      <c r="G391" s="47"/>
      <c r="H391" s="47"/>
      <c r="I391" s="90">
        <v>400000</v>
      </c>
      <c r="J391" s="90">
        <v>100000</v>
      </c>
      <c r="K391" s="90">
        <v>300000</v>
      </c>
      <c r="L391" s="90">
        <f t="shared" si="14"/>
        <v>90000</v>
      </c>
      <c r="M391" s="51"/>
      <c r="N391" s="72"/>
      <c r="O391" s="47"/>
      <c r="P391" s="47"/>
      <c r="Q391" s="47"/>
      <c r="R391" s="47"/>
      <c r="S391" s="47"/>
      <c r="T391" s="47"/>
      <c r="U391" s="47"/>
    </row>
    <row r="392" spans="1:21" x14ac:dyDescent="0.25">
      <c r="A392" s="47"/>
      <c r="B392" s="47" t="s">
        <v>101</v>
      </c>
      <c r="C392" s="47"/>
      <c r="D392" s="47"/>
      <c r="E392" s="47"/>
      <c r="F392" s="47"/>
      <c r="G392" s="47"/>
      <c r="H392" s="47"/>
      <c r="I392" s="90">
        <v>100000</v>
      </c>
      <c r="J392" s="90">
        <v>0</v>
      </c>
      <c r="K392" s="90">
        <v>100000</v>
      </c>
      <c r="L392" s="90">
        <f t="shared" si="14"/>
        <v>30000</v>
      </c>
      <c r="M392" s="51"/>
      <c r="N392" s="72"/>
      <c r="O392" s="47"/>
      <c r="P392" s="47"/>
      <c r="Q392" s="47"/>
      <c r="R392" s="47"/>
      <c r="S392" s="47"/>
      <c r="T392" s="47"/>
      <c r="U392" s="47"/>
    </row>
    <row r="393" spans="1:21" x14ac:dyDescent="0.25">
      <c r="A393" s="47"/>
      <c r="B393" s="47" t="s">
        <v>154</v>
      </c>
      <c r="C393" s="47"/>
      <c r="D393" s="47"/>
      <c r="E393" s="47"/>
      <c r="F393" s="47"/>
      <c r="G393" s="47"/>
      <c r="H393" s="47"/>
      <c r="I393" s="90">
        <v>300000</v>
      </c>
      <c r="J393" s="90">
        <v>0</v>
      </c>
      <c r="K393" s="90">
        <v>300000</v>
      </c>
      <c r="L393" s="90">
        <f t="shared" si="14"/>
        <v>90000</v>
      </c>
      <c r="M393" s="51"/>
      <c r="N393" s="72"/>
      <c r="O393" s="47"/>
      <c r="P393" s="47"/>
      <c r="Q393" s="47"/>
      <c r="R393" s="47"/>
      <c r="S393" s="47"/>
      <c r="T393" s="47"/>
      <c r="U393" s="47"/>
    </row>
    <row r="394" spans="1:21" x14ac:dyDescent="0.25">
      <c r="A394" s="47"/>
      <c r="B394" s="47"/>
      <c r="C394" s="47"/>
      <c r="D394" s="47"/>
      <c r="E394" s="47"/>
      <c r="F394" s="47"/>
      <c r="G394" s="47"/>
      <c r="H394" s="47"/>
      <c r="I394" s="48"/>
      <c r="J394" s="48"/>
      <c r="K394" s="48"/>
      <c r="L394" s="48"/>
      <c r="M394" s="51"/>
      <c r="N394" s="72"/>
      <c r="O394" s="47"/>
      <c r="P394" s="47"/>
      <c r="Q394" s="47"/>
      <c r="R394" s="47"/>
      <c r="S394" s="47"/>
      <c r="T394" s="47"/>
      <c r="U394" s="47"/>
    </row>
    <row r="395" spans="1:21" x14ac:dyDescent="0.25">
      <c r="A395" s="47" t="s">
        <v>578</v>
      </c>
      <c r="B395" s="47" t="s">
        <v>155</v>
      </c>
      <c r="C395" s="47"/>
      <c r="D395" s="47"/>
      <c r="E395" s="47"/>
      <c r="F395" s="47"/>
      <c r="G395" s="47"/>
      <c r="H395" s="47"/>
      <c r="I395" s="48"/>
      <c r="J395" s="48"/>
      <c r="K395" s="48"/>
      <c r="L395" s="48"/>
      <c r="M395" s="51"/>
      <c r="N395" s="72"/>
      <c r="O395" s="47"/>
      <c r="P395" s="47"/>
      <c r="Q395" s="47"/>
      <c r="R395" s="47"/>
      <c r="S395" s="47"/>
      <c r="T395" s="47"/>
      <c r="U395" s="47"/>
    </row>
    <row r="396" spans="1:21" x14ac:dyDescent="0.25">
      <c r="A396" s="47" t="s">
        <v>579</v>
      </c>
      <c r="B396" s="47" t="s">
        <v>157</v>
      </c>
      <c r="C396" s="47"/>
      <c r="D396" s="47"/>
      <c r="E396" s="47"/>
      <c r="F396" s="47"/>
      <c r="G396" s="47"/>
      <c r="H396" s="47"/>
      <c r="I396" s="48"/>
      <c r="J396" s="48"/>
      <c r="K396" s="48"/>
      <c r="L396" s="48"/>
      <c r="M396" s="51"/>
      <c r="N396" s="72"/>
      <c r="O396" s="47"/>
      <c r="P396" s="47"/>
      <c r="Q396" s="47"/>
      <c r="R396" s="47"/>
      <c r="S396" s="47"/>
      <c r="T396" s="47"/>
      <c r="U396" s="47"/>
    </row>
    <row r="397" spans="1:21" x14ac:dyDescent="0.25">
      <c r="A397" s="47" t="s">
        <v>580</v>
      </c>
      <c r="B397" s="47"/>
      <c r="C397" s="47"/>
      <c r="D397" s="47"/>
      <c r="E397" s="47"/>
      <c r="F397" s="47"/>
      <c r="G397" s="47"/>
      <c r="H397" s="47"/>
      <c r="I397" s="48"/>
      <c r="J397" s="48"/>
      <c r="K397" s="48"/>
      <c r="L397" s="48"/>
      <c r="M397" s="51"/>
      <c r="N397" s="72"/>
      <c r="O397" s="47"/>
      <c r="P397" s="47"/>
      <c r="Q397" s="47"/>
      <c r="R397" s="47"/>
      <c r="S397" s="47"/>
      <c r="T397" s="47"/>
      <c r="U397" s="47"/>
    </row>
    <row r="398" spans="1:21" x14ac:dyDescent="0.25">
      <c r="A398" s="47" t="s">
        <v>475</v>
      </c>
      <c r="B398" s="47"/>
      <c r="C398" s="47"/>
      <c r="D398" s="47"/>
      <c r="E398" s="47"/>
      <c r="F398" s="47"/>
      <c r="G398" s="47"/>
      <c r="H398" s="47"/>
      <c r="I398" s="48"/>
      <c r="J398" s="48"/>
      <c r="K398" s="48"/>
      <c r="L398" s="48"/>
      <c r="M398" s="51"/>
      <c r="N398" s="72"/>
      <c r="O398" s="47"/>
      <c r="P398" s="47"/>
      <c r="Q398" s="47"/>
      <c r="R398" s="47"/>
      <c r="S398" s="47"/>
      <c r="T398" s="47"/>
      <c r="U398" s="47"/>
    </row>
    <row r="399" spans="1:21" x14ac:dyDescent="0.25">
      <c r="A399" s="47"/>
      <c r="B399" s="47"/>
      <c r="C399" s="47"/>
      <c r="D399" s="47"/>
      <c r="E399" s="47"/>
      <c r="F399" s="47"/>
      <c r="G399" s="47"/>
      <c r="H399" s="47"/>
      <c r="I399" s="48"/>
      <c r="J399" s="48"/>
      <c r="K399" s="48"/>
      <c r="L399" s="48"/>
      <c r="M399" s="51"/>
      <c r="N399" s="72"/>
      <c r="O399" s="47"/>
      <c r="P399" s="47"/>
      <c r="Q399" s="47"/>
      <c r="R399" s="47"/>
      <c r="S399" s="47"/>
      <c r="T399" s="47"/>
      <c r="U399" s="47"/>
    </row>
    <row r="400" spans="1:21" x14ac:dyDescent="0.25">
      <c r="A400" s="403" t="s">
        <v>819</v>
      </c>
      <c r="B400" s="403"/>
      <c r="C400" s="403"/>
      <c r="D400" s="403"/>
      <c r="E400" s="403"/>
      <c r="F400" s="403"/>
      <c r="G400" s="403"/>
      <c r="H400" s="403"/>
      <c r="I400" s="403"/>
      <c r="J400" s="403"/>
      <c r="K400" s="403"/>
      <c r="L400" s="403"/>
      <c r="M400" s="403"/>
      <c r="N400" s="72"/>
    </row>
    <row r="401" spans="1:21" x14ac:dyDescent="0.25">
      <c r="A401" s="278" t="s">
        <v>161</v>
      </c>
      <c r="B401" s="278"/>
      <c r="C401" s="278"/>
      <c r="D401" s="278"/>
      <c r="E401" s="278"/>
      <c r="F401" s="278"/>
      <c r="G401" s="278"/>
      <c r="H401" s="278"/>
      <c r="I401" s="278"/>
      <c r="J401" s="278"/>
      <c r="K401" s="278"/>
      <c r="L401" s="278"/>
      <c r="M401" s="278"/>
      <c r="N401" s="72"/>
      <c r="O401" s="47"/>
      <c r="P401" s="47"/>
      <c r="Q401" s="47"/>
      <c r="R401" s="47"/>
      <c r="S401" s="47"/>
      <c r="T401" s="47"/>
      <c r="U401" s="47"/>
    </row>
    <row r="402" spans="1:21" x14ac:dyDescent="0.25">
      <c r="A402" s="47"/>
      <c r="B402" s="47"/>
      <c r="C402" s="47"/>
      <c r="D402" s="47"/>
      <c r="E402" s="47"/>
      <c r="F402" s="47"/>
      <c r="G402" s="47"/>
      <c r="H402" s="2"/>
      <c r="I402" s="2"/>
      <c r="J402" s="2"/>
      <c r="K402" s="2"/>
      <c r="L402" s="2"/>
      <c r="M402" s="51"/>
      <c r="N402" s="72"/>
      <c r="O402" s="47"/>
      <c r="P402" s="47"/>
      <c r="Q402" s="47"/>
      <c r="R402" s="47"/>
      <c r="S402" s="47"/>
      <c r="T402" s="47"/>
      <c r="U402" s="47"/>
    </row>
    <row r="403" spans="1:21" x14ac:dyDescent="0.25">
      <c r="A403" s="47" t="s">
        <v>155</v>
      </c>
      <c r="B403" s="71"/>
      <c r="C403" s="71"/>
      <c r="D403" s="71" t="s">
        <v>158</v>
      </c>
      <c r="E403" s="47" t="s">
        <v>157</v>
      </c>
      <c r="F403" s="47"/>
      <c r="G403" s="47"/>
      <c r="H403" s="47" t="s">
        <v>159</v>
      </c>
      <c r="I403" s="93" t="s">
        <v>159</v>
      </c>
      <c r="J403" s="47"/>
      <c r="K403" s="47"/>
      <c r="L403" s="47" t="s">
        <v>408</v>
      </c>
      <c r="M403" s="51"/>
      <c r="N403" s="72"/>
      <c r="O403" s="47"/>
      <c r="P403" s="47"/>
      <c r="Q403" s="47"/>
      <c r="R403" s="47"/>
      <c r="S403" s="47"/>
      <c r="T403" s="47"/>
      <c r="U403" s="47"/>
    </row>
    <row r="404" spans="1:21" x14ac:dyDescent="0.25">
      <c r="A404" s="47"/>
      <c r="B404" s="47"/>
      <c r="C404" s="47"/>
      <c r="D404" s="47"/>
      <c r="E404" s="47"/>
      <c r="F404" s="47"/>
      <c r="G404" s="47"/>
      <c r="H404" s="47"/>
      <c r="I404" s="93"/>
      <c r="J404" s="47"/>
      <c r="K404" s="2"/>
      <c r="L404" s="2"/>
      <c r="M404" s="51"/>
      <c r="N404" s="72"/>
      <c r="O404" s="47"/>
      <c r="P404" s="47"/>
      <c r="Q404" s="47"/>
      <c r="R404" s="47"/>
      <c r="S404" s="47"/>
      <c r="T404" s="47"/>
      <c r="U404" s="47"/>
    </row>
    <row r="405" spans="1:21" x14ac:dyDescent="0.25">
      <c r="A405" s="47" t="s">
        <v>155</v>
      </c>
      <c r="B405" s="71"/>
      <c r="C405" s="71"/>
      <c r="D405" s="71" t="s">
        <v>156</v>
      </c>
      <c r="E405" s="47" t="s">
        <v>157</v>
      </c>
      <c r="F405" s="47"/>
      <c r="G405" s="47"/>
      <c r="H405" s="47" t="s">
        <v>160</v>
      </c>
      <c r="I405" s="93" t="s">
        <v>160</v>
      </c>
      <c r="J405" s="47"/>
      <c r="K405" s="47"/>
      <c r="L405" s="47" t="s">
        <v>409</v>
      </c>
      <c r="M405" s="51"/>
      <c r="N405" s="72"/>
      <c r="O405" s="47"/>
      <c r="P405" s="47"/>
      <c r="Q405" s="47"/>
      <c r="R405" s="47"/>
      <c r="S405" s="47"/>
      <c r="T405" s="47"/>
      <c r="U405" s="47"/>
    </row>
    <row r="406" spans="1:21" x14ac:dyDescent="0.25">
      <c r="A406" s="47"/>
      <c r="B406" s="47"/>
      <c r="C406" s="47"/>
      <c r="D406" s="47"/>
      <c r="E406" s="47"/>
      <c r="F406" s="47"/>
      <c r="G406" s="47"/>
      <c r="H406" s="47"/>
      <c r="I406" s="93"/>
      <c r="J406" s="47"/>
      <c r="K406" s="2"/>
      <c r="L406" s="2"/>
      <c r="M406" s="51"/>
      <c r="N406" s="72"/>
      <c r="O406" s="47"/>
      <c r="P406" s="47"/>
      <c r="Q406" s="47"/>
      <c r="R406" s="47"/>
      <c r="S406" s="47"/>
      <c r="T406" s="47"/>
      <c r="U406" s="47"/>
    </row>
    <row r="407" spans="1:21" x14ac:dyDescent="0.25">
      <c r="A407" s="278" t="s">
        <v>162</v>
      </c>
      <c r="B407" s="278"/>
      <c r="C407" s="278"/>
      <c r="D407" s="278"/>
      <c r="E407" s="278"/>
      <c r="F407" s="278"/>
      <c r="G407" s="278"/>
      <c r="H407" s="278"/>
      <c r="I407" s="295"/>
      <c r="J407" s="278"/>
      <c r="K407" s="278"/>
      <c r="L407" s="278"/>
      <c r="M407" s="278"/>
      <c r="N407" s="72"/>
      <c r="O407" s="47"/>
      <c r="P407" s="47"/>
      <c r="Q407" s="47"/>
      <c r="R407" s="47"/>
      <c r="S407" s="47"/>
      <c r="T407" s="47"/>
      <c r="U407" s="47"/>
    </row>
    <row r="408" spans="1:21" x14ac:dyDescent="0.25">
      <c r="A408" s="47"/>
      <c r="B408" s="47"/>
      <c r="C408" s="47"/>
      <c r="D408" s="47"/>
      <c r="E408" s="47"/>
      <c r="F408" s="47"/>
      <c r="G408" s="47"/>
      <c r="H408" s="47"/>
      <c r="I408" s="93"/>
      <c r="J408" s="47"/>
      <c r="K408" s="2"/>
      <c r="L408" s="2"/>
      <c r="M408" s="51"/>
      <c r="N408" s="72"/>
      <c r="O408" s="47"/>
      <c r="P408" s="47"/>
      <c r="Q408" s="47"/>
      <c r="R408" s="47"/>
      <c r="S408" s="47"/>
      <c r="T408" s="47"/>
      <c r="U408" s="47"/>
    </row>
    <row r="409" spans="1:21" x14ac:dyDescent="0.25">
      <c r="A409" s="47" t="s">
        <v>155</v>
      </c>
      <c r="B409" s="71"/>
      <c r="C409" s="71"/>
      <c r="D409" s="71" t="s">
        <v>156</v>
      </c>
      <c r="E409" s="47" t="s">
        <v>157</v>
      </c>
      <c r="F409" s="47"/>
      <c r="G409" s="47"/>
      <c r="H409" s="47" t="s">
        <v>159</v>
      </c>
      <c r="I409" s="93" t="s">
        <v>159</v>
      </c>
      <c r="J409" s="47"/>
      <c r="K409" s="47"/>
      <c r="L409" s="47" t="s">
        <v>408</v>
      </c>
      <c r="M409" s="51"/>
      <c r="N409" s="72"/>
      <c r="O409" s="47"/>
      <c r="P409" s="47"/>
      <c r="Q409" s="47"/>
      <c r="R409" s="47"/>
      <c r="S409" s="47"/>
      <c r="T409" s="47"/>
      <c r="U409" s="47"/>
    </row>
    <row r="410" spans="1:21" x14ac:dyDescent="0.25">
      <c r="A410" s="47"/>
      <c r="B410" s="47"/>
      <c r="C410" s="47"/>
      <c r="D410" s="47"/>
      <c r="E410" s="47"/>
      <c r="F410" s="47"/>
      <c r="G410" s="47"/>
      <c r="H410" s="47"/>
      <c r="I410" s="93"/>
      <c r="J410" s="47"/>
      <c r="K410" s="2"/>
      <c r="L410" s="2"/>
      <c r="M410" s="51"/>
      <c r="N410" s="72"/>
      <c r="O410" s="47"/>
      <c r="P410" s="47"/>
      <c r="Q410" s="47"/>
      <c r="R410" s="47"/>
      <c r="S410" s="47"/>
      <c r="T410" s="47"/>
      <c r="U410" s="47"/>
    </row>
    <row r="411" spans="1:21" x14ac:dyDescent="0.25">
      <c r="A411" s="47" t="s">
        <v>155</v>
      </c>
      <c r="B411" s="71"/>
      <c r="C411" s="71"/>
      <c r="D411" s="71" t="s">
        <v>158</v>
      </c>
      <c r="E411" s="47" t="s">
        <v>157</v>
      </c>
      <c r="F411" s="47"/>
      <c r="G411" s="47"/>
      <c r="H411" s="47" t="s">
        <v>160</v>
      </c>
      <c r="I411" s="93" t="s">
        <v>160</v>
      </c>
      <c r="J411" s="47"/>
      <c r="K411" s="47"/>
      <c r="L411" s="47" t="s">
        <v>409</v>
      </c>
      <c r="M411" s="51"/>
      <c r="N411" s="72"/>
      <c r="O411" s="47"/>
      <c r="P411" s="47"/>
      <c r="Q411" s="47"/>
      <c r="R411" s="47"/>
      <c r="S411" s="47"/>
      <c r="T411" s="47"/>
      <c r="U411" s="47"/>
    </row>
    <row r="412" spans="1:21" x14ac:dyDescent="0.25">
      <c r="A412" s="47"/>
      <c r="B412" s="47"/>
      <c r="C412" s="47"/>
      <c r="D412" s="47"/>
      <c r="E412" s="47"/>
      <c r="F412" s="47"/>
      <c r="G412" s="47"/>
      <c r="H412" s="2"/>
      <c r="I412" s="2"/>
      <c r="J412" s="2"/>
      <c r="K412" s="2"/>
      <c r="L412" s="2"/>
      <c r="M412" s="51"/>
      <c r="N412" s="72"/>
      <c r="O412" s="47"/>
      <c r="P412" s="47"/>
      <c r="Q412" s="47"/>
      <c r="R412" s="47"/>
      <c r="S412" s="47"/>
      <c r="T412" s="47"/>
      <c r="U412" s="47"/>
    </row>
    <row r="413" spans="1:21" x14ac:dyDescent="0.25">
      <c r="A413" s="47" t="s">
        <v>410</v>
      </c>
      <c r="B413" s="47"/>
      <c r="C413" s="47"/>
      <c r="D413" s="47"/>
      <c r="E413" s="47"/>
      <c r="F413" s="47"/>
      <c r="G413" s="47"/>
      <c r="H413" s="2"/>
      <c r="I413" s="2"/>
      <c r="J413" s="2"/>
      <c r="K413" s="2"/>
      <c r="L413" s="2"/>
      <c r="M413" s="51"/>
      <c r="N413" s="72"/>
      <c r="O413" s="47"/>
      <c r="P413" s="47"/>
      <c r="Q413" s="47"/>
      <c r="R413" s="47"/>
      <c r="S413" s="47"/>
      <c r="T413" s="47"/>
      <c r="U413" s="47"/>
    </row>
    <row r="414" spans="1:21" x14ac:dyDescent="0.25">
      <c r="A414" s="47" t="s">
        <v>411</v>
      </c>
      <c r="B414" s="47"/>
      <c r="C414" s="47"/>
      <c r="D414" s="47"/>
      <c r="E414" s="47"/>
      <c r="F414" s="47"/>
      <c r="G414" s="47"/>
      <c r="H414" s="2"/>
      <c r="I414" s="2"/>
      <c r="J414" s="2"/>
      <c r="K414" s="2"/>
      <c r="L414" s="2"/>
      <c r="M414" s="51"/>
      <c r="N414" s="72"/>
      <c r="O414" s="47"/>
      <c r="P414" s="47"/>
      <c r="Q414" s="47"/>
      <c r="R414" s="47"/>
      <c r="S414" s="47"/>
      <c r="T414" s="47"/>
      <c r="U414" s="47"/>
    </row>
    <row r="415" spans="1:21" x14ac:dyDescent="0.25">
      <c r="A415" s="47"/>
      <c r="B415" s="47"/>
      <c r="C415" s="47"/>
      <c r="D415" s="47"/>
      <c r="E415" s="47"/>
      <c r="F415" s="47"/>
      <c r="G415" s="47"/>
      <c r="H415" s="2"/>
      <c r="I415" s="2"/>
      <c r="J415" s="2"/>
      <c r="K415" s="2"/>
      <c r="L415" s="2"/>
      <c r="M415" s="51"/>
      <c r="N415" s="72"/>
      <c r="O415" s="47"/>
      <c r="P415" s="47"/>
      <c r="Q415" s="47"/>
      <c r="R415" s="47"/>
      <c r="S415" s="47"/>
      <c r="T415" s="47"/>
      <c r="U415" s="47"/>
    </row>
    <row r="416" spans="1:21" x14ac:dyDescent="0.25">
      <c r="A416" s="403" t="s">
        <v>820</v>
      </c>
      <c r="B416" s="403"/>
      <c r="C416" s="403"/>
      <c r="D416" s="403"/>
      <c r="E416" s="403"/>
      <c r="F416" s="403"/>
      <c r="G416" s="403"/>
      <c r="H416" s="403"/>
      <c r="I416" s="403"/>
      <c r="J416" s="403"/>
      <c r="K416" s="403"/>
      <c r="L416" s="403"/>
      <c r="M416" s="403"/>
      <c r="N416" s="72"/>
    </row>
    <row r="417" spans="1:21" x14ac:dyDescent="0.25">
      <c r="A417" s="281" t="s">
        <v>412</v>
      </c>
      <c r="B417" s="281"/>
      <c r="C417" s="281"/>
      <c r="D417" s="281"/>
      <c r="E417" s="281"/>
      <c r="F417" s="281"/>
      <c r="G417" s="287"/>
      <c r="H417" s="281"/>
      <c r="I417" s="287">
        <v>2010</v>
      </c>
      <c r="J417" s="287">
        <f>+I417+1</f>
        <v>2011</v>
      </c>
      <c r="K417" s="287">
        <f>+J417+1</f>
        <v>2012</v>
      </c>
      <c r="L417" s="281"/>
      <c r="M417" s="281"/>
      <c r="N417" s="72"/>
      <c r="O417" s="47"/>
      <c r="P417" s="47"/>
      <c r="Q417" s="47"/>
      <c r="R417" s="47"/>
      <c r="S417" s="47"/>
      <c r="T417" s="47"/>
      <c r="U417" s="47"/>
    </row>
    <row r="418" spans="1:21" x14ac:dyDescent="0.25">
      <c r="A418" s="281" t="s">
        <v>413</v>
      </c>
      <c r="B418" s="281"/>
      <c r="C418" s="281"/>
      <c r="D418" s="281"/>
      <c r="E418" s="281"/>
      <c r="F418" s="281"/>
      <c r="G418" s="287"/>
      <c r="H418" s="281"/>
      <c r="I418" s="287" t="s">
        <v>165</v>
      </c>
      <c r="J418" s="287" t="s">
        <v>165</v>
      </c>
      <c r="K418" s="287" t="s">
        <v>165</v>
      </c>
      <c r="L418" s="281"/>
      <c r="M418" s="281"/>
      <c r="N418" s="72"/>
      <c r="O418" s="47"/>
      <c r="P418" s="47"/>
      <c r="Q418" s="47"/>
      <c r="R418" s="47"/>
      <c r="S418" s="47"/>
      <c r="T418" s="47"/>
      <c r="U418" s="47"/>
    </row>
    <row r="419" spans="1:21" x14ac:dyDescent="0.25">
      <c r="A419" s="47" t="s">
        <v>163</v>
      </c>
      <c r="B419" s="47"/>
      <c r="C419" s="47"/>
      <c r="D419" s="47"/>
      <c r="E419" s="47"/>
      <c r="F419" s="47"/>
      <c r="G419" s="94"/>
      <c r="H419" s="2"/>
      <c r="I419" s="94">
        <v>486332</v>
      </c>
      <c r="J419" s="94">
        <v>539202</v>
      </c>
      <c r="K419" s="94">
        <v>351263</v>
      </c>
      <c r="L419" s="47" t="s">
        <v>14</v>
      </c>
      <c r="M419" s="51"/>
      <c r="N419" s="72"/>
      <c r="O419" s="47"/>
      <c r="P419" s="47"/>
      <c r="Q419" s="47"/>
      <c r="R419" s="47"/>
      <c r="S419" s="47"/>
      <c r="T419" s="47"/>
      <c r="U419" s="47"/>
    </row>
    <row r="420" spans="1:21" x14ac:dyDescent="0.25">
      <c r="A420" s="47" t="s">
        <v>26</v>
      </c>
      <c r="B420" s="47"/>
      <c r="C420" s="47"/>
      <c r="D420" s="47"/>
      <c r="E420" s="47"/>
      <c r="F420" s="47"/>
      <c r="G420" s="94"/>
      <c r="H420" s="2"/>
      <c r="I420" s="94">
        <v>80181</v>
      </c>
      <c r="J420" s="94">
        <v>117866</v>
      </c>
      <c r="K420" s="94">
        <v>80181</v>
      </c>
      <c r="L420" s="47" t="s">
        <v>15</v>
      </c>
      <c r="M420" s="51"/>
      <c r="N420" s="72"/>
      <c r="O420" s="47"/>
      <c r="P420" s="47"/>
      <c r="Q420" s="47"/>
      <c r="R420" s="47"/>
      <c r="S420" s="47"/>
      <c r="T420" s="47"/>
      <c r="U420" s="47"/>
    </row>
    <row r="421" spans="1:21" x14ac:dyDescent="0.25">
      <c r="A421" s="51" t="s">
        <v>164</v>
      </c>
      <c r="B421" s="51"/>
      <c r="C421" s="51"/>
      <c r="D421" s="51"/>
      <c r="E421" s="51"/>
      <c r="F421" s="51"/>
      <c r="G421" s="96"/>
      <c r="H421" s="97"/>
      <c r="I421" s="96">
        <f>+I420/I419</f>
        <v>0.16486885502084994</v>
      </c>
      <c r="J421" s="96">
        <f>+J420/J419</f>
        <v>0.21859340284346127</v>
      </c>
      <c r="K421" s="96">
        <f>+K420/K419</f>
        <v>0.22826486137167878</v>
      </c>
      <c r="L421" s="47" t="s">
        <v>414</v>
      </c>
      <c r="M421" s="51"/>
      <c r="N421" s="72"/>
      <c r="O421" s="47"/>
      <c r="P421" s="47"/>
      <c r="Q421" s="47"/>
      <c r="R421" s="47"/>
      <c r="S421" s="47"/>
      <c r="T421" s="47"/>
      <c r="U421" s="47"/>
    </row>
    <row r="422" spans="1:21" x14ac:dyDescent="0.25">
      <c r="A422" s="51"/>
      <c r="B422" s="47"/>
      <c r="C422" s="47"/>
      <c r="D422" s="47"/>
      <c r="E422" s="47"/>
      <c r="F422" s="47"/>
      <c r="G422" s="95"/>
      <c r="H422" s="2"/>
      <c r="I422" s="95"/>
      <c r="J422" s="95"/>
      <c r="K422" s="95"/>
      <c r="L422" s="47"/>
      <c r="M422" s="51"/>
      <c r="N422" s="72"/>
      <c r="O422" s="47"/>
      <c r="P422" s="47"/>
      <c r="Q422" s="47"/>
      <c r="R422" s="47"/>
      <c r="S422" s="47"/>
      <c r="T422" s="47"/>
      <c r="U422" s="47"/>
    </row>
    <row r="423" spans="1:21" x14ac:dyDescent="0.25">
      <c r="A423" s="403" t="s">
        <v>821</v>
      </c>
      <c r="B423" s="403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72"/>
    </row>
    <row r="424" spans="1:21" x14ac:dyDescent="0.25">
      <c r="A424" s="296"/>
      <c r="B424" s="296"/>
      <c r="C424" s="296"/>
      <c r="D424" s="296"/>
      <c r="E424" s="296"/>
      <c r="F424" s="296"/>
      <c r="G424" s="296"/>
      <c r="H424" s="296"/>
      <c r="I424" s="297" t="s">
        <v>130</v>
      </c>
      <c r="J424" s="297"/>
      <c r="K424" s="297" t="s">
        <v>130</v>
      </c>
      <c r="L424" s="296"/>
      <c r="M424" s="296"/>
      <c r="N424" s="72"/>
      <c r="O424" s="47"/>
      <c r="P424" s="47"/>
      <c r="Q424" s="47"/>
      <c r="R424" s="47"/>
      <c r="S424" s="47"/>
      <c r="T424" s="47"/>
      <c r="U424" s="47"/>
    </row>
    <row r="425" spans="1:21" x14ac:dyDescent="0.25">
      <c r="A425" s="296"/>
      <c r="B425" s="296"/>
      <c r="C425" s="296"/>
      <c r="D425" s="296"/>
      <c r="E425" s="296"/>
      <c r="F425" s="296"/>
      <c r="G425" s="296"/>
      <c r="H425" s="296"/>
      <c r="I425" s="297" t="s">
        <v>131</v>
      </c>
      <c r="J425" s="297" t="s">
        <v>133</v>
      </c>
      <c r="K425" s="297" t="s">
        <v>132</v>
      </c>
      <c r="L425" s="296"/>
      <c r="M425" s="296"/>
      <c r="N425" s="72"/>
      <c r="O425" s="47"/>
      <c r="P425" s="47"/>
      <c r="Q425" s="47"/>
      <c r="R425" s="47"/>
      <c r="S425" s="47"/>
      <c r="T425" s="47"/>
      <c r="U425" s="47"/>
    </row>
    <row r="426" spans="1:21" x14ac:dyDescent="0.25">
      <c r="A426" s="298" t="s">
        <v>35</v>
      </c>
      <c r="B426" s="296"/>
      <c r="C426" s="296"/>
      <c r="D426" s="296"/>
      <c r="E426" s="296"/>
      <c r="F426" s="296"/>
      <c r="G426" s="296"/>
      <c r="H426" s="296"/>
      <c r="I426" s="297" t="s">
        <v>1</v>
      </c>
      <c r="J426" s="297" t="s">
        <v>1</v>
      </c>
      <c r="K426" s="297" t="s">
        <v>1</v>
      </c>
      <c r="L426" s="296"/>
      <c r="M426" s="296"/>
      <c r="N426" s="72"/>
      <c r="O426" s="47"/>
      <c r="P426" s="47"/>
      <c r="Q426" s="47"/>
      <c r="R426" s="47"/>
      <c r="S426" s="47"/>
      <c r="T426" s="47"/>
      <c r="U426" s="47"/>
    </row>
    <row r="427" spans="1:21" x14ac:dyDescent="0.25">
      <c r="A427" s="51"/>
      <c r="B427" s="47"/>
      <c r="C427" s="47"/>
      <c r="D427" s="47"/>
      <c r="E427" s="47"/>
      <c r="F427" s="47"/>
      <c r="G427" s="95"/>
      <c r="H427" s="2"/>
      <c r="I427" s="51"/>
      <c r="J427" s="51"/>
      <c r="K427" s="51"/>
      <c r="L427" s="51"/>
      <c r="M427" s="51"/>
      <c r="N427" s="72"/>
      <c r="O427" s="47"/>
      <c r="P427" s="47"/>
      <c r="Q427" s="47"/>
      <c r="R427" s="47"/>
      <c r="S427" s="47"/>
      <c r="T427" s="47"/>
      <c r="U427" s="47"/>
    </row>
    <row r="428" spans="1:21" x14ac:dyDescent="0.25">
      <c r="A428" s="47" t="s">
        <v>100</v>
      </c>
      <c r="B428" s="47"/>
      <c r="C428" s="47"/>
      <c r="D428" s="47"/>
      <c r="E428" s="47"/>
      <c r="F428" s="47"/>
      <c r="G428" s="95"/>
      <c r="H428" s="2"/>
      <c r="I428" s="94">
        <v>60000</v>
      </c>
      <c r="J428" s="94">
        <v>40000</v>
      </c>
      <c r="K428" s="94">
        <f>+I428+J428</f>
        <v>100000</v>
      </c>
      <c r="L428" s="101" t="s">
        <v>14</v>
      </c>
      <c r="M428" s="51"/>
      <c r="N428" s="72"/>
      <c r="O428" s="47"/>
      <c r="P428" s="47"/>
      <c r="Q428" s="47"/>
      <c r="R428" s="47"/>
      <c r="S428" s="47"/>
      <c r="T428" s="47"/>
      <c r="U428" s="47"/>
    </row>
    <row r="429" spans="1:21" x14ac:dyDescent="0.25">
      <c r="A429" s="47"/>
      <c r="B429" s="47"/>
      <c r="C429" s="47"/>
      <c r="D429" s="47"/>
      <c r="E429" s="47"/>
      <c r="F429" s="47"/>
      <c r="G429" s="95"/>
      <c r="H429" s="2"/>
      <c r="I429" s="95"/>
      <c r="J429" s="95"/>
      <c r="K429" s="95"/>
      <c r="L429" s="101"/>
      <c r="M429" s="51"/>
      <c r="N429" s="72"/>
      <c r="O429" s="47"/>
      <c r="P429" s="47"/>
      <c r="Q429" s="47"/>
      <c r="R429" s="47"/>
      <c r="S429" s="47"/>
      <c r="T429" s="47"/>
      <c r="U429" s="47"/>
    </row>
    <row r="430" spans="1:21" x14ac:dyDescent="0.25">
      <c r="A430" s="47" t="s">
        <v>581</v>
      </c>
      <c r="B430" s="47"/>
      <c r="C430" s="47"/>
      <c r="D430" s="47"/>
      <c r="E430" s="47"/>
      <c r="F430" s="47"/>
      <c r="G430" s="95"/>
      <c r="H430" s="2"/>
      <c r="I430" s="94">
        <f>I428*30%</f>
        <v>18000</v>
      </c>
      <c r="J430" s="99"/>
      <c r="K430" s="94">
        <f>K428*30%</f>
        <v>30000</v>
      </c>
      <c r="L430" s="101" t="s">
        <v>15</v>
      </c>
      <c r="M430" s="51"/>
      <c r="N430" s="72"/>
      <c r="O430" s="47"/>
      <c r="P430" s="47"/>
      <c r="Q430" s="47"/>
      <c r="R430" s="47"/>
      <c r="S430" s="47"/>
      <c r="T430" s="47"/>
      <c r="U430" s="47"/>
    </row>
    <row r="431" spans="1:21" x14ac:dyDescent="0.25">
      <c r="A431" s="47"/>
      <c r="B431" s="47"/>
      <c r="C431" s="47"/>
      <c r="D431" s="47"/>
      <c r="E431" s="47"/>
      <c r="F431" s="47"/>
      <c r="G431" s="95"/>
      <c r="H431" s="2"/>
      <c r="I431" s="94"/>
      <c r="J431" s="94"/>
      <c r="K431" s="94"/>
      <c r="L431" s="101"/>
      <c r="M431" s="51"/>
      <c r="N431" s="72"/>
      <c r="O431" s="47"/>
      <c r="P431" s="47"/>
      <c r="Q431" s="47"/>
      <c r="R431" s="47"/>
      <c r="S431" s="47"/>
      <c r="T431" s="47"/>
      <c r="U431" s="47"/>
    </row>
    <row r="432" spans="1:21" x14ac:dyDescent="0.25">
      <c r="A432" s="101" t="s">
        <v>582</v>
      </c>
      <c r="B432" s="47"/>
      <c r="C432" s="47"/>
      <c r="D432" s="47"/>
      <c r="E432" s="47"/>
      <c r="F432" s="47"/>
      <c r="G432" s="95"/>
      <c r="H432" s="2"/>
      <c r="I432" s="94"/>
      <c r="J432" s="94"/>
      <c r="K432" s="94"/>
      <c r="L432" s="101"/>
      <c r="M432" s="51"/>
      <c r="N432" s="72"/>
      <c r="O432" s="47"/>
      <c r="P432" s="47"/>
      <c r="Q432" s="47"/>
      <c r="R432" s="47"/>
      <c r="S432" s="47"/>
      <c r="T432" s="47"/>
      <c r="U432" s="47"/>
    </row>
    <row r="433" spans="1:21" x14ac:dyDescent="0.25">
      <c r="A433" s="47"/>
      <c r="B433" s="47"/>
      <c r="C433" s="47"/>
      <c r="D433" s="47"/>
      <c r="E433" s="47"/>
      <c r="F433" s="47"/>
      <c r="G433" s="95"/>
      <c r="H433" s="2"/>
      <c r="I433" s="94"/>
      <c r="J433" s="94"/>
      <c r="K433" s="94"/>
      <c r="L433" s="101"/>
      <c r="M433" s="51"/>
      <c r="N433" s="72"/>
      <c r="O433" s="47"/>
      <c r="P433" s="47"/>
      <c r="Q433" s="47"/>
      <c r="R433" s="47"/>
      <c r="S433" s="47"/>
      <c r="T433" s="47"/>
      <c r="U433" s="47"/>
    </row>
    <row r="434" spans="1:21" x14ac:dyDescent="0.25">
      <c r="A434" s="281" t="s">
        <v>416</v>
      </c>
      <c r="B434" s="281"/>
      <c r="C434" s="281"/>
      <c r="D434" s="281"/>
      <c r="E434" s="281"/>
      <c r="F434" s="281"/>
      <c r="G434" s="281"/>
      <c r="H434" s="282"/>
      <c r="I434" s="282"/>
      <c r="J434" s="282"/>
      <c r="K434" s="282"/>
      <c r="L434" s="282"/>
      <c r="M434" s="282"/>
      <c r="N434" s="72"/>
      <c r="O434" s="47"/>
      <c r="P434" s="47"/>
      <c r="Q434" s="47"/>
      <c r="R434" s="47"/>
      <c r="S434" s="47"/>
      <c r="T434" s="47"/>
      <c r="U434" s="47"/>
    </row>
    <row r="435" spans="1:21" x14ac:dyDescent="0.25">
      <c r="A435" s="47"/>
      <c r="B435" s="47"/>
      <c r="C435" s="47"/>
      <c r="D435" s="47"/>
      <c r="E435" s="47"/>
      <c r="F435" s="47"/>
      <c r="G435" s="47"/>
      <c r="H435" s="47"/>
      <c r="I435" s="71" t="s">
        <v>68</v>
      </c>
      <c r="J435" s="71" t="s">
        <v>28</v>
      </c>
      <c r="K435" s="71"/>
      <c r="L435" s="71"/>
      <c r="M435" s="51"/>
      <c r="N435" s="72"/>
      <c r="O435" s="47"/>
      <c r="P435" s="47"/>
      <c r="Q435" s="47"/>
      <c r="R435" s="47"/>
      <c r="S435" s="47"/>
      <c r="T435" s="47"/>
      <c r="U435" s="47"/>
    </row>
    <row r="436" spans="1:21" x14ac:dyDescent="0.25">
      <c r="A436" s="47"/>
      <c r="B436" s="47"/>
      <c r="C436" s="47"/>
      <c r="D436" s="47"/>
      <c r="E436" s="47"/>
      <c r="F436" s="47"/>
      <c r="G436" s="47"/>
      <c r="H436" s="47"/>
      <c r="I436" s="71" t="s">
        <v>1</v>
      </c>
      <c r="J436" s="71" t="s">
        <v>1</v>
      </c>
      <c r="K436" s="71"/>
      <c r="L436" s="71"/>
      <c r="M436" s="51"/>
      <c r="N436" s="72"/>
      <c r="O436" s="47"/>
      <c r="P436" s="47"/>
      <c r="Q436" s="47"/>
      <c r="R436" s="47"/>
      <c r="S436" s="47"/>
      <c r="T436" s="47"/>
      <c r="U436" s="47"/>
    </row>
    <row r="437" spans="1:21" x14ac:dyDescent="0.25">
      <c r="A437" s="47"/>
      <c r="B437" s="47" t="s">
        <v>202</v>
      </c>
      <c r="C437" s="47"/>
      <c r="D437" s="47"/>
      <c r="E437" s="47"/>
      <c r="F437" s="47"/>
      <c r="G437" s="47"/>
      <c r="H437" s="47"/>
      <c r="I437" s="48">
        <f>+K430-I430</f>
        <v>12000</v>
      </c>
      <c r="J437" s="48"/>
      <c r="K437" s="48"/>
      <c r="L437" s="48"/>
      <c r="M437" s="51"/>
      <c r="N437" s="72"/>
      <c r="O437" s="47"/>
      <c r="P437" s="47"/>
      <c r="Q437" s="47"/>
      <c r="R437" s="47"/>
      <c r="S437" s="47"/>
      <c r="T437" s="47"/>
      <c r="U437" s="47"/>
    </row>
    <row r="438" spans="1:21" x14ac:dyDescent="0.25">
      <c r="A438" s="47"/>
      <c r="B438" s="47" t="s">
        <v>270</v>
      </c>
      <c r="C438" s="47"/>
      <c r="D438" s="47"/>
      <c r="E438" s="47"/>
      <c r="F438" s="47"/>
      <c r="G438" s="47"/>
      <c r="H438" s="47"/>
      <c r="I438" s="48"/>
      <c r="J438" s="48">
        <f>+I437</f>
        <v>12000</v>
      </c>
      <c r="K438" s="48" t="s">
        <v>415</v>
      </c>
      <c r="L438" s="48"/>
      <c r="M438" s="51"/>
      <c r="N438" s="72"/>
      <c r="O438" s="47"/>
      <c r="P438" s="47"/>
      <c r="Q438" s="47"/>
      <c r="R438" s="47"/>
      <c r="S438" s="47"/>
      <c r="T438" s="47"/>
      <c r="U438" s="47"/>
    </row>
    <row r="439" spans="1:21" x14ac:dyDescent="0.25">
      <c r="A439" s="7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51"/>
      <c r="N439" s="72"/>
      <c r="O439" s="47"/>
      <c r="P439" s="47"/>
      <c r="Q439" s="47"/>
      <c r="R439" s="47"/>
      <c r="S439" s="47"/>
      <c r="T439" s="47"/>
      <c r="U439" s="47"/>
    </row>
    <row r="440" spans="1:21" x14ac:dyDescent="0.25">
      <c r="A440" s="278" t="s">
        <v>170</v>
      </c>
      <c r="B440" s="281"/>
      <c r="C440" s="281"/>
      <c r="D440" s="281"/>
      <c r="E440" s="281"/>
      <c r="F440" s="281"/>
      <c r="G440" s="281"/>
      <c r="H440" s="282"/>
      <c r="I440" s="282"/>
      <c r="J440" s="282"/>
      <c r="K440" s="282"/>
      <c r="L440" s="282"/>
      <c r="M440" s="282"/>
      <c r="N440" s="72"/>
      <c r="O440" s="47"/>
      <c r="P440" s="47"/>
      <c r="Q440" s="47"/>
      <c r="R440" s="47"/>
      <c r="S440" s="47"/>
      <c r="T440" s="47"/>
      <c r="U440" s="47"/>
    </row>
    <row r="441" spans="1:21" x14ac:dyDescent="0.25">
      <c r="A441" s="51"/>
      <c r="B441" s="94"/>
      <c r="C441" s="95"/>
      <c r="D441" s="95"/>
      <c r="E441" s="95"/>
      <c r="F441" s="95"/>
      <c r="G441" s="51"/>
      <c r="H441" s="2"/>
      <c r="I441" s="51"/>
      <c r="J441" s="51"/>
      <c r="K441" s="100" t="s">
        <v>1</v>
      </c>
      <c r="L441" s="51"/>
      <c r="M441" s="51"/>
      <c r="N441" s="72"/>
      <c r="O441" s="47"/>
      <c r="P441" s="47"/>
      <c r="Q441" s="47"/>
      <c r="R441" s="47"/>
      <c r="S441" s="47"/>
      <c r="T441" s="47"/>
      <c r="U441" s="47"/>
    </row>
    <row r="442" spans="1:21" x14ac:dyDescent="0.25">
      <c r="A442" s="51"/>
      <c r="B442" s="278" t="s">
        <v>163</v>
      </c>
      <c r="C442" s="297"/>
      <c r="D442" s="297"/>
      <c r="E442" s="297"/>
      <c r="F442" s="297"/>
      <c r="G442" s="278"/>
      <c r="H442" s="282"/>
      <c r="I442" s="282"/>
      <c r="J442" s="282"/>
      <c r="K442" s="299">
        <v>500000</v>
      </c>
      <c r="L442" s="51"/>
      <c r="M442" s="51"/>
      <c r="N442" s="72"/>
      <c r="O442" s="47"/>
      <c r="P442" s="47"/>
      <c r="Q442" s="47"/>
      <c r="R442" s="47"/>
      <c r="S442" s="47"/>
      <c r="T442" s="47"/>
      <c r="U442" s="47"/>
    </row>
    <row r="443" spans="1:21" x14ac:dyDescent="0.25">
      <c r="A443" s="51"/>
      <c r="B443" s="51"/>
      <c r="C443" s="95"/>
      <c r="D443" s="95"/>
      <c r="E443" s="95"/>
      <c r="F443" s="95"/>
      <c r="G443" s="51"/>
      <c r="H443" s="2"/>
      <c r="I443" s="2"/>
      <c r="J443" s="2"/>
      <c r="K443" s="94"/>
      <c r="L443" s="51"/>
      <c r="M443" s="51"/>
      <c r="N443" s="72"/>
      <c r="O443" s="47"/>
      <c r="P443" s="47"/>
      <c r="Q443" s="47"/>
      <c r="R443" s="47"/>
      <c r="S443" s="47"/>
      <c r="T443" s="47"/>
      <c r="U443" s="47"/>
    </row>
    <row r="444" spans="1:21" x14ac:dyDescent="0.25">
      <c r="A444" s="51"/>
      <c r="B444" s="51" t="s">
        <v>168</v>
      </c>
      <c r="C444" s="95"/>
      <c r="D444" s="95"/>
      <c r="E444" s="95"/>
      <c r="F444" s="95"/>
      <c r="G444" s="51"/>
      <c r="H444" s="2"/>
      <c r="I444" s="2"/>
      <c r="J444" s="2"/>
      <c r="K444" s="94"/>
      <c r="L444" s="51"/>
      <c r="M444" s="51"/>
      <c r="N444" s="72"/>
      <c r="O444" s="47"/>
      <c r="P444" s="47"/>
      <c r="Q444" s="47"/>
      <c r="R444" s="47"/>
      <c r="S444" s="47"/>
      <c r="T444" s="47"/>
      <c r="U444" s="47"/>
    </row>
    <row r="445" spans="1:21" x14ac:dyDescent="0.25">
      <c r="A445" s="47"/>
      <c r="B445" s="47" t="s">
        <v>100</v>
      </c>
      <c r="C445" s="95"/>
      <c r="D445" s="95"/>
      <c r="E445" s="95"/>
      <c r="F445" s="95"/>
      <c r="G445" s="51"/>
      <c r="H445" s="2"/>
      <c r="I445" s="2"/>
      <c r="J445" s="2"/>
      <c r="K445" s="94">
        <f>+J428</f>
        <v>40000</v>
      </c>
      <c r="L445" s="51"/>
      <c r="M445" s="51"/>
      <c r="N445" s="72"/>
      <c r="O445" s="47"/>
      <c r="P445" s="47"/>
      <c r="Q445" s="47"/>
      <c r="R445" s="47"/>
      <c r="S445" s="47"/>
      <c r="T445" s="47"/>
      <c r="U445" s="47"/>
    </row>
    <row r="446" spans="1:21" x14ac:dyDescent="0.25">
      <c r="A446" s="51"/>
      <c r="B446" s="51"/>
      <c r="C446" s="95"/>
      <c r="D446" s="95"/>
      <c r="E446" s="95"/>
      <c r="F446" s="95"/>
      <c r="G446" s="51"/>
      <c r="H446" s="2"/>
      <c r="I446" s="2"/>
      <c r="J446" s="2"/>
      <c r="K446" s="94"/>
      <c r="L446" s="51"/>
      <c r="M446" s="51"/>
      <c r="N446" s="72"/>
      <c r="O446" s="47"/>
      <c r="P446" s="47"/>
      <c r="Q446" s="47"/>
      <c r="R446" s="47"/>
      <c r="S446" s="47"/>
      <c r="T446" s="47"/>
      <c r="U446" s="47"/>
    </row>
    <row r="447" spans="1:21" x14ac:dyDescent="0.25">
      <c r="A447" s="51"/>
      <c r="B447" s="51" t="s">
        <v>169</v>
      </c>
      <c r="C447" s="95"/>
      <c r="D447" s="95"/>
      <c r="E447" s="95"/>
      <c r="F447" s="95"/>
      <c r="G447" s="51"/>
      <c r="H447" s="2"/>
      <c r="I447" s="2"/>
      <c r="J447" s="2"/>
      <c r="K447" s="94">
        <v>100000</v>
      </c>
      <c r="L447" s="51"/>
      <c r="M447" s="51"/>
      <c r="N447" s="72"/>
      <c r="O447" s="47"/>
      <c r="P447" s="47"/>
      <c r="Q447" s="47"/>
      <c r="R447" s="47"/>
      <c r="S447" s="47"/>
      <c r="T447" s="47"/>
      <c r="U447" s="47"/>
    </row>
    <row r="448" spans="1:21" x14ac:dyDescent="0.25">
      <c r="A448" s="51"/>
      <c r="B448" s="51"/>
      <c r="C448" s="95"/>
      <c r="D448" s="95"/>
      <c r="E448" s="95"/>
      <c r="F448" s="95"/>
      <c r="G448" s="51"/>
      <c r="H448" s="2"/>
      <c r="I448" s="2"/>
      <c r="J448" s="2"/>
      <c r="K448" s="94"/>
      <c r="L448" s="51"/>
      <c r="M448" s="51"/>
      <c r="N448" s="72"/>
      <c r="O448" s="47"/>
      <c r="P448" s="47"/>
      <c r="Q448" s="47"/>
      <c r="R448" s="47"/>
      <c r="S448" s="47"/>
      <c r="T448" s="47"/>
      <c r="U448" s="47"/>
    </row>
    <row r="449" spans="1:21" x14ac:dyDescent="0.25">
      <c r="A449" s="51"/>
      <c r="B449" s="278" t="s">
        <v>5</v>
      </c>
      <c r="C449" s="297"/>
      <c r="D449" s="297"/>
      <c r="E449" s="297"/>
      <c r="F449" s="297"/>
      <c r="G449" s="278"/>
      <c r="H449" s="282"/>
      <c r="I449" s="282"/>
      <c r="J449" s="282"/>
      <c r="K449" s="299">
        <f>SUM(K442:K448)</f>
        <v>640000</v>
      </c>
      <c r="L449" s="51"/>
      <c r="M449" s="51"/>
      <c r="N449" s="72"/>
      <c r="O449" s="47"/>
      <c r="P449" s="47"/>
      <c r="Q449" s="47"/>
      <c r="R449" s="47"/>
      <c r="S449" s="47"/>
      <c r="T449" s="47"/>
      <c r="U449" s="47"/>
    </row>
    <row r="450" spans="1:21" x14ac:dyDescent="0.25">
      <c r="A450" s="51"/>
      <c r="B450" s="51"/>
      <c r="C450" s="95"/>
      <c r="D450" s="95"/>
      <c r="E450" s="95"/>
      <c r="F450" s="95"/>
      <c r="G450" s="51"/>
      <c r="H450" s="2"/>
      <c r="I450" s="2"/>
      <c r="J450" s="2"/>
      <c r="K450" s="94"/>
      <c r="L450" s="51"/>
      <c r="M450" s="51"/>
      <c r="N450" s="72"/>
      <c r="O450" s="47"/>
      <c r="P450" s="47"/>
      <c r="Q450" s="47"/>
      <c r="R450" s="47"/>
      <c r="S450" s="47"/>
      <c r="T450" s="47"/>
      <c r="U450" s="47"/>
    </row>
    <row r="451" spans="1:21" x14ac:dyDescent="0.25">
      <c r="A451" s="51"/>
      <c r="B451" s="278" t="s">
        <v>34</v>
      </c>
      <c r="C451" s="297"/>
      <c r="D451" s="297"/>
      <c r="E451" s="297"/>
      <c r="F451" s="297"/>
      <c r="G451" s="278"/>
      <c r="H451" s="282"/>
      <c r="I451" s="282"/>
      <c r="J451" s="282"/>
      <c r="K451" s="299">
        <f>+K449*30%</f>
        <v>192000</v>
      </c>
      <c r="L451" s="51"/>
      <c r="M451" s="51"/>
      <c r="N451" s="72"/>
      <c r="O451" s="47"/>
      <c r="P451" s="47"/>
      <c r="Q451" s="47"/>
      <c r="R451" s="47"/>
      <c r="S451" s="47"/>
      <c r="T451" s="47"/>
      <c r="U451" s="47"/>
    </row>
    <row r="452" spans="1:21" x14ac:dyDescent="0.2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72"/>
      <c r="O452" s="47"/>
      <c r="P452" s="47"/>
      <c r="Q452" s="47"/>
      <c r="R452" s="47"/>
      <c r="S452" s="47"/>
      <c r="T452" s="47"/>
      <c r="U452" s="47"/>
    </row>
    <row r="453" spans="1:21" x14ac:dyDescent="0.25">
      <c r="A453" s="403" t="s">
        <v>822</v>
      </c>
      <c r="B453" s="403"/>
      <c r="C453" s="403"/>
      <c r="D453" s="403"/>
      <c r="E453" s="403"/>
      <c r="F453" s="403"/>
      <c r="G453" s="403"/>
      <c r="H453" s="403"/>
      <c r="I453" s="403"/>
      <c r="J453" s="403"/>
      <c r="K453" s="403"/>
      <c r="L453" s="403"/>
      <c r="M453" s="403"/>
      <c r="N453" s="72"/>
    </row>
    <row r="454" spans="1:21" x14ac:dyDescent="0.25">
      <c r="A454" s="281" t="s">
        <v>139</v>
      </c>
      <c r="B454" s="281"/>
      <c r="C454" s="281"/>
      <c r="D454" s="281"/>
      <c r="E454" s="281"/>
      <c r="F454" s="281"/>
      <c r="G454" s="281"/>
      <c r="H454" s="282"/>
      <c r="I454" s="282"/>
      <c r="J454" s="282"/>
      <c r="K454" s="282"/>
      <c r="L454" s="282"/>
      <c r="M454" s="284"/>
      <c r="N454" s="72"/>
      <c r="O454" s="47"/>
      <c r="P454" s="47"/>
      <c r="Q454" s="47"/>
      <c r="R454" s="47"/>
      <c r="S454" s="47"/>
      <c r="T454" s="47"/>
      <c r="U454" s="47"/>
    </row>
    <row r="455" spans="1:21" x14ac:dyDescent="0.25">
      <c r="A455" s="47"/>
      <c r="B455" s="47"/>
      <c r="C455" s="47"/>
      <c r="D455" s="47"/>
      <c r="E455" s="47"/>
      <c r="F455" s="47"/>
      <c r="G455" s="47"/>
      <c r="H455" s="47"/>
      <c r="I455" s="47"/>
      <c r="J455" s="70" t="s">
        <v>68</v>
      </c>
      <c r="K455" s="70" t="s">
        <v>28</v>
      </c>
      <c r="L455" s="70"/>
      <c r="M455" s="51"/>
      <c r="N455" s="72"/>
      <c r="O455" s="47"/>
      <c r="P455" s="47"/>
      <c r="Q455" s="47"/>
      <c r="R455" s="47"/>
      <c r="S455" s="47"/>
      <c r="T455" s="47"/>
      <c r="U455" s="47"/>
    </row>
    <row r="456" spans="1:21" x14ac:dyDescent="0.25">
      <c r="A456" s="47"/>
      <c r="B456" s="47"/>
      <c r="C456" s="47"/>
      <c r="D456" s="47"/>
      <c r="E456" s="47"/>
      <c r="F456" s="47"/>
      <c r="G456" s="47"/>
      <c r="H456" s="47"/>
      <c r="I456" s="47"/>
      <c r="J456" s="70" t="s">
        <v>1</v>
      </c>
      <c r="K456" s="70" t="s">
        <v>1</v>
      </c>
      <c r="L456" s="70"/>
      <c r="M456" s="51"/>
      <c r="N456" s="72"/>
      <c r="O456" s="47"/>
      <c r="P456" s="47"/>
      <c r="Q456" s="47"/>
      <c r="R456" s="47"/>
      <c r="S456" s="47"/>
      <c r="T456" s="47"/>
      <c r="U456" s="47"/>
    </row>
    <row r="457" spans="1:21" x14ac:dyDescent="0.25">
      <c r="A457" s="47"/>
      <c r="B457" s="47" t="s">
        <v>240</v>
      </c>
      <c r="C457" s="47"/>
      <c r="D457" s="47"/>
      <c r="E457" s="47"/>
      <c r="F457" s="47"/>
      <c r="G457" s="47"/>
      <c r="H457" s="47"/>
      <c r="I457" s="47"/>
      <c r="J457" s="48">
        <f>+K451-I451</f>
        <v>192000</v>
      </c>
      <c r="K457" s="48"/>
      <c r="L457" s="48"/>
      <c r="M457" s="51"/>
      <c r="N457" s="72"/>
      <c r="O457" s="47"/>
      <c r="P457" s="47"/>
      <c r="Q457" s="47"/>
      <c r="R457" s="47"/>
      <c r="S457" s="47"/>
      <c r="T457" s="47"/>
      <c r="U457" s="47"/>
    </row>
    <row r="458" spans="1:21" x14ac:dyDescent="0.25">
      <c r="A458" s="47"/>
      <c r="B458" s="47" t="s">
        <v>171</v>
      </c>
      <c r="C458" s="47"/>
      <c r="D458" s="47"/>
      <c r="E458" s="47"/>
      <c r="F458" s="47"/>
      <c r="G458" s="47"/>
      <c r="H458" s="47"/>
      <c r="I458" s="47"/>
      <c r="J458" s="48"/>
      <c r="K458" s="48">
        <f>+J457</f>
        <v>192000</v>
      </c>
      <c r="L458" s="48"/>
      <c r="M458" s="51"/>
      <c r="N458" s="72"/>
      <c r="O458" s="47"/>
      <c r="P458" s="47"/>
      <c r="Q458" s="47"/>
      <c r="R458" s="47"/>
      <c r="S458" s="47"/>
      <c r="T458" s="47"/>
      <c r="U458" s="47"/>
    </row>
    <row r="459" spans="1:21" x14ac:dyDescent="0.25">
      <c r="A459" s="71"/>
      <c r="B459" s="71"/>
      <c r="C459" s="71"/>
      <c r="D459" s="71"/>
      <c r="E459" s="71"/>
      <c r="F459" s="71"/>
      <c r="G459" s="71"/>
      <c r="H459" s="71"/>
      <c r="I459" s="71"/>
      <c r="J459" s="71"/>
      <c r="K459" s="71"/>
      <c r="L459" s="71"/>
      <c r="M459" s="51"/>
      <c r="N459" s="72"/>
      <c r="O459" s="47"/>
      <c r="P459" s="47"/>
      <c r="Q459" s="47"/>
      <c r="R459" s="47"/>
      <c r="S459" s="47"/>
      <c r="T459" s="47"/>
      <c r="U459" s="47"/>
    </row>
    <row r="460" spans="1:21" x14ac:dyDescent="0.25">
      <c r="A460" s="281" t="s">
        <v>417</v>
      </c>
      <c r="B460" s="281"/>
      <c r="C460" s="281"/>
      <c r="D460" s="281"/>
      <c r="E460" s="281"/>
      <c r="F460" s="281"/>
      <c r="G460" s="281"/>
      <c r="H460" s="282"/>
      <c r="I460" s="282"/>
      <c r="J460" s="282"/>
      <c r="K460" s="282"/>
      <c r="L460" s="282"/>
      <c r="M460" s="284"/>
      <c r="N460" s="72"/>
      <c r="O460" s="47"/>
      <c r="P460" s="47"/>
      <c r="Q460" s="47"/>
      <c r="R460" s="47"/>
      <c r="S460" s="47"/>
      <c r="T460" s="47"/>
      <c r="U460" s="47"/>
    </row>
    <row r="461" spans="1:21" x14ac:dyDescent="0.25">
      <c r="A461" s="47"/>
      <c r="B461" s="47"/>
      <c r="C461" s="47"/>
      <c r="D461" s="47"/>
      <c r="E461" s="47"/>
      <c r="F461" s="47"/>
      <c r="G461" s="47"/>
      <c r="H461" s="47"/>
      <c r="I461" s="71" t="s">
        <v>1</v>
      </c>
      <c r="J461" s="71"/>
      <c r="K461" s="71"/>
      <c r="L461" s="71"/>
      <c r="M461" s="51"/>
      <c r="N461" s="72"/>
      <c r="O461" s="47"/>
      <c r="P461" s="47"/>
      <c r="Q461" s="47"/>
      <c r="R461" s="47"/>
      <c r="S461" s="47"/>
      <c r="T461" s="47"/>
      <c r="U461" s="47"/>
    </row>
    <row r="462" spans="1:21" x14ac:dyDescent="0.25">
      <c r="A462" s="47"/>
      <c r="B462" s="47" t="s">
        <v>172</v>
      </c>
      <c r="C462" s="47"/>
      <c r="D462" s="47"/>
      <c r="E462" s="47"/>
      <c r="F462" s="47"/>
      <c r="G462" s="47"/>
      <c r="H462" s="47"/>
      <c r="I462" s="71" t="s">
        <v>175</v>
      </c>
      <c r="J462" s="71"/>
      <c r="K462" s="71"/>
      <c r="L462" s="71"/>
      <c r="M462" s="51"/>
      <c r="N462" s="72"/>
      <c r="O462" s="47"/>
      <c r="P462" s="47"/>
      <c r="Q462" s="47"/>
      <c r="R462" s="47"/>
      <c r="S462" s="47"/>
      <c r="T462" s="47"/>
      <c r="U462" s="47"/>
    </row>
    <row r="463" spans="1:21" x14ac:dyDescent="0.25">
      <c r="A463" s="47"/>
      <c r="B463" s="47" t="s">
        <v>175</v>
      </c>
      <c r="C463" s="47"/>
      <c r="D463" s="47"/>
      <c r="E463" s="47"/>
      <c r="F463" s="47"/>
      <c r="G463" s="47"/>
      <c r="H463" s="47"/>
      <c r="I463" s="71" t="s">
        <v>175</v>
      </c>
      <c r="J463" s="71"/>
      <c r="K463" s="71"/>
      <c r="L463" s="71"/>
      <c r="M463" s="51"/>
      <c r="N463" s="72"/>
      <c r="O463" s="47"/>
      <c r="P463" s="47"/>
      <c r="Q463" s="47"/>
      <c r="R463" s="47"/>
      <c r="S463" s="47"/>
      <c r="T463" s="47"/>
      <c r="U463" s="47"/>
    </row>
    <row r="464" spans="1:21" x14ac:dyDescent="0.25">
      <c r="A464" s="47"/>
      <c r="B464" s="47" t="s">
        <v>175</v>
      </c>
      <c r="C464" s="47"/>
      <c r="D464" s="47"/>
      <c r="E464" s="47"/>
      <c r="F464" s="47"/>
      <c r="G464" s="47"/>
      <c r="H464" s="47"/>
      <c r="I464" s="106" t="s">
        <v>175</v>
      </c>
      <c r="J464" s="71"/>
      <c r="K464" s="71"/>
      <c r="L464" s="71"/>
      <c r="M464" s="51"/>
      <c r="N464" s="72"/>
      <c r="O464" s="47"/>
      <c r="P464" s="47"/>
      <c r="Q464" s="47"/>
      <c r="R464" s="47"/>
      <c r="S464" s="47"/>
      <c r="T464" s="47"/>
      <c r="U464" s="47"/>
    </row>
    <row r="465" spans="1:21" x14ac:dyDescent="0.25">
      <c r="A465" s="47"/>
      <c r="B465" s="51" t="s">
        <v>681</v>
      </c>
      <c r="C465" s="47"/>
      <c r="D465" s="47"/>
      <c r="E465" s="47"/>
      <c r="F465" s="47"/>
      <c r="G465" s="47"/>
      <c r="H465" s="47"/>
      <c r="I465" s="75">
        <v>500000</v>
      </c>
      <c r="J465" s="107" t="s">
        <v>682</v>
      </c>
      <c r="K465" s="71"/>
      <c r="L465" s="71"/>
      <c r="M465" s="51"/>
      <c r="N465" s="72"/>
      <c r="O465" s="47"/>
      <c r="P465" s="47"/>
      <c r="Q465" s="47"/>
      <c r="R465" s="47"/>
      <c r="S465" s="47"/>
      <c r="T465" s="47"/>
      <c r="U465" s="47"/>
    </row>
    <row r="466" spans="1:21" x14ac:dyDescent="0.25">
      <c r="A466" s="47"/>
      <c r="B466" s="47" t="s">
        <v>26</v>
      </c>
      <c r="C466" s="47"/>
      <c r="D466" s="47"/>
      <c r="E466" s="47"/>
      <c r="F466" s="47"/>
      <c r="G466" s="47"/>
      <c r="H466" s="47"/>
      <c r="I466" s="78">
        <f>-J457+J438</f>
        <v>-180000</v>
      </c>
      <c r="J466" s="107" t="s">
        <v>680</v>
      </c>
      <c r="K466" s="48"/>
      <c r="L466" s="48"/>
      <c r="M466" s="51"/>
      <c r="N466" s="72"/>
      <c r="O466" s="47"/>
      <c r="P466" s="47"/>
      <c r="Q466" s="47"/>
      <c r="R466" s="47"/>
      <c r="S466" s="47"/>
      <c r="T466" s="47"/>
      <c r="U466" s="47"/>
    </row>
    <row r="467" spans="1:21" x14ac:dyDescent="0.25">
      <c r="A467" s="281"/>
      <c r="B467" s="278" t="s">
        <v>176</v>
      </c>
      <c r="C467" s="281"/>
      <c r="D467" s="281"/>
      <c r="E467" s="281"/>
      <c r="F467" s="281"/>
      <c r="G467" s="281"/>
      <c r="H467" s="281"/>
      <c r="I467" s="279">
        <f>SUM(I465:I466)</f>
        <v>320000</v>
      </c>
      <c r="J467" s="300"/>
      <c r="K467" s="280"/>
      <c r="L467" s="280"/>
      <c r="M467" s="284"/>
      <c r="N467" s="72"/>
      <c r="O467" s="47"/>
      <c r="P467" s="47"/>
      <c r="Q467" s="47"/>
      <c r="R467" s="47"/>
      <c r="S467" s="47"/>
      <c r="T467" s="47"/>
      <c r="U467" s="47"/>
    </row>
    <row r="468" spans="1:21" x14ac:dyDescent="0.25">
      <c r="A468" s="281"/>
      <c r="B468" s="278" t="s">
        <v>164</v>
      </c>
      <c r="C468" s="281"/>
      <c r="D468" s="281"/>
      <c r="E468" s="281"/>
      <c r="F468" s="281"/>
      <c r="G468" s="281"/>
      <c r="H468" s="281"/>
      <c r="I468" s="289">
        <f>-I466/I465</f>
        <v>0.36</v>
      </c>
      <c r="J468" s="300" t="s">
        <v>418</v>
      </c>
      <c r="K468" s="280"/>
      <c r="L468" s="280"/>
      <c r="M468" s="284"/>
      <c r="N468" s="72"/>
      <c r="O468" s="47"/>
      <c r="P468" s="47"/>
      <c r="Q468" s="47"/>
      <c r="R468" s="47"/>
      <c r="S468" s="47"/>
      <c r="T468" s="47"/>
      <c r="U468" s="47"/>
    </row>
    <row r="469" spans="1:21" x14ac:dyDescent="0.25">
      <c r="A469" s="47"/>
      <c r="B469" s="47"/>
      <c r="C469" s="47"/>
      <c r="D469" s="47"/>
      <c r="E469" s="47"/>
      <c r="F469" s="47"/>
      <c r="G469" s="47"/>
      <c r="H469" s="47"/>
      <c r="I469" s="48"/>
      <c r="J469" s="48"/>
      <c r="K469" s="48"/>
      <c r="L469" s="48"/>
      <c r="M469" s="51"/>
      <c r="N469" s="72"/>
      <c r="O469" s="47"/>
      <c r="P469" s="47"/>
      <c r="Q469" s="47"/>
      <c r="R469" s="47"/>
      <c r="S469" s="47"/>
      <c r="T469" s="47"/>
      <c r="U469" s="47"/>
    </row>
    <row r="470" spans="1:21" x14ac:dyDescent="0.25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51"/>
      <c r="N470" s="72"/>
      <c r="O470" s="47"/>
      <c r="P470" s="47"/>
      <c r="Q470" s="47"/>
      <c r="R470" s="47"/>
      <c r="S470" s="47"/>
      <c r="T470" s="47"/>
      <c r="U470" s="47"/>
    </row>
    <row r="471" spans="1:21" x14ac:dyDescent="0.25">
      <c r="A471" s="403" t="s">
        <v>823</v>
      </c>
      <c r="B471" s="403"/>
      <c r="C471" s="403"/>
      <c r="D471" s="403"/>
      <c r="E471" s="403"/>
      <c r="F471" s="403"/>
      <c r="G471" s="403"/>
      <c r="H471" s="403"/>
      <c r="I471" s="403"/>
      <c r="J471" s="403"/>
      <c r="K471" s="403"/>
      <c r="L471" s="403"/>
      <c r="M471" s="403"/>
      <c r="N471" s="72"/>
    </row>
    <row r="472" spans="1:21" x14ac:dyDescent="0.25">
      <c r="A472" s="47"/>
      <c r="B472" s="47"/>
      <c r="C472" s="47"/>
      <c r="D472" s="47"/>
      <c r="E472" s="47"/>
      <c r="F472" s="47"/>
      <c r="G472" s="100"/>
      <c r="H472" s="47"/>
      <c r="I472" s="96" t="s">
        <v>421</v>
      </c>
      <c r="J472" s="96" t="s">
        <v>405</v>
      </c>
      <c r="K472" s="108"/>
      <c r="L472" s="96" t="s">
        <v>180</v>
      </c>
      <c r="M472" s="51"/>
      <c r="N472" s="72"/>
      <c r="O472" s="47"/>
      <c r="P472" s="47"/>
      <c r="Q472" s="47"/>
      <c r="R472" s="47"/>
      <c r="S472" s="47"/>
      <c r="T472" s="47"/>
      <c r="U472" s="47"/>
    </row>
    <row r="473" spans="1:21" x14ac:dyDescent="0.25">
      <c r="A473" s="47"/>
      <c r="B473" s="47"/>
      <c r="C473" s="47"/>
      <c r="D473" s="47"/>
      <c r="E473" s="47"/>
      <c r="F473" s="47"/>
      <c r="G473" s="100"/>
      <c r="H473" s="47"/>
      <c r="I473" s="100" t="s">
        <v>1</v>
      </c>
      <c r="J473" s="100" t="s">
        <v>1</v>
      </c>
      <c r="K473" s="109"/>
      <c r="L473" s="51"/>
      <c r="M473" s="51"/>
      <c r="N473" s="72"/>
      <c r="O473" s="47"/>
      <c r="P473" s="47"/>
      <c r="Q473" s="47"/>
      <c r="R473" s="47"/>
      <c r="S473" s="47"/>
      <c r="T473" s="47"/>
      <c r="U473" s="47"/>
    </row>
    <row r="474" spans="1:21" x14ac:dyDescent="0.25">
      <c r="A474" s="278" t="s">
        <v>163</v>
      </c>
      <c r="B474" s="281"/>
      <c r="C474" s="281"/>
      <c r="D474" s="281"/>
      <c r="E474" s="281"/>
      <c r="F474" s="281"/>
      <c r="G474" s="301"/>
      <c r="H474" s="281"/>
      <c r="I474" s="299">
        <v>500000</v>
      </c>
      <c r="J474" s="299">
        <f>+I474*30%</f>
        <v>150000</v>
      </c>
      <c r="K474" s="302" t="s">
        <v>419</v>
      </c>
      <c r="L474" s="330">
        <f>+J474/I474</f>
        <v>0.3</v>
      </c>
      <c r="M474" s="51"/>
      <c r="N474" s="72"/>
      <c r="O474" s="47"/>
      <c r="P474" s="47"/>
      <c r="Q474" s="47"/>
      <c r="R474" s="47"/>
      <c r="S474" s="47"/>
      <c r="T474" s="47"/>
      <c r="U474" s="47"/>
    </row>
    <row r="475" spans="1:21" x14ac:dyDescent="0.25">
      <c r="A475" s="51"/>
      <c r="B475" s="47"/>
      <c r="C475" s="47"/>
      <c r="D475" s="47"/>
      <c r="E475" s="47"/>
      <c r="F475" s="47"/>
      <c r="G475" s="94"/>
      <c r="H475" s="47"/>
      <c r="I475" s="94"/>
      <c r="J475" s="94"/>
      <c r="K475" s="109"/>
      <c r="L475" s="331"/>
      <c r="M475" s="51"/>
      <c r="N475" s="72"/>
      <c r="O475" s="47"/>
      <c r="P475" s="47"/>
      <c r="Q475" s="47"/>
      <c r="R475" s="47"/>
      <c r="S475" s="47"/>
      <c r="T475" s="47"/>
      <c r="U475" s="47"/>
    </row>
    <row r="476" spans="1:21" x14ac:dyDescent="0.25">
      <c r="A476" s="51" t="s">
        <v>168</v>
      </c>
      <c r="B476" s="47"/>
      <c r="C476" s="47"/>
      <c r="D476" s="47"/>
      <c r="E476" s="47"/>
      <c r="F476" s="47"/>
      <c r="G476" s="94"/>
      <c r="H476" s="47"/>
      <c r="I476" s="94"/>
      <c r="J476" s="94"/>
      <c r="K476" s="109"/>
      <c r="L476" s="331"/>
      <c r="M476" s="51"/>
      <c r="N476" s="72"/>
      <c r="O476" s="47"/>
      <c r="P476" s="47"/>
      <c r="Q476" s="47"/>
      <c r="R476" s="47"/>
      <c r="S476" s="47"/>
      <c r="T476" s="47"/>
      <c r="U476" s="47"/>
    </row>
    <row r="477" spans="1:21" x14ac:dyDescent="0.25">
      <c r="A477" s="47" t="s">
        <v>100</v>
      </c>
      <c r="B477" s="47"/>
      <c r="C477" s="47"/>
      <c r="D477" s="47"/>
      <c r="E477" s="47"/>
      <c r="F477" s="47"/>
      <c r="G477" s="94"/>
      <c r="H477" s="47"/>
      <c r="I477" s="94">
        <v>40000</v>
      </c>
      <c r="J477" s="94">
        <f>+I477*30%</f>
        <v>12000</v>
      </c>
      <c r="K477" s="109"/>
      <c r="L477" s="331"/>
      <c r="M477" s="51"/>
      <c r="N477" s="72"/>
      <c r="O477" s="47"/>
      <c r="P477" s="47"/>
      <c r="Q477" s="47"/>
      <c r="R477" s="47"/>
      <c r="S477" s="47"/>
      <c r="T477" s="47"/>
      <c r="U477" s="47"/>
    </row>
    <row r="478" spans="1:21" x14ac:dyDescent="0.25">
      <c r="A478" s="51"/>
      <c r="B478" s="47"/>
      <c r="C478" s="47"/>
      <c r="D478" s="47"/>
      <c r="E478" s="47"/>
      <c r="F478" s="47"/>
      <c r="G478" s="94"/>
      <c r="H478" s="47"/>
      <c r="I478" s="94"/>
      <c r="J478" s="94"/>
      <c r="K478" s="109"/>
      <c r="L478" s="331"/>
      <c r="M478" s="51"/>
      <c r="N478" s="72"/>
      <c r="O478" s="47"/>
      <c r="P478" s="47"/>
      <c r="Q478" s="47"/>
      <c r="R478" s="47"/>
      <c r="S478" s="47"/>
      <c r="T478" s="47"/>
      <c r="U478" s="47"/>
    </row>
    <row r="479" spans="1:21" x14ac:dyDescent="0.25">
      <c r="A479" s="51" t="s">
        <v>169</v>
      </c>
      <c r="B479" s="47"/>
      <c r="C479" s="47"/>
      <c r="D479" s="47"/>
      <c r="E479" s="47"/>
      <c r="F479" s="47"/>
      <c r="G479" s="94"/>
      <c r="H479" s="47"/>
      <c r="I479" s="94">
        <v>100000</v>
      </c>
      <c r="J479" s="94">
        <f>+I479*30%</f>
        <v>30000</v>
      </c>
      <c r="K479" s="109"/>
      <c r="L479" s="331"/>
      <c r="M479" s="51"/>
      <c r="N479" s="72"/>
      <c r="O479" s="47"/>
      <c r="P479" s="47"/>
      <c r="Q479" s="47"/>
      <c r="R479" s="47"/>
      <c r="S479" s="47"/>
      <c r="T479" s="47"/>
      <c r="U479" s="47"/>
    </row>
    <row r="480" spans="1:21" x14ac:dyDescent="0.25">
      <c r="A480" s="51"/>
      <c r="B480" s="47"/>
      <c r="C480" s="47"/>
      <c r="D480" s="47"/>
      <c r="E480" s="47"/>
      <c r="F480" s="47"/>
      <c r="G480" s="94"/>
      <c r="H480" s="47"/>
      <c r="I480" s="94"/>
      <c r="J480" s="94"/>
      <c r="K480" s="109"/>
      <c r="L480" s="331"/>
      <c r="M480" s="51"/>
      <c r="N480" s="72"/>
      <c r="O480" s="47"/>
      <c r="P480" s="47"/>
      <c r="Q480" s="47"/>
      <c r="R480" s="47"/>
      <c r="S480" s="47"/>
      <c r="T480" s="47"/>
      <c r="U480" s="47"/>
    </row>
    <row r="481" spans="1:21" x14ac:dyDescent="0.25">
      <c r="A481" s="278"/>
      <c r="B481" s="281"/>
      <c r="C481" s="281"/>
      <c r="D481" s="281"/>
      <c r="E481" s="281"/>
      <c r="F481" s="281"/>
      <c r="G481" s="301"/>
      <c r="H481" s="281"/>
      <c r="I481" s="299">
        <f>SUM(I474:I480)</f>
        <v>640000</v>
      </c>
      <c r="J481" s="299">
        <f>+I481*30%</f>
        <v>192000</v>
      </c>
      <c r="K481" s="302" t="s">
        <v>420</v>
      </c>
      <c r="L481" s="330">
        <f>+J481/I474</f>
        <v>0.38400000000000001</v>
      </c>
      <c r="M481" s="51"/>
      <c r="N481" s="72"/>
      <c r="O481" s="47"/>
      <c r="P481" s="47"/>
      <c r="Q481" s="47"/>
      <c r="R481" s="47"/>
      <c r="S481" s="47"/>
      <c r="T481" s="47"/>
      <c r="U481" s="47"/>
    </row>
    <row r="482" spans="1:21" x14ac:dyDescent="0.25">
      <c r="A482" s="47" t="s">
        <v>423</v>
      </c>
      <c r="B482" s="47"/>
      <c r="C482" s="47"/>
      <c r="D482" s="47"/>
      <c r="E482" s="47"/>
      <c r="F482" s="47"/>
      <c r="G482" s="94"/>
      <c r="H482" s="47"/>
      <c r="I482" s="94"/>
      <c r="J482" s="94"/>
      <c r="K482" s="109"/>
      <c r="L482" s="51"/>
      <c r="M482" s="51"/>
      <c r="N482" s="72"/>
      <c r="O482" s="47"/>
      <c r="P482" s="47"/>
      <c r="Q482" s="47"/>
      <c r="R482" s="47"/>
      <c r="S482" s="47"/>
      <c r="T482" s="47"/>
      <c r="U482" s="47"/>
    </row>
    <row r="483" spans="1:21" x14ac:dyDescent="0.25">
      <c r="A483" s="47" t="s">
        <v>422</v>
      </c>
      <c r="B483" s="47"/>
      <c r="C483" s="47"/>
      <c r="D483" s="47"/>
      <c r="E483" s="47"/>
      <c r="F483" s="47"/>
      <c r="G483" s="94"/>
      <c r="H483" s="47"/>
      <c r="I483" s="94"/>
      <c r="J483" s="94"/>
      <c r="K483" s="109"/>
      <c r="L483" s="51"/>
      <c r="M483" s="51"/>
      <c r="N483" s="72"/>
      <c r="O483" s="47"/>
      <c r="P483" s="47"/>
      <c r="Q483" s="47"/>
      <c r="R483" s="47"/>
      <c r="S483" s="47"/>
      <c r="T483" s="47"/>
      <c r="U483" s="47"/>
    </row>
    <row r="484" spans="1:21" x14ac:dyDescent="0.25">
      <c r="A484" s="47"/>
      <c r="B484" s="47"/>
      <c r="C484" s="47"/>
      <c r="D484" s="47"/>
      <c r="E484" s="47"/>
      <c r="F484" s="47"/>
      <c r="G484" s="94"/>
      <c r="H484" s="47"/>
      <c r="I484" s="94"/>
      <c r="J484" s="94"/>
      <c r="K484" s="109"/>
      <c r="L484" s="51"/>
      <c r="M484" s="51"/>
      <c r="N484" s="72"/>
      <c r="O484" s="47"/>
      <c r="P484" s="47"/>
      <c r="Q484" s="47"/>
      <c r="R484" s="47"/>
      <c r="S484" s="47"/>
      <c r="T484" s="47"/>
      <c r="U484" s="47"/>
    </row>
    <row r="485" spans="1:21" x14ac:dyDescent="0.25">
      <c r="A485" s="403" t="s">
        <v>824</v>
      </c>
      <c r="B485" s="403"/>
      <c r="C485" s="403"/>
      <c r="D485" s="403"/>
      <c r="E485" s="403"/>
      <c r="F485" s="403"/>
      <c r="G485" s="403"/>
      <c r="H485" s="403"/>
      <c r="I485" s="403"/>
      <c r="J485" s="403"/>
      <c r="K485" s="403"/>
      <c r="L485" s="403"/>
      <c r="M485" s="403"/>
      <c r="N485" s="72"/>
    </row>
    <row r="486" spans="1:21" x14ac:dyDescent="0.25">
      <c r="A486" s="47"/>
      <c r="B486" s="47"/>
      <c r="C486" s="47"/>
      <c r="D486" s="47"/>
      <c r="E486" s="47"/>
      <c r="F486" s="47"/>
      <c r="G486" s="100"/>
      <c r="H486" s="47"/>
      <c r="I486" s="96" t="s">
        <v>421</v>
      </c>
      <c r="J486" s="96" t="s">
        <v>405</v>
      </c>
      <c r="K486" s="108"/>
      <c r="L486" s="96" t="s">
        <v>180</v>
      </c>
      <c r="M486" s="51"/>
      <c r="N486" s="72"/>
      <c r="O486" s="47"/>
      <c r="P486" s="47"/>
      <c r="Q486" s="47"/>
      <c r="R486" s="47"/>
      <c r="S486" s="47"/>
      <c r="T486" s="47"/>
      <c r="U486" s="47"/>
    </row>
    <row r="487" spans="1:21" x14ac:dyDescent="0.25">
      <c r="A487" s="47"/>
      <c r="B487" s="47"/>
      <c r="C487" s="47"/>
      <c r="D487" s="47"/>
      <c r="E487" s="47"/>
      <c r="F487" s="47"/>
      <c r="G487" s="100"/>
      <c r="H487" s="47"/>
      <c r="I487" s="100" t="s">
        <v>1</v>
      </c>
      <c r="J487" s="100" t="s">
        <v>1</v>
      </c>
      <c r="K487" s="109"/>
      <c r="L487" s="51"/>
      <c r="M487" s="51"/>
      <c r="N487" s="72"/>
      <c r="O487" s="47"/>
      <c r="P487" s="47"/>
      <c r="Q487" s="47"/>
      <c r="R487" s="47"/>
      <c r="S487" s="47"/>
      <c r="T487" s="47"/>
      <c r="U487" s="47"/>
    </row>
    <row r="488" spans="1:21" x14ac:dyDescent="0.25">
      <c r="A488" s="278" t="s">
        <v>163</v>
      </c>
      <c r="B488" s="281"/>
      <c r="C488" s="281"/>
      <c r="D488" s="281"/>
      <c r="E488" s="281"/>
      <c r="F488" s="281"/>
      <c r="G488" s="301"/>
      <c r="H488" s="281"/>
      <c r="I488" s="299">
        <v>500000</v>
      </c>
      <c r="J488" s="299">
        <f>+I488*30%</f>
        <v>150000</v>
      </c>
      <c r="K488" s="302" t="s">
        <v>419</v>
      </c>
      <c r="L488" s="296">
        <f>+J488/I488</f>
        <v>0.3</v>
      </c>
      <c r="M488" s="51"/>
      <c r="N488" s="72"/>
      <c r="O488" s="47"/>
      <c r="P488" s="47"/>
      <c r="Q488" s="47"/>
      <c r="R488" s="47"/>
      <c r="S488" s="47"/>
      <c r="T488" s="47"/>
      <c r="U488" s="47"/>
    </row>
    <row r="489" spans="1:21" x14ac:dyDescent="0.25">
      <c r="A489" s="51"/>
      <c r="B489" s="47"/>
      <c r="C489" s="47"/>
      <c r="D489" s="47"/>
      <c r="E489" s="47"/>
      <c r="F489" s="47"/>
      <c r="G489" s="94"/>
      <c r="H489" s="47"/>
      <c r="I489" s="94"/>
      <c r="J489" s="94"/>
      <c r="K489" s="109"/>
      <c r="L489" s="51"/>
      <c r="M489" s="51"/>
      <c r="N489" s="72"/>
      <c r="O489" s="47"/>
      <c r="P489" s="47"/>
      <c r="Q489" s="47"/>
      <c r="R489" s="47"/>
      <c r="S489" s="47"/>
      <c r="T489" s="47"/>
      <c r="U489" s="47"/>
    </row>
    <row r="490" spans="1:21" x14ac:dyDescent="0.25">
      <c r="A490" s="51" t="s">
        <v>168</v>
      </c>
      <c r="B490" s="47"/>
      <c r="C490" s="47"/>
      <c r="D490" s="47"/>
      <c r="E490" s="47"/>
      <c r="F490" s="47"/>
      <c r="G490" s="94"/>
      <c r="H490" s="47"/>
      <c r="I490" s="94"/>
      <c r="J490" s="94"/>
      <c r="K490" s="109"/>
      <c r="L490" s="51"/>
      <c r="M490" s="51"/>
      <c r="N490" s="72"/>
      <c r="O490" s="47"/>
      <c r="P490" s="47"/>
      <c r="Q490" s="47"/>
      <c r="R490" s="47"/>
      <c r="S490" s="47"/>
      <c r="T490" s="47"/>
      <c r="U490" s="47"/>
    </row>
    <row r="491" spans="1:21" x14ac:dyDescent="0.25">
      <c r="A491" s="47" t="s">
        <v>100</v>
      </c>
      <c r="B491" s="47"/>
      <c r="C491" s="47"/>
      <c r="D491" s="47"/>
      <c r="E491" s="47"/>
      <c r="F491" s="47"/>
      <c r="G491" s="94"/>
      <c r="H491" s="47"/>
      <c r="I491" s="94">
        <v>40000</v>
      </c>
      <c r="J491" s="301"/>
      <c r="K491" s="302"/>
      <c r="L491" s="278"/>
      <c r="M491" s="51"/>
      <c r="N491" s="72"/>
      <c r="O491" s="47"/>
      <c r="P491" s="47"/>
      <c r="Q491" s="47"/>
      <c r="R491" s="47"/>
      <c r="S491" s="47"/>
      <c r="T491" s="47"/>
      <c r="U491" s="47"/>
    </row>
    <row r="492" spans="1:21" x14ac:dyDescent="0.25">
      <c r="A492" s="51"/>
      <c r="B492" s="47"/>
      <c r="C492" s="47"/>
      <c r="D492" s="47"/>
      <c r="E492" s="47"/>
      <c r="F492" s="47"/>
      <c r="G492" s="94"/>
      <c r="H492" s="47"/>
      <c r="I492" s="94"/>
      <c r="J492" s="94"/>
      <c r="K492" s="109"/>
      <c r="L492" s="51"/>
      <c r="M492" s="51"/>
      <c r="N492" s="72"/>
      <c r="O492" s="47"/>
      <c r="P492" s="47"/>
      <c r="Q492" s="47"/>
      <c r="R492" s="47"/>
      <c r="S492" s="47"/>
      <c r="T492" s="47"/>
      <c r="U492" s="47"/>
    </row>
    <row r="493" spans="1:21" x14ac:dyDescent="0.25">
      <c r="A493" s="51" t="s">
        <v>169</v>
      </c>
      <c r="B493" s="47"/>
      <c r="C493" s="47"/>
      <c r="D493" s="47"/>
      <c r="E493" s="47"/>
      <c r="F493" s="47"/>
      <c r="G493" s="94"/>
      <c r="H493" s="47"/>
      <c r="I493" s="94">
        <v>100000</v>
      </c>
      <c r="J493" s="94">
        <f>+I493*30%</f>
        <v>30000</v>
      </c>
      <c r="K493" s="109"/>
      <c r="L493" s="81">
        <f>+J493/I488</f>
        <v>0.06</v>
      </c>
      <c r="M493" s="51"/>
      <c r="N493" s="72"/>
      <c r="O493" s="47"/>
      <c r="P493" s="47"/>
      <c r="Q493" s="47"/>
      <c r="R493" s="47"/>
      <c r="S493" s="47"/>
      <c r="T493" s="47"/>
      <c r="U493" s="47"/>
    </row>
    <row r="494" spans="1:21" x14ac:dyDescent="0.25">
      <c r="A494" s="51"/>
      <c r="B494" s="47"/>
      <c r="C494" s="47"/>
      <c r="D494" s="47"/>
      <c r="E494" s="47"/>
      <c r="F494" s="47"/>
      <c r="G494" s="94"/>
      <c r="H494" s="47"/>
      <c r="I494" s="94"/>
      <c r="J494" s="94"/>
      <c r="K494" s="109"/>
      <c r="L494" s="51"/>
      <c r="M494" s="51"/>
      <c r="N494" s="72"/>
      <c r="O494" s="47"/>
      <c r="P494" s="47"/>
      <c r="Q494" s="47"/>
      <c r="R494" s="47"/>
      <c r="S494" s="47"/>
      <c r="T494" s="47"/>
      <c r="U494" s="47"/>
    </row>
    <row r="495" spans="1:21" x14ac:dyDescent="0.25">
      <c r="A495" s="278"/>
      <c r="B495" s="281"/>
      <c r="C495" s="281"/>
      <c r="D495" s="281"/>
      <c r="E495" s="281"/>
      <c r="F495" s="281"/>
      <c r="G495" s="301"/>
      <c r="H495" s="281"/>
      <c r="I495" s="299"/>
      <c r="J495" s="299">
        <f>+J488+J493</f>
        <v>180000</v>
      </c>
      <c r="K495" s="302" t="s">
        <v>420</v>
      </c>
      <c r="L495" s="296">
        <f>+L488+L493</f>
        <v>0.36</v>
      </c>
      <c r="M495" s="51"/>
      <c r="N495" s="72"/>
      <c r="O495" s="47"/>
      <c r="P495" s="47"/>
      <c r="Q495" s="47"/>
      <c r="R495" s="47"/>
      <c r="S495" s="47"/>
      <c r="T495" s="47"/>
      <c r="U495" s="47"/>
    </row>
    <row r="496" spans="1:21" x14ac:dyDescent="0.25">
      <c r="A496" s="47" t="s">
        <v>423</v>
      </c>
      <c r="B496" s="47"/>
      <c r="C496" s="47"/>
      <c r="D496" s="47"/>
      <c r="E496" s="47"/>
      <c r="F496" s="47"/>
      <c r="G496" s="94"/>
      <c r="H496" s="47"/>
      <c r="I496" s="94"/>
      <c r="J496" s="94"/>
      <c r="K496" s="109"/>
      <c r="L496" s="51"/>
      <c r="M496" s="51"/>
      <c r="N496" s="72"/>
      <c r="O496" s="47"/>
      <c r="P496" s="47"/>
      <c r="Q496" s="47"/>
      <c r="R496" s="47"/>
      <c r="S496" s="47"/>
      <c r="T496" s="47"/>
      <c r="U496" s="47"/>
    </row>
    <row r="497" spans="1:21" x14ac:dyDescent="0.25">
      <c r="A497" s="47" t="s">
        <v>422</v>
      </c>
      <c r="B497" s="47"/>
      <c r="C497" s="47"/>
      <c r="D497" s="47"/>
      <c r="E497" s="47"/>
      <c r="F497" s="47"/>
      <c r="G497" s="94"/>
      <c r="H497" s="47"/>
      <c r="I497" s="94"/>
      <c r="J497" s="94"/>
      <c r="K497" s="109"/>
      <c r="L497" s="51"/>
      <c r="M497" s="51"/>
      <c r="N497" s="72"/>
      <c r="O497" s="47"/>
      <c r="P497" s="47"/>
      <c r="Q497" s="47"/>
      <c r="R497" s="47"/>
      <c r="S497" s="47"/>
      <c r="T497" s="47"/>
      <c r="U497" s="47"/>
    </row>
    <row r="498" spans="1:21" x14ac:dyDescent="0.25">
      <c r="A498" s="47"/>
      <c r="B498" s="47"/>
      <c r="C498" s="47"/>
      <c r="D498" s="47"/>
      <c r="E498" s="47"/>
      <c r="F498" s="47"/>
      <c r="G498" s="94"/>
      <c r="H498" s="47"/>
      <c r="I498" s="94"/>
      <c r="J498" s="94"/>
      <c r="K498" s="109"/>
      <c r="L498" s="51"/>
      <c r="M498" s="51"/>
      <c r="N498" s="72"/>
      <c r="O498" s="47"/>
      <c r="P498" s="47"/>
      <c r="Q498" s="47"/>
      <c r="R498" s="47"/>
      <c r="S498" s="47"/>
      <c r="T498" s="47"/>
      <c r="U498" s="47"/>
    </row>
    <row r="499" spans="1:21" x14ac:dyDescent="0.25">
      <c r="A499" s="403" t="s">
        <v>825</v>
      </c>
      <c r="B499" s="403"/>
      <c r="C499" s="403"/>
      <c r="D499" s="403"/>
      <c r="E499" s="403"/>
      <c r="F499" s="403"/>
      <c r="G499" s="403"/>
      <c r="H499" s="403"/>
      <c r="I499" s="403"/>
      <c r="J499" s="403"/>
      <c r="K499" s="403"/>
      <c r="L499" s="403"/>
      <c r="M499" s="403"/>
      <c r="N499" s="72"/>
    </row>
    <row r="500" spans="1:21" x14ac:dyDescent="0.25">
      <c r="A500" s="278"/>
      <c r="B500" s="281"/>
      <c r="C500" s="281"/>
      <c r="D500" s="296"/>
      <c r="E500" s="296"/>
      <c r="F500" s="296"/>
      <c r="G500" s="419" t="s">
        <v>424</v>
      </c>
      <c r="H500" s="419"/>
      <c r="I500" s="419"/>
      <c r="J500" s="282"/>
      <c r="K500" s="302"/>
      <c r="L500" s="278"/>
      <c r="M500" s="278"/>
      <c r="N500" s="72"/>
      <c r="O500" s="47"/>
      <c r="P500" s="47"/>
      <c r="Q500" s="47"/>
      <c r="R500" s="47"/>
      <c r="S500" s="47"/>
      <c r="T500" s="47"/>
      <c r="U500" s="47"/>
    </row>
    <row r="501" spans="1:21" x14ac:dyDescent="0.25">
      <c r="A501" s="278"/>
      <c r="B501" s="281"/>
      <c r="C501" s="281"/>
      <c r="D501" s="281"/>
      <c r="E501" s="281"/>
      <c r="F501" s="281"/>
      <c r="G501" s="297" t="s">
        <v>181</v>
      </c>
      <c r="H501" s="282"/>
      <c r="I501" s="297" t="s">
        <v>181</v>
      </c>
      <c r="J501" s="297"/>
      <c r="K501" s="297" t="s">
        <v>183</v>
      </c>
      <c r="L501" s="278"/>
      <c r="M501" s="278"/>
      <c r="N501" s="72"/>
      <c r="O501" s="47"/>
      <c r="P501" s="47"/>
      <c r="Q501" s="47"/>
      <c r="R501" s="47"/>
      <c r="S501" s="47"/>
      <c r="T501" s="47"/>
      <c r="U501" s="47"/>
    </row>
    <row r="502" spans="1:21" x14ac:dyDescent="0.25">
      <c r="A502" s="278"/>
      <c r="B502" s="281"/>
      <c r="C502" s="281"/>
      <c r="D502" s="281"/>
      <c r="E502" s="281"/>
      <c r="F502" s="281"/>
      <c r="G502" s="297" t="s">
        <v>180</v>
      </c>
      <c r="H502" s="282"/>
      <c r="I502" s="297" t="s">
        <v>182</v>
      </c>
      <c r="J502" s="297"/>
      <c r="K502" s="297" t="s">
        <v>184</v>
      </c>
      <c r="L502" s="278"/>
      <c r="M502" s="278"/>
      <c r="N502" s="72"/>
      <c r="O502" s="47"/>
      <c r="P502" s="47"/>
      <c r="Q502" s="47"/>
      <c r="R502" s="47"/>
      <c r="S502" s="47"/>
      <c r="T502" s="47"/>
      <c r="U502" s="47"/>
    </row>
    <row r="503" spans="1:21" x14ac:dyDescent="0.25">
      <c r="A503" s="278"/>
      <c r="B503" s="281"/>
      <c r="C503" s="281"/>
      <c r="D503" s="281"/>
      <c r="E503" s="281"/>
      <c r="F503" s="281"/>
      <c r="G503" s="303" t="s">
        <v>1</v>
      </c>
      <c r="H503" s="282"/>
      <c r="I503" s="303" t="s">
        <v>1</v>
      </c>
      <c r="J503" s="281"/>
      <c r="K503" s="303" t="s">
        <v>1</v>
      </c>
      <c r="L503" s="278"/>
      <c r="M503" s="278"/>
      <c r="N503" s="72"/>
      <c r="O503" s="47"/>
      <c r="P503" s="47"/>
      <c r="Q503" s="47"/>
      <c r="R503" s="47"/>
      <c r="S503" s="47"/>
      <c r="T503" s="47"/>
      <c r="U503" s="47"/>
    </row>
    <row r="504" spans="1:21" x14ac:dyDescent="0.25">
      <c r="A504" s="51"/>
      <c r="B504" s="47"/>
      <c r="C504" s="47"/>
      <c r="D504" s="47"/>
      <c r="E504" s="47"/>
      <c r="F504" s="47"/>
      <c r="G504" s="100"/>
      <c r="H504" s="2"/>
      <c r="I504" s="100"/>
      <c r="J504" s="51"/>
      <c r="K504" s="2"/>
      <c r="L504" s="51"/>
      <c r="M504" s="51"/>
      <c r="N504" s="72"/>
      <c r="O504" s="47"/>
      <c r="P504" s="47"/>
      <c r="Q504" s="47"/>
      <c r="R504" s="47"/>
      <c r="S504" s="47"/>
      <c r="T504" s="47"/>
      <c r="U504" s="47"/>
    </row>
    <row r="505" spans="1:21" x14ac:dyDescent="0.25">
      <c r="A505" s="47" t="s">
        <v>585</v>
      </c>
      <c r="B505" s="47"/>
      <c r="C505" s="47"/>
      <c r="D505" s="47"/>
      <c r="E505" s="47" t="s">
        <v>426</v>
      </c>
      <c r="F505" s="47"/>
      <c r="G505" s="81">
        <v>0.3</v>
      </c>
      <c r="H505" s="2"/>
      <c r="I505" s="103">
        <f>+K505*G505</f>
        <v>150000</v>
      </c>
      <c r="J505" s="95"/>
      <c r="K505" s="52">
        <f>+I488</f>
        <v>500000</v>
      </c>
      <c r="L505" s="51"/>
      <c r="M505" s="51"/>
      <c r="N505" s="72"/>
      <c r="O505" s="47"/>
      <c r="P505" s="47"/>
      <c r="Q505" s="47"/>
      <c r="R505" s="47"/>
      <c r="S505" s="47"/>
      <c r="T505" s="47"/>
      <c r="U505" s="47"/>
    </row>
    <row r="506" spans="1:21" x14ac:dyDescent="0.25">
      <c r="A506" s="51"/>
      <c r="B506" s="47"/>
      <c r="C506" s="47"/>
      <c r="D506" s="47"/>
      <c r="E506" s="47"/>
      <c r="F506" s="47"/>
      <c r="G506" s="94"/>
      <c r="H506" s="2"/>
      <c r="I506" s="94"/>
      <c r="J506" s="95"/>
      <c r="K506" s="2"/>
      <c r="L506" s="51"/>
      <c r="M506" s="51"/>
      <c r="N506" s="72"/>
      <c r="O506" s="47"/>
      <c r="P506" s="47"/>
      <c r="Q506" s="47"/>
      <c r="R506" s="47"/>
      <c r="S506" s="47"/>
      <c r="T506" s="47"/>
      <c r="U506" s="47"/>
    </row>
    <row r="507" spans="1:21" x14ac:dyDescent="0.25">
      <c r="A507" s="47" t="s">
        <v>584</v>
      </c>
      <c r="B507" s="47"/>
      <c r="C507" s="47"/>
      <c r="D507" s="47"/>
      <c r="E507" s="47" t="s">
        <v>427</v>
      </c>
      <c r="F507" s="47"/>
      <c r="G507" s="81">
        <f>+I507/K505</f>
        <v>0.06</v>
      </c>
      <c r="H507" s="2"/>
      <c r="I507" s="94">
        <f>+K507*G505</f>
        <v>30000</v>
      </c>
      <c r="J507" s="95"/>
      <c r="K507" s="103">
        <v>100000</v>
      </c>
      <c r="L507" s="51"/>
      <c r="M507" s="51"/>
      <c r="N507" s="72"/>
      <c r="O507" s="47"/>
      <c r="P507" s="47"/>
      <c r="Q507" s="47"/>
      <c r="R507" s="47"/>
      <c r="S507" s="47"/>
      <c r="T507" s="47"/>
      <c r="U507" s="47"/>
    </row>
    <row r="508" spans="1:21" x14ac:dyDescent="0.25">
      <c r="A508" s="51"/>
      <c r="B508" s="47"/>
      <c r="C508" s="47"/>
      <c r="D508" s="47"/>
      <c r="E508" s="47"/>
      <c r="F508" s="47"/>
      <c r="G508" s="94"/>
      <c r="H508" s="2"/>
      <c r="I508" s="94"/>
      <c r="J508" s="95"/>
      <c r="K508" s="2"/>
      <c r="L508" s="51"/>
      <c r="M508" s="51"/>
      <c r="N508" s="72"/>
      <c r="O508" s="47"/>
      <c r="P508" s="47"/>
      <c r="Q508" s="47"/>
      <c r="R508" s="47"/>
      <c r="S508" s="47"/>
      <c r="T508" s="47"/>
      <c r="U508" s="47"/>
    </row>
    <row r="509" spans="1:21" x14ac:dyDescent="0.25">
      <c r="A509" s="47" t="s">
        <v>583</v>
      </c>
      <c r="B509" s="47"/>
      <c r="C509" s="47"/>
      <c r="D509" s="47"/>
      <c r="E509" s="47" t="s">
        <v>428</v>
      </c>
      <c r="F509" s="47"/>
      <c r="G509" s="81">
        <f>+G505+G507</f>
        <v>0.36</v>
      </c>
      <c r="H509" s="2"/>
      <c r="I509" s="103">
        <f>SUM(I505:I508)</f>
        <v>180000</v>
      </c>
      <c r="J509" s="95"/>
      <c r="K509" s="103">
        <f>+K505+K507</f>
        <v>600000</v>
      </c>
      <c r="L509" s="51"/>
      <c r="M509" s="51"/>
      <c r="N509" s="72"/>
      <c r="O509" s="47"/>
      <c r="P509" s="47"/>
      <c r="Q509" s="47"/>
      <c r="R509" s="47"/>
      <c r="S509" s="47"/>
      <c r="T509" s="47"/>
      <c r="U509" s="47"/>
    </row>
    <row r="510" spans="1:21" x14ac:dyDescent="0.25">
      <c r="A510" s="47"/>
      <c r="B510" s="47"/>
      <c r="C510" s="47"/>
      <c r="D510" s="47"/>
      <c r="E510" s="47"/>
      <c r="F510" s="47"/>
      <c r="G510" s="94"/>
      <c r="H510" s="47"/>
      <c r="I510" s="94"/>
      <c r="J510" s="94"/>
      <c r="K510" s="109"/>
      <c r="L510" s="51"/>
      <c r="M510" s="51"/>
      <c r="N510" s="72"/>
      <c r="O510" s="47"/>
      <c r="P510" s="47"/>
      <c r="Q510" s="47"/>
      <c r="R510" s="47"/>
      <c r="S510" s="47"/>
      <c r="T510" s="47"/>
      <c r="U510" s="47"/>
    </row>
    <row r="511" spans="1:21" x14ac:dyDescent="0.25">
      <c r="A511" s="47" t="s">
        <v>586</v>
      </c>
      <c r="B511" s="47"/>
      <c r="C511" s="47"/>
      <c r="D511" s="47"/>
      <c r="E511" s="47"/>
      <c r="F511" s="47"/>
      <c r="G511" s="94"/>
      <c r="H511" s="47"/>
      <c r="I511" s="94"/>
      <c r="J511" s="94"/>
      <c r="K511" s="109"/>
      <c r="L511" s="51"/>
      <c r="M511" s="51"/>
      <c r="N511" s="72"/>
      <c r="O511" s="47"/>
      <c r="P511" s="47"/>
      <c r="Q511" s="47"/>
      <c r="R511" s="47"/>
      <c r="S511" s="47"/>
      <c r="T511" s="47"/>
      <c r="U511" s="47"/>
    </row>
    <row r="512" spans="1:21" x14ac:dyDescent="0.25">
      <c r="A512" s="47" t="s">
        <v>587</v>
      </c>
      <c r="B512" s="47"/>
      <c r="C512" s="47"/>
      <c r="D512" s="47"/>
      <c r="E512" s="47"/>
      <c r="F512" s="47"/>
      <c r="G512" s="94"/>
      <c r="H512" s="47"/>
      <c r="I512" s="94"/>
      <c r="J512" s="94"/>
      <c r="K512" s="109"/>
      <c r="L512" s="51"/>
      <c r="M512" s="51"/>
      <c r="N512" s="72"/>
      <c r="O512" s="47"/>
      <c r="P512" s="47"/>
      <c r="Q512" s="47"/>
      <c r="R512" s="47"/>
      <c r="S512" s="47"/>
      <c r="T512" s="47"/>
      <c r="U512" s="47"/>
    </row>
    <row r="513" spans="1:21" x14ac:dyDescent="0.25">
      <c r="A513" s="47" t="s">
        <v>774</v>
      </c>
      <c r="B513" s="47"/>
      <c r="C513" s="47"/>
      <c r="D513" s="47"/>
      <c r="E513" s="47"/>
      <c r="F513" s="47"/>
      <c r="G513" s="94"/>
      <c r="H513" s="47"/>
      <c r="I513" s="94"/>
      <c r="J513" s="94"/>
      <c r="K513" s="109"/>
      <c r="L513" s="51"/>
      <c r="M513" s="51"/>
      <c r="N513" s="72"/>
      <c r="O513" s="47"/>
      <c r="P513" s="47"/>
      <c r="Q513" s="47"/>
      <c r="R513" s="47"/>
      <c r="S513" s="47"/>
      <c r="T513" s="47"/>
      <c r="U513" s="47"/>
    </row>
    <row r="514" spans="1:21" x14ac:dyDescent="0.25">
      <c r="A514" s="47" t="s">
        <v>588</v>
      </c>
      <c r="B514" s="47"/>
      <c r="C514" s="47"/>
      <c r="D514" s="47"/>
      <c r="E514" s="47"/>
      <c r="F514" s="47"/>
      <c r="G514" s="94"/>
      <c r="H514" s="47"/>
      <c r="I514" s="94"/>
      <c r="J514" s="94"/>
      <c r="K514" s="109"/>
      <c r="L514" s="51"/>
      <c r="M514" s="51"/>
      <c r="N514" s="72"/>
      <c r="O514" s="47"/>
      <c r="P514" s="47"/>
      <c r="Q514" s="47"/>
      <c r="R514" s="47"/>
      <c r="S514" s="47"/>
      <c r="T514" s="47"/>
      <c r="U514" s="47"/>
    </row>
    <row r="515" spans="1:21" x14ac:dyDescent="0.25">
      <c r="A515" s="47" t="s">
        <v>589</v>
      </c>
      <c r="B515" s="47"/>
      <c r="C515" s="47"/>
      <c r="D515" s="47"/>
      <c r="E515" s="47"/>
      <c r="F515" s="47"/>
      <c r="G515" s="94"/>
      <c r="H515" s="47"/>
      <c r="I515" s="94"/>
      <c r="J515" s="94"/>
      <c r="K515" s="109"/>
      <c r="L515" s="51"/>
      <c r="M515" s="51"/>
      <c r="N515" s="72"/>
      <c r="O515" s="47"/>
      <c r="P515" s="47"/>
      <c r="Q515" s="47"/>
      <c r="R515" s="47"/>
      <c r="S515" s="47"/>
      <c r="T515" s="47"/>
      <c r="U515" s="47"/>
    </row>
    <row r="516" spans="1:21" x14ac:dyDescent="0.25">
      <c r="A516" s="47"/>
      <c r="B516" s="47"/>
      <c r="C516" s="47"/>
      <c r="D516" s="47"/>
      <c r="E516" s="47"/>
      <c r="F516" s="47"/>
      <c r="G516" s="94"/>
      <c r="H516" s="47"/>
      <c r="I516" s="94"/>
      <c r="J516" s="94"/>
      <c r="K516" s="109"/>
      <c r="L516" s="51"/>
      <c r="M516" s="51"/>
      <c r="N516" s="72"/>
      <c r="O516" s="47"/>
      <c r="P516" s="47"/>
      <c r="Q516" s="47"/>
      <c r="R516" s="47"/>
      <c r="S516" s="47"/>
      <c r="T516" s="47"/>
      <c r="U516" s="47"/>
    </row>
    <row r="517" spans="1:21" x14ac:dyDescent="0.25">
      <c r="A517" s="47" t="s">
        <v>425</v>
      </c>
      <c r="B517" s="47"/>
      <c r="C517" s="47"/>
      <c r="D517" s="47"/>
      <c r="E517" s="47"/>
      <c r="F517" s="47"/>
      <c r="G517" s="94"/>
      <c r="H517" s="47"/>
      <c r="I517" s="94"/>
      <c r="J517" s="94"/>
      <c r="K517" s="109"/>
      <c r="L517" s="51"/>
      <c r="M517" s="51"/>
      <c r="N517" s="72"/>
      <c r="O517" s="47"/>
      <c r="P517" s="47"/>
      <c r="Q517" s="47"/>
      <c r="R517" s="47"/>
      <c r="S517" s="47"/>
      <c r="T517" s="47"/>
      <c r="U517" s="47"/>
    </row>
    <row r="518" spans="1:21" x14ac:dyDescent="0.25">
      <c r="A518" s="47"/>
      <c r="B518" s="47"/>
      <c r="C518" s="47"/>
      <c r="D518" s="47"/>
      <c r="E518" s="47"/>
      <c r="F518" s="47"/>
      <c r="G518" s="94"/>
      <c r="H518" s="47"/>
      <c r="I518" s="94"/>
      <c r="J518" s="94"/>
      <c r="K518" s="109"/>
      <c r="L518" s="51"/>
      <c r="M518" s="51"/>
      <c r="N518" s="72"/>
      <c r="O518" s="47"/>
      <c r="P518" s="47"/>
      <c r="Q518" s="47"/>
      <c r="R518" s="47"/>
      <c r="S518" s="47"/>
      <c r="T518" s="47"/>
      <c r="U518" s="47"/>
    </row>
    <row r="519" spans="1:21" x14ac:dyDescent="0.25">
      <c r="A519" s="403" t="s">
        <v>826</v>
      </c>
      <c r="B519" s="403"/>
      <c r="C519" s="403"/>
      <c r="D519" s="403"/>
      <c r="E519" s="403"/>
      <c r="F519" s="403"/>
      <c r="G519" s="403"/>
      <c r="H519" s="403"/>
      <c r="I519" s="403"/>
      <c r="J519" s="403"/>
      <c r="K519" s="403"/>
      <c r="L519" s="403"/>
      <c r="M519" s="403"/>
      <c r="N519" s="72"/>
    </row>
    <row r="520" spans="1:21" x14ac:dyDescent="0.25">
      <c r="A520" s="51" t="s">
        <v>591</v>
      </c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72"/>
    </row>
    <row r="521" spans="1:21" x14ac:dyDescent="0.25">
      <c r="A521" s="51" t="s">
        <v>219</v>
      </c>
      <c r="B521" s="47"/>
      <c r="C521" s="47"/>
      <c r="D521" s="47"/>
      <c r="E521" s="47"/>
      <c r="F521" s="47"/>
      <c r="G521" s="47"/>
      <c r="H521" s="71">
        <v>1</v>
      </c>
      <c r="I521" s="71">
        <f>+H521+1</f>
        <v>2</v>
      </c>
      <c r="J521" s="71">
        <f>+I521+1</f>
        <v>3</v>
      </c>
      <c r="K521" s="71">
        <f t="shared" ref="K521:M521" si="15">+J521+1</f>
        <v>4</v>
      </c>
      <c r="L521" s="71">
        <f t="shared" si="15"/>
        <v>5</v>
      </c>
      <c r="M521" s="71">
        <f t="shared" si="15"/>
        <v>6</v>
      </c>
      <c r="N521" s="72"/>
    </row>
    <row r="522" spans="1:21" x14ac:dyDescent="0.25">
      <c r="A522" s="51" t="s">
        <v>37</v>
      </c>
      <c r="B522" s="47"/>
      <c r="C522" s="47"/>
      <c r="D522" s="47"/>
      <c r="E522" s="47"/>
      <c r="F522" s="47"/>
      <c r="G522" s="47"/>
      <c r="H522" s="78">
        <v>300000</v>
      </c>
      <c r="I522" s="78">
        <v>300000</v>
      </c>
      <c r="J522" s="78">
        <v>300000</v>
      </c>
      <c r="K522" s="78">
        <v>300000</v>
      </c>
      <c r="L522" s="78">
        <v>300000</v>
      </c>
      <c r="M522" s="78">
        <v>300000</v>
      </c>
      <c r="N522" s="72"/>
    </row>
    <row r="523" spans="1:21" x14ac:dyDescent="0.25">
      <c r="A523" s="51" t="s">
        <v>560</v>
      </c>
      <c r="B523" s="47"/>
      <c r="C523" s="47"/>
      <c r="D523" s="47"/>
      <c r="E523" s="47"/>
      <c r="F523" s="47"/>
      <c r="G523" s="47"/>
      <c r="H523" s="78">
        <v>0</v>
      </c>
      <c r="I523" s="78">
        <v>0</v>
      </c>
      <c r="J523" s="78">
        <v>0</v>
      </c>
      <c r="K523" s="78">
        <f>+K522*33.33333%</f>
        <v>99999.989999999976</v>
      </c>
      <c r="L523" s="78">
        <f>+L522*33.33333%*2</f>
        <v>199999.97999999995</v>
      </c>
      <c r="M523" s="78">
        <f>+M522*33.33333%*3</f>
        <v>299999.96999999991</v>
      </c>
      <c r="N523" s="72"/>
    </row>
    <row r="524" spans="1:21" x14ac:dyDescent="0.25">
      <c r="A524" s="194" t="s">
        <v>48</v>
      </c>
      <c r="B524" s="47"/>
      <c r="C524" s="47"/>
      <c r="D524" s="47"/>
      <c r="E524" s="47"/>
      <c r="F524" s="47"/>
      <c r="G524" s="47"/>
      <c r="H524" s="291">
        <f t="shared" ref="H524:L524" si="16">+H522-H523</f>
        <v>300000</v>
      </c>
      <c r="I524" s="291">
        <f t="shared" si="16"/>
        <v>300000</v>
      </c>
      <c r="J524" s="291">
        <f t="shared" si="16"/>
        <v>300000</v>
      </c>
      <c r="K524" s="291">
        <f t="shared" si="16"/>
        <v>200000.01</v>
      </c>
      <c r="L524" s="291">
        <f t="shared" si="16"/>
        <v>100000.02000000005</v>
      </c>
      <c r="M524" s="291">
        <f>+M522-M523</f>
        <v>3.0000000086147338E-2</v>
      </c>
      <c r="N524" s="72"/>
    </row>
    <row r="525" spans="1:21" x14ac:dyDescent="0.25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72"/>
    </row>
    <row r="526" spans="1:21" x14ac:dyDescent="0.25">
      <c r="A526" s="51" t="s">
        <v>590</v>
      </c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72"/>
    </row>
    <row r="527" spans="1:21" x14ac:dyDescent="0.25">
      <c r="A527" s="51" t="s">
        <v>219</v>
      </c>
      <c r="B527" s="47"/>
      <c r="C527" s="47"/>
      <c r="D527" s="47"/>
      <c r="E527" s="47"/>
      <c r="F527" s="47"/>
      <c r="G527" s="47"/>
      <c r="H527" s="71">
        <v>1</v>
      </c>
      <c r="I527" s="71">
        <f>+H527+1</f>
        <v>2</v>
      </c>
      <c r="J527" s="71">
        <f>+I527+1</f>
        <v>3</v>
      </c>
      <c r="K527" s="71">
        <f t="shared" ref="K527:M527" si="17">+J527+1</f>
        <v>4</v>
      </c>
      <c r="L527" s="71">
        <f t="shared" si="17"/>
        <v>5</v>
      </c>
      <c r="M527" s="71">
        <f t="shared" si="17"/>
        <v>6</v>
      </c>
      <c r="N527" s="72"/>
    </row>
    <row r="528" spans="1:21" x14ac:dyDescent="0.25">
      <c r="A528" s="51" t="s">
        <v>37</v>
      </c>
      <c r="B528" s="47"/>
      <c r="C528" s="47"/>
      <c r="D528" s="47"/>
      <c r="E528" s="47"/>
      <c r="F528" s="47"/>
      <c r="G528" s="47"/>
      <c r="H528" s="78">
        <v>300000</v>
      </c>
      <c r="I528" s="78">
        <v>300000</v>
      </c>
      <c r="J528" s="78">
        <v>300000</v>
      </c>
      <c r="K528" s="78">
        <v>300000</v>
      </c>
      <c r="L528" s="78">
        <v>300000</v>
      </c>
      <c r="M528" s="78">
        <v>300000</v>
      </c>
      <c r="N528" s="72"/>
    </row>
    <row r="529" spans="1:14" x14ac:dyDescent="0.25">
      <c r="A529" s="51" t="s">
        <v>560</v>
      </c>
      <c r="B529" s="47"/>
      <c r="C529" s="47"/>
      <c r="D529" s="47"/>
      <c r="E529" s="47"/>
      <c r="F529" s="47"/>
      <c r="G529" s="47"/>
      <c r="H529" s="78">
        <f>+H528*33.3333333%*H527/2</f>
        <v>49999.999950000005</v>
      </c>
      <c r="I529" s="78">
        <f t="shared" ref="I529:M529" si="18">+I528*33.3333333%*I527/2</f>
        <v>99999.99990000001</v>
      </c>
      <c r="J529" s="78">
        <f t="shared" si="18"/>
        <v>149999.99985000002</v>
      </c>
      <c r="K529" s="78">
        <f t="shared" si="18"/>
        <v>199999.99980000002</v>
      </c>
      <c r="L529" s="78">
        <f t="shared" si="18"/>
        <v>249999.99975000002</v>
      </c>
      <c r="M529" s="78">
        <f t="shared" si="18"/>
        <v>299999.99970000004</v>
      </c>
      <c r="N529" s="72"/>
    </row>
    <row r="530" spans="1:14" x14ac:dyDescent="0.25">
      <c r="A530" s="194" t="s">
        <v>49</v>
      </c>
      <c r="B530" s="47"/>
      <c r="C530" s="47"/>
      <c r="D530" s="47"/>
      <c r="E530" s="47"/>
      <c r="F530" s="47"/>
      <c r="G530" s="47"/>
      <c r="H530" s="291">
        <f t="shared" ref="H530" si="19">+H528-H529</f>
        <v>250000.00005</v>
      </c>
      <c r="I530" s="291">
        <f t="shared" ref="I530" si="20">+I528-I529</f>
        <v>200000.0001</v>
      </c>
      <c r="J530" s="291">
        <f t="shared" ref="J530" si="21">+J528-J529</f>
        <v>150000.00014999998</v>
      </c>
      <c r="K530" s="291">
        <f t="shared" ref="K530" si="22">+K528-K529</f>
        <v>100000.00019999998</v>
      </c>
      <c r="L530" s="291">
        <f t="shared" ref="L530" si="23">+L528-L529</f>
        <v>50000.000249999983</v>
      </c>
      <c r="M530" s="291">
        <f>+M528-M529</f>
        <v>2.9999995604157448E-4</v>
      </c>
      <c r="N530" s="72"/>
    </row>
    <row r="531" spans="1:14" x14ac:dyDescent="0.25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72"/>
    </row>
    <row r="532" spans="1:14" x14ac:dyDescent="0.25">
      <c r="A532" s="51" t="s">
        <v>592</v>
      </c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72"/>
    </row>
    <row r="533" spans="1:14" x14ac:dyDescent="0.25">
      <c r="A533" s="47"/>
      <c r="B533" s="47"/>
      <c r="C533" s="47"/>
      <c r="D533" s="47"/>
      <c r="E533" s="47"/>
      <c r="F533" s="47"/>
      <c r="G533" s="47"/>
      <c r="H533" s="71">
        <v>1</v>
      </c>
      <c r="I533" s="71">
        <f>+H533+1</f>
        <v>2</v>
      </c>
      <c r="J533" s="71">
        <f>+I533+1</f>
        <v>3</v>
      </c>
      <c r="K533" s="71">
        <f t="shared" ref="K533:M533" si="24">+J533+1</f>
        <v>4</v>
      </c>
      <c r="L533" s="71">
        <f t="shared" si="24"/>
        <v>5</v>
      </c>
      <c r="M533" s="71">
        <f t="shared" si="24"/>
        <v>6</v>
      </c>
      <c r="N533" s="72"/>
    </row>
    <row r="534" spans="1:14" x14ac:dyDescent="0.25">
      <c r="A534" s="47" t="s">
        <v>594</v>
      </c>
      <c r="B534" s="47"/>
      <c r="C534" s="47"/>
      <c r="D534" s="47"/>
      <c r="E534" s="47"/>
      <c r="F534" s="47"/>
      <c r="G534" s="47"/>
      <c r="H534" s="304">
        <v>0.3</v>
      </c>
      <c r="I534" s="304">
        <v>0.3</v>
      </c>
      <c r="J534" s="304">
        <v>0.3</v>
      </c>
      <c r="K534" s="304">
        <v>0.28000000000000003</v>
      </c>
      <c r="L534" s="304">
        <v>0.27</v>
      </c>
      <c r="M534" s="304">
        <v>0.26</v>
      </c>
      <c r="N534" s="72"/>
    </row>
    <row r="535" spans="1:14" x14ac:dyDescent="0.25">
      <c r="A535" s="281" t="s">
        <v>0</v>
      </c>
      <c r="B535" s="281"/>
      <c r="C535" s="281"/>
      <c r="D535" s="281"/>
      <c r="E535" s="281"/>
      <c r="F535" s="281"/>
      <c r="G535" s="281"/>
      <c r="H535" s="291">
        <v>0</v>
      </c>
      <c r="I535" s="291">
        <f>+H538</f>
        <v>49999.999949999998</v>
      </c>
      <c r="J535" s="291">
        <f>+I538</f>
        <v>99999.999899999995</v>
      </c>
      <c r="K535" s="291">
        <f t="shared" ref="K535:M535" si="25">+J538</f>
        <v>149999.99985000002</v>
      </c>
      <c r="L535" s="291">
        <f t="shared" si="25"/>
        <v>100000.00980000003</v>
      </c>
      <c r="M535" s="291">
        <f t="shared" si="25"/>
        <v>50000.019750000065</v>
      </c>
      <c r="N535" s="72"/>
    </row>
    <row r="536" spans="1:14" x14ac:dyDescent="0.25">
      <c r="A536" s="47" t="s">
        <v>135</v>
      </c>
      <c r="B536" s="47"/>
      <c r="C536" s="47"/>
      <c r="D536" s="47"/>
      <c r="E536" s="47"/>
      <c r="F536" s="47"/>
      <c r="G536" s="47"/>
      <c r="H536" s="78">
        <f>+H529</f>
        <v>49999.999950000005</v>
      </c>
      <c r="I536" s="78">
        <f>+I529-H529</f>
        <v>49999.999950000005</v>
      </c>
      <c r="J536" s="78">
        <f>+J529-I529</f>
        <v>49999.999950000012</v>
      </c>
      <c r="K536" s="78">
        <v>0</v>
      </c>
      <c r="L536" s="78">
        <v>0</v>
      </c>
      <c r="M536" s="78">
        <v>0</v>
      </c>
      <c r="N536" s="72"/>
    </row>
    <row r="537" spans="1:14" x14ac:dyDescent="0.25">
      <c r="A537" s="47" t="s">
        <v>136</v>
      </c>
      <c r="B537" s="47"/>
      <c r="C537" s="47"/>
      <c r="D537" s="47"/>
      <c r="E537" s="47"/>
      <c r="F537" s="47"/>
      <c r="G537" s="47"/>
      <c r="H537" s="78">
        <v>0</v>
      </c>
      <c r="I537" s="78">
        <v>0</v>
      </c>
      <c r="J537" s="78">
        <v>0</v>
      </c>
      <c r="K537" s="78">
        <f>+J529-K529</f>
        <v>-49999.999949999998</v>
      </c>
      <c r="L537" s="78">
        <f>+K529-L529</f>
        <v>-49999.999949999998</v>
      </c>
      <c r="M537" s="78">
        <f>+L529-M529</f>
        <v>-49999.999950000027</v>
      </c>
      <c r="N537" s="72"/>
    </row>
    <row r="538" spans="1:14" x14ac:dyDescent="0.25">
      <c r="A538" s="281" t="s">
        <v>2</v>
      </c>
      <c r="B538" s="281"/>
      <c r="C538" s="281"/>
      <c r="D538" s="281"/>
      <c r="E538" s="281"/>
      <c r="F538" s="281"/>
      <c r="G538" s="281"/>
      <c r="H538" s="291">
        <f t="shared" ref="H538:M538" si="26">+H524-H530</f>
        <v>49999.999949999998</v>
      </c>
      <c r="I538" s="291">
        <f t="shared" si="26"/>
        <v>99999.999899999995</v>
      </c>
      <c r="J538" s="291">
        <f t="shared" si="26"/>
        <v>149999.99985000002</v>
      </c>
      <c r="K538" s="291">
        <f t="shared" si="26"/>
        <v>100000.00980000003</v>
      </c>
      <c r="L538" s="291">
        <f t="shared" si="26"/>
        <v>50000.019750000065</v>
      </c>
      <c r="M538" s="291">
        <f t="shared" si="26"/>
        <v>2.9700000130105764E-2</v>
      </c>
      <c r="N538" s="72"/>
    </row>
    <row r="539" spans="1:14" x14ac:dyDescent="0.25">
      <c r="A539" s="47"/>
      <c r="B539" s="47"/>
      <c r="C539" s="47"/>
      <c r="D539" s="47"/>
      <c r="E539" s="47"/>
      <c r="F539" s="47"/>
      <c r="G539" s="47"/>
      <c r="H539" s="70" t="s">
        <v>593</v>
      </c>
      <c r="I539" s="70" t="s">
        <v>593</v>
      </c>
      <c r="J539" s="70" t="s">
        <v>593</v>
      </c>
      <c r="K539" s="70" t="s">
        <v>593</v>
      </c>
      <c r="L539" s="70" t="s">
        <v>593</v>
      </c>
      <c r="M539" s="70" t="s">
        <v>593</v>
      </c>
      <c r="N539" s="72"/>
    </row>
    <row r="540" spans="1:14" x14ac:dyDescent="0.25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72"/>
    </row>
    <row r="541" spans="1:14" x14ac:dyDescent="0.25">
      <c r="A541" s="47" t="s">
        <v>561</v>
      </c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72"/>
    </row>
    <row r="542" spans="1:14" x14ac:dyDescent="0.25">
      <c r="A542" s="403" t="s">
        <v>827</v>
      </c>
      <c r="B542" s="403"/>
      <c r="C542" s="403"/>
      <c r="D542" s="403"/>
      <c r="E542" s="403"/>
      <c r="F542" s="403"/>
      <c r="G542" s="403"/>
      <c r="H542" s="403"/>
      <c r="I542" s="403"/>
      <c r="J542" s="403"/>
      <c r="K542" s="403"/>
      <c r="L542" s="403"/>
      <c r="M542" s="403"/>
      <c r="N542" s="72"/>
    </row>
    <row r="543" spans="1:14" x14ac:dyDescent="0.25">
      <c r="A543" s="47"/>
      <c r="B543" s="47"/>
      <c r="C543" s="47"/>
      <c r="D543" s="47"/>
      <c r="E543" s="47"/>
      <c r="F543" s="47"/>
      <c r="G543" s="47"/>
      <c r="H543" s="71"/>
      <c r="I543" s="71"/>
      <c r="J543" s="71">
        <v>4</v>
      </c>
      <c r="K543" s="71">
        <f>+J543+1</f>
        <v>5</v>
      </c>
      <c r="L543" s="71">
        <f>+K543+1</f>
        <v>6</v>
      </c>
      <c r="M543" s="47"/>
      <c r="N543" s="72"/>
    </row>
    <row r="544" spans="1:14" x14ac:dyDescent="0.25">
      <c r="A544" s="47" t="s">
        <v>594</v>
      </c>
      <c r="B544" s="47"/>
      <c r="C544" s="47"/>
      <c r="D544" s="47"/>
      <c r="E544" s="47"/>
      <c r="F544" s="47"/>
      <c r="G544" s="47"/>
      <c r="H544" s="304" t="s">
        <v>48</v>
      </c>
      <c r="I544" s="304"/>
      <c r="J544" s="304">
        <v>0.28000000000000003</v>
      </c>
      <c r="K544" s="304">
        <v>0.27</v>
      </c>
      <c r="L544" s="304">
        <v>0.26</v>
      </c>
      <c r="M544" s="304" t="s">
        <v>82</v>
      </c>
      <c r="N544" s="72"/>
    </row>
    <row r="545" spans="1:14" x14ac:dyDescent="0.25">
      <c r="A545" s="281" t="s">
        <v>596</v>
      </c>
      <c r="B545" s="281"/>
      <c r="C545" s="281"/>
      <c r="D545" s="281"/>
      <c r="E545" s="281"/>
      <c r="F545" s="281"/>
      <c r="G545" s="281"/>
      <c r="H545" s="405" t="s">
        <v>49</v>
      </c>
      <c r="I545" s="291"/>
      <c r="J545" s="291">
        <f>-K537</f>
        <v>49999.999949999998</v>
      </c>
      <c r="K545" s="291">
        <f>-L537</f>
        <v>49999.999949999998</v>
      </c>
      <c r="L545" s="291">
        <f>-M537</f>
        <v>49999.999950000027</v>
      </c>
      <c r="M545" s="291"/>
      <c r="N545" s="72"/>
    </row>
    <row r="546" spans="1:14" x14ac:dyDescent="0.25">
      <c r="A546" s="47" t="s">
        <v>595</v>
      </c>
      <c r="B546" s="47"/>
      <c r="C546" s="47"/>
      <c r="D546" s="47"/>
      <c r="E546" s="47"/>
      <c r="F546" s="47"/>
      <c r="G546" s="47"/>
      <c r="H546" s="304" t="s">
        <v>597</v>
      </c>
      <c r="I546" s="78"/>
      <c r="J546" s="78">
        <f>+J545*J544</f>
        <v>13999.999986000001</v>
      </c>
      <c r="K546" s="78">
        <f t="shared" ref="K546:L546" si="27">+K545*K544</f>
        <v>13499.999986500001</v>
      </c>
      <c r="L546" s="78">
        <f t="shared" si="27"/>
        <v>12999.999987000007</v>
      </c>
      <c r="M546" s="89">
        <f>SUM(J546:L546)</f>
        <v>40499.999959500012</v>
      </c>
      <c r="N546" s="72"/>
    </row>
    <row r="547" spans="1:14" x14ac:dyDescent="0.25">
      <c r="A547" s="47"/>
      <c r="B547" s="47"/>
      <c r="C547" s="47"/>
      <c r="D547" s="47"/>
      <c r="E547" s="47"/>
      <c r="F547" s="47"/>
      <c r="G547" s="47"/>
      <c r="H547" s="78"/>
      <c r="I547" s="78"/>
      <c r="J547" s="78"/>
      <c r="K547" s="78"/>
      <c r="L547" s="78"/>
      <c r="M547" s="78"/>
      <c r="N547" s="72"/>
    </row>
    <row r="548" spans="1:14" x14ac:dyDescent="0.25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</row>
  </sheetData>
  <mergeCells count="2">
    <mergeCell ref="G500:I500"/>
    <mergeCell ref="A1:XFD3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86"/>
  <sheetViews>
    <sheetView topLeftCell="A76" workbookViewId="0">
      <selection activeCell="B92" sqref="B92"/>
    </sheetView>
  </sheetViews>
  <sheetFormatPr baseColWidth="10" defaultRowHeight="16.5" x14ac:dyDescent="0.25"/>
  <cols>
    <col min="2" max="6" width="11.42578125" style="4"/>
    <col min="7" max="7" width="9.7109375" style="4" bestFit="1" customWidth="1"/>
    <col min="8" max="8" width="11.85546875" style="4" customWidth="1"/>
  </cols>
  <sheetData>
    <row r="1" spans="2:8" x14ac:dyDescent="0.25">
      <c r="H1" s="3"/>
    </row>
    <row r="2" spans="2:8" x14ac:dyDescent="0.25">
      <c r="B2" s="11" t="s">
        <v>87</v>
      </c>
      <c r="C2" s="11"/>
      <c r="D2" s="11"/>
      <c r="E2" s="11"/>
      <c r="F2" s="11"/>
      <c r="G2" s="11"/>
      <c r="H2" s="3"/>
    </row>
    <row r="3" spans="2:8" x14ac:dyDescent="0.25">
      <c r="B3" s="11" t="s">
        <v>88</v>
      </c>
      <c r="C3" s="11"/>
      <c r="D3" s="11"/>
      <c r="E3" s="11"/>
      <c r="F3" s="11"/>
      <c r="G3" s="11"/>
      <c r="H3" s="3"/>
    </row>
    <row r="4" spans="2:8" x14ac:dyDescent="0.25">
      <c r="B4" s="11" t="s">
        <v>89</v>
      </c>
      <c r="C4" s="11"/>
      <c r="D4" s="11"/>
      <c r="E4" s="11"/>
      <c r="F4" s="11"/>
      <c r="G4" s="11"/>
      <c r="H4" s="3"/>
    </row>
    <row r="5" spans="2:8" s="15" customFormat="1" x14ac:dyDescent="0.25">
      <c r="B5" s="9"/>
      <c r="C5" s="9"/>
      <c r="D5" s="9"/>
      <c r="E5" s="9"/>
      <c r="F5" s="13" t="s">
        <v>99</v>
      </c>
      <c r="G5" s="9" t="s">
        <v>91</v>
      </c>
      <c r="H5" s="3"/>
    </row>
    <row r="6" spans="2:8" x14ac:dyDescent="0.25">
      <c r="B6" s="9" t="s">
        <v>94</v>
      </c>
      <c r="C6" s="3"/>
      <c r="D6" s="3"/>
      <c r="E6" s="3"/>
      <c r="F6" s="3"/>
      <c r="G6" s="3"/>
      <c r="H6" s="3"/>
    </row>
    <row r="7" spans="2:8" x14ac:dyDescent="0.25">
      <c r="B7" s="3" t="s">
        <v>90</v>
      </c>
      <c r="C7" s="3"/>
      <c r="D7" s="3"/>
      <c r="E7" s="3"/>
      <c r="F7" s="12">
        <v>8</v>
      </c>
      <c r="G7" s="6">
        <v>10000</v>
      </c>
      <c r="H7" s="3"/>
    </row>
    <row r="8" spans="2:8" x14ac:dyDescent="0.25">
      <c r="B8" s="3" t="s">
        <v>92</v>
      </c>
      <c r="C8" s="3"/>
      <c r="D8" s="3"/>
      <c r="E8" s="3"/>
      <c r="F8" s="12">
        <v>9</v>
      </c>
      <c r="G8" s="6">
        <v>30000</v>
      </c>
      <c r="H8" s="3"/>
    </row>
    <row r="9" spans="2:8" x14ac:dyDescent="0.25">
      <c r="B9" s="3" t="s">
        <v>93</v>
      </c>
      <c r="C9" s="3"/>
      <c r="D9" s="3"/>
      <c r="E9" s="3"/>
      <c r="F9" s="12">
        <v>10</v>
      </c>
      <c r="G9" s="19">
        <v>50000</v>
      </c>
      <c r="H9" s="3"/>
    </row>
    <row r="10" spans="2:8" x14ac:dyDescent="0.25">
      <c r="B10" s="3"/>
      <c r="C10" s="3"/>
      <c r="D10" s="3"/>
      <c r="E10" s="3"/>
      <c r="F10" s="3"/>
      <c r="G10" s="14">
        <f>SUM(G7:G9)</f>
        <v>90000</v>
      </c>
      <c r="H10" s="3"/>
    </row>
    <row r="11" spans="2:8" x14ac:dyDescent="0.25">
      <c r="B11" s="9" t="s">
        <v>97</v>
      </c>
      <c r="C11" s="3"/>
      <c r="D11" s="3"/>
      <c r="E11" s="3"/>
      <c r="F11" s="3"/>
      <c r="G11" s="3"/>
      <c r="H11" s="3"/>
    </row>
    <row r="12" spans="2:8" x14ac:dyDescent="0.25">
      <c r="B12" s="3" t="s">
        <v>95</v>
      </c>
      <c r="C12" s="3"/>
      <c r="D12" s="3"/>
      <c r="E12" s="3"/>
      <c r="F12" s="12">
        <v>11</v>
      </c>
      <c r="G12" s="6">
        <v>100000</v>
      </c>
      <c r="H12" s="3"/>
    </row>
    <row r="13" spans="2:8" x14ac:dyDescent="0.25">
      <c r="B13" s="3" t="s">
        <v>96</v>
      </c>
      <c r="C13" s="3"/>
      <c r="D13" s="3"/>
      <c r="E13" s="3"/>
      <c r="F13" s="12">
        <v>12</v>
      </c>
      <c r="G13" s="19">
        <v>36000</v>
      </c>
      <c r="H13" s="3"/>
    </row>
    <row r="14" spans="2:8" x14ac:dyDescent="0.25">
      <c r="B14" s="3"/>
      <c r="C14" s="3"/>
      <c r="D14" s="3"/>
      <c r="E14" s="3"/>
      <c r="F14" s="3"/>
      <c r="G14" s="20">
        <f>SUM(G12:G13)</f>
        <v>136000</v>
      </c>
      <c r="H14" s="3"/>
    </row>
    <row r="15" spans="2:8" x14ac:dyDescent="0.25">
      <c r="B15" s="9" t="s">
        <v>98</v>
      </c>
      <c r="C15" s="9"/>
      <c r="D15" s="9"/>
      <c r="E15" s="9"/>
      <c r="F15" s="3"/>
      <c r="G15" s="20">
        <f>+G10+G14</f>
        <v>226000</v>
      </c>
      <c r="H15" s="3"/>
    </row>
    <row r="16" spans="2:8" ht="3" customHeight="1" x14ac:dyDescent="0.25">
      <c r="B16" s="18"/>
      <c r="C16" s="18"/>
      <c r="D16" s="18"/>
      <c r="E16" s="18"/>
      <c r="F16" s="18"/>
      <c r="G16" s="18"/>
      <c r="H16" s="3"/>
    </row>
    <row r="17" spans="2:9" x14ac:dyDescent="0.25">
      <c r="B17" s="3"/>
      <c r="C17" s="3"/>
      <c r="D17" s="3"/>
      <c r="E17" s="3"/>
      <c r="F17" s="3"/>
      <c r="G17" s="3"/>
      <c r="H17" s="3"/>
    </row>
    <row r="18" spans="2:9" x14ac:dyDescent="0.25">
      <c r="B18" s="3"/>
      <c r="C18" s="3"/>
      <c r="D18" s="3"/>
      <c r="E18" s="3"/>
      <c r="F18" s="3"/>
      <c r="G18" s="3"/>
      <c r="H18" s="3"/>
    </row>
    <row r="19" spans="2:9" s="15" customFormat="1" x14ac:dyDescent="0.25">
      <c r="B19" s="9" t="s">
        <v>365</v>
      </c>
      <c r="C19" s="9"/>
      <c r="D19" s="9"/>
      <c r="E19" s="9"/>
      <c r="F19" s="9"/>
      <c r="G19" s="9"/>
      <c r="H19" s="3"/>
    </row>
    <row r="20" spans="2:9" s="15" customFormat="1" x14ac:dyDescent="0.25">
      <c r="B20" s="9" t="s">
        <v>202</v>
      </c>
      <c r="C20" s="9"/>
      <c r="D20" s="9"/>
      <c r="E20" s="9"/>
      <c r="F20" s="9"/>
      <c r="G20" s="9"/>
      <c r="H20" s="3"/>
    </row>
    <row r="21" spans="2:9" s="15" customFormat="1" x14ac:dyDescent="0.25">
      <c r="B21" s="9"/>
      <c r="C21" s="9"/>
      <c r="D21" s="9"/>
      <c r="E21" s="9"/>
      <c r="F21" s="9"/>
      <c r="G21" s="9"/>
      <c r="H21" s="3"/>
    </row>
    <row r="22" spans="2:9" s="15" customFormat="1" x14ac:dyDescent="0.25">
      <c r="B22" s="3" t="s">
        <v>102</v>
      </c>
      <c r="C22" s="9"/>
      <c r="D22" s="9"/>
      <c r="E22" s="9"/>
      <c r="F22" s="9"/>
      <c r="G22" s="9"/>
      <c r="H22" s="3"/>
    </row>
    <row r="23" spans="2:9" s="15" customFormat="1" x14ac:dyDescent="0.25">
      <c r="B23" s="3" t="s">
        <v>103</v>
      </c>
      <c r="C23" s="9"/>
      <c r="D23" s="9"/>
      <c r="E23" s="9"/>
      <c r="F23" s="9"/>
      <c r="G23" s="9"/>
      <c r="H23" s="3"/>
    </row>
    <row r="24" spans="2:9" s="15" customFormat="1" x14ac:dyDescent="0.25">
      <c r="B24" s="9"/>
      <c r="C24" s="9"/>
      <c r="D24" s="9"/>
      <c r="E24" s="9"/>
      <c r="F24" s="3"/>
      <c r="G24" s="9" t="s">
        <v>91</v>
      </c>
      <c r="H24" s="3"/>
    </row>
    <row r="25" spans="2:9" x14ac:dyDescent="0.25">
      <c r="B25" s="3" t="s">
        <v>100</v>
      </c>
      <c r="C25" s="3"/>
      <c r="D25" s="3"/>
      <c r="E25" s="3"/>
      <c r="F25" s="12"/>
      <c r="G25" s="6">
        <f>+I25*30%</f>
        <v>3000</v>
      </c>
      <c r="H25" s="3"/>
      <c r="I25" s="21">
        <v>10000</v>
      </c>
    </row>
    <row r="26" spans="2:9" x14ac:dyDescent="0.25">
      <c r="B26" s="3" t="s">
        <v>4</v>
      </c>
      <c r="C26" s="3"/>
      <c r="D26" s="3"/>
      <c r="E26" s="3"/>
      <c r="F26" s="12"/>
      <c r="G26" s="6">
        <f>+I26*30%</f>
        <v>9000</v>
      </c>
      <c r="H26" s="3"/>
      <c r="I26" s="21">
        <v>30000</v>
      </c>
    </row>
    <row r="27" spans="2:9" x14ac:dyDescent="0.25">
      <c r="B27" s="3" t="s">
        <v>101</v>
      </c>
      <c r="C27" s="3"/>
      <c r="D27" s="3"/>
      <c r="E27" s="3"/>
      <c r="F27" s="12"/>
      <c r="G27" s="19">
        <f>+I27*30%</f>
        <v>24000</v>
      </c>
      <c r="H27" s="3"/>
      <c r="I27" s="21">
        <v>80000</v>
      </c>
    </row>
    <row r="28" spans="2:9" x14ac:dyDescent="0.25">
      <c r="B28" s="3"/>
      <c r="C28" s="3"/>
      <c r="D28" s="3"/>
      <c r="E28" s="3"/>
      <c r="F28" s="3"/>
      <c r="G28" s="22">
        <f>SUM(G25:G27)</f>
        <v>36000</v>
      </c>
      <c r="H28" s="3"/>
    </row>
    <row r="29" spans="2:9" x14ac:dyDescent="0.25">
      <c r="B29" s="9"/>
      <c r="C29" s="9"/>
      <c r="D29" s="9"/>
      <c r="E29" s="9"/>
      <c r="F29" s="9"/>
      <c r="G29" s="9"/>
      <c r="H29" s="3"/>
    </row>
    <row r="30" spans="2:9" x14ac:dyDescent="0.25">
      <c r="B30" s="9"/>
      <c r="C30" s="9"/>
      <c r="D30" s="9"/>
      <c r="E30" s="9"/>
      <c r="F30" s="3"/>
      <c r="G30" s="9" t="s">
        <v>91</v>
      </c>
    </row>
    <row r="31" spans="2:9" x14ac:dyDescent="0.25">
      <c r="B31" s="3" t="s">
        <v>100</v>
      </c>
      <c r="C31" s="3"/>
      <c r="D31" s="3"/>
      <c r="E31" s="3"/>
      <c r="F31" s="12"/>
      <c r="G31" s="6">
        <f>+G25/0.3</f>
        <v>10000</v>
      </c>
    </row>
    <row r="32" spans="2:9" x14ac:dyDescent="0.25">
      <c r="B32" s="3" t="s">
        <v>4</v>
      </c>
      <c r="C32" s="3"/>
      <c r="D32" s="3"/>
      <c r="E32" s="3"/>
      <c r="F32" s="12"/>
      <c r="G32" s="6">
        <f>+G26/0.3</f>
        <v>30000</v>
      </c>
    </row>
    <row r="33" spans="2:8" x14ac:dyDescent="0.25">
      <c r="B33" s="3" t="s">
        <v>101</v>
      </c>
      <c r="C33" s="3"/>
      <c r="D33" s="3"/>
      <c r="E33" s="3"/>
      <c r="F33" s="12"/>
      <c r="G33" s="19">
        <f>+G27/0.3</f>
        <v>80000</v>
      </c>
    </row>
    <row r="34" spans="2:8" x14ac:dyDescent="0.25">
      <c r="B34" s="3"/>
      <c r="C34" s="3"/>
      <c r="D34" s="3"/>
      <c r="E34" s="3"/>
      <c r="F34" s="3"/>
      <c r="G34" s="22">
        <f>SUM(G31:G33)</f>
        <v>120000</v>
      </c>
    </row>
    <row r="35" spans="2:8" x14ac:dyDescent="0.25">
      <c r="B35" s="3"/>
      <c r="C35" s="9"/>
      <c r="D35" s="9"/>
      <c r="E35" s="9"/>
      <c r="F35" s="9"/>
      <c r="G35" s="9"/>
    </row>
    <row r="36" spans="2:8" x14ac:dyDescent="0.25">
      <c r="B36" s="3"/>
      <c r="C36" s="9"/>
      <c r="D36" s="9"/>
      <c r="E36" s="9"/>
      <c r="F36" s="16" t="s">
        <v>104</v>
      </c>
      <c r="G36" s="11"/>
    </row>
    <row r="37" spans="2:8" x14ac:dyDescent="0.25">
      <c r="B37" s="3"/>
      <c r="C37" s="9"/>
      <c r="D37" s="9"/>
      <c r="E37" s="9"/>
      <c r="F37" s="16" t="s">
        <v>79</v>
      </c>
      <c r="G37" s="16" t="s">
        <v>107</v>
      </c>
    </row>
    <row r="38" spans="2:8" x14ac:dyDescent="0.25">
      <c r="B38" s="3"/>
      <c r="C38" s="9"/>
      <c r="D38" s="9"/>
      <c r="E38" s="9"/>
      <c r="F38" s="16" t="s">
        <v>105</v>
      </c>
      <c r="G38" s="16" t="s">
        <v>108</v>
      </c>
    </row>
    <row r="39" spans="2:8" x14ac:dyDescent="0.25">
      <c r="B39" s="3"/>
      <c r="C39" s="9"/>
      <c r="D39" s="9"/>
      <c r="E39" s="9"/>
      <c r="F39" s="16" t="s">
        <v>106</v>
      </c>
      <c r="G39" s="16" t="s">
        <v>109</v>
      </c>
    </row>
    <row r="40" spans="2:8" x14ac:dyDescent="0.25">
      <c r="B40" s="9"/>
      <c r="C40" s="9"/>
      <c r="D40" s="9"/>
      <c r="E40" s="9"/>
      <c r="F40" s="11" t="s">
        <v>91</v>
      </c>
      <c r="G40" s="11" t="s">
        <v>91</v>
      </c>
    </row>
    <row r="41" spans="2:8" x14ac:dyDescent="0.25">
      <c r="B41" s="3" t="s">
        <v>100</v>
      </c>
      <c r="C41" s="3"/>
      <c r="D41" s="3"/>
      <c r="E41" s="3"/>
      <c r="F41" s="6">
        <f>+G25</f>
        <v>3000</v>
      </c>
      <c r="G41" s="6">
        <f>+G31</f>
        <v>10000</v>
      </c>
    </row>
    <row r="42" spans="2:8" x14ac:dyDescent="0.25">
      <c r="B42" s="3" t="s">
        <v>4</v>
      </c>
      <c r="C42" s="3"/>
      <c r="D42" s="3"/>
      <c r="E42" s="3"/>
      <c r="F42" s="6">
        <f>+G26</f>
        <v>9000</v>
      </c>
      <c r="G42" s="6">
        <f>+G32</f>
        <v>30000</v>
      </c>
    </row>
    <row r="43" spans="2:8" x14ac:dyDescent="0.25">
      <c r="B43" s="3" t="s">
        <v>101</v>
      </c>
      <c r="C43" s="3"/>
      <c r="D43" s="3"/>
      <c r="E43" s="3"/>
      <c r="F43" s="19">
        <f>+G27</f>
        <v>24000</v>
      </c>
      <c r="G43" s="19">
        <f>+G33</f>
        <v>80000</v>
      </c>
    </row>
    <row r="44" spans="2:8" x14ac:dyDescent="0.25">
      <c r="B44" s="3"/>
      <c r="C44" s="3"/>
      <c r="D44" s="3"/>
      <c r="E44" s="3"/>
      <c r="F44" s="22">
        <f>SUM(F41:F43)</f>
        <v>36000</v>
      </c>
      <c r="G44" s="22">
        <f>SUM(G41:G43)</f>
        <v>120000</v>
      </c>
    </row>
    <row r="45" spans="2:8" x14ac:dyDescent="0.25">
      <c r="B45" s="9"/>
      <c r="C45" s="9"/>
      <c r="D45" s="9"/>
      <c r="E45" s="9"/>
      <c r="F45" s="9"/>
      <c r="G45" s="9"/>
    </row>
    <row r="46" spans="2:8" x14ac:dyDescent="0.25">
      <c r="B46" s="3"/>
      <c r="C46" s="9"/>
      <c r="D46" s="9"/>
      <c r="E46" s="9"/>
      <c r="F46" s="9"/>
      <c r="G46" s="9"/>
    </row>
    <row r="47" spans="2:8" x14ac:dyDescent="0.25">
      <c r="B47" s="3"/>
      <c r="C47" s="9"/>
      <c r="D47" s="9"/>
      <c r="E47" s="16" t="s">
        <v>107</v>
      </c>
      <c r="F47" s="16" t="s">
        <v>107</v>
      </c>
      <c r="G47" s="16"/>
      <c r="H47" s="16"/>
    </row>
    <row r="48" spans="2:8" x14ac:dyDescent="0.25">
      <c r="B48" s="3"/>
      <c r="C48" s="9"/>
      <c r="D48" s="9"/>
      <c r="E48" s="16" t="s">
        <v>110</v>
      </c>
      <c r="F48" s="16" t="s">
        <v>78</v>
      </c>
      <c r="G48" s="16" t="s">
        <v>111</v>
      </c>
      <c r="H48" s="16" t="s">
        <v>113</v>
      </c>
    </row>
    <row r="49" spans="2:8" x14ac:dyDescent="0.25">
      <c r="B49" s="9"/>
      <c r="C49" s="9"/>
      <c r="D49" s="9"/>
      <c r="E49" s="11" t="s">
        <v>91</v>
      </c>
      <c r="F49" s="11" t="s">
        <v>91</v>
      </c>
      <c r="G49" s="11" t="s">
        <v>91</v>
      </c>
      <c r="H49" s="11" t="s">
        <v>91</v>
      </c>
    </row>
    <row r="50" spans="2:8" x14ac:dyDescent="0.25">
      <c r="B50" s="3" t="s">
        <v>112</v>
      </c>
      <c r="C50" s="3"/>
      <c r="D50" s="3"/>
      <c r="E50" s="6">
        <v>20000</v>
      </c>
      <c r="F50" s="6">
        <v>30000</v>
      </c>
      <c r="G50" s="6">
        <f>+F50-E50</f>
        <v>10000</v>
      </c>
      <c r="H50" s="6">
        <f>+G50*0.3</f>
        <v>3000</v>
      </c>
    </row>
    <row r="51" spans="2:8" x14ac:dyDescent="0.25">
      <c r="B51" s="3" t="s">
        <v>93</v>
      </c>
      <c r="C51" s="3"/>
      <c r="D51" s="3"/>
      <c r="E51" s="6">
        <v>10000</v>
      </c>
      <c r="F51" s="6">
        <v>40000</v>
      </c>
      <c r="G51" s="6">
        <f>+F51-E51</f>
        <v>30000</v>
      </c>
      <c r="H51" s="6">
        <f>+G51*0.3</f>
        <v>9000</v>
      </c>
    </row>
    <row r="52" spans="2:8" x14ac:dyDescent="0.25">
      <c r="B52" s="3" t="s">
        <v>101</v>
      </c>
      <c r="C52" s="3"/>
      <c r="D52" s="3"/>
      <c r="E52" s="19">
        <v>80000</v>
      </c>
      <c r="F52" s="19">
        <v>0</v>
      </c>
      <c r="G52" s="19">
        <f>+E52-F52</f>
        <v>80000</v>
      </c>
      <c r="H52" s="19">
        <f>+G52*0.3</f>
        <v>24000</v>
      </c>
    </row>
    <row r="53" spans="2:8" x14ac:dyDescent="0.25">
      <c r="B53" s="3"/>
      <c r="C53" s="3"/>
      <c r="D53" s="3"/>
      <c r="E53" s="3"/>
      <c r="F53" s="3"/>
      <c r="G53" s="22">
        <f>SUM(G50:G52)</f>
        <v>120000</v>
      </c>
      <c r="H53" s="22">
        <f>SUM(H50:H52)</f>
        <v>36000</v>
      </c>
    </row>
    <row r="54" spans="2:8" x14ac:dyDescent="0.25">
      <c r="B54" s="3"/>
      <c r="C54" s="9"/>
      <c r="D54" s="9"/>
      <c r="E54" s="9"/>
      <c r="F54" s="9"/>
      <c r="G54" s="9"/>
    </row>
    <row r="55" spans="2:8" x14ac:dyDescent="0.25">
      <c r="B55" s="9"/>
      <c r="C55" s="9"/>
      <c r="D55" s="9"/>
      <c r="E55" s="9"/>
      <c r="F55" s="9"/>
      <c r="G55" s="9"/>
      <c r="H55" s="9"/>
    </row>
    <row r="56" spans="2:8" x14ac:dyDescent="0.25">
      <c r="B56" s="3"/>
      <c r="C56" s="3"/>
      <c r="D56" s="3"/>
      <c r="E56" s="9"/>
      <c r="F56" s="16" t="s">
        <v>68</v>
      </c>
      <c r="G56" s="16" t="s">
        <v>28</v>
      </c>
      <c r="H56" s="9"/>
    </row>
    <row r="57" spans="2:8" x14ac:dyDescent="0.25">
      <c r="B57" s="3"/>
      <c r="C57" s="3"/>
      <c r="D57" s="3"/>
      <c r="E57" s="9"/>
      <c r="F57" s="11" t="s">
        <v>91</v>
      </c>
      <c r="G57" s="11" t="s">
        <v>91</v>
      </c>
      <c r="H57" s="9"/>
    </row>
    <row r="58" spans="2:8" x14ac:dyDescent="0.25">
      <c r="B58" s="3" t="s">
        <v>114</v>
      </c>
      <c r="C58" s="3"/>
      <c r="D58" s="3"/>
      <c r="E58" s="9"/>
      <c r="F58" s="6">
        <f>+H53</f>
        <v>36000</v>
      </c>
      <c r="G58" s="3"/>
      <c r="H58" s="9"/>
    </row>
    <row r="59" spans="2:8" x14ac:dyDescent="0.25">
      <c r="B59" s="3" t="s">
        <v>115</v>
      </c>
      <c r="C59" s="3"/>
      <c r="D59" s="3"/>
      <c r="E59" s="9"/>
      <c r="F59" s="3"/>
      <c r="G59" s="6">
        <f>+F58</f>
        <v>36000</v>
      </c>
      <c r="H59" s="9"/>
    </row>
    <row r="60" spans="2:8" x14ac:dyDescent="0.25">
      <c r="B60" s="3"/>
      <c r="C60" s="9"/>
      <c r="D60" s="9"/>
      <c r="E60" s="9"/>
      <c r="F60" s="9"/>
      <c r="G60" s="9"/>
    </row>
    <row r="61" spans="2:8" x14ac:dyDescent="0.25">
      <c r="B61" s="3"/>
      <c r="C61" s="9"/>
      <c r="D61" s="9"/>
      <c r="E61" s="16" t="s">
        <v>107</v>
      </c>
      <c r="F61" s="16" t="s">
        <v>107</v>
      </c>
      <c r="G61" s="16"/>
      <c r="H61" s="16"/>
    </row>
    <row r="62" spans="2:8" x14ac:dyDescent="0.25">
      <c r="B62" s="3"/>
      <c r="C62" s="9"/>
      <c r="D62" s="9"/>
      <c r="E62" s="16" t="s">
        <v>110</v>
      </c>
      <c r="F62" s="16" t="s">
        <v>78</v>
      </c>
      <c r="G62" s="16" t="s">
        <v>111</v>
      </c>
      <c r="H62" s="16" t="s">
        <v>113</v>
      </c>
    </row>
    <row r="63" spans="2:8" x14ac:dyDescent="0.25">
      <c r="B63" s="9" t="s">
        <v>116</v>
      </c>
      <c r="C63" s="9"/>
      <c r="D63" s="9"/>
      <c r="E63" s="11" t="s">
        <v>91</v>
      </c>
      <c r="F63" s="11" t="s">
        <v>91</v>
      </c>
      <c r="G63" s="11" t="s">
        <v>91</v>
      </c>
      <c r="H63" s="11" t="s">
        <v>91</v>
      </c>
    </row>
    <row r="64" spans="2:8" x14ac:dyDescent="0.25">
      <c r="B64" s="3" t="s">
        <v>112</v>
      </c>
      <c r="C64" s="3"/>
      <c r="D64" s="3"/>
      <c r="E64" s="6">
        <v>20000</v>
      </c>
      <c r="F64" s="6">
        <v>30000</v>
      </c>
      <c r="G64" s="6">
        <f>+F64-E64</f>
        <v>10000</v>
      </c>
      <c r="H64" s="6">
        <f>+G64*0.3</f>
        <v>3000</v>
      </c>
    </row>
    <row r="65" spans="2:8" x14ac:dyDescent="0.25">
      <c r="B65" s="17" t="s">
        <v>93</v>
      </c>
      <c r="C65" s="17"/>
      <c r="D65" s="17"/>
      <c r="E65" s="19">
        <v>10000</v>
      </c>
      <c r="F65" s="19">
        <v>40000</v>
      </c>
      <c r="G65" s="19">
        <f>+F65-E65</f>
        <v>30000</v>
      </c>
      <c r="H65" s="19">
        <f>+G65*0.3</f>
        <v>9000</v>
      </c>
    </row>
    <row r="66" spans="2:8" x14ac:dyDescent="0.25">
      <c r="B66" s="3"/>
      <c r="C66" s="3"/>
      <c r="D66" s="3"/>
      <c r="E66" s="3"/>
      <c r="F66" s="3"/>
      <c r="G66" s="22">
        <f>SUM(G64:G65)</f>
        <v>40000</v>
      </c>
      <c r="H66" s="22">
        <f>SUM(H64:H65)</f>
        <v>12000</v>
      </c>
    </row>
    <row r="67" spans="2:8" x14ac:dyDescent="0.25">
      <c r="B67" s="9"/>
      <c r="C67" s="9"/>
      <c r="D67" s="9"/>
      <c r="E67" s="9"/>
      <c r="F67" s="9"/>
      <c r="G67" s="9"/>
      <c r="H67" s="9"/>
    </row>
    <row r="68" spans="2:8" x14ac:dyDescent="0.25">
      <c r="B68" s="3"/>
      <c r="C68" s="3"/>
      <c r="D68" s="3"/>
      <c r="E68" s="9"/>
      <c r="F68" s="16" t="s">
        <v>68</v>
      </c>
      <c r="G68" s="16" t="s">
        <v>28</v>
      </c>
      <c r="H68" s="9"/>
    </row>
    <row r="69" spans="2:8" x14ac:dyDescent="0.25">
      <c r="B69" s="3"/>
      <c r="C69" s="3"/>
      <c r="D69" s="3"/>
      <c r="E69" s="9"/>
      <c r="F69" s="11" t="s">
        <v>91</v>
      </c>
      <c r="G69" s="11" t="s">
        <v>91</v>
      </c>
      <c r="H69" s="9"/>
    </row>
    <row r="70" spans="2:8" x14ac:dyDescent="0.25">
      <c r="B70" s="3" t="s">
        <v>114</v>
      </c>
      <c r="C70" s="3"/>
      <c r="D70" s="3"/>
      <c r="E70" s="9"/>
      <c r="F70" s="6">
        <f>+H66</f>
        <v>12000</v>
      </c>
      <c r="G70" s="3"/>
      <c r="H70" s="9"/>
    </row>
    <row r="71" spans="2:8" x14ac:dyDescent="0.25">
      <c r="B71" s="3" t="s">
        <v>115</v>
      </c>
      <c r="C71" s="3"/>
      <c r="D71" s="3"/>
      <c r="E71" s="9"/>
      <c r="F71" s="3"/>
      <c r="G71" s="6">
        <f>+F70</f>
        <v>12000</v>
      </c>
      <c r="H71" s="9"/>
    </row>
    <row r="72" spans="2:8" x14ac:dyDescent="0.25">
      <c r="B72" s="3"/>
      <c r="C72" s="9"/>
      <c r="D72" s="9"/>
      <c r="E72" s="9"/>
      <c r="F72" s="9"/>
      <c r="G72" s="9"/>
    </row>
    <row r="73" spans="2:8" x14ac:dyDescent="0.25">
      <c r="B73" s="3"/>
      <c r="C73" s="9"/>
      <c r="D73" s="9"/>
      <c r="E73" s="16" t="s">
        <v>107</v>
      </c>
      <c r="F73" s="16" t="s">
        <v>107</v>
      </c>
      <c r="G73" s="16"/>
      <c r="H73" s="16"/>
    </row>
    <row r="74" spans="2:8" x14ac:dyDescent="0.25">
      <c r="B74" s="3"/>
      <c r="C74" s="9"/>
      <c r="D74" s="9"/>
      <c r="E74" s="16" t="s">
        <v>110</v>
      </c>
      <c r="F74" s="16" t="s">
        <v>78</v>
      </c>
      <c r="G74" s="16" t="s">
        <v>111</v>
      </c>
      <c r="H74" s="16" t="s">
        <v>113</v>
      </c>
    </row>
    <row r="75" spans="2:8" x14ac:dyDescent="0.25">
      <c r="B75" s="9" t="s">
        <v>117</v>
      </c>
      <c r="C75" s="9"/>
      <c r="D75" s="9"/>
      <c r="E75" s="11" t="s">
        <v>91</v>
      </c>
      <c r="F75" s="11" t="s">
        <v>91</v>
      </c>
      <c r="G75" s="11" t="s">
        <v>91</v>
      </c>
      <c r="H75" s="11" t="s">
        <v>91</v>
      </c>
    </row>
    <row r="76" spans="2:8" x14ac:dyDescent="0.25">
      <c r="B76" s="3" t="s">
        <v>112</v>
      </c>
      <c r="C76" s="3"/>
      <c r="D76" s="3"/>
      <c r="E76" s="6">
        <v>20000</v>
      </c>
      <c r="F76" s="6">
        <v>30000</v>
      </c>
      <c r="G76" s="6">
        <f>+F76-E76</f>
        <v>10000</v>
      </c>
      <c r="H76" s="6">
        <f>+G76*0.3</f>
        <v>3000</v>
      </c>
    </row>
    <row r="77" spans="2:8" x14ac:dyDescent="0.25">
      <c r="B77" s="3" t="s">
        <v>93</v>
      </c>
      <c r="C77" s="3"/>
      <c r="D77" s="3"/>
      <c r="E77" s="19">
        <v>10000</v>
      </c>
      <c r="F77" s="19">
        <v>40000</v>
      </c>
      <c r="G77" s="19">
        <f>+F77-E77</f>
        <v>30000</v>
      </c>
      <c r="H77" s="19">
        <f>+G77*0.3</f>
        <v>9000</v>
      </c>
    </row>
    <row r="78" spans="2:8" x14ac:dyDescent="0.25">
      <c r="B78" s="3" t="s">
        <v>101</v>
      </c>
      <c r="C78" s="3"/>
      <c r="D78" s="3"/>
      <c r="E78" s="19">
        <v>80000</v>
      </c>
      <c r="F78" s="19">
        <v>0</v>
      </c>
      <c r="G78" s="19">
        <f>+E78-F78</f>
        <v>80000</v>
      </c>
      <c r="H78" s="19">
        <f>+G78*0.3</f>
        <v>24000</v>
      </c>
    </row>
    <row r="79" spans="2:8" x14ac:dyDescent="0.25">
      <c r="B79" s="3"/>
      <c r="C79" s="3"/>
      <c r="D79" s="3"/>
      <c r="E79" s="3"/>
      <c r="F79" s="3"/>
      <c r="G79" s="22">
        <f>SUM(G76:G78)</f>
        <v>120000</v>
      </c>
      <c r="H79" s="22">
        <f>SUM(H76:H78)</f>
        <v>36000</v>
      </c>
    </row>
    <row r="80" spans="2:8" x14ac:dyDescent="0.25">
      <c r="B80" s="9"/>
      <c r="C80" s="9"/>
      <c r="D80" s="9"/>
      <c r="E80" s="9"/>
      <c r="F80" s="9"/>
      <c r="G80" s="9"/>
      <c r="H80" s="9"/>
    </row>
    <row r="81" spans="2:8" x14ac:dyDescent="0.25">
      <c r="B81" s="9"/>
      <c r="C81" s="9"/>
      <c r="D81" s="9"/>
      <c r="E81" s="9"/>
      <c r="F81" s="9"/>
      <c r="G81" s="9"/>
      <c r="H81" s="9"/>
    </row>
    <row r="82" spans="2:8" x14ac:dyDescent="0.25">
      <c r="B82" s="3"/>
      <c r="C82" s="3"/>
      <c r="D82" s="3"/>
      <c r="E82" s="9"/>
      <c r="F82" s="16" t="s">
        <v>68</v>
      </c>
      <c r="G82" s="16" t="s">
        <v>28</v>
      </c>
      <c r="H82" s="9"/>
    </row>
    <row r="83" spans="2:8" x14ac:dyDescent="0.25">
      <c r="B83" s="3"/>
      <c r="C83" s="3"/>
      <c r="D83" s="3"/>
      <c r="E83" s="9"/>
      <c r="F83" s="11" t="s">
        <v>91</v>
      </c>
      <c r="G83" s="11" t="s">
        <v>91</v>
      </c>
      <c r="H83" s="9"/>
    </row>
    <row r="84" spans="2:8" x14ac:dyDescent="0.25">
      <c r="B84" s="3" t="s">
        <v>114</v>
      </c>
      <c r="C84" s="3"/>
      <c r="D84" s="3"/>
      <c r="E84" s="9"/>
      <c r="F84" s="6">
        <f>+H79-H66</f>
        <v>24000</v>
      </c>
      <c r="G84" s="3"/>
      <c r="H84" s="9"/>
    </row>
    <row r="85" spans="2:8" x14ac:dyDescent="0.25">
      <c r="B85" s="3" t="s">
        <v>115</v>
      </c>
      <c r="C85" s="3"/>
      <c r="D85" s="3"/>
      <c r="E85" s="9"/>
      <c r="F85" s="3"/>
      <c r="G85" s="6">
        <f>+F84</f>
        <v>24000</v>
      </c>
      <c r="H85" s="9"/>
    </row>
    <row r="86" spans="2:8" x14ac:dyDescent="0.25">
      <c r="B86" s="3"/>
      <c r="C86" s="9"/>
      <c r="D86" s="9"/>
      <c r="E86" s="9"/>
      <c r="F86" s="9"/>
      <c r="G86" s="9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78"/>
  <sheetViews>
    <sheetView topLeftCell="A190" workbookViewId="0">
      <selection activeCell="A190" sqref="A190"/>
    </sheetView>
  </sheetViews>
  <sheetFormatPr baseColWidth="10" defaultRowHeight="16.5" x14ac:dyDescent="0.25"/>
  <cols>
    <col min="1" max="1" width="11.42578125" style="4"/>
    <col min="2" max="2" width="12.85546875" style="4" customWidth="1"/>
    <col min="3" max="3" width="14" style="4" customWidth="1"/>
    <col min="4" max="4" width="11.42578125" style="4"/>
    <col min="5" max="5" width="12.5703125" style="4" customWidth="1"/>
    <col min="6" max="6" width="11.42578125" style="4"/>
    <col min="7" max="7" width="11.42578125" style="4" bestFit="1" customWidth="1"/>
    <col min="8" max="8" width="5.5703125" style="4" customWidth="1"/>
    <col min="9" max="16384" width="11.42578125" style="4"/>
  </cols>
  <sheetData>
    <row r="1" spans="1:7" x14ac:dyDescent="0.25">
      <c r="A1" s="3"/>
      <c r="B1" s="9"/>
      <c r="C1" s="9"/>
      <c r="D1" s="16" t="s">
        <v>107</v>
      </c>
      <c r="E1" s="16" t="s">
        <v>107</v>
      </c>
      <c r="F1" s="16"/>
      <c r="G1" s="16"/>
    </row>
    <row r="2" spans="1:7" x14ac:dyDescent="0.25">
      <c r="A2" s="3"/>
      <c r="B2" s="9"/>
      <c r="C2" s="9"/>
      <c r="D2" s="16" t="s">
        <v>110</v>
      </c>
      <c r="E2" s="16" t="s">
        <v>78</v>
      </c>
      <c r="F2" s="16" t="s">
        <v>111</v>
      </c>
      <c r="G2" s="16" t="s">
        <v>113</v>
      </c>
    </row>
    <row r="3" spans="1:7" x14ac:dyDescent="0.25">
      <c r="A3" s="9" t="s">
        <v>121</v>
      </c>
      <c r="B3" s="9"/>
      <c r="C3" s="9"/>
      <c r="D3" s="16" t="s">
        <v>1</v>
      </c>
      <c r="E3" s="16" t="s">
        <v>1</v>
      </c>
      <c r="F3" s="16" t="s">
        <v>1</v>
      </c>
      <c r="G3" s="16" t="s">
        <v>1</v>
      </c>
    </row>
    <row r="4" spans="1:7" x14ac:dyDescent="0.25">
      <c r="A4" s="3" t="s">
        <v>112</v>
      </c>
      <c r="B4" s="3"/>
      <c r="C4" s="3"/>
      <c r="D4" s="6">
        <v>400000</v>
      </c>
      <c r="E4" s="6">
        <v>500000</v>
      </c>
      <c r="F4" s="6">
        <f>+E4-D4</f>
        <v>100000</v>
      </c>
      <c r="G4" s="6">
        <f>+F4*30%</f>
        <v>30000</v>
      </c>
    </row>
    <row r="5" spans="1:7" x14ac:dyDescent="0.25">
      <c r="A5" s="3" t="s">
        <v>93</v>
      </c>
      <c r="B5" s="3"/>
      <c r="C5" s="3"/>
      <c r="D5" s="6">
        <v>100000</v>
      </c>
      <c r="E5" s="6">
        <v>400000</v>
      </c>
      <c r="F5" s="6">
        <f>+E5-D5</f>
        <v>300000</v>
      </c>
      <c r="G5" s="6">
        <f>+F5*30%</f>
        <v>90000</v>
      </c>
    </row>
    <row r="6" spans="1:7" x14ac:dyDescent="0.25">
      <c r="A6" s="3" t="s">
        <v>101</v>
      </c>
      <c r="B6" s="3"/>
      <c r="C6" s="3"/>
      <c r="D6" s="6">
        <v>200000</v>
      </c>
      <c r="E6" s="6">
        <v>0</v>
      </c>
      <c r="F6" s="19">
        <f>+D6-E6</f>
        <v>200000</v>
      </c>
      <c r="G6" s="19">
        <f>+F6*30%</f>
        <v>60000</v>
      </c>
    </row>
    <row r="7" spans="1:7" x14ac:dyDescent="0.25">
      <c r="A7" s="3"/>
      <c r="B7" s="3"/>
      <c r="C7" s="3"/>
      <c r="D7" s="3"/>
      <c r="E7" s="3"/>
      <c r="F7" s="22">
        <f>SUM(F4:F6)</f>
        <v>600000</v>
      </c>
      <c r="G7" s="22">
        <f>SUM(G4:G6)</f>
        <v>180000</v>
      </c>
    </row>
    <row r="8" spans="1:7" x14ac:dyDescent="0.25">
      <c r="A8" s="7"/>
      <c r="B8" s="7"/>
      <c r="C8" s="7"/>
      <c r="D8" s="7"/>
      <c r="E8" s="7"/>
      <c r="F8" s="7"/>
      <c r="G8" s="7"/>
    </row>
    <row r="9" spans="1:7" x14ac:dyDescent="0.25">
      <c r="A9" s="9" t="s">
        <v>112</v>
      </c>
      <c r="B9" s="7"/>
      <c r="C9" s="7"/>
      <c r="D9" s="16" t="s">
        <v>1</v>
      </c>
      <c r="E9" s="9" t="s">
        <v>93</v>
      </c>
      <c r="F9" s="7"/>
      <c r="G9" s="16" t="s">
        <v>1</v>
      </c>
    </row>
    <row r="10" spans="1:7" x14ac:dyDescent="0.25">
      <c r="A10" s="3" t="s">
        <v>118</v>
      </c>
      <c r="B10" s="3"/>
      <c r="C10" s="3"/>
      <c r="D10" s="7">
        <f>+E4</f>
        <v>500000</v>
      </c>
      <c r="E10" s="3" t="s">
        <v>120</v>
      </c>
      <c r="F10" s="7"/>
      <c r="G10" s="7">
        <f>E5</f>
        <v>400000</v>
      </c>
    </row>
    <row r="11" spans="1:7" x14ac:dyDescent="0.25">
      <c r="A11" s="3" t="s">
        <v>119</v>
      </c>
      <c r="B11" s="3"/>
      <c r="C11" s="3"/>
      <c r="D11" s="24">
        <v>-100000</v>
      </c>
      <c r="E11" s="3" t="s">
        <v>119</v>
      </c>
      <c r="F11" s="7"/>
      <c r="G11" s="24">
        <f>-F5</f>
        <v>-300000</v>
      </c>
    </row>
    <row r="12" spans="1:7" x14ac:dyDescent="0.25">
      <c r="A12" s="3"/>
      <c r="B12" s="3"/>
      <c r="C12" s="3"/>
      <c r="D12" s="25">
        <f>+D10+D11</f>
        <v>400000</v>
      </c>
      <c r="E12" s="7"/>
      <c r="F12" s="7"/>
      <c r="G12" s="23">
        <f>+G10+G11</f>
        <v>100000</v>
      </c>
    </row>
    <row r="13" spans="1:7" x14ac:dyDescent="0.25">
      <c r="A13" s="7"/>
      <c r="B13" s="7"/>
      <c r="C13" s="7"/>
      <c r="D13" s="7"/>
      <c r="E13" s="7"/>
      <c r="F13" s="7"/>
      <c r="G13" s="7"/>
    </row>
    <row r="14" spans="1:7" x14ac:dyDescent="0.25">
      <c r="A14" s="3"/>
      <c r="B14" s="3"/>
      <c r="C14" s="3"/>
      <c r="D14" s="9"/>
      <c r="E14" s="7"/>
      <c r="F14" s="16" t="s">
        <v>68</v>
      </c>
      <c r="G14" s="16" t="s">
        <v>28</v>
      </c>
    </row>
    <row r="15" spans="1:7" x14ac:dyDescent="0.25">
      <c r="A15" s="9" t="s">
        <v>140</v>
      </c>
      <c r="B15" s="3"/>
      <c r="C15" s="3"/>
      <c r="D15" s="9"/>
      <c r="E15" s="7"/>
      <c r="F15" s="16" t="s">
        <v>1</v>
      </c>
      <c r="G15" s="16" t="s">
        <v>1</v>
      </c>
    </row>
    <row r="16" spans="1:7" x14ac:dyDescent="0.25">
      <c r="A16" s="3" t="s">
        <v>114</v>
      </c>
      <c r="B16" s="3"/>
      <c r="C16" s="3"/>
      <c r="D16" s="9"/>
      <c r="E16" s="7"/>
      <c r="F16" s="6">
        <f>+G7</f>
        <v>180000</v>
      </c>
      <c r="G16" s="3"/>
    </row>
    <row r="17" spans="1:7" x14ac:dyDescent="0.25">
      <c r="A17" s="3" t="s">
        <v>115</v>
      </c>
      <c r="B17" s="3"/>
      <c r="C17" s="3"/>
      <c r="D17" s="9"/>
      <c r="F17" s="3"/>
      <c r="G17" s="6">
        <f>+F16</f>
        <v>180000</v>
      </c>
    </row>
    <row r="18" spans="1:7" x14ac:dyDescent="0.25">
      <c r="A18" s="7"/>
      <c r="B18" s="7"/>
      <c r="C18" s="7"/>
      <c r="D18" s="7"/>
      <c r="E18" s="7"/>
      <c r="F18" s="7"/>
      <c r="G18" s="7"/>
    </row>
    <row r="19" spans="1:7" x14ac:dyDescent="0.25">
      <c r="A19" s="27"/>
      <c r="B19" s="27"/>
      <c r="C19" s="27"/>
      <c r="D19" s="16" t="s">
        <v>130</v>
      </c>
      <c r="E19" s="16" t="s">
        <v>135</v>
      </c>
      <c r="F19" s="16" t="s">
        <v>136</v>
      </c>
      <c r="G19" s="16" t="s">
        <v>130</v>
      </c>
    </row>
    <row r="20" spans="1:7" x14ac:dyDescent="0.25">
      <c r="A20" s="10"/>
      <c r="B20" s="27"/>
      <c r="C20" s="27"/>
      <c r="D20" s="16" t="s">
        <v>131</v>
      </c>
      <c r="E20" s="16" t="s">
        <v>133</v>
      </c>
      <c r="F20" s="16" t="s">
        <v>134</v>
      </c>
      <c r="G20" s="16" t="s">
        <v>132</v>
      </c>
    </row>
    <row r="21" spans="1:7" x14ac:dyDescent="0.25">
      <c r="A21" s="11" t="s">
        <v>137</v>
      </c>
      <c r="B21" s="27"/>
      <c r="C21" s="27"/>
      <c r="D21" s="16" t="s">
        <v>1</v>
      </c>
      <c r="E21" s="16" t="s">
        <v>1</v>
      </c>
      <c r="F21" s="16" t="s">
        <v>1</v>
      </c>
      <c r="G21" s="16" t="s">
        <v>1</v>
      </c>
    </row>
    <row r="22" spans="1:7" x14ac:dyDescent="0.25">
      <c r="A22" s="3" t="s">
        <v>100</v>
      </c>
      <c r="B22" s="3"/>
      <c r="C22" s="3"/>
      <c r="D22" s="7">
        <v>0</v>
      </c>
      <c r="E22" s="7">
        <f>F4</f>
        <v>100000</v>
      </c>
      <c r="F22" s="7">
        <v>0</v>
      </c>
      <c r="G22" s="7">
        <f>SUM(D22:F22)</f>
        <v>100000</v>
      </c>
    </row>
    <row r="23" spans="1:7" x14ac:dyDescent="0.25">
      <c r="A23" s="3" t="s">
        <v>4</v>
      </c>
      <c r="B23" s="7"/>
      <c r="C23" s="7"/>
      <c r="D23" s="7">
        <v>0</v>
      </c>
      <c r="E23" s="7">
        <f>F5</f>
        <v>300000</v>
      </c>
      <c r="F23" s="7">
        <v>0</v>
      </c>
      <c r="G23" s="7">
        <f>SUM(D23:F23)</f>
        <v>300000</v>
      </c>
    </row>
    <row r="24" spans="1:7" x14ac:dyDescent="0.25">
      <c r="A24" s="3" t="s">
        <v>101</v>
      </c>
      <c r="B24" s="7"/>
      <c r="C24" s="7"/>
      <c r="D24" s="7">
        <v>0</v>
      </c>
      <c r="E24" s="7">
        <f>F6</f>
        <v>200000</v>
      </c>
      <c r="F24" s="7">
        <v>0</v>
      </c>
      <c r="G24" s="7">
        <f>SUM(D24:F24)</f>
        <v>200000</v>
      </c>
    </row>
    <row r="25" spans="1:7" x14ac:dyDescent="0.25">
      <c r="A25" s="7"/>
      <c r="B25" s="7"/>
      <c r="C25" s="7"/>
      <c r="D25" s="25">
        <f>SUM(D22:D24)</f>
        <v>0</v>
      </c>
      <c r="E25" s="25">
        <f>SUM(E22:E24)</f>
        <v>600000</v>
      </c>
      <c r="F25" s="25">
        <f>SUM(F22:F24)</f>
        <v>0</v>
      </c>
      <c r="G25" s="25">
        <f>SUM(G22:G24)</f>
        <v>600000</v>
      </c>
    </row>
    <row r="26" spans="1:7" x14ac:dyDescent="0.25">
      <c r="A26" s="7"/>
      <c r="B26" s="7"/>
      <c r="C26" s="7"/>
      <c r="D26" s="7"/>
      <c r="E26" s="7"/>
      <c r="F26" s="7"/>
      <c r="G26" s="7"/>
    </row>
    <row r="27" spans="1:7" x14ac:dyDescent="0.25">
      <c r="A27" s="7"/>
      <c r="B27" s="7"/>
      <c r="C27" s="7"/>
      <c r="D27" s="7"/>
      <c r="E27" s="7"/>
      <c r="F27" s="7"/>
      <c r="G27" s="7"/>
    </row>
    <row r="28" spans="1:7" x14ac:dyDescent="0.25">
      <c r="A28" s="9" t="s">
        <v>138</v>
      </c>
      <c r="B28" s="9"/>
      <c r="C28" s="9"/>
      <c r="D28" s="7"/>
      <c r="E28" s="7"/>
      <c r="F28" s="7"/>
      <c r="G28" s="7"/>
    </row>
    <row r="29" spans="1:7" x14ac:dyDescent="0.25">
      <c r="A29" s="7"/>
      <c r="B29" s="9"/>
      <c r="C29" s="9"/>
      <c r="D29" s="7"/>
      <c r="E29" s="16" t="s">
        <v>1</v>
      </c>
      <c r="F29" s="7"/>
      <c r="G29" s="7"/>
    </row>
    <row r="30" spans="1:7" x14ac:dyDescent="0.25">
      <c r="A30" s="9" t="s">
        <v>122</v>
      </c>
      <c r="B30" s="3"/>
      <c r="C30" s="3"/>
      <c r="D30" s="7"/>
      <c r="E30" s="14">
        <v>500000</v>
      </c>
      <c r="F30" s="7"/>
      <c r="G30" s="7"/>
    </row>
    <row r="31" spans="1:7" x14ac:dyDescent="0.25">
      <c r="A31" s="9" t="s">
        <v>126</v>
      </c>
      <c r="B31" s="3"/>
      <c r="C31" s="3"/>
      <c r="D31" s="7"/>
      <c r="E31" s="6"/>
      <c r="F31" s="7"/>
      <c r="G31" s="7"/>
    </row>
    <row r="32" spans="1:7" x14ac:dyDescent="0.25">
      <c r="A32" s="3" t="s">
        <v>123</v>
      </c>
      <c r="B32" s="3"/>
      <c r="C32" s="3"/>
      <c r="D32" s="7"/>
      <c r="E32" s="6">
        <f>F4</f>
        <v>100000</v>
      </c>
      <c r="F32" s="7"/>
      <c r="G32" s="7"/>
    </row>
    <row r="33" spans="1:7" x14ac:dyDescent="0.25">
      <c r="A33" s="3" t="s">
        <v>124</v>
      </c>
      <c r="B33" s="7"/>
      <c r="C33" s="7"/>
      <c r="D33" s="7"/>
      <c r="E33" s="6">
        <f>F5</f>
        <v>300000</v>
      </c>
      <c r="F33" s="7"/>
      <c r="G33" s="7"/>
    </row>
    <row r="34" spans="1:7" x14ac:dyDescent="0.25">
      <c r="A34" s="3" t="s">
        <v>125</v>
      </c>
      <c r="B34" s="7"/>
      <c r="C34" s="7"/>
      <c r="D34" s="7"/>
      <c r="E34" s="6">
        <f>F6</f>
        <v>200000</v>
      </c>
      <c r="F34" s="7"/>
      <c r="G34" s="7"/>
    </row>
    <row r="35" spans="1:7" x14ac:dyDescent="0.25">
      <c r="A35" s="9" t="s">
        <v>127</v>
      </c>
      <c r="B35" s="7"/>
      <c r="C35" s="7"/>
      <c r="D35" s="7"/>
      <c r="E35" s="7"/>
      <c r="F35" s="7"/>
      <c r="G35" s="7"/>
    </row>
    <row r="36" spans="1:7" x14ac:dyDescent="0.25">
      <c r="A36" s="3" t="s">
        <v>128</v>
      </c>
      <c r="B36" s="7"/>
      <c r="C36" s="7"/>
      <c r="D36" s="7"/>
      <c r="E36" s="24">
        <v>400000</v>
      </c>
      <c r="F36" s="7"/>
      <c r="G36" s="7"/>
    </row>
    <row r="37" spans="1:7" x14ac:dyDescent="0.25">
      <c r="A37" s="9" t="s">
        <v>5</v>
      </c>
      <c r="B37" s="8"/>
      <c r="C37" s="8"/>
      <c r="D37" s="8"/>
      <c r="E37" s="23">
        <f>SUM(E30:E36)</f>
        <v>1500000</v>
      </c>
      <c r="F37" s="8"/>
      <c r="G37" s="7"/>
    </row>
    <row r="38" spans="1:7" x14ac:dyDescent="0.25">
      <c r="A38" s="9" t="s">
        <v>34</v>
      </c>
      <c r="B38" s="7"/>
      <c r="C38" s="7"/>
      <c r="D38" s="7"/>
      <c r="E38" s="23">
        <f>+E37*30%</f>
        <v>450000</v>
      </c>
      <c r="F38" s="7"/>
      <c r="G38" s="7"/>
    </row>
    <row r="39" spans="1:7" x14ac:dyDescent="0.25">
      <c r="A39" s="7"/>
      <c r="B39" s="7"/>
      <c r="C39" s="7"/>
      <c r="D39" s="7"/>
      <c r="E39" s="7"/>
      <c r="F39" s="7"/>
      <c r="G39" s="7"/>
    </row>
    <row r="40" spans="1:7" x14ac:dyDescent="0.25">
      <c r="A40" s="3"/>
      <c r="B40" s="3"/>
      <c r="C40" s="3"/>
      <c r="D40" s="9"/>
      <c r="E40" s="9"/>
      <c r="F40" s="16" t="s">
        <v>68</v>
      </c>
      <c r="G40" s="16" t="s">
        <v>28</v>
      </c>
    </row>
    <row r="41" spans="1:7" x14ac:dyDescent="0.25">
      <c r="A41" s="9" t="s">
        <v>139</v>
      </c>
      <c r="B41" s="3"/>
      <c r="C41" s="3"/>
      <c r="D41" s="9"/>
      <c r="E41" s="9"/>
      <c r="F41" s="16" t="s">
        <v>1</v>
      </c>
      <c r="G41" s="16" t="s">
        <v>1</v>
      </c>
    </row>
    <row r="42" spans="1:7" x14ac:dyDescent="0.25">
      <c r="A42" s="3" t="s">
        <v>115</v>
      </c>
      <c r="B42" s="3"/>
      <c r="C42" s="3"/>
      <c r="D42" s="9"/>
      <c r="E42" s="9"/>
      <c r="F42" s="26">
        <f>E38</f>
        <v>450000</v>
      </c>
      <c r="G42" s="6"/>
    </row>
    <row r="43" spans="1:7" x14ac:dyDescent="0.25">
      <c r="A43" s="3" t="s">
        <v>129</v>
      </c>
      <c r="B43" s="3"/>
      <c r="C43" s="3"/>
      <c r="D43" s="9"/>
      <c r="E43" s="9"/>
      <c r="F43" s="6"/>
      <c r="G43" s="26">
        <f>+F42</f>
        <v>450000</v>
      </c>
    </row>
    <row r="44" spans="1:7" x14ac:dyDescent="0.25">
      <c r="A44" s="9"/>
      <c r="B44" s="9"/>
      <c r="C44" s="9"/>
      <c r="D44" s="7"/>
      <c r="E44" s="7"/>
      <c r="F44" s="7"/>
      <c r="G44" s="7"/>
    </row>
    <row r="45" spans="1:7" x14ac:dyDescent="0.25">
      <c r="A45" s="7"/>
      <c r="B45" s="9"/>
      <c r="C45" s="9"/>
      <c r="D45" s="7"/>
      <c r="E45" s="7"/>
      <c r="F45" s="16" t="s">
        <v>1</v>
      </c>
      <c r="G45" s="7"/>
    </row>
    <row r="46" spans="1:7" x14ac:dyDescent="0.25">
      <c r="A46" s="9" t="s">
        <v>122</v>
      </c>
      <c r="B46" s="3"/>
      <c r="C46" s="3"/>
      <c r="D46" s="7"/>
      <c r="E46" s="7"/>
      <c r="F46" s="14">
        <v>500000</v>
      </c>
      <c r="G46" s="7"/>
    </row>
    <row r="47" spans="1:7" x14ac:dyDescent="0.25">
      <c r="A47" s="9" t="s">
        <v>127</v>
      </c>
      <c r="B47" s="7"/>
      <c r="C47" s="7"/>
      <c r="D47" s="7"/>
      <c r="E47" s="7"/>
      <c r="F47" s="7"/>
      <c r="G47" s="7"/>
    </row>
    <row r="48" spans="1:7" x14ac:dyDescent="0.25">
      <c r="A48" s="3" t="s">
        <v>128</v>
      </c>
      <c r="B48" s="7"/>
      <c r="C48" s="7"/>
      <c r="D48" s="7"/>
      <c r="E48" s="7"/>
      <c r="F48" s="24">
        <v>400000</v>
      </c>
      <c r="G48" s="7"/>
    </row>
    <row r="49" spans="1:7" x14ac:dyDescent="0.25">
      <c r="A49" s="9"/>
      <c r="B49" s="8"/>
      <c r="C49" s="8"/>
      <c r="D49" s="8"/>
      <c r="E49" s="7"/>
      <c r="F49" s="23">
        <f>SUM(F46:F48)</f>
        <v>900000</v>
      </c>
      <c r="G49" s="7"/>
    </row>
    <row r="50" spans="1:7" x14ac:dyDescent="0.25">
      <c r="A50" s="9" t="s">
        <v>141</v>
      </c>
      <c r="B50" s="7"/>
      <c r="C50" s="7"/>
      <c r="D50" s="7"/>
      <c r="E50" s="28">
        <v>0.3</v>
      </c>
      <c r="F50" s="23">
        <f>+F49*30%</f>
        <v>270000</v>
      </c>
    </row>
    <row r="51" spans="1:7" x14ac:dyDescent="0.25">
      <c r="A51" s="7"/>
      <c r="B51" s="7"/>
      <c r="C51" s="7"/>
      <c r="D51" s="7"/>
      <c r="E51" s="7"/>
      <c r="F51" s="7"/>
      <c r="G51" s="7"/>
    </row>
    <row r="52" spans="1:7" x14ac:dyDescent="0.25">
      <c r="A52" s="7"/>
      <c r="B52" s="7"/>
      <c r="C52" s="7"/>
      <c r="D52" s="7"/>
      <c r="E52" s="7"/>
      <c r="F52" s="7"/>
      <c r="G52" s="7"/>
    </row>
    <row r="53" spans="1:7" x14ac:dyDescent="0.25">
      <c r="A53" s="9" t="s">
        <v>138</v>
      </c>
      <c r="B53" s="9"/>
      <c r="C53" s="9"/>
      <c r="D53" s="7"/>
      <c r="E53" s="7"/>
      <c r="F53" s="7"/>
      <c r="G53" s="7"/>
    </row>
    <row r="54" spans="1:7" x14ac:dyDescent="0.25">
      <c r="A54" s="9"/>
      <c r="B54" s="9"/>
      <c r="C54" s="9"/>
      <c r="D54" s="7"/>
      <c r="E54" s="7"/>
      <c r="F54" s="16" t="s">
        <v>79</v>
      </c>
      <c r="G54" s="16" t="s">
        <v>143</v>
      </c>
    </row>
    <row r="55" spans="1:7" x14ac:dyDescent="0.25">
      <c r="A55" s="9"/>
      <c r="B55" s="9"/>
      <c r="C55" s="9"/>
      <c r="D55" s="7"/>
      <c r="E55" s="7"/>
      <c r="F55" s="16" t="s">
        <v>142</v>
      </c>
      <c r="G55" s="16" t="s">
        <v>144</v>
      </c>
    </row>
    <row r="56" spans="1:7" x14ac:dyDescent="0.25">
      <c r="A56" s="7"/>
      <c r="B56" s="9"/>
      <c r="C56" s="9"/>
      <c r="D56" s="7"/>
      <c r="E56" s="16" t="s">
        <v>1</v>
      </c>
      <c r="F56" s="16" t="s">
        <v>1</v>
      </c>
      <c r="G56" s="16" t="s">
        <v>1</v>
      </c>
    </row>
    <row r="57" spans="1:7" x14ac:dyDescent="0.25">
      <c r="A57" s="9" t="s">
        <v>122</v>
      </c>
      <c r="B57" s="3"/>
      <c r="C57" s="3"/>
      <c r="D57" s="7"/>
      <c r="E57" s="14">
        <v>500000</v>
      </c>
      <c r="F57" s="8">
        <f>+E57*30%</f>
        <v>150000</v>
      </c>
      <c r="G57" s="8">
        <f>+F57</f>
        <v>150000</v>
      </c>
    </row>
    <row r="58" spans="1:7" x14ac:dyDescent="0.25">
      <c r="A58" s="9" t="s">
        <v>126</v>
      </c>
      <c r="B58" s="3"/>
      <c r="C58" s="3"/>
      <c r="D58" s="7"/>
      <c r="E58" s="6"/>
      <c r="F58" s="7"/>
      <c r="G58" s="7"/>
    </row>
    <row r="59" spans="1:7" x14ac:dyDescent="0.25">
      <c r="A59" s="3" t="s">
        <v>123</v>
      </c>
      <c r="B59" s="3"/>
      <c r="C59" s="3"/>
      <c r="D59" s="7"/>
      <c r="E59" s="6">
        <f>+E32</f>
        <v>100000</v>
      </c>
      <c r="F59" s="7">
        <f>+E59*30%</f>
        <v>30000</v>
      </c>
      <c r="G59" s="29"/>
    </row>
    <row r="60" spans="1:7" x14ac:dyDescent="0.25">
      <c r="A60" s="3" t="s">
        <v>124</v>
      </c>
      <c r="B60" s="7"/>
      <c r="C60" s="7"/>
      <c r="D60" s="7"/>
      <c r="E60" s="6">
        <f>+E33</f>
        <v>300000</v>
      </c>
      <c r="F60" s="7">
        <f>+E60*30%</f>
        <v>90000</v>
      </c>
      <c r="G60" s="29"/>
    </row>
    <row r="61" spans="1:7" x14ac:dyDescent="0.25">
      <c r="A61" s="3" t="s">
        <v>125</v>
      </c>
      <c r="B61" s="7"/>
      <c r="C61" s="7"/>
      <c r="D61" s="7"/>
      <c r="E61" s="6">
        <f>+E34</f>
        <v>200000</v>
      </c>
      <c r="F61" s="7">
        <f>+E61*30%</f>
        <v>60000</v>
      </c>
      <c r="G61" s="29"/>
    </row>
    <row r="62" spans="1:7" x14ac:dyDescent="0.25">
      <c r="A62" s="9" t="s">
        <v>127</v>
      </c>
      <c r="B62" s="7"/>
      <c r="C62" s="7"/>
      <c r="D62" s="7"/>
      <c r="E62" s="7"/>
      <c r="F62" s="7"/>
      <c r="G62" s="7"/>
    </row>
    <row r="63" spans="1:7" x14ac:dyDescent="0.25">
      <c r="A63" s="3" t="s">
        <v>128</v>
      </c>
      <c r="B63" s="7"/>
      <c r="C63" s="7"/>
      <c r="D63" s="7"/>
      <c r="E63" s="24">
        <f>+E36</f>
        <v>400000</v>
      </c>
      <c r="F63" s="24">
        <f>+E63*30%</f>
        <v>120000</v>
      </c>
      <c r="G63" s="24">
        <f>+F63</f>
        <v>120000</v>
      </c>
    </row>
    <row r="64" spans="1:7" x14ac:dyDescent="0.25">
      <c r="A64" s="9" t="s">
        <v>5</v>
      </c>
      <c r="B64" s="8"/>
      <c r="C64" s="8"/>
      <c r="D64" s="8"/>
      <c r="E64" s="23">
        <f>SUM(E57:E63)</f>
        <v>1500000</v>
      </c>
      <c r="F64" s="23">
        <f>SUM(F57:F63)</f>
        <v>450000</v>
      </c>
      <c r="G64" s="23">
        <f>SUM(G57:G63)</f>
        <v>270000</v>
      </c>
    </row>
    <row r="65" spans="1:7" x14ac:dyDescent="0.25">
      <c r="A65" s="7"/>
      <c r="B65" s="7"/>
      <c r="C65" s="7"/>
      <c r="D65" s="7"/>
      <c r="E65" s="7"/>
      <c r="F65" s="7"/>
      <c r="G65" s="7"/>
    </row>
    <row r="66" spans="1:7" x14ac:dyDescent="0.25">
      <c r="A66" s="7"/>
      <c r="B66" s="7"/>
      <c r="C66" s="7"/>
      <c r="D66" s="7"/>
      <c r="E66" s="7"/>
      <c r="F66" s="7"/>
      <c r="G66" s="7"/>
    </row>
    <row r="67" spans="1:7" x14ac:dyDescent="0.25">
      <c r="A67" s="3"/>
      <c r="B67" s="9"/>
      <c r="C67" s="9"/>
      <c r="D67" s="16" t="s">
        <v>107</v>
      </c>
      <c r="E67" s="16" t="s">
        <v>107</v>
      </c>
      <c r="F67" s="16"/>
      <c r="G67" s="16"/>
    </row>
    <row r="68" spans="1:7" x14ac:dyDescent="0.25">
      <c r="A68" s="3"/>
      <c r="B68" s="9"/>
      <c r="C68" s="9"/>
      <c r="D68" s="16" t="s">
        <v>110</v>
      </c>
      <c r="E68" s="16" t="s">
        <v>78</v>
      </c>
      <c r="F68" s="16" t="s">
        <v>111</v>
      </c>
      <c r="G68" s="16" t="s">
        <v>113</v>
      </c>
    </row>
    <row r="69" spans="1:7" x14ac:dyDescent="0.25">
      <c r="A69" s="9" t="s">
        <v>145</v>
      </c>
      <c r="B69" s="9"/>
      <c r="C69" s="9"/>
      <c r="D69" s="16" t="s">
        <v>1</v>
      </c>
      <c r="E69" s="16" t="s">
        <v>1</v>
      </c>
      <c r="F69" s="16" t="s">
        <v>1</v>
      </c>
      <c r="G69" s="16" t="s">
        <v>1</v>
      </c>
    </row>
    <row r="70" spans="1:7" x14ac:dyDescent="0.25">
      <c r="A70" s="3" t="s">
        <v>112</v>
      </c>
      <c r="B70" s="3"/>
      <c r="C70" s="3"/>
      <c r="D70" s="6">
        <v>350000</v>
      </c>
      <c r="E70" s="6">
        <v>500000</v>
      </c>
      <c r="F70" s="6">
        <f>+E70-D70</f>
        <v>150000</v>
      </c>
      <c r="G70" s="6">
        <f>+F70*30%</f>
        <v>45000</v>
      </c>
    </row>
    <row r="71" spans="1:7" x14ac:dyDescent="0.25">
      <c r="A71" s="3" t="s">
        <v>93</v>
      </c>
      <c r="B71" s="3"/>
      <c r="C71" s="3"/>
      <c r="D71" s="6">
        <v>60000</v>
      </c>
      <c r="E71" s="6">
        <v>400000</v>
      </c>
      <c r="F71" s="6">
        <f>+E71-D71</f>
        <v>340000</v>
      </c>
      <c r="G71" s="6">
        <f>+F71*30%</f>
        <v>102000</v>
      </c>
    </row>
    <row r="72" spans="1:7" x14ac:dyDescent="0.25">
      <c r="A72" s="3" t="s">
        <v>101</v>
      </c>
      <c r="B72" s="3"/>
      <c r="C72" s="3"/>
      <c r="D72" s="6">
        <v>230000</v>
      </c>
      <c r="E72" s="6">
        <v>0</v>
      </c>
      <c r="F72" s="19">
        <f>+D72-E72</f>
        <v>230000</v>
      </c>
      <c r="G72" s="19">
        <f>+F72*30%</f>
        <v>69000</v>
      </c>
    </row>
    <row r="73" spans="1:7" x14ac:dyDescent="0.25">
      <c r="A73" s="3"/>
      <c r="B73" s="3"/>
      <c r="C73" s="3"/>
      <c r="D73" s="3"/>
      <c r="E73" s="3"/>
      <c r="F73" s="22">
        <f>SUM(F70:F72)</f>
        <v>720000</v>
      </c>
      <c r="G73" s="22">
        <f>SUM(G70:G72)</f>
        <v>216000</v>
      </c>
    </row>
    <row r="74" spans="1:7" x14ac:dyDescent="0.25">
      <c r="A74" s="7"/>
      <c r="B74" s="7"/>
      <c r="C74" s="7"/>
      <c r="D74" s="7"/>
      <c r="E74" s="7"/>
      <c r="F74" s="7"/>
      <c r="G74" s="7"/>
    </row>
    <row r="75" spans="1:7" x14ac:dyDescent="0.25">
      <c r="A75" s="9" t="s">
        <v>112</v>
      </c>
      <c r="B75" s="7"/>
      <c r="C75" s="7"/>
      <c r="D75" s="16" t="s">
        <v>1</v>
      </c>
      <c r="E75" s="9" t="s">
        <v>93</v>
      </c>
      <c r="F75" s="7"/>
      <c r="G75" s="16" t="s">
        <v>1</v>
      </c>
    </row>
    <row r="76" spans="1:7" x14ac:dyDescent="0.25">
      <c r="A76" s="3" t="s">
        <v>118</v>
      </c>
      <c r="B76" s="3"/>
      <c r="C76" s="3"/>
      <c r="D76" s="7">
        <f>+E70</f>
        <v>500000</v>
      </c>
      <c r="E76" s="3" t="s">
        <v>120</v>
      </c>
      <c r="F76" s="7"/>
      <c r="G76" s="7">
        <f>E71</f>
        <v>400000</v>
      </c>
    </row>
    <row r="77" spans="1:7" x14ac:dyDescent="0.25">
      <c r="A77" s="3" t="s">
        <v>119</v>
      </c>
      <c r="B77" s="3"/>
      <c r="C77" s="3"/>
      <c r="D77" s="24">
        <v>-150000</v>
      </c>
      <c r="E77" s="3" t="s">
        <v>119</v>
      </c>
      <c r="F77" s="7"/>
      <c r="G77" s="24">
        <v>-340000</v>
      </c>
    </row>
    <row r="78" spans="1:7" x14ac:dyDescent="0.25">
      <c r="A78" s="3"/>
      <c r="B78" s="3"/>
      <c r="C78" s="3"/>
      <c r="D78" s="25">
        <f>+D76+D77</f>
        <v>350000</v>
      </c>
      <c r="E78" s="7"/>
      <c r="F78" s="7"/>
      <c r="G78" s="23">
        <f>+G76+G77</f>
        <v>60000</v>
      </c>
    </row>
    <row r="79" spans="1:7" x14ac:dyDescent="0.25">
      <c r="A79" s="7"/>
      <c r="B79" s="7"/>
      <c r="C79" s="7"/>
      <c r="D79" s="7"/>
      <c r="E79" s="7"/>
      <c r="F79" s="7"/>
      <c r="G79" s="7"/>
    </row>
    <row r="80" spans="1:7" x14ac:dyDescent="0.25">
      <c r="A80" s="3"/>
      <c r="B80" s="3"/>
      <c r="C80" s="3"/>
      <c r="D80" s="9"/>
      <c r="E80" s="7"/>
      <c r="F80" s="16" t="s">
        <v>68</v>
      </c>
      <c r="G80" s="16" t="s">
        <v>28</v>
      </c>
    </row>
    <row r="81" spans="1:7" x14ac:dyDescent="0.25">
      <c r="A81" s="9" t="s">
        <v>140</v>
      </c>
      <c r="B81" s="3"/>
      <c r="C81" s="3"/>
      <c r="D81" s="9"/>
      <c r="E81" s="7"/>
      <c r="F81" s="16" t="s">
        <v>1</v>
      </c>
      <c r="G81" s="16" t="s">
        <v>1</v>
      </c>
    </row>
    <row r="82" spans="1:7" x14ac:dyDescent="0.25">
      <c r="A82" s="3" t="s">
        <v>114</v>
      </c>
      <c r="B82" s="3"/>
      <c r="C82" s="3"/>
      <c r="D82" s="9"/>
      <c r="E82" s="7"/>
      <c r="F82" s="6">
        <f>+G73-G7</f>
        <v>36000</v>
      </c>
      <c r="G82" s="3"/>
    </row>
    <row r="83" spans="1:7" x14ac:dyDescent="0.25">
      <c r="A83" s="3" t="s">
        <v>115</v>
      </c>
      <c r="B83" s="3"/>
      <c r="C83" s="3"/>
      <c r="D83" s="9"/>
      <c r="F83" s="3"/>
      <c r="G83" s="6">
        <f>+F82</f>
        <v>36000</v>
      </c>
    </row>
    <row r="84" spans="1:7" x14ac:dyDescent="0.25">
      <c r="A84" s="7"/>
      <c r="B84" s="7"/>
      <c r="C84" s="7"/>
      <c r="D84" s="7"/>
      <c r="E84" s="7"/>
      <c r="F84" s="7"/>
      <c r="G84" s="7"/>
    </row>
    <row r="85" spans="1:7" x14ac:dyDescent="0.25">
      <c r="A85" s="27"/>
      <c r="B85" s="27"/>
      <c r="C85" s="27"/>
      <c r="D85" s="16" t="s">
        <v>130</v>
      </c>
      <c r="E85" s="16" t="s">
        <v>135</v>
      </c>
      <c r="F85" s="16" t="s">
        <v>136</v>
      </c>
      <c r="G85" s="16" t="s">
        <v>130</v>
      </c>
    </row>
    <row r="86" spans="1:7" x14ac:dyDescent="0.25">
      <c r="A86" s="10"/>
      <c r="B86" s="27"/>
      <c r="C86" s="27"/>
      <c r="D86" s="16" t="s">
        <v>131</v>
      </c>
      <c r="E86" s="16" t="s">
        <v>133</v>
      </c>
      <c r="F86" s="16" t="s">
        <v>134</v>
      </c>
      <c r="G86" s="16" t="s">
        <v>132</v>
      </c>
    </row>
    <row r="87" spans="1:7" x14ac:dyDescent="0.25">
      <c r="A87" s="11" t="s">
        <v>137</v>
      </c>
      <c r="B87" s="27"/>
      <c r="C87" s="27"/>
      <c r="D87" s="16" t="s">
        <v>1</v>
      </c>
      <c r="E87" s="16" t="s">
        <v>1</v>
      </c>
      <c r="F87" s="16" t="s">
        <v>1</v>
      </c>
      <c r="G87" s="16" t="s">
        <v>1</v>
      </c>
    </row>
    <row r="88" spans="1:7" x14ac:dyDescent="0.25">
      <c r="A88" s="3" t="s">
        <v>100</v>
      </c>
      <c r="B88" s="3"/>
      <c r="C88" s="3"/>
      <c r="D88" s="7">
        <f>+G22</f>
        <v>100000</v>
      </c>
      <c r="E88" s="7">
        <v>50000</v>
      </c>
      <c r="F88" s="7">
        <v>0</v>
      </c>
      <c r="G88" s="7">
        <f>SUM(D88:F88)</f>
        <v>150000</v>
      </c>
    </row>
    <row r="89" spans="1:7" x14ac:dyDescent="0.25">
      <c r="A89" s="3" t="s">
        <v>4</v>
      </c>
      <c r="B89" s="7"/>
      <c r="C89" s="7"/>
      <c r="D89" s="7">
        <f>+G23</f>
        <v>300000</v>
      </c>
      <c r="E89" s="7">
        <v>40000</v>
      </c>
      <c r="F89" s="7">
        <v>0</v>
      </c>
      <c r="G89" s="7">
        <f>SUM(D89:F89)</f>
        <v>340000</v>
      </c>
    </row>
    <row r="90" spans="1:7" x14ac:dyDescent="0.25">
      <c r="A90" s="3" t="s">
        <v>101</v>
      </c>
      <c r="B90" s="7"/>
      <c r="C90" s="7"/>
      <c r="D90" s="7">
        <f>+G24</f>
        <v>200000</v>
      </c>
      <c r="E90" s="7">
        <v>30000</v>
      </c>
      <c r="F90" s="7">
        <v>0</v>
      </c>
      <c r="G90" s="7">
        <f>SUM(D90:F90)</f>
        <v>230000</v>
      </c>
    </row>
    <row r="91" spans="1:7" x14ac:dyDescent="0.25">
      <c r="A91" s="7"/>
      <c r="B91" s="7"/>
      <c r="C91" s="7"/>
      <c r="D91" s="25">
        <f>SUM(D88:D90)</f>
        <v>600000</v>
      </c>
      <c r="E91" s="25">
        <f>SUM(E88:E90)</f>
        <v>120000</v>
      </c>
      <c r="F91" s="25">
        <f>SUM(F88:F90)</f>
        <v>0</v>
      </c>
      <c r="G91" s="25">
        <f>SUM(G88:G90)</f>
        <v>720000</v>
      </c>
    </row>
    <row r="92" spans="1:7" x14ac:dyDescent="0.25">
      <c r="A92" s="7"/>
      <c r="B92" s="7"/>
      <c r="C92" s="7"/>
      <c r="D92" s="7"/>
      <c r="E92" s="7"/>
      <c r="F92" s="7"/>
      <c r="G92" s="7"/>
    </row>
    <row r="93" spans="1:7" x14ac:dyDescent="0.25">
      <c r="A93" s="7"/>
      <c r="B93" s="9"/>
      <c r="C93" s="9"/>
      <c r="D93" s="7"/>
      <c r="E93" s="16" t="s">
        <v>1</v>
      </c>
      <c r="F93" s="7"/>
      <c r="G93" s="7"/>
    </row>
    <row r="94" spans="1:7" x14ac:dyDescent="0.25">
      <c r="A94" s="9" t="s">
        <v>122</v>
      </c>
      <c r="B94" s="3"/>
      <c r="C94" s="3"/>
      <c r="D94" s="7"/>
      <c r="E94" s="14">
        <v>300000</v>
      </c>
      <c r="F94" s="7"/>
      <c r="G94" s="7"/>
    </row>
    <row r="95" spans="1:7" x14ac:dyDescent="0.25">
      <c r="A95" s="9" t="s">
        <v>126</v>
      </c>
      <c r="B95" s="3"/>
      <c r="C95" s="3"/>
      <c r="D95" s="7"/>
      <c r="E95" s="6"/>
      <c r="F95" s="7"/>
      <c r="G95" s="7"/>
    </row>
    <row r="96" spans="1:7" x14ac:dyDescent="0.25">
      <c r="A96" s="3" t="s">
        <v>123</v>
      </c>
      <c r="B96" s="3"/>
      <c r="C96" s="3"/>
      <c r="D96" s="7"/>
      <c r="E96" s="6">
        <f>+E88</f>
        <v>50000</v>
      </c>
      <c r="F96" s="7"/>
      <c r="G96" s="7"/>
    </row>
    <row r="97" spans="1:7" x14ac:dyDescent="0.25">
      <c r="A97" s="3" t="s">
        <v>124</v>
      </c>
      <c r="B97" s="7"/>
      <c r="C97" s="7"/>
      <c r="D97" s="7"/>
      <c r="E97" s="6">
        <f>+E89</f>
        <v>40000</v>
      </c>
      <c r="F97" s="7"/>
      <c r="G97" s="7"/>
    </row>
    <row r="98" spans="1:7" x14ac:dyDescent="0.25">
      <c r="A98" s="3" t="s">
        <v>125</v>
      </c>
      <c r="B98" s="7"/>
      <c r="C98" s="7"/>
      <c r="D98" s="7"/>
      <c r="E98" s="6">
        <f>+E90</f>
        <v>30000</v>
      </c>
      <c r="F98" s="7"/>
      <c r="G98" s="7"/>
    </row>
    <row r="99" spans="1:7" x14ac:dyDescent="0.25">
      <c r="A99" s="9" t="s">
        <v>127</v>
      </c>
      <c r="B99" s="7"/>
      <c r="C99" s="7"/>
      <c r="D99" s="7"/>
      <c r="E99" s="7"/>
      <c r="F99" s="7"/>
      <c r="G99" s="7"/>
    </row>
    <row r="100" spans="1:7" x14ac:dyDescent="0.25">
      <c r="A100" s="3" t="s">
        <v>128</v>
      </c>
      <c r="B100" s="7"/>
      <c r="C100" s="7"/>
      <c r="D100" s="7"/>
      <c r="E100" s="24">
        <v>100000</v>
      </c>
      <c r="F100" s="7"/>
      <c r="G100" s="7"/>
    </row>
    <row r="101" spans="1:7" x14ac:dyDescent="0.25">
      <c r="A101" s="9" t="s">
        <v>5</v>
      </c>
      <c r="B101" s="8"/>
      <c r="C101" s="8"/>
      <c r="D101" s="8"/>
      <c r="E101" s="23">
        <f>SUM(E94:E100)</f>
        <v>520000</v>
      </c>
      <c r="F101" s="7"/>
      <c r="G101" s="7"/>
    </row>
    <row r="102" spans="1:7" x14ac:dyDescent="0.25">
      <c r="A102" s="9" t="s">
        <v>26</v>
      </c>
      <c r="B102" s="7"/>
      <c r="C102" s="7"/>
      <c r="D102" s="28">
        <v>0.3</v>
      </c>
      <c r="E102" s="25">
        <f>+D102*E101</f>
        <v>156000</v>
      </c>
      <c r="F102" s="7"/>
      <c r="G102" s="7"/>
    </row>
    <row r="103" spans="1:7" x14ac:dyDescent="0.25">
      <c r="A103" s="7"/>
      <c r="B103" s="7"/>
      <c r="C103" s="7"/>
      <c r="D103" s="7"/>
      <c r="E103" s="7"/>
      <c r="F103" s="7"/>
      <c r="G103" s="7"/>
    </row>
    <row r="104" spans="1:7" x14ac:dyDescent="0.25">
      <c r="A104" s="3"/>
      <c r="B104" s="3"/>
      <c r="C104" s="3"/>
      <c r="D104" s="9"/>
      <c r="E104" s="9"/>
      <c r="F104" s="16" t="s">
        <v>68</v>
      </c>
      <c r="G104" s="16" t="s">
        <v>28</v>
      </c>
    </row>
    <row r="105" spans="1:7" x14ac:dyDescent="0.25">
      <c r="A105" s="9" t="s">
        <v>139</v>
      </c>
      <c r="B105" s="3"/>
      <c r="C105" s="3"/>
      <c r="D105" s="9"/>
      <c r="E105" s="9"/>
      <c r="F105" s="16" t="s">
        <v>1</v>
      </c>
      <c r="G105" s="16" t="s">
        <v>1</v>
      </c>
    </row>
    <row r="106" spans="1:7" x14ac:dyDescent="0.25">
      <c r="A106" s="3" t="s">
        <v>115</v>
      </c>
      <c r="B106" s="3"/>
      <c r="C106" s="3"/>
      <c r="D106" s="9"/>
      <c r="E106" s="9"/>
      <c r="F106" s="26">
        <f>+E102</f>
        <v>156000</v>
      </c>
      <c r="G106" s="6"/>
    </row>
    <row r="107" spans="1:7" x14ac:dyDescent="0.25">
      <c r="A107" s="3" t="s">
        <v>129</v>
      </c>
      <c r="B107" s="3"/>
      <c r="C107" s="3"/>
      <c r="D107" s="9"/>
      <c r="E107" s="9"/>
      <c r="F107" s="6"/>
      <c r="G107" s="26">
        <f>+F106</f>
        <v>156000</v>
      </c>
    </row>
    <row r="108" spans="1:7" x14ac:dyDescent="0.25">
      <c r="A108" s="7"/>
      <c r="B108" s="7"/>
      <c r="C108" s="7"/>
      <c r="D108" s="7"/>
      <c r="E108" s="7"/>
      <c r="F108" s="7"/>
      <c r="G108" s="7"/>
    </row>
    <row r="109" spans="1:7" x14ac:dyDescent="0.25">
      <c r="A109" s="9"/>
      <c r="B109" s="9"/>
      <c r="C109" s="9"/>
      <c r="D109" s="7"/>
      <c r="E109" s="7"/>
      <c r="F109" s="7"/>
      <c r="G109" s="7"/>
    </row>
    <row r="110" spans="1:7" x14ac:dyDescent="0.25">
      <c r="A110" s="7"/>
      <c r="B110" s="9"/>
      <c r="C110" s="9"/>
      <c r="D110" s="7"/>
      <c r="E110" s="7"/>
      <c r="F110" s="16" t="s">
        <v>1</v>
      </c>
      <c r="G110" s="7"/>
    </row>
    <row r="111" spans="1:7" x14ac:dyDescent="0.25">
      <c r="A111" s="9" t="s">
        <v>122</v>
      </c>
      <c r="B111" s="3"/>
      <c r="C111" s="3"/>
      <c r="D111" s="7"/>
      <c r="E111" s="7"/>
      <c r="F111" s="14">
        <f>+E94</f>
        <v>300000</v>
      </c>
      <c r="G111" s="7"/>
    </row>
    <row r="112" spans="1:7" x14ac:dyDescent="0.25">
      <c r="A112" s="9" t="s">
        <v>127</v>
      </c>
      <c r="B112" s="7"/>
      <c r="C112" s="7"/>
      <c r="D112" s="7"/>
      <c r="E112" s="7"/>
      <c r="F112" s="7"/>
      <c r="G112" s="7"/>
    </row>
    <row r="113" spans="1:8" x14ac:dyDescent="0.25">
      <c r="A113" s="3" t="s">
        <v>128</v>
      </c>
      <c r="B113" s="7"/>
      <c r="C113" s="7"/>
      <c r="D113" s="7"/>
      <c r="E113" s="7"/>
      <c r="F113" s="24">
        <f>+E100</f>
        <v>100000</v>
      </c>
      <c r="G113" s="7"/>
    </row>
    <row r="114" spans="1:8" x14ac:dyDescent="0.25">
      <c r="A114" s="9"/>
      <c r="B114" s="8"/>
      <c r="C114" s="8"/>
      <c r="D114" s="8"/>
      <c r="E114" s="7"/>
      <c r="F114" s="23">
        <f>SUM(F111:F113)</f>
        <v>400000</v>
      </c>
      <c r="G114" s="7"/>
    </row>
    <row r="115" spans="1:8" x14ac:dyDescent="0.25">
      <c r="A115" s="9" t="s">
        <v>141</v>
      </c>
      <c r="B115" s="7"/>
      <c r="C115" s="7"/>
      <c r="D115" s="7"/>
      <c r="E115" s="28">
        <v>0.3</v>
      </c>
      <c r="F115" s="23">
        <f>+F114*30%</f>
        <v>120000</v>
      </c>
    </row>
    <row r="116" spans="1:8" x14ac:dyDescent="0.25">
      <c r="A116" s="7"/>
      <c r="B116" s="7"/>
      <c r="C116" s="7"/>
      <c r="D116" s="7"/>
      <c r="E116" s="7"/>
      <c r="F116" s="7"/>
      <c r="G116" s="7"/>
    </row>
    <row r="117" spans="1:8" x14ac:dyDescent="0.25">
      <c r="A117" s="7"/>
      <c r="B117" s="7"/>
      <c r="C117" s="7"/>
      <c r="D117" s="7"/>
      <c r="E117" s="7"/>
      <c r="F117" s="7"/>
      <c r="G117" s="7"/>
    </row>
    <row r="118" spans="1:8" x14ac:dyDescent="0.25">
      <c r="A118" s="7"/>
      <c r="B118" s="9"/>
      <c r="C118" s="9"/>
      <c r="D118" s="7"/>
      <c r="E118" s="13">
        <v>2011</v>
      </c>
      <c r="F118" s="13">
        <v>2012</v>
      </c>
      <c r="G118" s="16" t="s">
        <v>82</v>
      </c>
      <c r="H118" s="7"/>
    </row>
    <row r="119" spans="1:8" x14ac:dyDescent="0.25">
      <c r="A119" s="7"/>
      <c r="B119" s="9"/>
      <c r="C119" s="9"/>
      <c r="D119" s="7"/>
      <c r="E119" s="16" t="s">
        <v>1</v>
      </c>
      <c r="F119" s="16" t="s">
        <v>1</v>
      </c>
      <c r="G119" s="16" t="s">
        <v>1</v>
      </c>
      <c r="H119" s="7"/>
    </row>
    <row r="120" spans="1:8" x14ac:dyDescent="0.25">
      <c r="A120" s="9" t="s">
        <v>122</v>
      </c>
      <c r="B120" s="3"/>
      <c r="C120" s="3"/>
      <c r="D120" s="7"/>
      <c r="E120" s="14">
        <f>+E30</f>
        <v>500000</v>
      </c>
      <c r="F120" s="14">
        <f>+E94</f>
        <v>300000</v>
      </c>
      <c r="G120" s="27"/>
      <c r="H120" s="7"/>
    </row>
    <row r="121" spans="1:8" x14ac:dyDescent="0.25">
      <c r="A121" s="9" t="s">
        <v>126</v>
      </c>
      <c r="B121" s="3"/>
      <c r="C121" s="3"/>
      <c r="D121" s="7"/>
      <c r="E121" s="14"/>
      <c r="F121" s="14"/>
      <c r="G121" s="27"/>
      <c r="H121" s="7"/>
    </row>
    <row r="122" spans="1:8" x14ac:dyDescent="0.25">
      <c r="A122" s="3" t="s">
        <v>123</v>
      </c>
      <c r="B122" s="3"/>
      <c r="C122" s="3"/>
      <c r="D122" s="7"/>
      <c r="E122" s="6">
        <f>+E32</f>
        <v>100000</v>
      </c>
      <c r="F122" s="6">
        <f>+E96</f>
        <v>50000</v>
      </c>
      <c r="G122" s="27">
        <f>+E122+F122</f>
        <v>150000</v>
      </c>
      <c r="H122" s="7"/>
    </row>
    <row r="123" spans="1:8" x14ac:dyDescent="0.25">
      <c r="A123" s="3" t="s">
        <v>124</v>
      </c>
      <c r="B123" s="7"/>
      <c r="C123" s="7"/>
      <c r="D123" s="7"/>
      <c r="E123" s="6">
        <f>+E33</f>
        <v>300000</v>
      </c>
      <c r="F123" s="6">
        <f>+E97</f>
        <v>40000</v>
      </c>
      <c r="G123" s="27">
        <f>+E123+F123</f>
        <v>340000</v>
      </c>
      <c r="H123" s="7"/>
    </row>
    <row r="124" spans="1:8" x14ac:dyDescent="0.25">
      <c r="A124" s="3" t="s">
        <v>125</v>
      </c>
      <c r="B124" s="7"/>
      <c r="C124" s="7"/>
      <c r="D124" s="7"/>
      <c r="E124" s="6">
        <f>+E34</f>
        <v>200000</v>
      </c>
      <c r="F124" s="6">
        <f>+E98</f>
        <v>30000</v>
      </c>
      <c r="G124" s="27">
        <f>+E124+F124</f>
        <v>230000</v>
      </c>
      <c r="H124" s="7"/>
    </row>
    <row r="125" spans="1:8" x14ac:dyDescent="0.25">
      <c r="A125" s="9" t="s">
        <v>127</v>
      </c>
      <c r="B125" s="7"/>
      <c r="C125" s="7"/>
      <c r="D125" s="7"/>
      <c r="E125" s="7"/>
      <c r="F125" s="7"/>
      <c r="G125" s="27"/>
      <c r="H125" s="7"/>
    </row>
    <row r="126" spans="1:8" x14ac:dyDescent="0.25">
      <c r="A126" s="3" t="s">
        <v>128</v>
      </c>
      <c r="B126" s="7"/>
      <c r="C126" s="7"/>
      <c r="D126" s="7"/>
      <c r="E126" s="19">
        <f>+E36</f>
        <v>400000</v>
      </c>
      <c r="F126" s="19">
        <f>+E100</f>
        <v>100000</v>
      </c>
      <c r="G126" s="27"/>
      <c r="H126" s="7"/>
    </row>
    <row r="127" spans="1:8" x14ac:dyDescent="0.25">
      <c r="A127" s="9" t="s">
        <v>5</v>
      </c>
      <c r="B127" s="8"/>
      <c r="C127" s="8"/>
      <c r="D127" s="8"/>
      <c r="E127" s="23">
        <f>SUM(E120:E126)</f>
        <v>1500000</v>
      </c>
      <c r="F127" s="23">
        <f>SUM(F120:F126)</f>
        <v>520000</v>
      </c>
      <c r="G127" s="27"/>
      <c r="H127" s="7"/>
    </row>
    <row r="128" spans="1:8" x14ac:dyDescent="0.25">
      <c r="A128" s="9" t="s">
        <v>34</v>
      </c>
      <c r="B128" s="7"/>
      <c r="C128" s="7"/>
      <c r="D128" s="7"/>
      <c r="E128" s="23">
        <f>+E127*30%</f>
        <v>450000</v>
      </c>
      <c r="F128" s="23">
        <f>+F127*30%</f>
        <v>156000</v>
      </c>
      <c r="G128" s="31"/>
      <c r="H128" s="7"/>
    </row>
    <row r="129" spans="1:8" x14ac:dyDescent="0.25">
      <c r="A129" s="11" t="s">
        <v>146</v>
      </c>
      <c r="B129" s="27"/>
      <c r="C129" s="27"/>
      <c r="D129" s="27"/>
      <c r="E129" s="27"/>
      <c r="F129" s="27"/>
      <c r="G129" s="30">
        <f>SUM(G120:G128)</f>
        <v>720000</v>
      </c>
      <c r="H129" s="7"/>
    </row>
    <row r="130" spans="1:8" x14ac:dyDescent="0.25">
      <c r="A130" s="7"/>
      <c r="B130" s="7"/>
      <c r="C130" s="7"/>
      <c r="D130" s="7"/>
      <c r="E130" s="7"/>
      <c r="F130" s="7"/>
      <c r="G130" s="7"/>
      <c r="H130" s="7"/>
    </row>
    <row r="131" spans="1:8" x14ac:dyDescent="0.25">
      <c r="A131" s="3"/>
      <c r="B131" s="9"/>
      <c r="C131" s="9"/>
      <c r="D131" s="7"/>
      <c r="E131" s="16" t="s">
        <v>107</v>
      </c>
      <c r="F131" s="16" t="s">
        <v>107</v>
      </c>
      <c r="G131" s="16"/>
      <c r="H131" s="7"/>
    </row>
    <row r="132" spans="1:8" x14ac:dyDescent="0.25">
      <c r="A132" s="9" t="s">
        <v>146</v>
      </c>
      <c r="B132" s="9"/>
      <c r="C132" s="9"/>
      <c r="D132" s="7"/>
      <c r="E132" s="16" t="s">
        <v>110</v>
      </c>
      <c r="F132" s="16" t="s">
        <v>78</v>
      </c>
      <c r="G132" s="16" t="s">
        <v>111</v>
      </c>
      <c r="H132" s="7"/>
    </row>
    <row r="133" spans="1:8" x14ac:dyDescent="0.25">
      <c r="A133" s="9" t="s">
        <v>145</v>
      </c>
      <c r="B133" s="9"/>
      <c r="C133" s="9"/>
      <c r="D133" s="7"/>
      <c r="E133" s="16" t="s">
        <v>1</v>
      </c>
      <c r="F133" s="16" t="s">
        <v>1</v>
      </c>
      <c r="G133" s="16" t="s">
        <v>1</v>
      </c>
      <c r="H133" s="7"/>
    </row>
    <row r="134" spans="1:8" x14ac:dyDescent="0.25">
      <c r="A134" s="3" t="s">
        <v>112</v>
      </c>
      <c r="B134" s="3"/>
      <c r="C134" s="3"/>
      <c r="D134" s="7"/>
      <c r="E134" s="6">
        <f t="shared" ref="E134:G136" si="0">+D70</f>
        <v>350000</v>
      </c>
      <c r="F134" s="6">
        <f t="shared" si="0"/>
        <v>500000</v>
      </c>
      <c r="G134" s="6">
        <f t="shared" si="0"/>
        <v>150000</v>
      </c>
      <c r="H134" s="7"/>
    </row>
    <row r="135" spans="1:8" x14ac:dyDescent="0.25">
      <c r="A135" s="3" t="s">
        <v>93</v>
      </c>
      <c r="B135" s="3"/>
      <c r="C135" s="3"/>
      <c r="D135" s="7"/>
      <c r="E135" s="6">
        <f t="shared" si="0"/>
        <v>60000</v>
      </c>
      <c r="F135" s="6">
        <f t="shared" si="0"/>
        <v>400000</v>
      </c>
      <c r="G135" s="6">
        <f t="shared" si="0"/>
        <v>340000</v>
      </c>
      <c r="H135" s="7"/>
    </row>
    <row r="136" spans="1:8" x14ac:dyDescent="0.25">
      <c r="A136" s="3" t="s">
        <v>101</v>
      </c>
      <c r="B136" s="3"/>
      <c r="C136" s="3"/>
      <c r="D136" s="7"/>
      <c r="E136" s="6">
        <f t="shared" si="0"/>
        <v>230000</v>
      </c>
      <c r="F136" s="6">
        <f t="shared" si="0"/>
        <v>0</v>
      </c>
      <c r="G136" s="19">
        <f t="shared" si="0"/>
        <v>230000</v>
      </c>
      <c r="H136" s="7"/>
    </row>
    <row r="137" spans="1:8" x14ac:dyDescent="0.25">
      <c r="A137" s="3"/>
      <c r="B137" s="3"/>
      <c r="C137" s="3"/>
      <c r="D137" s="7"/>
      <c r="E137" s="3"/>
      <c r="F137" s="3"/>
      <c r="G137" s="22">
        <f>SUM(G134:G136)</f>
        <v>720000</v>
      </c>
      <c r="H137" s="7"/>
    </row>
    <row r="138" spans="1:8" x14ac:dyDescent="0.25">
      <c r="A138" s="7"/>
      <c r="B138" s="7"/>
      <c r="C138" s="7"/>
      <c r="D138" s="7"/>
      <c r="E138" s="7"/>
      <c r="F138" s="7"/>
      <c r="G138" s="7"/>
      <c r="H138" s="7"/>
    </row>
    <row r="139" spans="1:8" x14ac:dyDescent="0.25">
      <c r="A139" s="27"/>
      <c r="B139" s="27"/>
      <c r="C139" s="27"/>
      <c r="D139" s="16" t="s">
        <v>130</v>
      </c>
      <c r="E139" s="16" t="s">
        <v>135</v>
      </c>
      <c r="F139" s="16" t="s">
        <v>136</v>
      </c>
      <c r="G139" s="16" t="s">
        <v>130</v>
      </c>
      <c r="H139" s="7"/>
    </row>
    <row r="140" spans="1:8" x14ac:dyDescent="0.25">
      <c r="A140" s="10"/>
      <c r="B140" s="27"/>
      <c r="C140" s="27"/>
      <c r="D140" s="16" t="s">
        <v>131</v>
      </c>
      <c r="E140" s="16" t="s">
        <v>133</v>
      </c>
      <c r="F140" s="16" t="s">
        <v>134</v>
      </c>
      <c r="G140" s="16" t="s">
        <v>132</v>
      </c>
      <c r="H140" s="7"/>
    </row>
    <row r="141" spans="1:8" x14ac:dyDescent="0.25">
      <c r="A141" s="11" t="s">
        <v>137</v>
      </c>
      <c r="B141" s="27"/>
      <c r="C141" s="27"/>
      <c r="D141" s="16" t="s">
        <v>1</v>
      </c>
      <c r="E141" s="16" t="s">
        <v>1</v>
      </c>
      <c r="F141" s="16" t="s">
        <v>1</v>
      </c>
      <c r="G141" s="16" t="s">
        <v>1</v>
      </c>
      <c r="H141" s="7"/>
    </row>
    <row r="142" spans="1:8" x14ac:dyDescent="0.25">
      <c r="A142" s="3" t="s">
        <v>100</v>
      </c>
      <c r="B142" s="3"/>
      <c r="C142" s="3"/>
      <c r="D142" s="7">
        <f t="shared" ref="D142:F144" si="1">+D88</f>
        <v>100000</v>
      </c>
      <c r="E142" s="7">
        <f t="shared" si="1"/>
        <v>50000</v>
      </c>
      <c r="F142" s="7">
        <f t="shared" si="1"/>
        <v>0</v>
      </c>
      <c r="G142" s="7">
        <f>SUM(D142:F142)</f>
        <v>150000</v>
      </c>
      <c r="H142" s="7"/>
    </row>
    <row r="143" spans="1:8" x14ac:dyDescent="0.25">
      <c r="A143" s="3" t="s">
        <v>4</v>
      </c>
      <c r="B143" s="7"/>
      <c r="C143" s="7"/>
      <c r="D143" s="7">
        <f t="shared" si="1"/>
        <v>300000</v>
      </c>
      <c r="E143" s="7">
        <f t="shared" si="1"/>
        <v>40000</v>
      </c>
      <c r="F143" s="7">
        <f t="shared" si="1"/>
        <v>0</v>
      </c>
      <c r="G143" s="7">
        <f>SUM(D143:F143)</f>
        <v>340000</v>
      </c>
      <c r="H143" s="7"/>
    </row>
    <row r="144" spans="1:8" x14ac:dyDescent="0.25">
      <c r="A144" s="3" t="s">
        <v>101</v>
      </c>
      <c r="B144" s="7"/>
      <c r="C144" s="7"/>
      <c r="D144" s="7">
        <f t="shared" si="1"/>
        <v>200000</v>
      </c>
      <c r="E144" s="7">
        <f t="shared" si="1"/>
        <v>30000</v>
      </c>
      <c r="F144" s="7">
        <f t="shared" si="1"/>
        <v>0</v>
      </c>
      <c r="G144" s="7">
        <f>SUM(D144:F144)</f>
        <v>230000</v>
      </c>
      <c r="H144" s="7"/>
    </row>
    <row r="145" spans="1:8" x14ac:dyDescent="0.25">
      <c r="A145" s="7"/>
      <c r="B145" s="7"/>
      <c r="C145" s="7"/>
      <c r="D145" s="25">
        <f>SUM(D142:D144)</f>
        <v>600000</v>
      </c>
      <c r="E145" s="25">
        <f>SUM(E142:E144)</f>
        <v>120000</v>
      </c>
      <c r="F145" s="25">
        <f>SUM(F142:F144)</f>
        <v>0</v>
      </c>
      <c r="G145" s="25">
        <f>SUM(G142:G144)</f>
        <v>720000</v>
      </c>
      <c r="H145" s="7"/>
    </row>
    <row r="146" spans="1:8" x14ac:dyDescent="0.25">
      <c r="A146" s="7"/>
      <c r="B146" s="7"/>
      <c r="C146" s="7"/>
      <c r="D146" s="7"/>
      <c r="E146" s="7"/>
      <c r="F146" s="7"/>
      <c r="G146" s="7"/>
      <c r="H146" s="7"/>
    </row>
    <row r="147" spans="1:8" x14ac:dyDescent="0.25">
      <c r="A147" s="9" t="s">
        <v>138</v>
      </c>
      <c r="B147" s="9"/>
      <c r="C147" s="9"/>
      <c r="D147" s="7"/>
      <c r="E147" s="7"/>
      <c r="F147" s="7"/>
      <c r="G147" s="7"/>
      <c r="H147" s="7"/>
    </row>
    <row r="148" spans="1:8" x14ac:dyDescent="0.25">
      <c r="A148" s="9"/>
      <c r="B148" s="9"/>
      <c r="C148" s="9"/>
      <c r="D148" s="7"/>
      <c r="E148" s="7"/>
      <c r="F148" s="7"/>
      <c r="G148" s="7"/>
      <c r="H148" s="7"/>
    </row>
    <row r="149" spans="1:8" x14ac:dyDescent="0.25">
      <c r="A149" s="7"/>
      <c r="B149" s="9"/>
      <c r="C149" s="9"/>
      <c r="D149" s="7"/>
      <c r="E149" s="16" t="s">
        <v>1</v>
      </c>
      <c r="F149" s="16" t="s">
        <v>1</v>
      </c>
      <c r="G149" s="7"/>
      <c r="H149" s="7"/>
    </row>
    <row r="150" spans="1:8" x14ac:dyDescent="0.25">
      <c r="A150" s="9" t="s">
        <v>122</v>
      </c>
      <c r="B150" s="3"/>
      <c r="C150" s="3"/>
      <c r="D150" s="7"/>
      <c r="E150" s="14">
        <v>900000</v>
      </c>
      <c r="F150" s="8">
        <f>+E150*30%</f>
        <v>270000</v>
      </c>
      <c r="G150" s="7"/>
      <c r="H150" s="7"/>
    </row>
    <row r="151" spans="1:8" x14ac:dyDescent="0.25">
      <c r="A151" s="9" t="s">
        <v>126</v>
      </c>
      <c r="B151" s="3"/>
      <c r="C151" s="3"/>
      <c r="D151" s="7"/>
      <c r="E151" s="6"/>
      <c r="F151" s="7"/>
      <c r="G151" s="7"/>
      <c r="H151" s="7"/>
    </row>
    <row r="152" spans="1:8" x14ac:dyDescent="0.25">
      <c r="A152" s="3" t="s">
        <v>147</v>
      </c>
      <c r="B152" s="3"/>
      <c r="C152" s="3"/>
      <c r="D152" s="7"/>
      <c r="E152" s="7">
        <f>-G122</f>
        <v>-150000</v>
      </c>
      <c r="F152" s="7">
        <f>+E152*30%</f>
        <v>-45000</v>
      </c>
      <c r="G152" s="7"/>
      <c r="H152" s="7"/>
    </row>
    <row r="153" spans="1:8" x14ac:dyDescent="0.25">
      <c r="A153" s="3" t="s">
        <v>148</v>
      </c>
      <c r="B153" s="7"/>
      <c r="C153" s="7"/>
      <c r="D153" s="7"/>
      <c r="E153" s="7">
        <f>-G123</f>
        <v>-340000</v>
      </c>
      <c r="F153" s="7">
        <f>+E153*30%</f>
        <v>-102000</v>
      </c>
      <c r="G153" s="7"/>
      <c r="H153" s="7"/>
    </row>
    <row r="154" spans="1:8" x14ac:dyDescent="0.25">
      <c r="A154" s="3" t="s">
        <v>149</v>
      </c>
      <c r="B154" s="7"/>
      <c r="C154" s="7"/>
      <c r="D154" s="7"/>
      <c r="E154" s="24">
        <f>-G124</f>
        <v>-230000</v>
      </c>
      <c r="F154" s="24">
        <f>+E154*30%</f>
        <v>-69000</v>
      </c>
      <c r="G154" s="7"/>
      <c r="H154" s="7"/>
    </row>
    <row r="155" spans="1:8" x14ac:dyDescent="0.25">
      <c r="A155" s="9"/>
      <c r="B155" s="8"/>
      <c r="C155" s="8"/>
      <c r="D155" s="8"/>
      <c r="E155" s="23">
        <f>SUM(E150:E154)</f>
        <v>180000</v>
      </c>
      <c r="F155" s="23">
        <f>SUM(F150:F154)</f>
        <v>54000</v>
      </c>
      <c r="G155" s="7"/>
      <c r="H155" s="7"/>
    </row>
    <row r="156" spans="1:8" x14ac:dyDescent="0.25">
      <c r="A156" s="9" t="s">
        <v>34</v>
      </c>
      <c r="B156" s="7"/>
      <c r="C156" s="7"/>
      <c r="D156" s="7"/>
      <c r="E156" s="23">
        <f>+E155*30%</f>
        <v>54000</v>
      </c>
      <c r="F156" s="7"/>
      <c r="G156" s="7"/>
      <c r="H156" s="7"/>
    </row>
    <row r="157" spans="1:8" x14ac:dyDescent="0.25">
      <c r="A157" s="7"/>
      <c r="B157" s="7"/>
      <c r="C157" s="7"/>
      <c r="D157" s="7"/>
      <c r="E157" s="7"/>
      <c r="F157" s="7"/>
      <c r="G157" s="7"/>
      <c r="H157" s="7"/>
    </row>
    <row r="158" spans="1:8" x14ac:dyDescent="0.25">
      <c r="A158" s="7"/>
      <c r="B158" s="7"/>
      <c r="C158" s="7"/>
      <c r="D158" s="7"/>
      <c r="E158" s="13" t="s">
        <v>107</v>
      </c>
      <c r="F158" s="13" t="s">
        <v>107</v>
      </c>
      <c r="G158" s="13"/>
      <c r="H158" s="7"/>
    </row>
    <row r="159" spans="1:8" x14ac:dyDescent="0.25">
      <c r="A159" s="7"/>
      <c r="B159" s="7"/>
      <c r="C159" s="7"/>
      <c r="D159" s="7"/>
      <c r="E159" s="13" t="s">
        <v>110</v>
      </c>
      <c r="F159" s="13" t="s">
        <v>78</v>
      </c>
      <c r="G159" s="13" t="s">
        <v>111</v>
      </c>
      <c r="H159" s="7"/>
    </row>
    <row r="160" spans="1:8" x14ac:dyDescent="0.25">
      <c r="A160" s="9" t="s">
        <v>150</v>
      </c>
      <c r="B160" s="9"/>
      <c r="C160" s="9"/>
      <c r="D160" s="7"/>
      <c r="E160" s="16" t="s">
        <v>1</v>
      </c>
      <c r="F160" s="16" t="s">
        <v>1</v>
      </c>
      <c r="G160" s="16" t="s">
        <v>1</v>
      </c>
      <c r="H160" s="7"/>
    </row>
    <row r="161" spans="1:8" x14ac:dyDescent="0.25">
      <c r="A161" s="3" t="s">
        <v>112</v>
      </c>
      <c r="B161" s="3"/>
      <c r="C161" s="3"/>
      <c r="D161" s="7"/>
      <c r="E161" s="6">
        <v>100000</v>
      </c>
      <c r="F161" s="6">
        <v>190000</v>
      </c>
      <c r="G161" s="6">
        <f t="shared" ref="G161:G167" si="2">ABS(E161-F161)</f>
        <v>90000</v>
      </c>
      <c r="H161" s="7"/>
    </row>
    <row r="162" spans="1:8" x14ac:dyDescent="0.25">
      <c r="A162" s="3" t="s">
        <v>93</v>
      </c>
      <c r="B162" s="3"/>
      <c r="C162" s="3"/>
      <c r="D162" s="7"/>
      <c r="E162" s="6">
        <v>200000</v>
      </c>
      <c r="F162" s="6">
        <v>250000</v>
      </c>
      <c r="G162" s="6">
        <f t="shared" si="2"/>
        <v>50000</v>
      </c>
      <c r="H162" s="7"/>
    </row>
    <row r="163" spans="1:8" x14ac:dyDescent="0.25">
      <c r="A163" s="3" t="s">
        <v>151</v>
      </c>
      <c r="B163" s="3"/>
      <c r="C163" s="3"/>
      <c r="D163" s="7"/>
      <c r="E163" s="6">
        <v>200000</v>
      </c>
      <c r="F163" s="6">
        <v>300000</v>
      </c>
      <c r="G163" s="6">
        <f t="shared" si="2"/>
        <v>100000</v>
      </c>
      <c r="H163" s="7"/>
    </row>
    <row r="164" spans="1:8" x14ac:dyDescent="0.25">
      <c r="A164" s="3" t="s">
        <v>152</v>
      </c>
      <c r="B164" s="3"/>
      <c r="C164" s="3"/>
      <c r="D164" s="7"/>
      <c r="E164" s="6">
        <v>300000</v>
      </c>
      <c r="F164" s="6">
        <v>200000</v>
      </c>
      <c r="G164" s="6">
        <f t="shared" si="2"/>
        <v>100000</v>
      </c>
      <c r="H164" s="7"/>
    </row>
    <row r="165" spans="1:8" x14ac:dyDescent="0.25">
      <c r="A165" s="3" t="s">
        <v>153</v>
      </c>
      <c r="B165" s="3"/>
      <c r="C165" s="3"/>
      <c r="D165" s="7"/>
      <c r="E165" s="6">
        <v>400000</v>
      </c>
      <c r="F165" s="6">
        <v>100000</v>
      </c>
      <c r="G165" s="6">
        <f t="shared" si="2"/>
        <v>300000</v>
      </c>
      <c r="H165" s="7"/>
    </row>
    <row r="166" spans="1:8" x14ac:dyDescent="0.25">
      <c r="A166" s="3" t="s">
        <v>101</v>
      </c>
      <c r="B166" s="3"/>
      <c r="C166" s="3"/>
      <c r="D166" s="7"/>
      <c r="E166" s="6">
        <v>100000</v>
      </c>
      <c r="F166" s="6">
        <v>0</v>
      </c>
      <c r="G166" s="6">
        <f t="shared" si="2"/>
        <v>100000</v>
      </c>
      <c r="H166" s="7"/>
    </row>
    <row r="167" spans="1:8" x14ac:dyDescent="0.25">
      <c r="A167" s="3" t="s">
        <v>154</v>
      </c>
      <c r="B167" s="3"/>
      <c r="C167" s="3"/>
      <c r="D167" s="7"/>
      <c r="E167" s="6">
        <v>300000</v>
      </c>
      <c r="F167" s="6">
        <v>0</v>
      </c>
      <c r="G167" s="6">
        <f t="shared" si="2"/>
        <v>300000</v>
      </c>
      <c r="H167" s="7"/>
    </row>
    <row r="168" spans="1:8" x14ac:dyDescent="0.25">
      <c r="A168" s="3"/>
      <c r="B168" s="3"/>
      <c r="C168" s="3"/>
      <c r="D168" s="7"/>
      <c r="E168" s="7"/>
      <c r="F168" s="7"/>
      <c r="G168" s="7"/>
      <c r="H168" s="7"/>
    </row>
    <row r="169" spans="1:8" x14ac:dyDescent="0.25">
      <c r="A169" s="7"/>
      <c r="B169" s="7"/>
      <c r="C169" s="7"/>
      <c r="D169" s="13" t="s">
        <v>107</v>
      </c>
      <c r="E169" s="13" t="s">
        <v>107</v>
      </c>
      <c r="F169" s="13"/>
    </row>
    <row r="170" spans="1:8" x14ac:dyDescent="0.25">
      <c r="A170" s="7"/>
      <c r="B170" s="7"/>
      <c r="C170" s="7"/>
      <c r="D170" s="13" t="s">
        <v>110</v>
      </c>
      <c r="E170" s="13" t="s">
        <v>78</v>
      </c>
      <c r="F170" s="13" t="s">
        <v>111</v>
      </c>
      <c r="G170" s="13" t="s">
        <v>113</v>
      </c>
    </row>
    <row r="171" spans="1:8" x14ac:dyDescent="0.25">
      <c r="A171" s="9" t="s">
        <v>150</v>
      </c>
      <c r="B171" s="9"/>
      <c r="C171" s="9"/>
      <c r="D171" s="16" t="s">
        <v>1</v>
      </c>
      <c r="E171" s="16" t="s">
        <v>1</v>
      </c>
      <c r="F171" s="16" t="s">
        <v>1</v>
      </c>
      <c r="G171" s="16" t="s">
        <v>1</v>
      </c>
    </row>
    <row r="172" spans="1:8" x14ac:dyDescent="0.25">
      <c r="A172" s="3" t="s">
        <v>112</v>
      </c>
      <c r="B172" s="3"/>
      <c r="C172" s="3"/>
      <c r="D172" s="6">
        <v>100000</v>
      </c>
      <c r="E172" s="6">
        <v>190000</v>
      </c>
      <c r="F172" s="6">
        <f t="shared" ref="F172:F178" si="3">ABS(D172-E172)</f>
        <v>90000</v>
      </c>
      <c r="G172" s="6">
        <f>+F172*30%</f>
        <v>27000</v>
      </c>
    </row>
    <row r="173" spans="1:8" x14ac:dyDescent="0.25">
      <c r="A173" s="3" t="s">
        <v>93</v>
      </c>
      <c r="B173" s="3"/>
      <c r="C173" s="3"/>
      <c r="D173" s="6">
        <v>200000</v>
      </c>
      <c r="E173" s="6">
        <v>250000</v>
      </c>
      <c r="F173" s="6">
        <f t="shared" si="3"/>
        <v>50000</v>
      </c>
      <c r="G173" s="6">
        <f t="shared" ref="G173:G178" si="4">+F173*30%</f>
        <v>15000</v>
      </c>
    </row>
    <row r="174" spans="1:8" x14ac:dyDescent="0.25">
      <c r="A174" s="3" t="s">
        <v>151</v>
      </c>
      <c r="B174" s="3"/>
      <c r="C174" s="3"/>
      <c r="D174" s="6">
        <v>200000</v>
      </c>
      <c r="E174" s="6">
        <v>300000</v>
      </c>
      <c r="F174" s="6">
        <f t="shared" si="3"/>
        <v>100000</v>
      </c>
      <c r="G174" s="6">
        <f t="shared" si="4"/>
        <v>30000</v>
      </c>
    </row>
    <row r="175" spans="1:8" x14ac:dyDescent="0.25">
      <c r="A175" s="3" t="s">
        <v>152</v>
      </c>
      <c r="B175" s="3"/>
      <c r="C175" s="3"/>
      <c r="D175" s="6">
        <v>300000</v>
      </c>
      <c r="E175" s="6">
        <v>200000</v>
      </c>
      <c r="F175" s="6">
        <f t="shared" si="3"/>
        <v>100000</v>
      </c>
      <c r="G175" s="6">
        <f t="shared" si="4"/>
        <v>30000</v>
      </c>
    </row>
    <row r="176" spans="1:8" x14ac:dyDescent="0.25">
      <c r="A176" s="3" t="s">
        <v>153</v>
      </c>
      <c r="B176" s="3"/>
      <c r="C176" s="3"/>
      <c r="D176" s="6">
        <v>400000</v>
      </c>
      <c r="E176" s="6">
        <v>100000</v>
      </c>
      <c r="F176" s="6">
        <f t="shared" si="3"/>
        <v>300000</v>
      </c>
      <c r="G176" s="6">
        <f t="shared" si="4"/>
        <v>90000</v>
      </c>
    </row>
    <row r="177" spans="1:7" x14ac:dyDescent="0.25">
      <c r="A177" s="3" t="s">
        <v>101</v>
      </c>
      <c r="B177" s="3"/>
      <c r="C177" s="3"/>
      <c r="D177" s="6">
        <v>100000</v>
      </c>
      <c r="E177" s="6">
        <v>0</v>
      </c>
      <c r="F177" s="6">
        <f t="shared" si="3"/>
        <v>100000</v>
      </c>
      <c r="G177" s="6">
        <f t="shared" si="4"/>
        <v>30000</v>
      </c>
    </row>
    <row r="178" spans="1:7" x14ac:dyDescent="0.25">
      <c r="A178" s="3" t="s">
        <v>154</v>
      </c>
      <c r="B178" s="3"/>
      <c r="C178" s="3"/>
      <c r="D178" s="6">
        <v>300000</v>
      </c>
      <c r="E178" s="6">
        <v>0</v>
      </c>
      <c r="F178" s="6">
        <f t="shared" si="3"/>
        <v>300000</v>
      </c>
      <c r="G178" s="6">
        <f t="shared" si="4"/>
        <v>90000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6:L77"/>
  <sheetViews>
    <sheetView topLeftCell="B1" workbookViewId="0">
      <selection activeCell="L10" sqref="H1:L10"/>
    </sheetView>
  </sheetViews>
  <sheetFormatPr baseColWidth="10" defaultRowHeight="16.5" x14ac:dyDescent="0.25"/>
  <cols>
    <col min="1" max="1" width="29.85546875" style="4" customWidth="1"/>
    <col min="2" max="2" width="12" style="4" bestFit="1" customWidth="1"/>
    <col min="3" max="3" width="11.42578125" style="4"/>
    <col min="4" max="4" width="11.85546875" style="4" bestFit="1" customWidth="1"/>
    <col min="5" max="5" width="13.140625" style="4" customWidth="1"/>
    <col min="6" max="6" width="6.28515625" style="4" customWidth="1"/>
    <col min="8" max="8" width="54.85546875" bestFit="1" customWidth="1"/>
    <col min="9" max="9" width="10.42578125" bestFit="1" customWidth="1"/>
    <col min="11" max="11" width="6.7109375" customWidth="1"/>
    <col min="12" max="12" width="11.140625" bestFit="1" customWidth="1"/>
  </cols>
  <sheetData>
    <row r="6" spans="1:12" x14ac:dyDescent="0.25">
      <c r="A6" s="9"/>
      <c r="B6" s="33"/>
      <c r="C6" s="33"/>
      <c r="D6" s="33"/>
      <c r="E6" s="33"/>
      <c r="F6" s="9"/>
    </row>
    <row r="11" spans="1:12" x14ac:dyDescent="0.25">
      <c r="H11" s="2"/>
      <c r="I11" s="2"/>
      <c r="J11" s="2"/>
      <c r="K11" s="2"/>
      <c r="L11" s="2"/>
    </row>
    <row r="12" spans="1:12" x14ac:dyDescent="0.25">
      <c r="H12" s="2"/>
      <c r="I12" s="2"/>
      <c r="J12" s="2"/>
      <c r="K12" s="2"/>
      <c r="L12" s="2"/>
    </row>
    <row r="13" spans="1:12" x14ac:dyDescent="0.25">
      <c r="H13" s="2"/>
      <c r="I13" s="2"/>
      <c r="J13" s="2"/>
      <c r="K13" s="2"/>
      <c r="L13" s="2"/>
    </row>
    <row r="14" spans="1:12" x14ac:dyDescent="0.25">
      <c r="H14" s="2"/>
      <c r="I14" s="2"/>
      <c r="J14" s="2"/>
      <c r="K14" s="2"/>
      <c r="L14" s="2"/>
    </row>
    <row r="15" spans="1:12" x14ac:dyDescent="0.25">
      <c r="H15" s="2"/>
      <c r="I15" s="2"/>
      <c r="J15" s="2"/>
      <c r="K15" s="2"/>
      <c r="L15" s="2"/>
    </row>
    <row r="16" spans="1:12" x14ac:dyDescent="0.25">
      <c r="H16" s="2"/>
      <c r="I16" s="2"/>
      <c r="J16" s="2"/>
      <c r="K16" s="2"/>
      <c r="L16" s="2"/>
    </row>
    <row r="17" spans="8:12" x14ac:dyDescent="0.25">
      <c r="H17" s="2"/>
      <c r="I17" s="2"/>
      <c r="J17" s="2"/>
      <c r="K17" s="2"/>
      <c r="L17" s="2"/>
    </row>
    <row r="35" spans="1:6" x14ac:dyDescent="0.25">
      <c r="A35" s="9"/>
      <c r="B35" s="32"/>
      <c r="C35" s="33"/>
      <c r="D35" s="33"/>
      <c r="E35" s="33"/>
      <c r="F35" s="9"/>
    </row>
    <row r="36" spans="1:6" x14ac:dyDescent="0.25">
      <c r="A36" s="9"/>
      <c r="B36" s="34" t="s">
        <v>68</v>
      </c>
      <c r="C36" s="34" t="s">
        <v>28</v>
      </c>
      <c r="D36" s="33"/>
      <c r="E36" s="33"/>
      <c r="F36" s="9"/>
    </row>
    <row r="37" spans="1:6" x14ac:dyDescent="0.25">
      <c r="A37" s="9"/>
      <c r="B37" s="34" t="s">
        <v>1</v>
      </c>
      <c r="C37" s="34" t="s">
        <v>1</v>
      </c>
      <c r="D37" s="33"/>
      <c r="E37" s="33"/>
      <c r="F37" s="9"/>
    </row>
    <row r="38" spans="1:6" x14ac:dyDescent="0.25">
      <c r="A38" s="3" t="s">
        <v>167</v>
      </c>
      <c r="B38" s="32">
        <f>+'S-1'!K451</f>
        <v>192000</v>
      </c>
      <c r="C38" s="33"/>
      <c r="D38" s="33"/>
      <c r="E38" s="33"/>
      <c r="F38" s="9"/>
    </row>
    <row r="39" spans="1:6" x14ac:dyDescent="0.25">
      <c r="A39" s="3" t="s">
        <v>171</v>
      </c>
      <c r="B39" s="32"/>
      <c r="C39" s="35">
        <f>+B38</f>
        <v>192000</v>
      </c>
      <c r="D39" s="33"/>
      <c r="E39" s="33"/>
      <c r="F39" s="9"/>
    </row>
    <row r="40" spans="1:6" x14ac:dyDescent="0.25">
      <c r="A40" s="9"/>
      <c r="B40" s="32"/>
      <c r="C40" s="33"/>
      <c r="D40" s="33"/>
      <c r="E40" s="33"/>
      <c r="F40" s="9"/>
    </row>
    <row r="41" spans="1:6" x14ac:dyDescent="0.25">
      <c r="A41" s="9"/>
      <c r="B41" s="32"/>
      <c r="C41" s="33"/>
      <c r="D41" s="33"/>
      <c r="E41" s="33"/>
      <c r="F41" s="9"/>
    </row>
    <row r="42" spans="1:6" x14ac:dyDescent="0.25">
      <c r="A42" s="51"/>
      <c r="B42" s="100" t="s">
        <v>1</v>
      </c>
      <c r="C42" s="95"/>
      <c r="D42" s="33"/>
      <c r="E42" s="33"/>
      <c r="F42" s="9"/>
    </row>
    <row r="43" spans="1:6" x14ac:dyDescent="0.25">
      <c r="A43" s="47" t="s">
        <v>172</v>
      </c>
      <c r="B43" s="94"/>
      <c r="C43" s="95"/>
      <c r="D43" s="33"/>
      <c r="E43" s="33"/>
      <c r="F43" s="9"/>
    </row>
    <row r="44" spans="1:6" x14ac:dyDescent="0.25">
      <c r="A44" s="47" t="s">
        <v>173</v>
      </c>
      <c r="B44" s="104"/>
      <c r="C44" s="95"/>
      <c r="D44" s="33"/>
      <c r="E44" s="33"/>
      <c r="F44" s="9"/>
    </row>
    <row r="45" spans="1:6" x14ac:dyDescent="0.25">
      <c r="A45" s="51" t="s">
        <v>174</v>
      </c>
      <c r="B45" s="94"/>
      <c r="C45" s="95"/>
      <c r="D45" s="33"/>
      <c r="E45" s="33"/>
      <c r="F45" s="9"/>
    </row>
    <row r="46" spans="1:6" x14ac:dyDescent="0.25">
      <c r="A46" s="51" t="s">
        <v>175</v>
      </c>
      <c r="B46" s="94"/>
      <c r="C46" s="95"/>
      <c r="D46" s="33"/>
      <c r="E46" s="33"/>
      <c r="F46" s="9"/>
    </row>
    <row r="47" spans="1:6" x14ac:dyDescent="0.25">
      <c r="A47" s="51" t="s">
        <v>175</v>
      </c>
      <c r="B47" s="94"/>
      <c r="C47" s="95"/>
      <c r="D47" s="33"/>
      <c r="E47" s="33"/>
      <c r="F47" s="9"/>
    </row>
    <row r="48" spans="1:6" x14ac:dyDescent="0.25">
      <c r="A48" s="51" t="s">
        <v>175</v>
      </c>
      <c r="B48" s="104"/>
      <c r="C48" s="95"/>
      <c r="D48" s="33"/>
      <c r="E48" s="33"/>
      <c r="F48" s="9"/>
    </row>
    <row r="49" spans="1:6" x14ac:dyDescent="0.25">
      <c r="A49" s="51" t="s">
        <v>163</v>
      </c>
      <c r="B49" s="103">
        <f>'S-1'!K442</f>
        <v>500000</v>
      </c>
      <c r="C49" s="101" t="s">
        <v>15</v>
      </c>
      <c r="D49" s="33"/>
      <c r="E49" s="33"/>
      <c r="F49" s="9"/>
    </row>
    <row r="50" spans="1:6" x14ac:dyDescent="0.25">
      <c r="A50" s="51" t="s">
        <v>26</v>
      </c>
      <c r="B50" s="76" t="e">
        <f>'S-1'!#REF!-B38</f>
        <v>#REF!</v>
      </c>
      <c r="C50" s="101" t="s">
        <v>14</v>
      </c>
      <c r="D50" s="33"/>
      <c r="E50" s="33"/>
      <c r="F50" s="9"/>
    </row>
    <row r="51" spans="1:6" x14ac:dyDescent="0.25">
      <c r="A51" s="51" t="s">
        <v>176</v>
      </c>
      <c r="B51" s="105" t="e">
        <f>+B49+B50</f>
        <v>#REF!</v>
      </c>
      <c r="C51" s="101" t="s">
        <v>177</v>
      </c>
      <c r="D51" s="33"/>
      <c r="E51" s="33"/>
      <c r="F51" s="9"/>
    </row>
    <row r="52" spans="1:6" x14ac:dyDescent="0.25">
      <c r="A52" s="51" t="s">
        <v>164</v>
      </c>
      <c r="B52" s="96" t="e">
        <f>-B50/B49</f>
        <v>#REF!</v>
      </c>
      <c r="C52" s="95"/>
      <c r="D52" s="33"/>
      <c r="E52" s="33"/>
      <c r="F52" s="9"/>
    </row>
    <row r="53" spans="1:6" x14ac:dyDescent="0.25">
      <c r="A53" s="9"/>
      <c r="B53" s="36"/>
      <c r="C53" s="33"/>
      <c r="D53" s="33"/>
      <c r="E53" s="33"/>
      <c r="F53" s="9"/>
    </row>
    <row r="54" spans="1:6" x14ac:dyDescent="0.25">
      <c r="A54" s="9"/>
      <c r="B54" s="36"/>
      <c r="C54" s="33"/>
      <c r="D54" s="33"/>
      <c r="E54" s="33"/>
      <c r="F54" s="9"/>
    </row>
    <row r="55" spans="1:6" x14ac:dyDescent="0.25">
      <c r="A55" s="9"/>
      <c r="B55" s="36"/>
      <c r="C55" s="33"/>
      <c r="D55" s="33"/>
      <c r="E55" s="33"/>
      <c r="F55" s="9"/>
    </row>
    <row r="66" spans="1:6" x14ac:dyDescent="0.25">
      <c r="A66" s="9"/>
      <c r="B66" s="32"/>
      <c r="C66" s="32"/>
      <c r="D66" s="33"/>
      <c r="E66" s="33"/>
      <c r="F66" s="9"/>
    </row>
    <row r="67" spans="1:6" x14ac:dyDescent="0.25">
      <c r="A67" s="9"/>
      <c r="B67" s="36"/>
      <c r="C67" s="34">
        <v>0.3</v>
      </c>
      <c r="D67" s="34"/>
      <c r="E67" s="34"/>
      <c r="F67" s="34" t="s">
        <v>180</v>
      </c>
    </row>
    <row r="68" spans="1:6" x14ac:dyDescent="0.25">
      <c r="A68" s="9"/>
      <c r="B68" s="36" t="s">
        <v>1</v>
      </c>
      <c r="C68" s="36" t="s">
        <v>1</v>
      </c>
      <c r="D68" s="33"/>
      <c r="E68" s="33"/>
      <c r="F68" s="9"/>
    </row>
    <row r="69" spans="1:6" x14ac:dyDescent="0.25">
      <c r="A69" s="11" t="s">
        <v>163</v>
      </c>
      <c r="B69" s="37">
        <v>500000</v>
      </c>
      <c r="C69" s="37">
        <f>+B69*C67</f>
        <v>150000</v>
      </c>
      <c r="D69" s="33"/>
      <c r="E69" s="38" t="s">
        <v>178</v>
      </c>
      <c r="F69" s="34">
        <f>+C69/B69</f>
        <v>0.3</v>
      </c>
    </row>
    <row r="70" spans="1:6" x14ac:dyDescent="0.25">
      <c r="A70" s="9"/>
      <c r="B70" s="32"/>
      <c r="C70" s="32"/>
      <c r="D70" s="33"/>
      <c r="E70" s="33"/>
      <c r="F70" s="9"/>
    </row>
    <row r="71" spans="1:6" x14ac:dyDescent="0.25">
      <c r="A71" s="9" t="s">
        <v>168</v>
      </c>
      <c r="B71" s="32"/>
      <c r="C71" s="32"/>
      <c r="D71" s="33"/>
      <c r="E71" s="33"/>
      <c r="F71" s="9"/>
    </row>
    <row r="72" spans="1:6" x14ac:dyDescent="0.25">
      <c r="A72" s="3" t="s">
        <v>100</v>
      </c>
      <c r="B72" s="32">
        <f>+'S-1'!E477</f>
        <v>0</v>
      </c>
      <c r="C72" s="32"/>
      <c r="D72" s="33"/>
      <c r="E72" s="33"/>
      <c r="F72" s="9"/>
    </row>
    <row r="73" spans="1:6" x14ac:dyDescent="0.25">
      <c r="A73" s="9"/>
      <c r="B73" s="32"/>
      <c r="C73" s="32"/>
      <c r="D73" s="33"/>
      <c r="E73" s="33"/>
      <c r="F73" s="9"/>
    </row>
    <row r="74" spans="1:6" x14ac:dyDescent="0.25">
      <c r="A74" s="9" t="s">
        <v>169</v>
      </c>
      <c r="B74" s="32">
        <v>100000</v>
      </c>
      <c r="C74" s="32">
        <f>+B74*C67</f>
        <v>30000</v>
      </c>
      <c r="D74" s="33"/>
      <c r="E74" s="33"/>
      <c r="F74" s="9"/>
    </row>
    <row r="75" spans="1:6" x14ac:dyDescent="0.25">
      <c r="A75" s="9"/>
      <c r="B75" s="32"/>
      <c r="C75" s="32"/>
      <c r="D75" s="33"/>
      <c r="E75" s="33"/>
      <c r="F75" s="9"/>
    </row>
    <row r="76" spans="1:6" x14ac:dyDescent="0.25">
      <c r="A76" s="11"/>
      <c r="B76" s="37"/>
      <c r="C76" s="37">
        <f>SUM(C69:C75)</f>
        <v>180000</v>
      </c>
      <c r="D76" s="33"/>
      <c r="E76" s="38" t="s">
        <v>179</v>
      </c>
      <c r="F76" s="34">
        <f>+C76/B69</f>
        <v>0.36</v>
      </c>
    </row>
    <row r="77" spans="1:6" x14ac:dyDescent="0.25">
      <c r="A77" s="11"/>
      <c r="B77" s="37"/>
      <c r="C77" s="37"/>
      <c r="D77" s="33"/>
      <c r="E77" s="38"/>
      <c r="F77" s="34"/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76"/>
  <sheetViews>
    <sheetView zoomScale="80" zoomScaleNormal="80" workbookViewId="0">
      <selection sqref="A1:XFD3"/>
    </sheetView>
  </sheetViews>
  <sheetFormatPr baseColWidth="10" defaultColWidth="0" defaultRowHeight="15" customHeight="1" zeroHeight="1" x14ac:dyDescent="0.25"/>
  <cols>
    <col min="1" max="1" width="8.7109375" style="47" customWidth="1"/>
    <col min="2" max="2" width="38.7109375" style="115" customWidth="1"/>
    <col min="3" max="3" width="10.7109375" style="115" bestFit="1" customWidth="1"/>
    <col min="4" max="4" width="13" style="115" customWidth="1"/>
    <col min="5" max="5" width="12.7109375" style="115" customWidth="1"/>
    <col min="6" max="6" width="11" style="115" bestFit="1" customWidth="1"/>
    <col min="7" max="7" width="3.7109375" style="115" bestFit="1" customWidth="1"/>
    <col min="8" max="8" width="8.7109375" style="47" customWidth="1"/>
    <col min="9" max="9" width="0.85546875" style="47" customWidth="1"/>
    <col min="10" max="10" width="2.85546875" style="122" customWidth="1"/>
    <col min="11" max="16384" width="11.42578125" hidden="1"/>
  </cols>
  <sheetData>
    <row r="1" spans="1:10" s="420" customFormat="1" x14ac:dyDescent="0.25">
      <c r="A1" s="420" t="s">
        <v>914</v>
      </c>
    </row>
    <row r="2" spans="1:10" s="420" customFormat="1" x14ac:dyDescent="0.25"/>
    <row r="3" spans="1:10" s="420" customFormat="1" x14ac:dyDescent="0.25"/>
    <row r="4" spans="1:10" x14ac:dyDescent="0.25">
      <c r="A4" s="403" t="s">
        <v>828</v>
      </c>
      <c r="B4" s="403"/>
      <c r="C4" s="403"/>
      <c r="D4" s="403"/>
      <c r="E4" s="403"/>
      <c r="F4" s="403"/>
      <c r="G4" s="403"/>
      <c r="H4" s="403"/>
      <c r="I4" s="403"/>
      <c r="J4" s="403"/>
    </row>
    <row r="5" spans="1:10" ht="15" customHeight="1" x14ac:dyDescent="0.25">
      <c r="B5" s="385"/>
      <c r="C5" s="386">
        <v>2013</v>
      </c>
      <c r="D5" s="386">
        <v>2014</v>
      </c>
      <c r="E5" s="386">
        <v>2015</v>
      </c>
    </row>
    <row r="6" spans="1:10" ht="15" customHeight="1" x14ac:dyDescent="0.25">
      <c r="B6" s="268" t="s">
        <v>417</v>
      </c>
      <c r="C6" s="386" t="s">
        <v>1</v>
      </c>
      <c r="D6" s="386" t="s">
        <v>1</v>
      </c>
      <c r="E6" s="386" t="s">
        <v>1</v>
      </c>
    </row>
    <row r="7" spans="1:10" ht="15" customHeight="1" x14ac:dyDescent="0.25"/>
    <row r="8" spans="1:10" ht="15" customHeight="1" x14ac:dyDescent="0.25">
      <c r="B8" s="115" t="s">
        <v>775</v>
      </c>
      <c r="C8" s="116">
        <v>900000</v>
      </c>
      <c r="D8" s="116">
        <v>800000</v>
      </c>
      <c r="E8" s="116">
        <v>700000</v>
      </c>
    </row>
    <row r="9" spans="1:10" ht="15" customHeight="1" x14ac:dyDescent="0.25">
      <c r="B9" s="115" t="s">
        <v>776</v>
      </c>
      <c r="C9" s="76">
        <f>-C8*60%</f>
        <v>-540000</v>
      </c>
      <c r="D9" s="76">
        <f t="shared" ref="D9:E9" si="0">-D8*60%</f>
        <v>-480000</v>
      </c>
      <c r="E9" s="76">
        <f t="shared" si="0"/>
        <v>-420000</v>
      </c>
    </row>
    <row r="10" spans="1:10" ht="15" customHeight="1" x14ac:dyDescent="0.25">
      <c r="B10" s="113" t="s">
        <v>187</v>
      </c>
      <c r="C10" s="387">
        <f>+C8+C9</f>
        <v>360000</v>
      </c>
      <c r="D10" s="387">
        <f t="shared" ref="D10:E10" si="1">+D8+D9</f>
        <v>320000</v>
      </c>
      <c r="E10" s="387">
        <f t="shared" si="1"/>
        <v>280000</v>
      </c>
    </row>
    <row r="11" spans="1:10" ht="15" customHeight="1" x14ac:dyDescent="0.25"/>
    <row r="12" spans="1:10" ht="15" customHeight="1" x14ac:dyDescent="0.25">
      <c r="B12" s="115" t="s">
        <v>777</v>
      </c>
      <c r="C12" s="78">
        <f>-C10*15%</f>
        <v>-54000</v>
      </c>
      <c r="D12" s="78">
        <f t="shared" ref="D12:E12" si="2">-D10*15%</f>
        <v>-48000</v>
      </c>
      <c r="E12" s="78">
        <f t="shared" si="2"/>
        <v>-42000</v>
      </c>
      <c r="I12" s="2"/>
    </row>
    <row r="13" spans="1:10" ht="15" customHeight="1" x14ac:dyDescent="0.25">
      <c r="B13" s="115" t="s">
        <v>485</v>
      </c>
      <c r="C13" s="76">
        <f>-C8*5%</f>
        <v>-45000</v>
      </c>
      <c r="D13" s="76">
        <f t="shared" ref="D13:E13" si="3">-D8*5%</f>
        <v>-40000</v>
      </c>
      <c r="E13" s="76">
        <f t="shared" si="3"/>
        <v>-35000</v>
      </c>
      <c r="I13" s="2"/>
    </row>
    <row r="14" spans="1:10" ht="15" customHeight="1" x14ac:dyDescent="0.25">
      <c r="B14" s="113" t="s">
        <v>163</v>
      </c>
      <c r="C14" s="387">
        <f>SUM(C10:C13)</f>
        <v>261000</v>
      </c>
      <c r="D14" s="387">
        <f t="shared" ref="D14:E14" si="4">SUM(D10:D13)</f>
        <v>232000</v>
      </c>
      <c r="E14" s="387">
        <f t="shared" si="4"/>
        <v>203000</v>
      </c>
      <c r="I14" s="2"/>
    </row>
    <row r="15" spans="1:10" ht="15" customHeight="1" x14ac:dyDescent="0.25">
      <c r="B15" s="113" t="s">
        <v>26</v>
      </c>
      <c r="I15" s="2"/>
    </row>
    <row r="16" spans="1:10" ht="15" customHeight="1" x14ac:dyDescent="0.25">
      <c r="B16" s="388" t="s">
        <v>142</v>
      </c>
      <c r="C16" s="78">
        <f>-E71</f>
        <v>-90000</v>
      </c>
      <c r="D16" s="78">
        <f>-E75</f>
        <v>-87000</v>
      </c>
      <c r="E16" s="78">
        <f>-E79</f>
        <v>-102000</v>
      </c>
      <c r="I16" s="2"/>
    </row>
    <row r="17" spans="1:10" ht="15" customHeight="1" x14ac:dyDescent="0.25">
      <c r="B17" s="388" t="s">
        <v>778</v>
      </c>
      <c r="C17" s="390"/>
      <c r="D17" s="390"/>
      <c r="E17" s="390"/>
      <c r="I17" s="2"/>
    </row>
    <row r="18" spans="1:10" ht="15" customHeight="1" x14ac:dyDescent="0.25">
      <c r="B18" s="113" t="s">
        <v>176</v>
      </c>
      <c r="C18" s="389">
        <f>+C14+C16</f>
        <v>171000</v>
      </c>
      <c r="D18" s="389">
        <f t="shared" ref="D18:E18" si="5">+D14+D16</f>
        <v>145000</v>
      </c>
      <c r="E18" s="389">
        <f t="shared" si="5"/>
        <v>101000</v>
      </c>
      <c r="I18" s="2"/>
    </row>
    <row r="19" spans="1:10" ht="15" customHeight="1" x14ac:dyDescent="0.25">
      <c r="I19" s="2"/>
    </row>
    <row r="20" spans="1:10" ht="15" customHeight="1" x14ac:dyDescent="0.25">
      <c r="B20" s="127" t="s">
        <v>779</v>
      </c>
      <c r="I20" s="2"/>
    </row>
    <row r="21" spans="1:10" ht="15" customHeight="1" x14ac:dyDescent="0.25">
      <c r="I21" s="2"/>
    </row>
    <row r="22" spans="1:10" x14ac:dyDescent="0.25">
      <c r="A22" s="403" t="s">
        <v>829</v>
      </c>
      <c r="B22" s="403"/>
      <c r="C22" s="403"/>
      <c r="D22" s="403"/>
      <c r="E22" s="403"/>
      <c r="F22" s="403"/>
      <c r="G22" s="403"/>
      <c r="H22" s="403"/>
      <c r="I22" s="403"/>
      <c r="J22" s="403"/>
    </row>
    <row r="23" spans="1:10" ht="15" customHeight="1" x14ac:dyDescent="0.25">
      <c r="A23" s="2"/>
      <c r="B23" s="119"/>
      <c r="C23" s="118">
        <v>2013</v>
      </c>
      <c r="D23" s="118">
        <v>2014</v>
      </c>
      <c r="E23" s="118">
        <v>2015</v>
      </c>
      <c r="F23" s="118" t="s">
        <v>82</v>
      </c>
      <c r="G23" s="123"/>
      <c r="H23" s="2"/>
      <c r="I23" s="2"/>
    </row>
    <row r="24" spans="1:10" ht="15" customHeight="1" x14ac:dyDescent="0.25">
      <c r="A24" s="2"/>
      <c r="B24" s="119"/>
      <c r="C24" s="118" t="s">
        <v>1</v>
      </c>
      <c r="D24" s="118" t="s">
        <v>1</v>
      </c>
      <c r="E24" s="118" t="s">
        <v>1</v>
      </c>
      <c r="F24" s="118" t="s">
        <v>276</v>
      </c>
      <c r="G24" s="123"/>
      <c r="H24" s="2"/>
      <c r="I24" s="2"/>
    </row>
    <row r="25" spans="1:10" ht="15" customHeight="1" x14ac:dyDescent="0.25">
      <c r="A25" s="2"/>
      <c r="B25" s="119" t="s">
        <v>431</v>
      </c>
      <c r="C25" s="120">
        <v>60000</v>
      </c>
      <c r="D25" s="120">
        <v>50000</v>
      </c>
      <c r="E25" s="120">
        <v>40000</v>
      </c>
      <c r="F25" s="118" t="s">
        <v>1</v>
      </c>
      <c r="G25" s="124"/>
      <c r="H25" s="2"/>
      <c r="I25" s="2"/>
    </row>
    <row r="26" spans="1:10" ht="15" customHeight="1" x14ac:dyDescent="0.25">
      <c r="A26" s="2"/>
      <c r="B26" s="113"/>
      <c r="C26" s="114"/>
      <c r="D26" s="114"/>
      <c r="E26" s="114"/>
      <c r="F26" s="113"/>
      <c r="G26" s="125"/>
      <c r="H26" s="2"/>
      <c r="I26" s="2"/>
    </row>
    <row r="27" spans="1:10" ht="15" customHeight="1" x14ac:dyDescent="0.25">
      <c r="A27" s="2"/>
      <c r="B27" s="113" t="s">
        <v>432</v>
      </c>
      <c r="C27" s="113"/>
      <c r="D27" s="113"/>
      <c r="E27" s="113"/>
      <c r="F27" s="113"/>
      <c r="G27" s="126"/>
      <c r="H27" s="2"/>
      <c r="I27" s="2"/>
    </row>
    <row r="28" spans="1:10" ht="15" customHeight="1" x14ac:dyDescent="0.25">
      <c r="A28" s="2"/>
      <c r="B28" s="115" t="s">
        <v>4</v>
      </c>
      <c r="C28" s="116">
        <v>20000</v>
      </c>
      <c r="D28" s="116">
        <v>30000</v>
      </c>
      <c r="E28" s="116">
        <v>40000</v>
      </c>
      <c r="F28" s="116">
        <v>90000</v>
      </c>
      <c r="G28" s="125" t="s">
        <v>426</v>
      </c>
      <c r="H28" s="2"/>
      <c r="I28" s="2"/>
    </row>
    <row r="29" spans="1:10" ht="15" customHeight="1" x14ac:dyDescent="0.25">
      <c r="A29" s="2"/>
      <c r="B29" s="115" t="s">
        <v>100</v>
      </c>
      <c r="C29" s="116">
        <v>50000</v>
      </c>
      <c r="D29" s="116">
        <v>30000</v>
      </c>
      <c r="E29" s="116">
        <v>20000</v>
      </c>
      <c r="F29" s="116">
        <v>100000</v>
      </c>
      <c r="G29" s="125" t="s">
        <v>427</v>
      </c>
      <c r="H29" s="2"/>
      <c r="I29" s="2"/>
    </row>
    <row r="30" spans="1:10" ht="15" customHeight="1" x14ac:dyDescent="0.25">
      <c r="A30" s="2"/>
      <c r="B30" s="115" t="s">
        <v>101</v>
      </c>
      <c r="C30" s="116">
        <v>70000</v>
      </c>
      <c r="D30" s="116">
        <v>60000</v>
      </c>
      <c r="E30" s="116">
        <v>50000</v>
      </c>
      <c r="F30" s="116">
        <v>180000</v>
      </c>
      <c r="G30" s="125" t="s">
        <v>428</v>
      </c>
      <c r="H30" s="2"/>
      <c r="I30" s="2"/>
    </row>
    <row r="31" spans="1:10" ht="15" customHeight="1" x14ac:dyDescent="0.25">
      <c r="A31" s="2"/>
      <c r="B31" s="113" t="s">
        <v>433</v>
      </c>
      <c r="C31" s="113"/>
      <c r="D31" s="113"/>
      <c r="E31" s="113"/>
      <c r="F31" s="113"/>
      <c r="G31" s="125"/>
      <c r="H31" s="2"/>
      <c r="I31" s="2"/>
    </row>
    <row r="32" spans="1:10" ht="15" customHeight="1" x14ac:dyDescent="0.25">
      <c r="A32" s="2"/>
      <c r="B32" s="115" t="s">
        <v>4</v>
      </c>
      <c r="C32" s="78">
        <v>0</v>
      </c>
      <c r="D32" s="78">
        <v>-10000</v>
      </c>
      <c r="E32" s="78">
        <v>-20000</v>
      </c>
      <c r="F32" s="78">
        <v>-30000</v>
      </c>
      <c r="G32" s="125" t="s">
        <v>426</v>
      </c>
      <c r="H32" s="2"/>
      <c r="I32" s="2"/>
    </row>
    <row r="33" spans="1:10" ht="15" customHeight="1" x14ac:dyDescent="0.25">
      <c r="A33" s="2"/>
      <c r="B33" s="115" t="s">
        <v>100</v>
      </c>
      <c r="C33" s="78">
        <v>0</v>
      </c>
      <c r="D33" s="78">
        <v>-30000</v>
      </c>
      <c r="E33" s="78">
        <v>-40000</v>
      </c>
      <c r="F33" s="78">
        <v>-70000</v>
      </c>
      <c r="G33" s="125" t="s">
        <v>427</v>
      </c>
      <c r="H33" s="2"/>
      <c r="I33" s="2"/>
    </row>
    <row r="34" spans="1:10" ht="15" customHeight="1" x14ac:dyDescent="0.25">
      <c r="A34" s="2"/>
      <c r="B34" s="115" t="s">
        <v>101</v>
      </c>
      <c r="C34" s="78">
        <v>0</v>
      </c>
      <c r="D34" s="78">
        <v>-40000</v>
      </c>
      <c r="E34" s="78">
        <v>-50000</v>
      </c>
      <c r="F34" s="78">
        <v>-90000</v>
      </c>
      <c r="G34" s="125" t="s">
        <v>428</v>
      </c>
      <c r="H34" s="2"/>
      <c r="I34" s="2"/>
    </row>
    <row r="35" spans="1:10" ht="15" customHeight="1" x14ac:dyDescent="0.25">
      <c r="A35" s="2"/>
      <c r="C35" s="78"/>
      <c r="D35" s="78"/>
      <c r="E35" s="78"/>
      <c r="F35" s="78"/>
      <c r="G35" s="125"/>
      <c r="H35" s="2"/>
      <c r="I35" s="2"/>
    </row>
    <row r="36" spans="1:10" ht="15" customHeight="1" x14ac:dyDescent="0.25">
      <c r="A36" s="2"/>
      <c r="B36" s="113" t="s">
        <v>434</v>
      </c>
      <c r="C36" s="116">
        <v>100000</v>
      </c>
      <c r="D36" s="116">
        <v>200000</v>
      </c>
      <c r="E36" s="116">
        <v>300000</v>
      </c>
      <c r="G36" s="125" t="s">
        <v>429</v>
      </c>
      <c r="H36" s="2"/>
      <c r="I36" s="2"/>
    </row>
    <row r="37" spans="1:10" ht="15" customHeight="1" x14ac:dyDescent="0.25">
      <c r="A37" s="2"/>
      <c r="B37" s="113"/>
      <c r="C37" s="116"/>
      <c r="D37" s="116"/>
      <c r="E37" s="116"/>
      <c r="G37" s="125"/>
      <c r="H37" s="2"/>
      <c r="I37" s="2"/>
    </row>
    <row r="38" spans="1:10" ht="15" customHeight="1" x14ac:dyDescent="0.25">
      <c r="A38" s="2"/>
      <c r="B38" s="119" t="s">
        <v>435</v>
      </c>
      <c r="C38" s="120">
        <v>300000</v>
      </c>
      <c r="D38" s="120">
        <v>290000</v>
      </c>
      <c r="E38" s="120">
        <v>340000</v>
      </c>
      <c r="F38" s="119"/>
      <c r="G38" s="123"/>
      <c r="H38" s="2"/>
      <c r="I38" s="2"/>
    </row>
    <row r="39" spans="1:10" ht="15" customHeight="1" x14ac:dyDescent="0.25">
      <c r="A39" s="2"/>
      <c r="B39" s="119" t="s">
        <v>436</v>
      </c>
      <c r="C39" s="120">
        <v>90000</v>
      </c>
      <c r="D39" s="120">
        <v>87000</v>
      </c>
      <c r="E39" s="120">
        <v>102000</v>
      </c>
      <c r="F39" s="121"/>
      <c r="G39" s="124"/>
      <c r="H39" s="2"/>
      <c r="I39" s="2"/>
    </row>
    <row r="40" spans="1:10" ht="15" customHeight="1" x14ac:dyDescent="0.25">
      <c r="A40" s="2"/>
      <c r="B40" s="117"/>
      <c r="C40" s="117"/>
      <c r="D40" s="117"/>
      <c r="E40" s="117"/>
      <c r="F40" s="117"/>
      <c r="G40" s="127"/>
      <c r="H40" s="2"/>
      <c r="I40" s="2"/>
    </row>
    <row r="41" spans="1:10" ht="15" customHeight="1" x14ac:dyDescent="0.25">
      <c r="A41" s="2"/>
      <c r="B41" s="115" t="s">
        <v>406</v>
      </c>
      <c r="C41" s="117"/>
      <c r="D41" s="117"/>
      <c r="E41" s="117"/>
      <c r="F41" s="117"/>
      <c r="G41" s="127"/>
      <c r="H41" s="2"/>
      <c r="I41" s="2"/>
    </row>
    <row r="42" spans="1:10" ht="15" customHeight="1" x14ac:dyDescent="0.25">
      <c r="A42" s="2"/>
      <c r="B42" s="115" t="s">
        <v>430</v>
      </c>
      <c r="C42" s="112"/>
      <c r="D42" s="117"/>
      <c r="E42" s="117"/>
      <c r="F42" s="117"/>
      <c r="G42" s="127"/>
      <c r="H42" s="2"/>
      <c r="I42" s="2"/>
    </row>
    <row r="43" spans="1:10" ht="15" customHeight="1" x14ac:dyDescent="0.25">
      <c r="A43" s="2"/>
      <c r="B43" s="112"/>
      <c r="C43" s="112"/>
      <c r="D43" s="112"/>
      <c r="E43" s="112"/>
      <c r="F43" s="112"/>
      <c r="G43" s="128"/>
      <c r="H43" s="2"/>
      <c r="I43" s="2"/>
    </row>
    <row r="44" spans="1:10" x14ac:dyDescent="0.25">
      <c r="A44" s="403" t="s">
        <v>830</v>
      </c>
      <c r="B44" s="403"/>
      <c r="C44" s="403"/>
      <c r="D44" s="403"/>
      <c r="E44" s="403"/>
      <c r="F44" s="403"/>
      <c r="G44" s="403"/>
      <c r="H44" s="403"/>
      <c r="I44" s="403"/>
      <c r="J44" s="403"/>
    </row>
    <row r="45" spans="1:10" ht="15" customHeight="1" x14ac:dyDescent="0.25">
      <c r="A45" s="119"/>
      <c r="B45" s="119"/>
      <c r="C45" s="118">
        <v>2013</v>
      </c>
      <c r="D45" s="118">
        <v>2014</v>
      </c>
      <c r="E45" s="118">
        <v>2015</v>
      </c>
      <c r="F45" s="334" t="s">
        <v>489</v>
      </c>
      <c r="H45" s="2"/>
      <c r="I45" s="2"/>
    </row>
    <row r="46" spans="1:10" ht="15" customHeight="1" x14ac:dyDescent="0.25">
      <c r="A46" s="332" t="s">
        <v>683</v>
      </c>
      <c r="B46" s="332"/>
      <c r="C46" s="118" t="s">
        <v>1</v>
      </c>
      <c r="D46" s="118" t="s">
        <v>1</v>
      </c>
      <c r="E46" s="118" t="s">
        <v>1</v>
      </c>
      <c r="F46" s="334" t="s">
        <v>686</v>
      </c>
      <c r="H46" s="2"/>
      <c r="I46" s="2"/>
    </row>
    <row r="47" spans="1:10" ht="15" customHeight="1" x14ac:dyDescent="0.25">
      <c r="A47" s="129" t="s">
        <v>0</v>
      </c>
      <c r="B47" s="129"/>
      <c r="C47" s="131">
        <v>0</v>
      </c>
      <c r="D47" s="130">
        <f>+C50</f>
        <v>20000</v>
      </c>
      <c r="E47" s="130">
        <f>+D50</f>
        <v>40000</v>
      </c>
      <c r="F47" s="333" t="s">
        <v>1</v>
      </c>
      <c r="H47" s="2"/>
      <c r="I47" s="2"/>
    </row>
    <row r="48" spans="1:10" ht="15" customHeight="1" x14ac:dyDescent="0.25">
      <c r="A48" s="115" t="s">
        <v>684</v>
      </c>
      <c r="C48" s="78">
        <v>20000</v>
      </c>
      <c r="D48" s="116">
        <v>30000</v>
      </c>
      <c r="E48" s="116">
        <v>40000</v>
      </c>
      <c r="F48" s="116">
        <f>+C48+D48+E48</f>
        <v>90000</v>
      </c>
      <c r="H48" s="2"/>
      <c r="I48" s="2"/>
    </row>
    <row r="49" spans="1:10" ht="15" customHeight="1" x14ac:dyDescent="0.25">
      <c r="A49" s="115" t="s">
        <v>685</v>
      </c>
      <c r="C49" s="78">
        <v>0</v>
      </c>
      <c r="D49" s="78">
        <v>-10000</v>
      </c>
      <c r="E49" s="78">
        <v>-20000</v>
      </c>
      <c r="F49" s="78">
        <f>+C49+D49+E49</f>
        <v>-30000</v>
      </c>
      <c r="H49" s="2"/>
      <c r="I49" s="2"/>
    </row>
    <row r="50" spans="1:10" ht="15" customHeight="1" x14ac:dyDescent="0.25">
      <c r="A50" s="129" t="s">
        <v>2</v>
      </c>
      <c r="B50" s="129"/>
      <c r="C50" s="130">
        <f>SUM(C47:C49)</f>
        <v>20000</v>
      </c>
      <c r="D50" s="130">
        <f>SUM(D47:D49)</f>
        <v>40000</v>
      </c>
      <c r="E50" s="130">
        <f>SUM(E47:E49)</f>
        <v>60000</v>
      </c>
      <c r="F50" s="335">
        <f>+F48+F49</f>
        <v>60000</v>
      </c>
      <c r="H50" s="2"/>
    </row>
    <row r="51" spans="1:10" ht="15" customHeight="1" x14ac:dyDescent="0.25">
      <c r="A51" s="2"/>
      <c r="B51" s="112"/>
      <c r="C51" s="112"/>
      <c r="D51" s="112"/>
      <c r="E51" s="112"/>
      <c r="F51" s="112"/>
      <c r="G51" s="128"/>
      <c r="H51" s="2"/>
    </row>
    <row r="52" spans="1:10" x14ac:dyDescent="0.25">
      <c r="A52" s="403" t="s">
        <v>831</v>
      </c>
      <c r="B52" s="403"/>
      <c r="C52" s="403"/>
      <c r="D52" s="403"/>
      <c r="E52" s="403"/>
      <c r="F52" s="403"/>
      <c r="G52" s="403"/>
      <c r="H52" s="403"/>
      <c r="I52" s="403"/>
      <c r="J52" s="403"/>
    </row>
    <row r="53" spans="1:10" ht="15" customHeight="1" x14ac:dyDescent="0.25">
      <c r="A53" s="119"/>
      <c r="B53" s="119"/>
      <c r="C53" s="118">
        <v>2013</v>
      </c>
      <c r="D53" s="118">
        <v>2014</v>
      </c>
      <c r="E53" s="118">
        <v>2015</v>
      </c>
      <c r="F53" s="334" t="s">
        <v>489</v>
      </c>
      <c r="G53" s="128"/>
      <c r="H53" s="2"/>
    </row>
    <row r="54" spans="1:10" ht="15" customHeight="1" x14ac:dyDescent="0.25">
      <c r="A54" s="332" t="s">
        <v>437</v>
      </c>
      <c r="B54" s="121"/>
      <c r="C54" s="118" t="s">
        <v>1</v>
      </c>
      <c r="D54" s="118" t="s">
        <v>1</v>
      </c>
      <c r="E54" s="118" t="s">
        <v>1</v>
      </c>
      <c r="F54" s="334" t="s">
        <v>686</v>
      </c>
      <c r="G54" s="128"/>
      <c r="H54" s="2"/>
    </row>
    <row r="55" spans="1:10" ht="15" customHeight="1" x14ac:dyDescent="0.25">
      <c r="A55" s="129" t="s">
        <v>0</v>
      </c>
      <c r="B55" s="129"/>
      <c r="C55" s="131">
        <v>0</v>
      </c>
      <c r="D55" s="130">
        <f>+C58</f>
        <v>50000</v>
      </c>
      <c r="E55" s="130">
        <f>+D58</f>
        <v>50000</v>
      </c>
      <c r="F55" s="333" t="s">
        <v>1</v>
      </c>
      <c r="G55" s="126"/>
      <c r="H55" s="2"/>
    </row>
    <row r="56" spans="1:10" ht="15" customHeight="1" x14ac:dyDescent="0.25">
      <c r="A56" s="115" t="s">
        <v>684</v>
      </c>
      <c r="C56" s="78">
        <v>50000</v>
      </c>
      <c r="D56" s="116">
        <v>30000</v>
      </c>
      <c r="E56" s="116">
        <v>20000</v>
      </c>
      <c r="F56" s="116">
        <f>+C56+D56+E56</f>
        <v>100000</v>
      </c>
      <c r="G56" s="125"/>
      <c r="H56" s="2"/>
    </row>
    <row r="57" spans="1:10" ht="15" customHeight="1" x14ac:dyDescent="0.25">
      <c r="A57" s="115" t="s">
        <v>687</v>
      </c>
      <c r="C57" s="78">
        <v>0</v>
      </c>
      <c r="D57" s="78">
        <v>-30000</v>
      </c>
      <c r="E57" s="78">
        <v>-40000</v>
      </c>
      <c r="F57" s="78">
        <f>+C57+D57+E57</f>
        <v>-70000</v>
      </c>
      <c r="G57" s="125"/>
      <c r="H57" s="2"/>
    </row>
    <row r="58" spans="1:10" ht="15" customHeight="1" x14ac:dyDescent="0.25">
      <c r="A58" s="129" t="s">
        <v>2</v>
      </c>
      <c r="B58" s="129"/>
      <c r="C58" s="130">
        <f>SUM(C55:C57)</f>
        <v>50000</v>
      </c>
      <c r="D58" s="130">
        <f>SUM(D55:D57)</f>
        <v>50000</v>
      </c>
      <c r="E58" s="130">
        <f>SUM(E55:E57)</f>
        <v>30000</v>
      </c>
      <c r="F58" s="335">
        <f>+F56+F57</f>
        <v>30000</v>
      </c>
      <c r="G58" s="126"/>
      <c r="H58" s="2"/>
    </row>
    <row r="59" spans="1:10" ht="15" customHeight="1" x14ac:dyDescent="0.25">
      <c r="A59" s="2"/>
      <c r="B59" s="112"/>
      <c r="C59" s="112"/>
      <c r="D59" s="112"/>
      <c r="E59" s="112"/>
      <c r="F59" s="112"/>
      <c r="G59" s="128"/>
      <c r="H59" s="2"/>
    </row>
    <row r="60" spans="1:10" x14ac:dyDescent="0.25">
      <c r="A60" s="403" t="s">
        <v>832</v>
      </c>
      <c r="B60" s="403"/>
      <c r="C60" s="403"/>
      <c r="D60" s="403"/>
      <c r="E60" s="403"/>
      <c r="F60" s="403"/>
      <c r="G60" s="403"/>
      <c r="H60" s="403"/>
      <c r="I60" s="403"/>
      <c r="J60" s="403"/>
    </row>
    <row r="61" spans="1:10" ht="15" customHeight="1" x14ac:dyDescent="0.25">
      <c r="A61" s="119"/>
      <c r="B61" s="119"/>
      <c r="C61" s="118">
        <v>2013</v>
      </c>
      <c r="D61" s="118">
        <v>2014</v>
      </c>
      <c r="E61" s="118">
        <v>2015</v>
      </c>
      <c r="F61" s="334" t="s">
        <v>489</v>
      </c>
      <c r="H61" s="2"/>
    </row>
    <row r="62" spans="1:10" ht="15" customHeight="1" x14ac:dyDescent="0.25">
      <c r="A62" s="332" t="s">
        <v>101</v>
      </c>
      <c r="B62" s="121"/>
      <c r="C62" s="118" t="s">
        <v>1</v>
      </c>
      <c r="D62" s="118" t="s">
        <v>1</v>
      </c>
      <c r="E62" s="118" t="s">
        <v>1</v>
      </c>
      <c r="F62" s="334" t="s">
        <v>686</v>
      </c>
      <c r="H62" s="2"/>
    </row>
    <row r="63" spans="1:10" ht="15" customHeight="1" x14ac:dyDescent="0.25">
      <c r="A63" s="129" t="s">
        <v>0</v>
      </c>
      <c r="B63" s="129"/>
      <c r="C63" s="131">
        <v>0</v>
      </c>
      <c r="D63" s="130">
        <f>+C66</f>
        <v>70000</v>
      </c>
      <c r="E63" s="130">
        <f>+D66</f>
        <v>90000</v>
      </c>
      <c r="F63" s="333" t="s">
        <v>1</v>
      </c>
      <c r="H63" s="2"/>
    </row>
    <row r="64" spans="1:10" ht="15" customHeight="1" x14ac:dyDescent="0.25">
      <c r="A64" s="115" t="s">
        <v>688</v>
      </c>
      <c r="C64" s="78">
        <v>70000</v>
      </c>
      <c r="D64" s="116">
        <v>60000</v>
      </c>
      <c r="E64" s="116">
        <v>50000</v>
      </c>
      <c r="F64" s="116">
        <f>+C64+D64+E64</f>
        <v>180000</v>
      </c>
      <c r="H64" s="2"/>
    </row>
    <row r="65" spans="1:10" ht="15" customHeight="1" x14ac:dyDescent="0.25">
      <c r="A65" s="115" t="s">
        <v>689</v>
      </c>
      <c r="C65" s="78">
        <v>0</v>
      </c>
      <c r="D65" s="78">
        <v>-40000</v>
      </c>
      <c r="E65" s="78">
        <v>-50000</v>
      </c>
      <c r="F65" s="78">
        <f>+C65+D65+E65</f>
        <v>-90000</v>
      </c>
      <c r="H65" s="2"/>
    </row>
    <row r="66" spans="1:10" ht="15" customHeight="1" x14ac:dyDescent="0.25">
      <c r="A66" s="129" t="s">
        <v>2</v>
      </c>
      <c r="B66" s="129"/>
      <c r="C66" s="130">
        <f>SUM(C63:C65)</f>
        <v>70000</v>
      </c>
      <c r="D66" s="130">
        <f>SUM(D63:D65)</f>
        <v>90000</v>
      </c>
      <c r="E66" s="130">
        <f>SUM(E63:E65)</f>
        <v>90000</v>
      </c>
      <c r="F66" s="335">
        <f>+F64+F65</f>
        <v>90000</v>
      </c>
      <c r="H66" s="2"/>
      <c r="I66" s="2"/>
    </row>
    <row r="67" spans="1:10" ht="15" customHeight="1" x14ac:dyDescent="0.25">
      <c r="I67" s="2"/>
    </row>
    <row r="68" spans="1:10" ht="15" customHeight="1" x14ac:dyDescent="0.25">
      <c r="I68" s="2"/>
    </row>
    <row r="69" spans="1:10" x14ac:dyDescent="0.25">
      <c r="A69" s="403" t="s">
        <v>833</v>
      </c>
      <c r="B69" s="403"/>
      <c r="C69" s="403"/>
      <c r="D69" s="403"/>
      <c r="E69" s="403"/>
      <c r="F69" s="403"/>
      <c r="G69" s="403"/>
      <c r="H69" s="403"/>
      <c r="I69" s="403"/>
      <c r="J69" s="403"/>
    </row>
    <row r="70" spans="1:10" ht="15" customHeight="1" x14ac:dyDescent="0.25">
      <c r="B70" s="132" t="s">
        <v>438</v>
      </c>
      <c r="C70" s="132"/>
      <c r="D70" s="132"/>
      <c r="E70" s="133" t="s">
        <v>68</v>
      </c>
      <c r="F70" s="133" t="s">
        <v>28</v>
      </c>
      <c r="I70" s="2"/>
    </row>
    <row r="71" spans="1:10" ht="15" customHeight="1" x14ac:dyDescent="0.25">
      <c r="B71" s="115" t="s">
        <v>280</v>
      </c>
      <c r="E71" s="116">
        <f>C39</f>
        <v>90000</v>
      </c>
      <c r="I71" s="2"/>
    </row>
    <row r="72" spans="1:10" ht="15" customHeight="1" x14ac:dyDescent="0.25">
      <c r="B72" s="115" t="s">
        <v>171</v>
      </c>
      <c r="F72" s="116">
        <f>+E71</f>
        <v>90000</v>
      </c>
    </row>
    <row r="73" spans="1:10" ht="15" customHeight="1" x14ac:dyDescent="0.25">
      <c r="F73" s="116"/>
    </row>
    <row r="74" spans="1:10" ht="15" customHeight="1" x14ac:dyDescent="0.25">
      <c r="B74" s="132" t="s">
        <v>439</v>
      </c>
      <c r="C74" s="132"/>
      <c r="D74" s="132"/>
      <c r="E74" s="133" t="s">
        <v>68</v>
      </c>
      <c r="F74" s="133" t="s">
        <v>28</v>
      </c>
    </row>
    <row r="75" spans="1:10" ht="15" customHeight="1" x14ac:dyDescent="0.25">
      <c r="B75" s="115" t="s">
        <v>280</v>
      </c>
      <c r="E75" s="116">
        <f>D39</f>
        <v>87000</v>
      </c>
    </row>
    <row r="76" spans="1:10" ht="15" customHeight="1" x14ac:dyDescent="0.25">
      <c r="B76" s="115" t="s">
        <v>171</v>
      </c>
      <c r="F76" s="116">
        <f>+E75</f>
        <v>87000</v>
      </c>
    </row>
    <row r="77" spans="1:10" ht="15" customHeight="1" x14ac:dyDescent="0.25">
      <c r="F77" s="116"/>
    </row>
    <row r="78" spans="1:10" ht="15" customHeight="1" x14ac:dyDescent="0.25">
      <c r="B78" s="132" t="s">
        <v>440</v>
      </c>
      <c r="C78" s="132"/>
      <c r="D78" s="132"/>
      <c r="E78" s="133" t="s">
        <v>68</v>
      </c>
      <c r="F78" s="133" t="s">
        <v>28</v>
      </c>
    </row>
    <row r="79" spans="1:10" ht="15" customHeight="1" x14ac:dyDescent="0.25">
      <c r="B79" s="115" t="s">
        <v>280</v>
      </c>
      <c r="E79" s="116">
        <f>E39</f>
        <v>102000</v>
      </c>
    </row>
    <row r="80" spans="1:10" ht="15" customHeight="1" x14ac:dyDescent="0.25">
      <c r="B80" s="115" t="s">
        <v>171</v>
      </c>
      <c r="F80" s="116">
        <f>+E79</f>
        <v>102000</v>
      </c>
    </row>
    <row r="81" spans="1:10" ht="15" customHeight="1" x14ac:dyDescent="0.25"/>
    <row r="82" spans="1:10" x14ac:dyDescent="0.25">
      <c r="A82" s="403" t="s">
        <v>834</v>
      </c>
      <c r="B82" s="403"/>
      <c r="C82" s="403"/>
      <c r="D82" s="403"/>
      <c r="E82" s="403"/>
      <c r="F82" s="403"/>
      <c r="G82" s="403"/>
      <c r="H82" s="403"/>
      <c r="I82" s="403"/>
      <c r="J82" s="403"/>
    </row>
    <row r="83" spans="1:10" ht="15" customHeight="1" x14ac:dyDescent="0.25">
      <c r="A83" s="2"/>
      <c r="B83" s="119"/>
      <c r="C83" s="119"/>
      <c r="D83" s="118">
        <v>2013</v>
      </c>
      <c r="E83" s="118">
        <v>2014</v>
      </c>
      <c r="F83" s="118">
        <v>2015</v>
      </c>
      <c r="G83" s="128"/>
      <c r="H83" s="2"/>
    </row>
    <row r="84" spans="1:10" ht="15" customHeight="1" x14ac:dyDescent="0.25">
      <c r="A84" s="2"/>
      <c r="B84" s="121" t="s">
        <v>441</v>
      </c>
      <c r="C84" s="119"/>
      <c r="D84" s="118" t="s">
        <v>1</v>
      </c>
      <c r="E84" s="118" t="s">
        <v>1</v>
      </c>
      <c r="F84" s="118" t="s">
        <v>1</v>
      </c>
      <c r="G84" s="128"/>
      <c r="H84" s="2"/>
    </row>
    <row r="85" spans="1:10" ht="15" customHeight="1" x14ac:dyDescent="0.25">
      <c r="A85" s="2"/>
      <c r="B85" s="115" t="s">
        <v>442</v>
      </c>
      <c r="D85" s="78">
        <f>F72</f>
        <v>90000</v>
      </c>
      <c r="E85" s="116">
        <f>F76</f>
        <v>87000</v>
      </c>
      <c r="F85" s="116">
        <f>F80</f>
        <v>102000</v>
      </c>
      <c r="G85" s="125"/>
      <c r="H85" s="2"/>
    </row>
    <row r="86" spans="1:10" ht="15" customHeight="1" x14ac:dyDescent="0.25">
      <c r="A86" s="2"/>
      <c r="B86" s="115" t="s">
        <v>443</v>
      </c>
      <c r="D86" s="78">
        <v>-65000</v>
      </c>
      <c r="E86" s="78">
        <v>-60000</v>
      </c>
      <c r="F86" s="78">
        <v>-92000</v>
      </c>
      <c r="G86" s="125"/>
      <c r="H86" s="2"/>
    </row>
    <row r="87" spans="1:10" ht="15" customHeight="1" x14ac:dyDescent="0.25">
      <c r="A87" s="2"/>
      <c r="B87" s="129" t="s">
        <v>444</v>
      </c>
      <c r="C87" s="129"/>
      <c r="D87" s="130">
        <f>SUM(D85:D86)</f>
        <v>25000</v>
      </c>
      <c r="E87" s="130">
        <f>SUM(E85:E86)</f>
        <v>27000</v>
      </c>
      <c r="F87" s="130">
        <f>SUM(F85:F86)</f>
        <v>10000</v>
      </c>
      <c r="G87" s="126"/>
      <c r="H87" s="2"/>
    </row>
    <row r="88" spans="1:10" ht="15" customHeight="1" x14ac:dyDescent="0.25"/>
    <row r="89" spans="1:10" ht="15" customHeight="1" x14ac:dyDescent="0.25"/>
    <row r="90" spans="1:10" x14ac:dyDescent="0.25">
      <c r="A90" s="403" t="s">
        <v>835</v>
      </c>
      <c r="B90" s="403"/>
      <c r="C90" s="403"/>
      <c r="D90" s="403"/>
      <c r="E90" s="403"/>
      <c r="F90" s="403"/>
      <c r="G90" s="403"/>
      <c r="H90" s="403"/>
      <c r="I90" s="403"/>
      <c r="J90" s="403"/>
    </row>
    <row r="91" spans="1:10" ht="15" customHeight="1" x14ac:dyDescent="0.25">
      <c r="B91" s="119" t="s">
        <v>627</v>
      </c>
      <c r="C91" s="118"/>
      <c r="D91" s="118"/>
      <c r="E91" s="118"/>
      <c r="F91" s="118"/>
      <c r="G91" s="123"/>
    </row>
    <row r="92" spans="1:10" ht="15" customHeight="1" x14ac:dyDescent="0.25">
      <c r="B92" s="119"/>
      <c r="C92" s="118">
        <v>2013</v>
      </c>
      <c r="D92" s="118">
        <v>2014</v>
      </c>
      <c r="E92" s="118">
        <v>2015</v>
      </c>
      <c r="F92" s="118" t="s">
        <v>82</v>
      </c>
      <c r="G92" s="123"/>
    </row>
    <row r="93" spans="1:10" ht="15" customHeight="1" x14ac:dyDescent="0.25">
      <c r="B93" s="119"/>
      <c r="C93" s="118" t="s">
        <v>1</v>
      </c>
      <c r="D93" s="118" t="s">
        <v>1</v>
      </c>
      <c r="E93" s="118" t="s">
        <v>1</v>
      </c>
      <c r="F93" s="118" t="s">
        <v>276</v>
      </c>
      <c r="G93" s="123"/>
    </row>
    <row r="94" spans="1:10" ht="15" customHeight="1" x14ac:dyDescent="0.25">
      <c r="B94" s="2"/>
      <c r="C94" s="2"/>
      <c r="D94" s="2"/>
      <c r="E94" s="2"/>
      <c r="F94" s="2"/>
      <c r="G94" s="2"/>
    </row>
    <row r="95" spans="1:10" ht="15" customHeight="1" x14ac:dyDescent="0.25">
      <c r="B95" s="119" t="s">
        <v>3</v>
      </c>
      <c r="C95" s="120">
        <v>60000</v>
      </c>
      <c r="D95" s="120">
        <v>50000</v>
      </c>
      <c r="E95" s="120">
        <v>40000</v>
      </c>
      <c r="F95" s="118" t="s">
        <v>1</v>
      </c>
      <c r="G95" s="124"/>
    </row>
    <row r="96" spans="1:10" ht="15" customHeight="1" x14ac:dyDescent="0.25">
      <c r="B96" s="113" t="s">
        <v>609</v>
      </c>
      <c r="C96" s="113"/>
      <c r="D96" s="113"/>
      <c r="E96" s="113"/>
      <c r="F96" s="113"/>
      <c r="G96" s="126"/>
    </row>
    <row r="97" spans="2:7" ht="15" customHeight="1" x14ac:dyDescent="0.25">
      <c r="B97" s="115" t="s">
        <v>4</v>
      </c>
      <c r="C97" s="116">
        <v>20000</v>
      </c>
      <c r="D97" s="116">
        <v>30000</v>
      </c>
      <c r="E97" s="116">
        <v>40000</v>
      </c>
      <c r="F97" s="78">
        <f>+C97+D97+E97</f>
        <v>90000</v>
      </c>
      <c r="G97" s="126" t="s">
        <v>598</v>
      </c>
    </row>
    <row r="98" spans="2:7" ht="15" customHeight="1" x14ac:dyDescent="0.25">
      <c r="B98" s="115" t="s">
        <v>100</v>
      </c>
      <c r="C98" s="116">
        <v>50000</v>
      </c>
      <c r="D98" s="116">
        <v>30000</v>
      </c>
      <c r="E98" s="116">
        <v>20000</v>
      </c>
      <c r="F98" s="78">
        <f>+C98+D98+E98</f>
        <v>100000</v>
      </c>
      <c r="G98" s="126" t="s">
        <v>600</v>
      </c>
    </row>
    <row r="99" spans="2:7" ht="15" customHeight="1" x14ac:dyDescent="0.25">
      <c r="B99" s="115" t="s">
        <v>101</v>
      </c>
      <c r="C99" s="116">
        <v>70000</v>
      </c>
      <c r="D99" s="116">
        <v>60000</v>
      </c>
      <c r="E99" s="116">
        <v>80000</v>
      </c>
      <c r="F99" s="78">
        <f>+C99+D99+E99</f>
        <v>210000</v>
      </c>
      <c r="G99" s="126" t="s">
        <v>602</v>
      </c>
    </row>
    <row r="100" spans="2:7" ht="15" customHeight="1" x14ac:dyDescent="0.25">
      <c r="B100" s="113" t="s">
        <v>610</v>
      </c>
      <c r="C100" s="113"/>
      <c r="D100" s="113"/>
      <c r="E100" s="113"/>
      <c r="F100" s="113"/>
      <c r="G100" s="126"/>
    </row>
    <row r="101" spans="2:7" ht="15" customHeight="1" x14ac:dyDescent="0.25">
      <c r="B101" s="115" t="s">
        <v>4</v>
      </c>
      <c r="C101" s="78">
        <v>0</v>
      </c>
      <c r="D101" s="78">
        <v>-10000</v>
      </c>
      <c r="E101" s="78">
        <v>-20000</v>
      </c>
      <c r="F101" s="78">
        <f>+C101+D101+E101</f>
        <v>-30000</v>
      </c>
      <c r="G101" s="126" t="s">
        <v>599</v>
      </c>
    </row>
    <row r="102" spans="2:7" ht="15" customHeight="1" x14ac:dyDescent="0.25">
      <c r="B102" s="115" t="s">
        <v>100</v>
      </c>
      <c r="C102" s="78">
        <v>0</v>
      </c>
      <c r="D102" s="78">
        <v>-30000</v>
      </c>
      <c r="E102" s="78">
        <v>-40000</v>
      </c>
      <c r="F102" s="78">
        <f>+C102+D102+E102</f>
        <v>-70000</v>
      </c>
      <c r="G102" s="126" t="s">
        <v>601</v>
      </c>
    </row>
    <row r="103" spans="2:7" ht="15" customHeight="1" x14ac:dyDescent="0.25">
      <c r="B103" s="115" t="s">
        <v>101</v>
      </c>
      <c r="C103" s="78">
        <v>0</v>
      </c>
      <c r="D103" s="78">
        <v>-20000</v>
      </c>
      <c r="E103" s="78">
        <v>-40000</v>
      </c>
      <c r="F103" s="78">
        <f>+C103+D103+E103</f>
        <v>-60000</v>
      </c>
      <c r="G103" s="126" t="s">
        <v>603</v>
      </c>
    </row>
    <row r="104" spans="2:7" ht="15" customHeight="1" x14ac:dyDescent="0.25">
      <c r="C104" s="78"/>
      <c r="D104" s="78"/>
      <c r="E104" s="78"/>
      <c r="F104" s="78"/>
      <c r="G104" s="126"/>
    </row>
    <row r="105" spans="2:7" ht="15" customHeight="1" x14ac:dyDescent="0.25">
      <c r="B105" s="113" t="s">
        <v>611</v>
      </c>
      <c r="C105" s="116">
        <v>100000</v>
      </c>
      <c r="D105" s="116">
        <v>200000</v>
      </c>
      <c r="E105" s="116">
        <v>300000</v>
      </c>
      <c r="G105" s="126" t="s">
        <v>429</v>
      </c>
    </row>
    <row r="106" spans="2:7" ht="15" customHeight="1" x14ac:dyDescent="0.25">
      <c r="B106" s="119" t="s">
        <v>612</v>
      </c>
      <c r="C106" s="120">
        <v>300000</v>
      </c>
      <c r="D106" s="120">
        <v>290000</v>
      </c>
      <c r="E106" s="120">
        <v>340000</v>
      </c>
      <c r="F106" s="123" t="s">
        <v>208</v>
      </c>
      <c r="G106" s="123"/>
    </row>
    <row r="107" spans="2:7" ht="15" customHeight="1" x14ac:dyDescent="0.25">
      <c r="B107" s="119" t="s">
        <v>34</v>
      </c>
      <c r="C107" s="120">
        <v>90000</v>
      </c>
      <c r="D107" s="120">
        <v>87000</v>
      </c>
      <c r="E107" s="120">
        <v>102000</v>
      </c>
      <c r="F107" s="123" t="s">
        <v>621</v>
      </c>
      <c r="G107" s="123"/>
    </row>
    <row r="108" spans="2:7" ht="15" customHeight="1" x14ac:dyDescent="0.25">
      <c r="B108" s="117"/>
      <c r="C108" s="117"/>
      <c r="D108" s="117"/>
      <c r="E108" s="117"/>
      <c r="F108" s="117"/>
      <c r="G108" s="127"/>
    </row>
    <row r="109" spans="2:7" ht="15" customHeight="1" x14ac:dyDescent="0.25">
      <c r="B109" s="321" t="s">
        <v>631</v>
      </c>
      <c r="C109" s="306">
        <f>SUM(C97:C103)</f>
        <v>140000</v>
      </c>
      <c r="D109" s="306">
        <f>SUM(D97:D103)</f>
        <v>60000</v>
      </c>
      <c r="E109" s="306">
        <f>SUM(E97:E103)</f>
        <v>40000</v>
      </c>
      <c r="F109" s="117"/>
      <c r="G109" s="127"/>
    </row>
    <row r="110" spans="2:7" ht="5.25" customHeight="1" x14ac:dyDescent="0.25">
      <c r="B110" s="321"/>
      <c r="C110" s="306"/>
      <c r="D110" s="306"/>
      <c r="E110" s="306"/>
      <c r="F110" s="117"/>
      <c r="G110" s="127"/>
    </row>
    <row r="111" spans="2:7" ht="15" customHeight="1" x14ac:dyDescent="0.25">
      <c r="B111" s="321" t="s">
        <v>630</v>
      </c>
      <c r="C111" s="306">
        <f>+C109</f>
        <v>140000</v>
      </c>
      <c r="D111" s="306">
        <f>+C109+D109</f>
        <v>200000</v>
      </c>
      <c r="E111" s="306">
        <f>+D111+E109</f>
        <v>240000</v>
      </c>
      <c r="F111" s="126" t="s">
        <v>613</v>
      </c>
      <c r="G111" s="127"/>
    </row>
    <row r="112" spans="2:7" ht="15" customHeight="1" x14ac:dyDescent="0.25">
      <c r="B112" s="321" t="s">
        <v>626</v>
      </c>
      <c r="C112" s="306">
        <f>+C111*30%</f>
        <v>42000</v>
      </c>
      <c r="D112" s="306">
        <f>+D111*30%</f>
        <v>60000</v>
      </c>
      <c r="E112" s="306">
        <f>+E111*30%</f>
        <v>72000</v>
      </c>
      <c r="F112" s="126" t="s">
        <v>614</v>
      </c>
      <c r="G112" s="126"/>
    </row>
    <row r="113" spans="1:10" ht="15" customHeight="1" x14ac:dyDescent="0.25">
      <c r="B113" s="117"/>
      <c r="C113" s="117"/>
      <c r="D113" s="117"/>
      <c r="E113" s="305"/>
      <c r="F113" s="306"/>
      <c r="G113" s="127"/>
    </row>
    <row r="114" spans="1:10" ht="15" customHeight="1" x14ac:dyDescent="0.25">
      <c r="B114" s="115" t="s">
        <v>406</v>
      </c>
      <c r="C114" s="117"/>
      <c r="D114" s="117"/>
      <c r="E114" s="117"/>
      <c r="F114" s="117"/>
      <c r="G114" s="117"/>
    </row>
    <row r="115" spans="1:10" ht="15" customHeight="1" x14ac:dyDescent="0.25">
      <c r="B115" s="115" t="s">
        <v>487</v>
      </c>
      <c r="C115" s="112"/>
      <c r="D115" s="117"/>
      <c r="E115" s="117"/>
      <c r="F115" s="117"/>
      <c r="G115" s="117"/>
    </row>
    <row r="116" spans="1:10" ht="15" customHeight="1" x14ac:dyDescent="0.25">
      <c r="B116" s="115" t="s">
        <v>430</v>
      </c>
      <c r="C116" s="2"/>
      <c r="D116" s="2"/>
      <c r="E116" s="2"/>
      <c r="F116" s="117"/>
      <c r="G116" s="117"/>
    </row>
    <row r="117" spans="1:10" ht="15" customHeight="1" x14ac:dyDescent="0.25"/>
    <row r="118" spans="1:10" x14ac:dyDescent="0.25">
      <c r="A118" s="403" t="s">
        <v>836</v>
      </c>
      <c r="B118" s="403"/>
      <c r="C118" s="403"/>
      <c r="D118" s="403"/>
      <c r="E118" s="403"/>
      <c r="F118" s="403"/>
      <c r="G118" s="403"/>
      <c r="H118" s="403"/>
      <c r="I118" s="403"/>
      <c r="J118" s="403"/>
    </row>
    <row r="119" spans="1:10" ht="15" customHeight="1" x14ac:dyDescent="0.25">
      <c r="B119" s="119" t="s">
        <v>629</v>
      </c>
      <c r="C119" s="118">
        <v>2013</v>
      </c>
      <c r="D119" s="118">
        <v>2014</v>
      </c>
      <c r="E119" s="118">
        <v>2015</v>
      </c>
      <c r="F119" s="2"/>
      <c r="G119" s="2"/>
    </row>
    <row r="120" spans="1:10" ht="15" customHeight="1" x14ac:dyDescent="0.25">
      <c r="B120" s="121"/>
      <c r="C120" s="118" t="s">
        <v>1</v>
      </c>
      <c r="D120" s="118" t="s">
        <v>1</v>
      </c>
      <c r="E120" s="118" t="s">
        <v>1</v>
      </c>
      <c r="F120" s="2"/>
    </row>
    <row r="121" spans="1:10" ht="15" customHeight="1" x14ac:dyDescent="0.25">
      <c r="B121" s="113" t="s">
        <v>615</v>
      </c>
      <c r="C121" s="89">
        <v>80000</v>
      </c>
      <c r="D121" s="114">
        <v>100000</v>
      </c>
      <c r="E121" s="114">
        <v>90000</v>
      </c>
      <c r="F121" s="2"/>
    </row>
    <row r="122" spans="1:10" ht="15" customHeight="1" x14ac:dyDescent="0.25">
      <c r="B122" s="113" t="s">
        <v>148</v>
      </c>
      <c r="C122" s="307"/>
      <c r="D122" s="307"/>
      <c r="E122" s="307"/>
      <c r="F122" s="2"/>
    </row>
    <row r="123" spans="1:10" ht="15" customHeight="1" x14ac:dyDescent="0.25">
      <c r="B123" s="129" t="s">
        <v>0</v>
      </c>
      <c r="C123" s="131">
        <v>0</v>
      </c>
      <c r="D123" s="130">
        <f>+C126</f>
        <v>20000</v>
      </c>
      <c r="E123" s="130">
        <f>+D126</f>
        <v>40000</v>
      </c>
      <c r="F123" s="2"/>
    </row>
    <row r="124" spans="1:10" ht="15" customHeight="1" x14ac:dyDescent="0.25">
      <c r="B124" s="115" t="s">
        <v>604</v>
      </c>
      <c r="C124" s="78">
        <f>+'S-2'!C97</f>
        <v>20000</v>
      </c>
      <c r="D124" s="78">
        <f>+'S-2'!D97</f>
        <v>30000</v>
      </c>
      <c r="E124" s="78">
        <f>+'S-2'!E97</f>
        <v>40000</v>
      </c>
      <c r="F124" s="311" t="s">
        <v>598</v>
      </c>
    </row>
    <row r="125" spans="1:10" ht="15" customHeight="1" x14ac:dyDescent="0.25">
      <c r="B125" s="115" t="s">
        <v>605</v>
      </c>
      <c r="C125" s="78">
        <f>+'S-2'!C101</f>
        <v>0</v>
      </c>
      <c r="D125" s="78">
        <f>+'S-2'!D101</f>
        <v>-10000</v>
      </c>
      <c r="E125" s="78">
        <f>+'S-2'!E101</f>
        <v>-20000</v>
      </c>
      <c r="F125" s="311" t="s">
        <v>599</v>
      </c>
    </row>
    <row r="126" spans="1:10" ht="15" customHeight="1" x14ac:dyDescent="0.25">
      <c r="B126" s="129" t="s">
        <v>2</v>
      </c>
      <c r="C126" s="130">
        <f>SUM(C123:C125)</f>
        <v>20000</v>
      </c>
      <c r="D126" s="130">
        <f>SUM(D123:D125)</f>
        <v>40000</v>
      </c>
      <c r="E126" s="130">
        <f>SUM(E123:E125)</f>
        <v>60000</v>
      </c>
      <c r="F126" s="97"/>
    </row>
    <row r="127" spans="1:10" ht="15" customHeight="1" x14ac:dyDescent="0.25">
      <c r="B127" s="308" t="s">
        <v>616</v>
      </c>
      <c r="C127" s="309">
        <f>+C121-C126</f>
        <v>60000</v>
      </c>
      <c r="D127" s="309">
        <f>+D121-D126</f>
        <v>60000</v>
      </c>
      <c r="E127" s="309">
        <f>+E121-E126</f>
        <v>30000</v>
      </c>
      <c r="F127" s="97"/>
    </row>
    <row r="128" spans="1:10" ht="15" customHeight="1" x14ac:dyDescent="0.25">
      <c r="B128" s="112"/>
      <c r="C128" s="112"/>
      <c r="D128" s="112"/>
      <c r="E128" s="112"/>
      <c r="F128" s="97"/>
    </row>
    <row r="129" spans="2:6" ht="15" customHeight="1" x14ac:dyDescent="0.25">
      <c r="B129" s="113" t="s">
        <v>112</v>
      </c>
      <c r="C129" s="89">
        <v>90000</v>
      </c>
      <c r="D129" s="114">
        <v>80000</v>
      </c>
      <c r="E129" s="114">
        <v>100000</v>
      </c>
      <c r="F129" s="97"/>
    </row>
    <row r="130" spans="2:6" ht="15" customHeight="1" x14ac:dyDescent="0.25">
      <c r="B130" s="113" t="s">
        <v>147</v>
      </c>
      <c r="C130" s="307"/>
      <c r="D130" s="307"/>
      <c r="E130" s="307"/>
      <c r="F130" s="97"/>
    </row>
    <row r="131" spans="2:6" ht="15" customHeight="1" x14ac:dyDescent="0.25">
      <c r="B131" s="129" t="s">
        <v>0</v>
      </c>
      <c r="C131" s="131">
        <v>0</v>
      </c>
      <c r="D131" s="130">
        <f>+C134</f>
        <v>50000</v>
      </c>
      <c r="E131" s="130">
        <f>+D134</f>
        <v>50000</v>
      </c>
      <c r="F131" s="97"/>
    </row>
    <row r="132" spans="2:6" ht="15" customHeight="1" x14ac:dyDescent="0.25">
      <c r="B132" s="115" t="s">
        <v>604</v>
      </c>
      <c r="C132" s="78">
        <f>+'S-2'!C98</f>
        <v>50000</v>
      </c>
      <c r="D132" s="78">
        <f>+'S-2'!D98</f>
        <v>30000</v>
      </c>
      <c r="E132" s="78">
        <f>+'S-2'!E98</f>
        <v>20000</v>
      </c>
      <c r="F132" s="311" t="s">
        <v>600</v>
      </c>
    </row>
    <row r="133" spans="2:6" ht="15" customHeight="1" x14ac:dyDescent="0.25">
      <c r="B133" s="115" t="s">
        <v>606</v>
      </c>
      <c r="C133" s="78">
        <f>+'S-2'!C102</f>
        <v>0</v>
      </c>
      <c r="D133" s="78">
        <f>+'S-2'!D102</f>
        <v>-30000</v>
      </c>
      <c r="E133" s="78">
        <f>+'S-2'!E102</f>
        <v>-40000</v>
      </c>
      <c r="F133" s="311" t="s">
        <v>601</v>
      </c>
    </row>
    <row r="134" spans="2:6" ht="15" customHeight="1" x14ac:dyDescent="0.25">
      <c r="B134" s="129" t="s">
        <v>2</v>
      </c>
      <c r="C134" s="130">
        <f>SUM(C131:C133)</f>
        <v>50000</v>
      </c>
      <c r="D134" s="130">
        <f>SUM(D131:D133)</f>
        <v>50000</v>
      </c>
      <c r="E134" s="130">
        <f>SUM(E131:E133)</f>
        <v>30000</v>
      </c>
      <c r="F134" s="112"/>
    </row>
    <row r="135" spans="2:6" ht="15" customHeight="1" x14ac:dyDescent="0.25">
      <c r="B135" s="308" t="s">
        <v>617</v>
      </c>
      <c r="C135" s="309">
        <f>+C129-C134</f>
        <v>40000</v>
      </c>
      <c r="D135" s="309">
        <f>+D129-D134</f>
        <v>30000</v>
      </c>
      <c r="E135" s="309">
        <f>+E129-E134</f>
        <v>70000</v>
      </c>
      <c r="F135" s="112"/>
    </row>
    <row r="136" spans="2:6" ht="15" customHeight="1" x14ac:dyDescent="0.25">
      <c r="B136" s="112"/>
      <c r="C136" s="112"/>
      <c r="D136" s="112"/>
      <c r="E136" s="112"/>
      <c r="F136" s="2"/>
    </row>
    <row r="137" spans="2:6" ht="15" customHeight="1" x14ac:dyDescent="0.25">
      <c r="B137" s="113" t="s">
        <v>101</v>
      </c>
      <c r="C137" s="307"/>
      <c r="D137" s="307"/>
      <c r="E137" s="307"/>
      <c r="F137" s="2"/>
    </row>
    <row r="138" spans="2:6" ht="15" customHeight="1" x14ac:dyDescent="0.25">
      <c r="B138" s="129" t="s">
        <v>0</v>
      </c>
      <c r="C138" s="131">
        <v>0</v>
      </c>
      <c r="D138" s="130">
        <f>+C141</f>
        <v>70000</v>
      </c>
      <c r="E138" s="130">
        <f>+D141</f>
        <v>110000</v>
      </c>
      <c r="F138" s="2"/>
    </row>
    <row r="139" spans="2:6" ht="15" customHeight="1" x14ac:dyDescent="0.25">
      <c r="B139" s="115" t="s">
        <v>607</v>
      </c>
      <c r="C139" s="78">
        <f>+'S-2'!C99</f>
        <v>70000</v>
      </c>
      <c r="D139" s="78">
        <f>+'S-2'!D99</f>
        <v>60000</v>
      </c>
      <c r="E139" s="78">
        <f>+'S-2'!E99</f>
        <v>80000</v>
      </c>
      <c r="F139" s="311" t="s">
        <v>602</v>
      </c>
    </row>
    <row r="140" spans="2:6" ht="15" customHeight="1" x14ac:dyDescent="0.25">
      <c r="B140" s="115" t="s">
        <v>608</v>
      </c>
      <c r="C140" s="78">
        <f>+'S-2'!C103</f>
        <v>0</v>
      </c>
      <c r="D140" s="78">
        <f>+'S-2'!D103</f>
        <v>-20000</v>
      </c>
      <c r="E140" s="78">
        <f>+'S-2'!E103</f>
        <v>-40000</v>
      </c>
      <c r="F140" s="311" t="s">
        <v>603</v>
      </c>
    </row>
    <row r="141" spans="2:6" ht="15" customHeight="1" x14ac:dyDescent="0.25">
      <c r="B141" s="129" t="s">
        <v>2</v>
      </c>
      <c r="C141" s="130">
        <f>SUM(C138:C140)</f>
        <v>70000</v>
      </c>
      <c r="D141" s="130">
        <f>SUM(D138:D140)</f>
        <v>110000</v>
      </c>
      <c r="E141" s="130">
        <f>SUM(E138:E140)</f>
        <v>150000</v>
      </c>
      <c r="F141" s="2"/>
    </row>
    <row r="142" spans="2:6" ht="15" customHeight="1" x14ac:dyDescent="0.25">
      <c r="B142" s="308" t="s">
        <v>617</v>
      </c>
      <c r="C142" s="309">
        <f>+C141</f>
        <v>70000</v>
      </c>
      <c r="D142" s="309">
        <f>+D141</f>
        <v>110000</v>
      </c>
      <c r="E142" s="309">
        <f>+E141</f>
        <v>150000</v>
      </c>
      <c r="F142" s="2"/>
    </row>
    <row r="143" spans="2:6" ht="15" customHeight="1" x14ac:dyDescent="0.25">
      <c r="B143" s="117"/>
      <c r="C143" s="117"/>
      <c r="D143" s="117"/>
      <c r="E143" s="117"/>
      <c r="F143" s="2"/>
    </row>
    <row r="144" spans="2:6" ht="15" customHeight="1" x14ac:dyDescent="0.25">
      <c r="B144" s="113" t="s">
        <v>9</v>
      </c>
      <c r="C144" s="310">
        <f>+C126+C134+C141</f>
        <v>140000</v>
      </c>
      <c r="D144" s="310">
        <f>+D126+D134+D141</f>
        <v>200000</v>
      </c>
      <c r="E144" s="310">
        <f>+E126+E134+E141</f>
        <v>240000</v>
      </c>
      <c r="F144" s="126" t="s">
        <v>613</v>
      </c>
    </row>
    <row r="145" spans="1:10" ht="15" customHeight="1" x14ac:dyDescent="0.25">
      <c r="B145" s="113" t="s">
        <v>619</v>
      </c>
      <c r="C145" s="310">
        <f>+C144*0.3</f>
        <v>42000</v>
      </c>
      <c r="D145" s="310">
        <f>+D144*0.3</f>
        <v>60000</v>
      </c>
      <c r="E145" s="310">
        <f>+E144*0.3</f>
        <v>72000</v>
      </c>
      <c r="F145" s="126" t="s">
        <v>614</v>
      </c>
    </row>
    <row r="146" spans="1:10" ht="15" customHeight="1" x14ac:dyDescent="0.25"/>
    <row r="147" spans="1:10" ht="15" customHeight="1" x14ac:dyDescent="0.25"/>
    <row r="148" spans="1:10" x14ac:dyDescent="0.25">
      <c r="A148" s="403" t="s">
        <v>837</v>
      </c>
      <c r="B148" s="403"/>
      <c r="C148" s="403"/>
      <c r="D148" s="403"/>
      <c r="E148" s="403"/>
      <c r="F148" s="403"/>
      <c r="G148" s="403"/>
      <c r="H148" s="403"/>
      <c r="I148" s="403"/>
      <c r="J148" s="403"/>
    </row>
    <row r="149" spans="1:10" ht="15" customHeight="1" x14ac:dyDescent="0.25">
      <c r="B149" s="119" t="s">
        <v>628</v>
      </c>
      <c r="C149" s="118">
        <v>2013</v>
      </c>
      <c r="D149" s="118">
        <v>2014</v>
      </c>
      <c r="E149" s="118">
        <v>2015</v>
      </c>
      <c r="F149" s="2"/>
    </row>
    <row r="150" spans="1:10" ht="15" customHeight="1" x14ac:dyDescent="0.25">
      <c r="B150" s="312"/>
      <c r="C150" s="315" t="s">
        <v>1</v>
      </c>
      <c r="D150" s="315" t="s">
        <v>1</v>
      </c>
      <c r="E150" s="315" t="s">
        <v>1</v>
      </c>
      <c r="F150" s="2"/>
    </row>
    <row r="151" spans="1:10" ht="15" customHeight="1" x14ac:dyDescent="0.25">
      <c r="B151" s="312" t="s">
        <v>624</v>
      </c>
      <c r="C151" s="313"/>
      <c r="D151" s="314"/>
      <c r="E151" s="314"/>
      <c r="F151" s="2"/>
    </row>
    <row r="152" spans="1:10" ht="15" customHeight="1" x14ac:dyDescent="0.25">
      <c r="B152" s="115" t="s">
        <v>93</v>
      </c>
      <c r="C152" s="78">
        <f>+'S-2'!C121</f>
        <v>80000</v>
      </c>
      <c r="D152" s="78">
        <f>+'S-2'!D121</f>
        <v>100000</v>
      </c>
      <c r="E152" s="78">
        <f>+'S-2'!E121</f>
        <v>90000</v>
      </c>
      <c r="F152" s="2"/>
    </row>
    <row r="153" spans="1:10" ht="15" customHeight="1" x14ac:dyDescent="0.25">
      <c r="B153" s="115" t="s">
        <v>112</v>
      </c>
      <c r="C153" s="78">
        <f>+'S-2'!C129</f>
        <v>90000</v>
      </c>
      <c r="D153" s="78">
        <f>+'S-2'!D129</f>
        <v>80000</v>
      </c>
      <c r="E153" s="78">
        <f>+'S-2'!E129</f>
        <v>100000</v>
      </c>
      <c r="F153" s="2"/>
    </row>
    <row r="154" spans="1:10" ht="15" customHeight="1" x14ac:dyDescent="0.25">
      <c r="B154" s="275" t="s">
        <v>101</v>
      </c>
      <c r="C154" s="316">
        <v>0</v>
      </c>
      <c r="D154" s="316">
        <v>0</v>
      </c>
      <c r="E154" s="316">
        <v>0</v>
      </c>
      <c r="F154" s="311"/>
    </row>
    <row r="155" spans="1:10" ht="15" customHeight="1" x14ac:dyDescent="0.25">
      <c r="B155" s="317" t="s">
        <v>623</v>
      </c>
      <c r="C155" s="318"/>
      <c r="D155" s="318"/>
      <c r="E155" s="318"/>
      <c r="F155" s="97"/>
    </row>
    <row r="156" spans="1:10" ht="15" customHeight="1" x14ac:dyDescent="0.25">
      <c r="B156" s="115" t="s">
        <v>93</v>
      </c>
      <c r="C156" s="78">
        <f>'S-2'!C127</f>
        <v>60000</v>
      </c>
      <c r="D156" s="78">
        <f>'S-2'!D127</f>
        <v>60000</v>
      </c>
      <c r="E156" s="78">
        <f>'S-2'!E127</f>
        <v>30000</v>
      </c>
      <c r="F156" s="97"/>
    </row>
    <row r="157" spans="1:10" ht="15" customHeight="1" x14ac:dyDescent="0.25">
      <c r="B157" s="115" t="s">
        <v>112</v>
      </c>
      <c r="C157" s="78">
        <f>'S-2'!C135</f>
        <v>40000</v>
      </c>
      <c r="D157" s="78">
        <f>'S-2'!D135</f>
        <v>30000</v>
      </c>
      <c r="E157" s="78">
        <f>'S-2'!E135</f>
        <v>70000</v>
      </c>
      <c r="F157" s="97"/>
    </row>
    <row r="158" spans="1:10" ht="15" customHeight="1" x14ac:dyDescent="0.25">
      <c r="B158" s="275" t="s">
        <v>101</v>
      </c>
      <c r="C158" s="76">
        <f>+'S-2'!C142</f>
        <v>70000</v>
      </c>
      <c r="D158" s="76">
        <f>+'S-2'!D142</f>
        <v>110000</v>
      </c>
      <c r="E158" s="76">
        <f>+'S-2'!E142</f>
        <v>150000</v>
      </c>
      <c r="F158" s="97"/>
    </row>
    <row r="159" spans="1:10" ht="15" customHeight="1" x14ac:dyDescent="0.25">
      <c r="B159" s="312" t="s">
        <v>622</v>
      </c>
      <c r="C159" s="313"/>
      <c r="D159" s="313"/>
      <c r="E159" s="313"/>
      <c r="F159" s="97"/>
    </row>
    <row r="160" spans="1:10" ht="15" customHeight="1" x14ac:dyDescent="0.25">
      <c r="B160" s="115" t="s">
        <v>93</v>
      </c>
      <c r="C160" s="78">
        <f t="shared" ref="C160:E162" si="6">ABS(C152-C156)</f>
        <v>20000</v>
      </c>
      <c r="D160" s="78">
        <f t="shared" si="6"/>
        <v>40000</v>
      </c>
      <c r="E160" s="78">
        <f t="shared" si="6"/>
        <v>60000</v>
      </c>
      <c r="F160" s="97"/>
    </row>
    <row r="161" spans="1:9" ht="15" customHeight="1" x14ac:dyDescent="0.25">
      <c r="B161" s="115" t="s">
        <v>112</v>
      </c>
      <c r="C161" s="78">
        <f t="shared" si="6"/>
        <v>50000</v>
      </c>
      <c r="D161" s="78">
        <f t="shared" si="6"/>
        <v>50000</v>
      </c>
      <c r="E161" s="78">
        <f t="shared" si="6"/>
        <v>30000</v>
      </c>
      <c r="F161" s="311"/>
    </row>
    <row r="162" spans="1:9" ht="15" customHeight="1" x14ac:dyDescent="0.25">
      <c r="B162" s="275" t="s">
        <v>101</v>
      </c>
      <c r="C162" s="76">
        <f t="shared" si="6"/>
        <v>70000</v>
      </c>
      <c r="D162" s="76">
        <f t="shared" si="6"/>
        <v>110000</v>
      </c>
      <c r="E162" s="76">
        <f t="shared" si="6"/>
        <v>150000</v>
      </c>
      <c r="F162" s="311"/>
    </row>
    <row r="163" spans="1:9" ht="15" customHeight="1" x14ac:dyDescent="0.25">
      <c r="B163" s="312"/>
      <c r="C163" s="319">
        <f>SUM(C160:C162)</f>
        <v>140000</v>
      </c>
      <c r="D163" s="319">
        <f>SUM(D160:D162)</f>
        <v>200000</v>
      </c>
      <c r="E163" s="319">
        <f>SUM(E160:E162)</f>
        <v>240000</v>
      </c>
      <c r="F163" s="112"/>
    </row>
    <row r="164" spans="1:9" ht="15" customHeight="1" x14ac:dyDescent="0.25">
      <c r="B164" s="317" t="s">
        <v>618</v>
      </c>
      <c r="C164" s="320">
        <f>+C163*30%</f>
        <v>42000</v>
      </c>
      <c r="D164" s="320">
        <f>+D163*30%</f>
        <v>60000</v>
      </c>
      <c r="E164" s="320">
        <f>+E163*30%</f>
        <v>72000</v>
      </c>
      <c r="F164" s="112"/>
    </row>
    <row r="165" spans="1:9" ht="15" customHeight="1" x14ac:dyDescent="0.25">
      <c r="B165" s="312" t="s">
        <v>620</v>
      </c>
      <c r="C165" s="319"/>
      <c r="D165" s="319">
        <f>+D164-C164</f>
        <v>18000</v>
      </c>
      <c r="E165" s="319">
        <f>+E164-D164</f>
        <v>12000</v>
      </c>
      <c r="F165" s="97" t="s">
        <v>625</v>
      </c>
    </row>
    <row r="166" spans="1:9" ht="15" customHeight="1" x14ac:dyDescent="0.25">
      <c r="B166" s="113"/>
      <c r="C166" s="89"/>
      <c r="D166" s="89"/>
      <c r="E166" s="89"/>
      <c r="F166" s="2"/>
    </row>
    <row r="167" spans="1:9" ht="15" customHeight="1" x14ac:dyDescent="0.25">
      <c r="B167" s="113" t="s">
        <v>72</v>
      </c>
      <c r="C167" s="78"/>
      <c r="D167" s="78"/>
      <c r="E167" s="78"/>
      <c r="F167" s="2"/>
    </row>
    <row r="168" spans="1:9" ht="15" customHeight="1" x14ac:dyDescent="0.25">
      <c r="B168" s="115" t="s">
        <v>619</v>
      </c>
      <c r="C168" s="78">
        <f>+C164</f>
        <v>42000</v>
      </c>
      <c r="D168" s="78"/>
      <c r="E168" s="78"/>
      <c r="F168" s="311"/>
    </row>
    <row r="169" spans="1:9" ht="15" customHeight="1" x14ac:dyDescent="0.25">
      <c r="B169" s="115" t="s">
        <v>270</v>
      </c>
      <c r="C169" s="78"/>
      <c r="D169" s="78">
        <f>+C168</f>
        <v>42000</v>
      </c>
      <c r="E169" s="78"/>
      <c r="F169" s="311"/>
    </row>
    <row r="170" spans="1:9" ht="15" customHeight="1" x14ac:dyDescent="0.25">
      <c r="B170" s="113" t="s">
        <v>73</v>
      </c>
      <c r="C170" s="78"/>
      <c r="D170" s="78"/>
      <c r="E170" s="78"/>
      <c r="F170" s="2"/>
    </row>
    <row r="171" spans="1:9" ht="15" customHeight="1" x14ac:dyDescent="0.25">
      <c r="B171" s="115" t="s">
        <v>619</v>
      </c>
      <c r="C171" s="78">
        <f>+D165</f>
        <v>18000</v>
      </c>
      <c r="D171" s="78"/>
      <c r="E171" s="78"/>
      <c r="F171" s="2"/>
    </row>
    <row r="172" spans="1:9" ht="15" customHeight="1" x14ac:dyDescent="0.25">
      <c r="B172" s="115" t="s">
        <v>270</v>
      </c>
      <c r="C172" s="78"/>
      <c r="D172" s="78">
        <f>+C171</f>
        <v>18000</v>
      </c>
      <c r="E172" s="117"/>
      <c r="F172" s="2"/>
    </row>
    <row r="173" spans="1:9" ht="15" customHeight="1" x14ac:dyDescent="0.25">
      <c r="B173" s="113" t="s">
        <v>74</v>
      </c>
      <c r="C173" s="78"/>
      <c r="D173" s="78"/>
      <c r="E173" s="117"/>
      <c r="F173" s="126"/>
    </row>
    <row r="174" spans="1:9" ht="15" customHeight="1" x14ac:dyDescent="0.25">
      <c r="B174" s="115" t="s">
        <v>619</v>
      </c>
      <c r="C174" s="78">
        <f>+E165</f>
        <v>12000</v>
      </c>
      <c r="D174" s="78"/>
      <c r="E174" s="117"/>
      <c r="F174" s="126"/>
    </row>
    <row r="175" spans="1:9" ht="15" customHeight="1" x14ac:dyDescent="0.25">
      <c r="B175" s="115" t="s">
        <v>270</v>
      </c>
      <c r="C175" s="78"/>
      <c r="D175" s="78">
        <f>+C174</f>
        <v>12000</v>
      </c>
      <c r="E175" s="117"/>
      <c r="F175" s="126"/>
    </row>
    <row r="176" spans="1:9" ht="15" customHeight="1" x14ac:dyDescent="0.25">
      <c r="A176" s="122"/>
      <c r="B176" s="122"/>
      <c r="C176" s="122"/>
      <c r="D176" s="122"/>
      <c r="E176" s="122"/>
      <c r="F176" s="122"/>
      <c r="G176" s="122"/>
      <c r="H176" s="122"/>
      <c r="I176" s="122"/>
    </row>
  </sheetData>
  <mergeCells count="1">
    <mergeCell ref="A1:XFD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6"/>
  <sheetViews>
    <sheetView topLeftCell="A26" zoomScale="80" zoomScaleNormal="80" workbookViewId="0">
      <selection activeCell="A26" sqref="A26"/>
    </sheetView>
  </sheetViews>
  <sheetFormatPr baseColWidth="10" defaultColWidth="0" defaultRowHeight="18" zeroHeight="1" x14ac:dyDescent="0.25"/>
  <cols>
    <col min="1" max="3" width="14.140625" style="1" customWidth="1"/>
    <col min="4" max="4" width="1.140625" style="1" customWidth="1"/>
    <col min="5" max="7" width="14.28515625" style="1" customWidth="1"/>
    <col min="8" max="8" width="11.42578125" style="1" customWidth="1"/>
    <col min="9" max="9" width="4.140625" customWidth="1"/>
    <col min="10" max="10" width="28.28515625" hidden="1" customWidth="1"/>
    <col min="11" max="14" width="11.42578125" hidden="1" customWidth="1"/>
    <col min="15" max="15" width="1.140625" hidden="1" customWidth="1"/>
    <col min="16" max="16" width="40.42578125" hidden="1" customWidth="1"/>
    <col min="17" max="17" width="10.7109375" hidden="1" customWidth="1"/>
    <col min="18" max="16384" width="11.42578125" hidden="1"/>
  </cols>
  <sheetData>
    <row r="1" spans="1:15" s="420" customFormat="1" ht="15" x14ac:dyDescent="0.25">
      <c r="A1" s="420" t="s">
        <v>915</v>
      </c>
    </row>
    <row r="2" spans="1:15" s="420" customFormat="1" ht="15" x14ac:dyDescent="0.25"/>
    <row r="3" spans="1:15" s="420" customFormat="1" ht="15" x14ac:dyDescent="0.25"/>
    <row r="4" spans="1:15" x14ac:dyDescent="0.25">
      <c r="A4" s="403" t="s">
        <v>838</v>
      </c>
      <c r="B4" s="403"/>
      <c r="C4" s="403"/>
      <c r="D4" s="403"/>
      <c r="E4" s="403"/>
      <c r="F4" s="403"/>
      <c r="G4" s="403"/>
      <c r="H4" s="403"/>
      <c r="I4" s="134"/>
    </row>
    <row r="5" spans="1:15" x14ac:dyDescent="0.25">
      <c r="A5" s="2"/>
      <c r="B5" s="2"/>
      <c r="C5" s="351"/>
      <c r="D5" s="351"/>
      <c r="E5" s="71" t="s">
        <v>130</v>
      </c>
      <c r="F5" s="71" t="s">
        <v>130</v>
      </c>
      <c r="G5" s="71" t="s">
        <v>224</v>
      </c>
      <c r="H5" s="2"/>
      <c r="I5" s="134"/>
      <c r="O5" s="2"/>
    </row>
    <row r="6" spans="1:15" x14ac:dyDescent="0.25">
      <c r="A6" s="51" t="s">
        <v>720</v>
      </c>
      <c r="B6" s="51"/>
      <c r="C6" s="351"/>
      <c r="D6" s="351"/>
      <c r="E6" s="71" t="s">
        <v>131</v>
      </c>
      <c r="F6" s="71" t="s">
        <v>132</v>
      </c>
      <c r="G6" s="71" t="s">
        <v>722</v>
      </c>
      <c r="H6" s="2"/>
      <c r="I6" s="134"/>
      <c r="O6" s="2"/>
    </row>
    <row r="7" spans="1:15" x14ac:dyDescent="0.25">
      <c r="A7" s="47" t="s">
        <v>112</v>
      </c>
      <c r="B7" s="47"/>
      <c r="C7" s="351"/>
      <c r="D7" s="351"/>
      <c r="E7" s="48">
        <v>700000</v>
      </c>
      <c r="F7" s="48">
        <v>900000</v>
      </c>
      <c r="G7" s="2"/>
      <c r="H7" s="2"/>
      <c r="I7" s="134"/>
      <c r="O7" s="2"/>
    </row>
    <row r="8" spans="1:15" x14ac:dyDescent="0.25">
      <c r="A8" s="47" t="s">
        <v>119</v>
      </c>
      <c r="B8" s="47"/>
      <c r="C8" s="351"/>
      <c r="D8" s="351"/>
      <c r="E8" s="78">
        <v>-200000</v>
      </c>
      <c r="F8" s="78">
        <f>-300000</f>
        <v>-300000</v>
      </c>
      <c r="G8" s="279">
        <f>+E8-F8</f>
        <v>100000</v>
      </c>
      <c r="H8" s="2"/>
      <c r="I8" s="134"/>
      <c r="O8" s="2"/>
    </row>
    <row r="9" spans="1:15" x14ac:dyDescent="0.25">
      <c r="A9" s="2"/>
      <c r="B9" s="2"/>
      <c r="C9" s="79" t="s">
        <v>48</v>
      </c>
      <c r="D9" s="351"/>
      <c r="E9" s="279">
        <f>+E7+E8</f>
        <v>500000</v>
      </c>
      <c r="F9" s="279">
        <f>+F7+F8</f>
        <v>600000</v>
      </c>
      <c r="G9" s="2"/>
      <c r="H9" s="2"/>
      <c r="I9" s="134"/>
      <c r="O9" s="2"/>
    </row>
    <row r="10" spans="1:15" x14ac:dyDescent="0.25">
      <c r="A10" s="51" t="s">
        <v>721</v>
      </c>
      <c r="B10" s="51"/>
      <c r="C10" s="362"/>
      <c r="D10" s="351"/>
      <c r="E10" s="2"/>
      <c r="F10" s="2"/>
      <c r="G10" s="2"/>
      <c r="H10" s="2"/>
      <c r="I10" s="134"/>
      <c r="O10" s="2"/>
    </row>
    <row r="11" spans="1:15" x14ac:dyDescent="0.25">
      <c r="A11" s="47" t="s">
        <v>112</v>
      </c>
      <c r="B11" s="47"/>
      <c r="C11" s="362"/>
      <c r="D11" s="351"/>
      <c r="E11" s="48">
        <v>700000</v>
      </c>
      <c r="F11" s="48">
        <v>900000</v>
      </c>
      <c r="G11" s="2"/>
      <c r="H11" s="2"/>
      <c r="I11" s="134"/>
      <c r="O11" s="2"/>
    </row>
    <row r="12" spans="1:15" x14ac:dyDescent="0.25">
      <c r="A12" s="47" t="s">
        <v>119</v>
      </c>
      <c r="B12" s="47"/>
      <c r="C12" s="362"/>
      <c r="D12" s="351"/>
      <c r="E12" s="78">
        <v>0</v>
      </c>
      <c r="F12" s="78">
        <v>0</v>
      </c>
      <c r="G12" s="71" t="s">
        <v>224</v>
      </c>
      <c r="H12" s="2"/>
      <c r="I12" s="134"/>
      <c r="O12" s="2"/>
    </row>
    <row r="13" spans="1:15" x14ac:dyDescent="0.25">
      <c r="A13" s="2"/>
      <c r="B13" s="2"/>
      <c r="C13" s="79" t="s">
        <v>49</v>
      </c>
      <c r="D13" s="351"/>
      <c r="E13" s="279">
        <f>+E11+E12</f>
        <v>700000</v>
      </c>
      <c r="F13" s="279">
        <f>+F11+F12</f>
        <v>900000</v>
      </c>
      <c r="G13" s="71" t="s">
        <v>722</v>
      </c>
      <c r="H13" s="2"/>
      <c r="I13" s="134"/>
      <c r="O13" s="2"/>
    </row>
    <row r="14" spans="1:15" x14ac:dyDescent="0.25">
      <c r="A14" s="2"/>
      <c r="B14" s="2"/>
      <c r="C14" s="362"/>
      <c r="D14" s="351"/>
      <c r="E14" s="2"/>
      <c r="F14" s="2"/>
      <c r="G14" s="2"/>
      <c r="H14" s="2"/>
      <c r="I14" s="134"/>
      <c r="O14" s="2"/>
    </row>
    <row r="15" spans="1:15" x14ac:dyDescent="0.25">
      <c r="A15" s="51" t="s">
        <v>9</v>
      </c>
      <c r="B15" s="51"/>
      <c r="C15" s="79" t="s">
        <v>593</v>
      </c>
      <c r="D15" s="351"/>
      <c r="E15" s="279">
        <f>+E13-E9</f>
        <v>200000</v>
      </c>
      <c r="F15" s="279">
        <f>+F13-F9</f>
        <v>300000</v>
      </c>
      <c r="G15" s="279">
        <f>+F15-E15</f>
        <v>100000</v>
      </c>
      <c r="H15" s="2"/>
      <c r="I15" s="134"/>
      <c r="O15" s="2"/>
    </row>
    <row r="16" spans="1:15" x14ac:dyDescent="0.25">
      <c r="A16" s="2"/>
      <c r="B16" s="2"/>
      <c r="C16" s="351"/>
      <c r="D16" s="351"/>
      <c r="E16" s="71" t="s">
        <v>574</v>
      </c>
      <c r="F16" s="71" t="s">
        <v>724</v>
      </c>
      <c r="G16" s="71" t="s">
        <v>725</v>
      </c>
      <c r="H16" s="2"/>
      <c r="I16" s="134"/>
      <c r="O16" s="2"/>
    </row>
    <row r="17" spans="1:17" x14ac:dyDescent="0.25">
      <c r="A17" s="51" t="s">
        <v>35</v>
      </c>
      <c r="B17" s="51"/>
      <c r="C17" s="79" t="s">
        <v>723</v>
      </c>
      <c r="D17" s="351"/>
      <c r="E17" s="279">
        <f>+E15*30%</f>
        <v>60000</v>
      </c>
      <c r="F17" s="279">
        <f>+F15*30%</f>
        <v>90000</v>
      </c>
      <c r="G17" s="279">
        <f>+F17-E17</f>
        <v>30000</v>
      </c>
      <c r="H17" s="2"/>
      <c r="I17" s="134"/>
      <c r="O17" s="2"/>
    </row>
    <row r="18" spans="1:17" x14ac:dyDescent="0.25">
      <c r="A18" s="2"/>
      <c r="B18" s="2"/>
      <c r="C18" s="2"/>
      <c r="D18" s="351"/>
      <c r="E18" s="71" t="s">
        <v>730</v>
      </c>
      <c r="F18" s="71" t="s">
        <v>731</v>
      </c>
      <c r="G18" s="71" t="s">
        <v>732</v>
      </c>
      <c r="H18" s="2"/>
      <c r="I18" s="134"/>
      <c r="O18" s="2"/>
    </row>
    <row r="19" spans="1:17" x14ac:dyDescent="0.25">
      <c r="A19" s="2"/>
      <c r="B19" s="2"/>
      <c r="C19" s="2"/>
      <c r="D19" s="351"/>
      <c r="E19" s="71"/>
      <c r="F19" s="71"/>
      <c r="G19" s="71"/>
      <c r="H19" s="2"/>
      <c r="I19" s="134"/>
      <c r="O19" s="2"/>
    </row>
    <row r="20" spans="1:17" x14ac:dyDescent="0.25">
      <c r="A20" s="2"/>
      <c r="B20" s="2"/>
      <c r="C20" s="2"/>
      <c r="D20" s="351"/>
      <c r="E20" s="71"/>
      <c r="F20" s="71"/>
      <c r="G20" s="71" t="s">
        <v>79</v>
      </c>
      <c r="H20" s="2"/>
      <c r="I20" s="134"/>
      <c r="O20" s="2"/>
    </row>
    <row r="21" spans="1:17" x14ac:dyDescent="0.25">
      <c r="A21" s="2"/>
      <c r="B21" s="2"/>
      <c r="C21" s="2"/>
      <c r="D21" s="351"/>
      <c r="E21" s="71"/>
      <c r="F21" s="71"/>
      <c r="G21" s="71" t="s">
        <v>189</v>
      </c>
      <c r="H21" s="2"/>
      <c r="I21" s="134"/>
      <c r="O21" s="2"/>
    </row>
    <row r="22" spans="1:17" x14ac:dyDescent="0.25">
      <c r="A22" s="2"/>
      <c r="B22" s="2"/>
      <c r="C22" s="2"/>
      <c r="D22" s="351"/>
      <c r="E22" s="71"/>
      <c r="F22" s="71"/>
      <c r="G22" s="71" t="s">
        <v>733</v>
      </c>
      <c r="H22" s="2"/>
      <c r="I22" s="134"/>
      <c r="O22" s="2"/>
    </row>
    <row r="23" spans="1:17" x14ac:dyDescent="0.25">
      <c r="A23" s="2"/>
      <c r="B23" s="2"/>
      <c r="C23" s="2"/>
      <c r="D23" s="351"/>
      <c r="E23" s="71"/>
      <c r="F23" s="71"/>
      <c r="G23" s="71"/>
      <c r="H23" s="2"/>
      <c r="I23" s="134"/>
      <c r="O23" s="2"/>
      <c r="P23" s="51"/>
      <c r="Q23" s="89"/>
    </row>
    <row r="24" spans="1:17" x14ac:dyDescent="0.25">
      <c r="A24" s="403" t="s">
        <v>839</v>
      </c>
      <c r="B24" s="403"/>
      <c r="C24" s="403"/>
      <c r="D24" s="403"/>
      <c r="E24" s="403"/>
      <c r="F24" s="403"/>
      <c r="G24" s="403"/>
      <c r="H24" s="403"/>
      <c r="I24" s="134"/>
    </row>
    <row r="25" spans="1:17" x14ac:dyDescent="0.25">
      <c r="A25" s="2"/>
      <c r="B25" s="278" t="s">
        <v>726</v>
      </c>
      <c r="C25" s="278"/>
      <c r="D25" s="278"/>
      <c r="E25" s="278"/>
      <c r="F25" s="278"/>
      <c r="G25" s="284" t="s">
        <v>1</v>
      </c>
      <c r="H25" s="2"/>
      <c r="I25" s="134"/>
      <c r="O25" s="2"/>
      <c r="P25" s="51"/>
      <c r="Q25" s="89"/>
    </row>
    <row r="26" spans="1:17" x14ac:dyDescent="0.25">
      <c r="A26" s="2"/>
      <c r="B26" s="47"/>
      <c r="C26" s="71"/>
      <c r="D26" s="71"/>
      <c r="E26" s="71"/>
      <c r="F26" s="71"/>
      <c r="G26" s="47"/>
      <c r="H26" s="2"/>
      <c r="I26" s="134"/>
      <c r="O26" s="2"/>
      <c r="P26" s="51"/>
      <c r="Q26" s="89"/>
    </row>
    <row r="27" spans="1:17" x14ac:dyDescent="0.25">
      <c r="A27" s="2"/>
      <c r="B27" s="51" t="s">
        <v>122</v>
      </c>
      <c r="C27" s="71"/>
      <c r="D27" s="71"/>
      <c r="E27" s="71"/>
      <c r="F27" s="71"/>
      <c r="G27" s="52">
        <v>500000</v>
      </c>
      <c r="H27" s="2"/>
      <c r="I27" s="134"/>
      <c r="O27" s="2"/>
      <c r="P27" s="51"/>
      <c r="Q27" s="89"/>
    </row>
    <row r="28" spans="1:17" x14ac:dyDescent="0.25">
      <c r="A28" s="2"/>
      <c r="B28" s="80" t="s">
        <v>727</v>
      </c>
      <c r="C28" s="71"/>
      <c r="D28" s="71"/>
      <c r="E28" s="71"/>
      <c r="F28" s="71"/>
      <c r="G28" s="47"/>
      <c r="H28" s="2"/>
      <c r="I28" s="134"/>
      <c r="O28" s="2"/>
      <c r="P28" s="51"/>
      <c r="Q28" s="89"/>
    </row>
    <row r="29" spans="1:17" x14ac:dyDescent="0.25">
      <c r="A29" s="2"/>
      <c r="B29" s="47" t="s">
        <v>736</v>
      </c>
      <c r="C29" s="71"/>
      <c r="D29" s="71"/>
      <c r="E29" s="71"/>
      <c r="F29" s="71"/>
      <c r="G29" s="48">
        <f>+G8</f>
        <v>100000</v>
      </c>
      <c r="H29" s="2"/>
      <c r="I29" s="134"/>
      <c r="O29" s="2"/>
      <c r="P29" s="51"/>
      <c r="Q29" s="89"/>
    </row>
    <row r="30" spans="1:17" x14ac:dyDescent="0.25">
      <c r="A30" s="2"/>
      <c r="B30" s="80" t="s">
        <v>728</v>
      </c>
      <c r="C30" s="71"/>
      <c r="D30" s="71"/>
      <c r="E30" s="71"/>
      <c r="F30" s="71"/>
      <c r="G30" s="48">
        <v>200000</v>
      </c>
      <c r="H30" s="2"/>
      <c r="I30" s="134"/>
      <c r="O30" s="2"/>
      <c r="P30" s="51"/>
      <c r="Q30" s="89"/>
    </row>
    <row r="31" spans="1:17" x14ac:dyDescent="0.25">
      <c r="A31" s="2"/>
      <c r="B31" s="363" t="s">
        <v>612</v>
      </c>
      <c r="C31" s="406"/>
      <c r="D31" s="406"/>
      <c r="E31" s="406"/>
      <c r="F31" s="406"/>
      <c r="G31" s="364">
        <f>+G27+G29+G30</f>
        <v>800000</v>
      </c>
      <c r="H31" s="2"/>
      <c r="I31" s="134"/>
      <c r="O31" s="2"/>
      <c r="P31" s="51"/>
      <c r="Q31" s="89"/>
    </row>
    <row r="32" spans="1:17" x14ac:dyDescent="0.25">
      <c r="A32" s="2"/>
      <c r="B32" s="2"/>
      <c r="D32" s="351"/>
      <c r="E32" s="71"/>
      <c r="F32" s="71"/>
      <c r="G32" s="2"/>
      <c r="H32" s="2"/>
      <c r="I32" s="134"/>
      <c r="O32" s="2"/>
      <c r="P32" s="51"/>
      <c r="Q32" s="89"/>
    </row>
    <row r="33" spans="1:17" x14ac:dyDescent="0.25">
      <c r="A33" s="2"/>
      <c r="B33" s="278" t="s">
        <v>734</v>
      </c>
      <c r="C33" s="278"/>
      <c r="D33" s="278"/>
      <c r="E33" s="278"/>
      <c r="F33" s="278"/>
      <c r="G33" s="281"/>
      <c r="H33" s="2"/>
      <c r="I33" s="134"/>
      <c r="O33" s="2"/>
      <c r="P33" s="51"/>
      <c r="Q33" s="89"/>
    </row>
    <row r="34" spans="1:17" x14ac:dyDescent="0.25">
      <c r="A34" s="2"/>
      <c r="B34" s="47" t="s">
        <v>699</v>
      </c>
      <c r="C34" s="71"/>
      <c r="D34" s="71"/>
      <c r="E34" s="71"/>
      <c r="F34" s="71"/>
      <c r="G34" s="78">
        <f>+-G31*30%</f>
        <v>-240000</v>
      </c>
      <c r="H34" s="2"/>
      <c r="I34" s="134"/>
      <c r="O34" s="2"/>
      <c r="P34" s="51"/>
      <c r="Q34" s="89"/>
    </row>
    <row r="35" spans="1:17" x14ac:dyDescent="0.25">
      <c r="A35" s="2"/>
      <c r="B35" s="47" t="s">
        <v>11</v>
      </c>
      <c r="C35" s="71"/>
      <c r="D35" s="71"/>
      <c r="E35" s="71"/>
      <c r="F35" s="71"/>
      <c r="G35" s="78">
        <f>+F17-E17</f>
        <v>30000</v>
      </c>
      <c r="H35" s="2"/>
      <c r="I35" s="134"/>
      <c r="O35" s="2"/>
      <c r="P35" s="51"/>
      <c r="Q35" s="89"/>
    </row>
    <row r="36" spans="1:17" x14ac:dyDescent="0.25">
      <c r="A36" s="2"/>
      <c r="B36" s="363" t="s">
        <v>729</v>
      </c>
      <c r="C36" s="406"/>
      <c r="D36" s="406"/>
      <c r="E36" s="406"/>
      <c r="F36" s="406"/>
      <c r="G36" s="365">
        <f>+G34+G35</f>
        <v>-210000</v>
      </c>
      <c r="H36" s="2"/>
      <c r="I36" s="134"/>
      <c r="O36" s="2"/>
      <c r="P36" s="51"/>
      <c r="Q36" s="89"/>
    </row>
    <row r="37" spans="1:17" x14ac:dyDescent="0.25">
      <c r="A37" s="2"/>
      <c r="B37" s="51"/>
      <c r="D37" s="351"/>
      <c r="E37" s="71"/>
      <c r="F37" s="71"/>
      <c r="G37" s="89"/>
      <c r="H37" s="2"/>
      <c r="I37" s="134"/>
      <c r="O37" s="2"/>
      <c r="P37" s="51"/>
      <c r="Q37" s="89"/>
    </row>
    <row r="38" spans="1:17" x14ac:dyDescent="0.25">
      <c r="A38" s="2"/>
      <c r="B38" s="278" t="s">
        <v>707</v>
      </c>
      <c r="C38" s="278"/>
      <c r="D38" s="278"/>
      <c r="E38" s="278"/>
      <c r="F38" s="278"/>
      <c r="G38" s="281"/>
      <c r="H38" s="2"/>
      <c r="I38" s="134"/>
      <c r="O38" s="2"/>
      <c r="P38" s="51"/>
      <c r="Q38" s="89"/>
    </row>
    <row r="39" spans="1:17" x14ac:dyDescent="0.25">
      <c r="A39" s="2"/>
      <c r="B39" s="51" t="s">
        <v>122</v>
      </c>
      <c r="C39" s="71"/>
      <c r="D39" s="71"/>
      <c r="E39" s="71"/>
      <c r="F39" s="71"/>
      <c r="G39" s="52">
        <v>500000</v>
      </c>
      <c r="H39" s="2"/>
      <c r="I39" s="134"/>
      <c r="O39" s="2"/>
      <c r="P39" s="51"/>
      <c r="Q39" s="89"/>
    </row>
    <row r="40" spans="1:17" x14ac:dyDescent="0.25">
      <c r="A40" s="2"/>
      <c r="B40" s="80" t="s">
        <v>728</v>
      </c>
      <c r="C40" s="71"/>
      <c r="D40" s="71"/>
      <c r="E40" s="71"/>
      <c r="F40" s="71"/>
      <c r="G40" s="48">
        <v>200000</v>
      </c>
      <c r="H40" s="2"/>
      <c r="I40" s="134"/>
      <c r="O40" s="2"/>
      <c r="P40" s="51"/>
      <c r="Q40" s="89"/>
    </row>
    <row r="41" spans="1:17" x14ac:dyDescent="0.25">
      <c r="A41" s="2"/>
      <c r="B41" s="363" t="s">
        <v>735</v>
      </c>
      <c r="C41" s="406"/>
      <c r="D41" s="406"/>
      <c r="E41" s="406"/>
      <c r="F41" s="406"/>
      <c r="G41" s="364">
        <f>+G39+G40</f>
        <v>700000</v>
      </c>
      <c r="H41" s="2"/>
      <c r="I41" s="134"/>
      <c r="O41" s="2"/>
      <c r="P41" s="51"/>
      <c r="Q41" s="89"/>
    </row>
    <row r="42" spans="1:17" x14ac:dyDescent="0.25">
      <c r="A42" s="2"/>
      <c r="B42" s="363" t="s">
        <v>737</v>
      </c>
      <c r="C42" s="406"/>
      <c r="D42" s="406"/>
      <c r="E42" s="406"/>
      <c r="F42" s="406"/>
      <c r="G42" s="364">
        <f>+G41*30%</f>
        <v>210000</v>
      </c>
      <c r="H42" s="2"/>
      <c r="I42" s="134"/>
      <c r="O42" s="2"/>
      <c r="P42" s="51"/>
      <c r="Q42" s="89"/>
    </row>
    <row r="43" spans="1:17" x14ac:dyDescent="0.25">
      <c r="A43" s="2"/>
      <c r="B43" s="2"/>
      <c r="C43" s="2"/>
      <c r="D43" s="351"/>
      <c r="E43" s="71"/>
      <c r="F43" s="71"/>
      <c r="G43" s="71"/>
      <c r="H43" s="2"/>
      <c r="I43" s="134"/>
      <c r="O43" s="2"/>
      <c r="P43" s="51"/>
      <c r="Q43" s="89"/>
    </row>
    <row r="44" spans="1:17" x14ac:dyDescent="0.25">
      <c r="A44" s="403" t="s">
        <v>840</v>
      </c>
      <c r="B44" s="403"/>
      <c r="C44" s="403"/>
      <c r="D44" s="403"/>
      <c r="E44" s="403"/>
      <c r="F44" s="403"/>
      <c r="G44" s="403"/>
      <c r="H44" s="403"/>
      <c r="I44" s="134"/>
    </row>
    <row r="45" spans="1:17" x14ac:dyDescent="0.25">
      <c r="A45" s="45" t="s">
        <v>88</v>
      </c>
      <c r="B45" s="45"/>
      <c r="C45" s="45"/>
      <c r="D45" s="45"/>
      <c r="E45" s="45"/>
      <c r="F45" s="45"/>
      <c r="G45" s="45"/>
      <c r="H45" s="2"/>
      <c r="I45" s="134"/>
    </row>
    <row r="46" spans="1:17" x14ac:dyDescent="0.25">
      <c r="A46" s="45" t="s">
        <v>324</v>
      </c>
      <c r="B46" s="45"/>
      <c r="C46" s="45"/>
      <c r="D46" s="45"/>
      <c r="E46" s="45"/>
      <c r="F46" s="45"/>
      <c r="G46" s="45"/>
      <c r="H46" s="2"/>
      <c r="I46" s="134"/>
    </row>
    <row r="47" spans="1:17" x14ac:dyDescent="0.25">
      <c r="A47" s="45" t="s">
        <v>325</v>
      </c>
      <c r="B47" s="45"/>
      <c r="C47" s="45"/>
      <c r="D47" s="45"/>
      <c r="E47" s="45"/>
      <c r="F47" s="45"/>
      <c r="G47" s="45"/>
      <c r="H47" s="2"/>
      <c r="I47" s="134"/>
    </row>
    <row r="48" spans="1:17" x14ac:dyDescent="0.25">
      <c r="A48" s="45" t="s">
        <v>326</v>
      </c>
      <c r="B48" s="45"/>
      <c r="C48" s="45"/>
      <c r="D48" s="45"/>
      <c r="E48" s="45"/>
      <c r="F48" s="45"/>
      <c r="G48" s="45"/>
      <c r="H48" s="2"/>
      <c r="I48" s="134"/>
    </row>
    <row r="49" spans="1:9" x14ac:dyDescent="0.25">
      <c r="A49" s="46"/>
      <c r="B49" s="46"/>
      <c r="C49" s="46"/>
      <c r="D49" s="46"/>
      <c r="E49" s="46"/>
      <c r="F49" s="46"/>
      <c r="G49" s="46"/>
      <c r="H49" s="2"/>
      <c r="I49" s="134"/>
    </row>
    <row r="50" spans="1:9" x14ac:dyDescent="0.25">
      <c r="A50" s="47" t="s">
        <v>90</v>
      </c>
      <c r="B50" s="47"/>
      <c r="C50" s="48">
        <v>400000</v>
      </c>
      <c r="D50" s="46"/>
      <c r="E50" s="47"/>
      <c r="F50" s="47"/>
      <c r="G50" s="47"/>
      <c r="H50" s="2"/>
      <c r="I50" s="134"/>
    </row>
    <row r="51" spans="1:9" x14ac:dyDescent="0.25">
      <c r="A51" s="47" t="s">
        <v>93</v>
      </c>
      <c r="B51" s="47"/>
      <c r="C51" s="48">
        <v>500000</v>
      </c>
      <c r="D51" s="46"/>
      <c r="E51" s="47" t="s">
        <v>330</v>
      </c>
      <c r="F51" s="47"/>
      <c r="G51" s="48">
        <v>500000</v>
      </c>
      <c r="H51" s="2"/>
      <c r="I51" s="134"/>
    </row>
    <row r="52" spans="1:9" x14ac:dyDescent="0.25">
      <c r="A52" s="47"/>
      <c r="B52" s="47"/>
      <c r="C52" s="49"/>
      <c r="D52" s="46"/>
      <c r="E52" s="47"/>
      <c r="F52" s="47"/>
      <c r="G52" s="50"/>
      <c r="H52" s="2"/>
      <c r="I52" s="134"/>
    </row>
    <row r="53" spans="1:9" x14ac:dyDescent="0.25">
      <c r="A53" s="51" t="s">
        <v>328</v>
      </c>
      <c r="B53" s="51"/>
      <c r="C53" s="52">
        <f>SUM(C50:C52)</f>
        <v>900000</v>
      </c>
      <c r="D53" s="46"/>
      <c r="E53" s="51" t="s">
        <v>331</v>
      </c>
      <c r="F53" s="47"/>
      <c r="G53" s="52">
        <f>+G51</f>
        <v>500000</v>
      </c>
      <c r="H53" s="2"/>
      <c r="I53" s="134"/>
    </row>
    <row r="54" spans="1:9" x14ac:dyDescent="0.25">
      <c r="A54" s="47"/>
      <c r="B54" s="47"/>
      <c r="C54" s="47"/>
      <c r="D54" s="46"/>
      <c r="E54" s="47"/>
      <c r="F54" s="47"/>
      <c r="G54" s="47"/>
      <c r="H54" s="2"/>
      <c r="I54" s="134"/>
    </row>
    <row r="55" spans="1:9" x14ac:dyDescent="0.25">
      <c r="A55" s="47" t="s">
        <v>36</v>
      </c>
      <c r="B55" s="47"/>
      <c r="C55" s="49">
        <v>300000</v>
      </c>
      <c r="D55" s="46"/>
      <c r="E55" s="47" t="s">
        <v>333</v>
      </c>
      <c r="F55" s="47"/>
      <c r="G55" s="49">
        <f>+C56-G53</f>
        <v>700000</v>
      </c>
      <c r="H55" s="2"/>
      <c r="I55" s="134"/>
    </row>
    <row r="56" spans="1:9" x14ac:dyDescent="0.25">
      <c r="A56" s="51" t="s">
        <v>329</v>
      </c>
      <c r="B56" s="47"/>
      <c r="C56" s="53">
        <f>+C53+C55</f>
        <v>1200000</v>
      </c>
      <c r="D56" s="46"/>
      <c r="E56" s="51" t="s">
        <v>332</v>
      </c>
      <c r="F56" s="47"/>
      <c r="G56" s="53">
        <f>+G53+G55</f>
        <v>1200000</v>
      </c>
      <c r="H56" s="2"/>
      <c r="I56" s="134"/>
    </row>
    <row r="57" spans="1:9" x14ac:dyDescent="0.25">
      <c r="A57" s="51"/>
      <c r="B57" s="47"/>
      <c r="C57" s="52"/>
      <c r="D57" s="51"/>
      <c r="E57" s="51"/>
      <c r="F57" s="47"/>
      <c r="G57" s="52"/>
      <c r="H57" s="2"/>
      <c r="I57" s="134"/>
    </row>
    <row r="58" spans="1:9" x14ac:dyDescent="0.25">
      <c r="A58" s="403" t="s">
        <v>841</v>
      </c>
      <c r="B58" s="403"/>
      <c r="C58" s="403"/>
      <c r="D58" s="403"/>
      <c r="E58" s="403"/>
      <c r="F58" s="403"/>
      <c r="G58" s="403"/>
      <c r="H58" s="403"/>
      <c r="I58" s="134"/>
    </row>
    <row r="59" spans="1:9" x14ac:dyDescent="0.25">
      <c r="A59" s="45" t="s">
        <v>88</v>
      </c>
      <c r="B59" s="54"/>
      <c r="C59" s="54"/>
      <c r="D59" s="54"/>
      <c r="E59" s="54"/>
      <c r="F59" s="54"/>
      <c r="G59" s="54"/>
      <c r="H59" s="2"/>
      <c r="I59" s="134"/>
    </row>
    <row r="60" spans="1:9" x14ac:dyDescent="0.25">
      <c r="A60" s="45" t="s">
        <v>324</v>
      </c>
      <c r="B60" s="54"/>
      <c r="C60" s="54"/>
      <c r="D60" s="54"/>
      <c r="E60" s="54"/>
      <c r="F60" s="54"/>
      <c r="G60" s="54"/>
      <c r="H60" s="2"/>
      <c r="I60" s="134"/>
    </row>
    <row r="61" spans="1:9" x14ac:dyDescent="0.25">
      <c r="A61" s="45" t="s">
        <v>325</v>
      </c>
      <c r="B61" s="54"/>
      <c r="C61" s="54"/>
      <c r="D61" s="54"/>
      <c r="E61" s="54"/>
      <c r="F61" s="54"/>
      <c r="G61" s="54"/>
      <c r="H61" s="2"/>
      <c r="I61" s="134"/>
    </row>
    <row r="62" spans="1:9" x14ac:dyDescent="0.25">
      <c r="A62" s="45" t="s">
        <v>327</v>
      </c>
      <c r="B62" s="54"/>
      <c r="C62" s="54"/>
      <c r="D62" s="54"/>
      <c r="E62" s="54"/>
      <c r="F62" s="54"/>
      <c r="G62" s="54"/>
      <c r="H62" s="2"/>
      <c r="I62" s="134"/>
    </row>
    <row r="63" spans="1:9" x14ac:dyDescent="0.25">
      <c r="A63" s="46"/>
      <c r="B63" s="46"/>
      <c r="C63" s="46"/>
      <c r="D63" s="46"/>
      <c r="E63" s="46"/>
      <c r="F63" s="46"/>
      <c r="G63" s="46"/>
      <c r="H63" s="2"/>
      <c r="I63" s="134"/>
    </row>
    <row r="64" spans="1:9" x14ac:dyDescent="0.25">
      <c r="A64" s="47" t="s">
        <v>90</v>
      </c>
      <c r="B64" s="47"/>
      <c r="C64" s="48">
        <v>400000</v>
      </c>
      <c r="D64" s="46"/>
      <c r="E64" s="47"/>
      <c r="F64" s="47"/>
      <c r="G64" s="47"/>
      <c r="H64" s="2"/>
      <c r="I64" s="134"/>
    </row>
    <row r="65" spans="1:9" x14ac:dyDescent="0.25">
      <c r="A65" s="47" t="s">
        <v>93</v>
      </c>
      <c r="B65" s="47"/>
      <c r="C65" s="48">
        <v>500000</v>
      </c>
      <c r="D65" s="46"/>
      <c r="E65" s="47" t="s">
        <v>330</v>
      </c>
      <c r="F65" s="47"/>
      <c r="G65" s="48">
        <v>500000</v>
      </c>
      <c r="H65" s="2"/>
      <c r="I65" s="134"/>
    </row>
    <row r="66" spans="1:9" x14ac:dyDescent="0.25">
      <c r="A66" s="47"/>
      <c r="B66" s="47"/>
      <c r="C66" s="49"/>
      <c r="D66" s="46"/>
      <c r="E66" s="47"/>
      <c r="F66" s="47"/>
      <c r="G66" s="50"/>
      <c r="H66" s="2"/>
      <c r="I66" s="134"/>
    </row>
    <row r="67" spans="1:9" x14ac:dyDescent="0.25">
      <c r="A67" s="51" t="s">
        <v>328</v>
      </c>
      <c r="B67" s="51"/>
      <c r="C67" s="52">
        <f>SUM(C64:C66)</f>
        <v>900000</v>
      </c>
      <c r="D67" s="46"/>
      <c r="E67" s="51" t="s">
        <v>331</v>
      </c>
      <c r="F67" s="47"/>
      <c r="G67" s="52">
        <f>+G65</f>
        <v>500000</v>
      </c>
      <c r="H67" s="2"/>
      <c r="I67" s="134"/>
    </row>
    <row r="68" spans="1:9" x14ac:dyDescent="0.25">
      <c r="A68" s="47"/>
      <c r="B68" s="47"/>
      <c r="C68" s="47"/>
      <c r="D68" s="46"/>
      <c r="E68" s="47"/>
      <c r="F68" s="47"/>
      <c r="G68" s="47"/>
      <c r="H68" s="2"/>
      <c r="I68" s="134"/>
    </row>
    <row r="69" spans="1:9" x14ac:dyDescent="0.25">
      <c r="A69" s="47" t="s">
        <v>36</v>
      </c>
      <c r="B69" s="47"/>
      <c r="C69" s="49">
        <v>300000</v>
      </c>
      <c r="D69" s="46"/>
      <c r="E69" s="47" t="s">
        <v>333</v>
      </c>
      <c r="F69" s="47"/>
      <c r="G69" s="49">
        <f>+C70-G67</f>
        <v>700000</v>
      </c>
      <c r="H69" s="2"/>
      <c r="I69" s="134"/>
    </row>
    <row r="70" spans="1:9" x14ac:dyDescent="0.25">
      <c r="A70" s="51" t="s">
        <v>329</v>
      </c>
      <c r="B70" s="47"/>
      <c r="C70" s="53">
        <f>+C67+C69</f>
        <v>1200000</v>
      </c>
      <c r="D70" s="46"/>
      <c r="E70" s="51" t="s">
        <v>332</v>
      </c>
      <c r="F70" s="47"/>
      <c r="G70" s="53">
        <f>+G67+G69</f>
        <v>1200000</v>
      </c>
      <c r="H70" s="2"/>
      <c r="I70" s="134"/>
    </row>
    <row r="71" spans="1:9" x14ac:dyDescent="0.25">
      <c r="A71" s="40"/>
      <c r="B71" s="40"/>
      <c r="C71" s="40"/>
      <c r="D71" s="40"/>
      <c r="E71" s="40"/>
      <c r="F71" s="40"/>
      <c r="G71" s="40"/>
      <c r="H71" s="2"/>
      <c r="I71" s="134"/>
    </row>
    <row r="72" spans="1:9" x14ac:dyDescent="0.25">
      <c r="A72" s="403" t="s">
        <v>842</v>
      </c>
      <c r="B72" s="403"/>
      <c r="C72" s="403"/>
      <c r="D72" s="403"/>
      <c r="E72" s="403"/>
      <c r="F72" s="403"/>
      <c r="G72" s="403"/>
      <c r="H72" s="403"/>
      <c r="I72" s="134"/>
    </row>
    <row r="73" spans="1:9" x14ac:dyDescent="0.25">
      <c r="A73" s="47"/>
      <c r="B73" s="47"/>
      <c r="C73" s="47"/>
      <c r="D73" s="47"/>
      <c r="E73" s="61" t="s">
        <v>45</v>
      </c>
      <c r="F73" s="62" t="s">
        <v>45</v>
      </c>
      <c r="G73" s="61" t="s">
        <v>334</v>
      </c>
      <c r="H73" s="62" t="s">
        <v>334</v>
      </c>
      <c r="I73" s="134"/>
    </row>
    <row r="74" spans="1:9" x14ac:dyDescent="0.25">
      <c r="A74" s="47"/>
      <c r="B74" s="47"/>
      <c r="C74" s="47"/>
      <c r="D74" s="47"/>
      <c r="E74" s="61" t="s">
        <v>336</v>
      </c>
      <c r="F74" s="62" t="s">
        <v>337</v>
      </c>
      <c r="G74" s="61" t="s">
        <v>336</v>
      </c>
      <c r="H74" s="62" t="s">
        <v>337</v>
      </c>
      <c r="I74" s="134"/>
    </row>
    <row r="75" spans="1:9" x14ac:dyDescent="0.25">
      <c r="A75" s="65" t="s">
        <v>335</v>
      </c>
      <c r="B75" s="65"/>
      <c r="C75" s="407"/>
      <c r="D75" s="408"/>
      <c r="E75" s="55" t="s">
        <v>1</v>
      </c>
      <c r="F75" s="56" t="s">
        <v>1</v>
      </c>
      <c r="G75" s="55" t="s">
        <v>1</v>
      </c>
      <c r="H75" s="56" t="s">
        <v>1</v>
      </c>
      <c r="I75" s="134"/>
    </row>
    <row r="76" spans="1:9" x14ac:dyDescent="0.25">
      <c r="A76" s="64" t="s">
        <v>346</v>
      </c>
      <c r="B76" s="409"/>
      <c r="C76" s="409"/>
      <c r="D76" s="410"/>
      <c r="E76" s="48">
        <v>300000</v>
      </c>
      <c r="F76" s="58"/>
      <c r="G76" s="57">
        <f>+E76</f>
        <v>300000</v>
      </c>
      <c r="H76" s="58"/>
      <c r="I76" s="134"/>
    </row>
    <row r="77" spans="1:9" x14ac:dyDescent="0.25">
      <c r="A77" s="59" t="s">
        <v>172</v>
      </c>
      <c r="B77" s="50"/>
      <c r="C77" s="50"/>
      <c r="D77" s="411"/>
      <c r="E77" s="49"/>
      <c r="F77" s="60">
        <v>300000</v>
      </c>
      <c r="G77" s="59"/>
      <c r="H77" s="60">
        <f>+G76</f>
        <v>300000</v>
      </c>
      <c r="I77" s="134"/>
    </row>
    <row r="78" spans="1:9" x14ac:dyDescent="0.25">
      <c r="A78" s="40"/>
      <c r="B78" s="40"/>
      <c r="C78" s="40"/>
      <c r="D78" s="40"/>
      <c r="E78" s="40"/>
      <c r="F78" s="40"/>
      <c r="G78" s="40"/>
      <c r="H78" s="2"/>
      <c r="I78" s="134"/>
    </row>
    <row r="79" spans="1:9" x14ac:dyDescent="0.25">
      <c r="A79" s="40"/>
      <c r="B79" s="40"/>
      <c r="C79" s="40"/>
      <c r="D79" s="40"/>
      <c r="E79" s="61" t="s">
        <v>45</v>
      </c>
      <c r="F79" s="62" t="s">
        <v>45</v>
      </c>
      <c r="G79" s="61" t="s">
        <v>334</v>
      </c>
      <c r="H79" s="62" t="s">
        <v>334</v>
      </c>
      <c r="I79" s="134"/>
    </row>
    <row r="80" spans="1:9" x14ac:dyDescent="0.25">
      <c r="A80" s="40"/>
      <c r="B80" s="40"/>
      <c r="C80" s="40"/>
      <c r="D80" s="40"/>
      <c r="E80" s="61" t="s">
        <v>336</v>
      </c>
      <c r="F80" s="62" t="s">
        <v>337</v>
      </c>
      <c r="G80" s="61" t="s">
        <v>336</v>
      </c>
      <c r="H80" s="62" t="s">
        <v>337</v>
      </c>
      <c r="I80" s="134"/>
    </row>
    <row r="81" spans="1:9" x14ac:dyDescent="0.25">
      <c r="A81" s="65" t="s">
        <v>338</v>
      </c>
      <c r="B81" s="65"/>
      <c r="C81" s="407"/>
      <c r="D81" s="408"/>
      <c r="E81" s="55" t="s">
        <v>1</v>
      </c>
      <c r="F81" s="56" t="s">
        <v>1</v>
      </c>
      <c r="G81" s="55" t="s">
        <v>1</v>
      </c>
      <c r="H81" s="56" t="s">
        <v>1</v>
      </c>
      <c r="I81" s="134"/>
    </row>
    <row r="82" spans="1:9" x14ac:dyDescent="0.25">
      <c r="A82" s="64" t="s">
        <v>173</v>
      </c>
      <c r="B82" s="409"/>
      <c r="C82" s="409"/>
      <c r="D82" s="410"/>
      <c r="E82" s="57">
        <v>100000</v>
      </c>
      <c r="F82" s="58"/>
      <c r="G82" s="57">
        <f>+E82</f>
        <v>100000</v>
      </c>
      <c r="H82" s="58"/>
      <c r="I82" s="134"/>
    </row>
    <row r="83" spans="1:9" x14ac:dyDescent="0.25">
      <c r="A83" s="59" t="s">
        <v>93</v>
      </c>
      <c r="B83" s="50"/>
      <c r="C83" s="50"/>
      <c r="D83" s="411"/>
      <c r="E83" s="63"/>
      <c r="F83" s="60">
        <f>+E82</f>
        <v>100000</v>
      </c>
      <c r="G83" s="59"/>
      <c r="H83" s="60">
        <f>+G82</f>
        <v>100000</v>
      </c>
      <c r="I83" s="134"/>
    </row>
    <row r="84" spans="1:9" x14ac:dyDescent="0.25">
      <c r="A84" s="47"/>
      <c r="B84" s="47"/>
      <c r="C84" s="47"/>
      <c r="D84" s="47"/>
      <c r="E84" s="47"/>
      <c r="F84" s="47"/>
      <c r="G84" s="47"/>
      <c r="H84" s="47"/>
      <c r="I84" s="134"/>
    </row>
    <row r="85" spans="1:9" x14ac:dyDescent="0.25">
      <c r="A85" s="40"/>
      <c r="B85" s="40"/>
      <c r="C85" s="40"/>
      <c r="D85" s="40"/>
      <c r="E85" s="61" t="s">
        <v>45</v>
      </c>
      <c r="F85" s="62" t="s">
        <v>45</v>
      </c>
      <c r="G85" s="61" t="s">
        <v>334</v>
      </c>
      <c r="H85" s="62" t="s">
        <v>334</v>
      </c>
      <c r="I85" s="134"/>
    </row>
    <row r="86" spans="1:9" x14ac:dyDescent="0.25">
      <c r="A86" s="40"/>
      <c r="B86" s="40"/>
      <c r="C86" s="40"/>
      <c r="D86" s="40"/>
      <c r="E86" s="61" t="s">
        <v>336</v>
      </c>
      <c r="F86" s="62" t="s">
        <v>337</v>
      </c>
      <c r="G86" s="61" t="s">
        <v>336</v>
      </c>
      <c r="H86" s="62" t="s">
        <v>337</v>
      </c>
      <c r="I86" s="134"/>
    </row>
    <row r="87" spans="1:9" x14ac:dyDescent="0.25">
      <c r="A87" s="65" t="s">
        <v>339</v>
      </c>
      <c r="B87" s="65"/>
      <c r="C87" s="407"/>
      <c r="D87" s="408"/>
      <c r="E87" s="55" t="s">
        <v>1</v>
      </c>
      <c r="F87" s="56" t="s">
        <v>1</v>
      </c>
      <c r="G87" s="55" t="s">
        <v>1</v>
      </c>
      <c r="H87" s="56" t="s">
        <v>1</v>
      </c>
      <c r="I87" s="134"/>
    </row>
    <row r="88" spans="1:9" x14ac:dyDescent="0.25">
      <c r="A88" s="64" t="s">
        <v>340</v>
      </c>
      <c r="B88" s="409"/>
      <c r="C88" s="409"/>
      <c r="D88" s="410"/>
      <c r="E88" s="57">
        <f>+C55*25%</f>
        <v>75000</v>
      </c>
      <c r="F88" s="58"/>
      <c r="G88" s="57">
        <f>C55*10%</f>
        <v>30000</v>
      </c>
      <c r="H88" s="58"/>
      <c r="I88" s="134"/>
    </row>
    <row r="89" spans="1:9" x14ac:dyDescent="0.25">
      <c r="A89" s="59" t="s">
        <v>341</v>
      </c>
      <c r="B89" s="50"/>
      <c r="C89" s="50"/>
      <c r="D89" s="411"/>
      <c r="E89" s="63"/>
      <c r="F89" s="60">
        <f>+E88</f>
        <v>75000</v>
      </c>
      <c r="G89" s="59"/>
      <c r="H89" s="60">
        <f>+G88</f>
        <v>30000</v>
      </c>
      <c r="I89" s="134"/>
    </row>
    <row r="90" spans="1:9" x14ac:dyDescent="0.25">
      <c r="A90" s="40"/>
      <c r="B90" s="40"/>
      <c r="C90" s="40"/>
      <c r="D90" s="40"/>
      <c r="E90" s="40"/>
      <c r="F90" s="40"/>
      <c r="G90" s="40"/>
      <c r="H90" s="2"/>
      <c r="I90" s="134"/>
    </row>
    <row r="91" spans="1:9" x14ac:dyDescent="0.25">
      <c r="A91" s="403" t="s">
        <v>843</v>
      </c>
      <c r="B91" s="403"/>
      <c r="C91" s="403"/>
      <c r="D91" s="403"/>
      <c r="E91" s="403"/>
      <c r="F91" s="403"/>
      <c r="G91" s="403"/>
      <c r="H91" s="403"/>
      <c r="I91" s="134"/>
    </row>
    <row r="92" spans="1:9" x14ac:dyDescent="0.25">
      <c r="A92" s="47"/>
      <c r="B92" s="40"/>
      <c r="C92" s="40"/>
      <c r="D92" s="40"/>
      <c r="E92" s="61" t="s">
        <v>45</v>
      </c>
      <c r="F92" s="62" t="s">
        <v>45</v>
      </c>
      <c r="G92" s="61" t="s">
        <v>334</v>
      </c>
      <c r="H92" s="62" t="s">
        <v>334</v>
      </c>
      <c r="I92" s="134"/>
    </row>
    <row r="93" spans="1:9" x14ac:dyDescent="0.25">
      <c r="A93" s="47"/>
      <c r="B93" s="40"/>
      <c r="C93" s="40"/>
      <c r="D93" s="40"/>
      <c r="E93" s="61" t="s">
        <v>336</v>
      </c>
      <c r="F93" s="62" t="s">
        <v>337</v>
      </c>
      <c r="G93" s="61" t="s">
        <v>336</v>
      </c>
      <c r="H93" s="62" t="s">
        <v>337</v>
      </c>
      <c r="I93" s="134"/>
    </row>
    <row r="94" spans="1:9" x14ac:dyDescent="0.25">
      <c r="A94" s="65" t="s">
        <v>350</v>
      </c>
      <c r="B94" s="65"/>
      <c r="C94" s="407"/>
      <c r="D94" s="408"/>
      <c r="E94" s="55" t="s">
        <v>1</v>
      </c>
      <c r="F94" s="56" t="s">
        <v>1</v>
      </c>
      <c r="G94" s="55" t="s">
        <v>1</v>
      </c>
      <c r="H94" s="56" t="s">
        <v>1</v>
      </c>
      <c r="I94" s="134"/>
    </row>
    <row r="95" spans="1:9" x14ac:dyDescent="0.25">
      <c r="A95" s="64" t="s">
        <v>342</v>
      </c>
      <c r="B95" s="409"/>
      <c r="C95" s="409"/>
      <c r="D95" s="410"/>
      <c r="E95" s="57">
        <v>3000</v>
      </c>
      <c r="F95" s="58"/>
      <c r="G95" s="57">
        <f>C114*10%</f>
        <v>0</v>
      </c>
      <c r="H95" s="58"/>
      <c r="I95" s="134"/>
    </row>
    <row r="96" spans="1:9" x14ac:dyDescent="0.25">
      <c r="A96" s="59" t="s">
        <v>343</v>
      </c>
      <c r="B96" s="50"/>
      <c r="C96" s="50"/>
      <c r="D96" s="411"/>
      <c r="E96" s="63"/>
      <c r="F96" s="60">
        <f>+E95</f>
        <v>3000</v>
      </c>
      <c r="G96" s="59"/>
      <c r="H96" s="60">
        <f>+G95</f>
        <v>0</v>
      </c>
      <c r="I96" s="134"/>
    </row>
    <row r="97" spans="1:9" x14ac:dyDescent="0.25">
      <c r="A97" s="42"/>
      <c r="B97" s="40"/>
      <c r="C97" s="40"/>
      <c r="D97" s="40"/>
      <c r="E97" s="40"/>
      <c r="F97" s="40"/>
      <c r="G97" s="40"/>
      <c r="H97" s="40"/>
      <c r="I97" s="134"/>
    </row>
    <row r="98" spans="1:9" x14ac:dyDescent="0.25">
      <c r="A98" s="47"/>
      <c r="B98" s="40"/>
      <c r="C98" s="40"/>
      <c r="D98" s="40"/>
      <c r="E98" s="61" t="s">
        <v>45</v>
      </c>
      <c r="F98" s="62" t="s">
        <v>45</v>
      </c>
      <c r="G98" s="61" t="s">
        <v>334</v>
      </c>
      <c r="H98" s="62" t="s">
        <v>334</v>
      </c>
      <c r="I98" s="134"/>
    </row>
    <row r="99" spans="1:9" x14ac:dyDescent="0.25">
      <c r="A99" s="47"/>
      <c r="B99" s="40"/>
      <c r="C99" s="40"/>
      <c r="D99" s="40"/>
      <c r="E99" s="61" t="s">
        <v>336</v>
      </c>
      <c r="F99" s="62" t="s">
        <v>337</v>
      </c>
      <c r="G99" s="61" t="s">
        <v>336</v>
      </c>
      <c r="H99" s="62" t="s">
        <v>337</v>
      </c>
      <c r="I99" s="134"/>
    </row>
    <row r="100" spans="1:9" x14ac:dyDescent="0.25">
      <c r="A100" s="65" t="s">
        <v>344</v>
      </c>
      <c r="B100" s="65"/>
      <c r="C100" s="407"/>
      <c r="D100" s="408"/>
      <c r="E100" s="55" t="s">
        <v>1</v>
      </c>
      <c r="F100" s="56" t="s">
        <v>1</v>
      </c>
      <c r="G100" s="55" t="s">
        <v>1</v>
      </c>
      <c r="H100" s="56" t="s">
        <v>1</v>
      </c>
      <c r="I100" s="134"/>
    </row>
    <row r="101" spans="1:9" x14ac:dyDescent="0.25">
      <c r="A101" s="64" t="s">
        <v>342</v>
      </c>
      <c r="B101" s="409"/>
      <c r="C101" s="409"/>
      <c r="D101" s="410"/>
      <c r="E101" s="57">
        <v>10000</v>
      </c>
      <c r="F101" s="58"/>
      <c r="G101" s="57">
        <v>0</v>
      </c>
      <c r="H101" s="58"/>
      <c r="I101" s="134"/>
    </row>
    <row r="102" spans="1:9" x14ac:dyDescent="0.25">
      <c r="A102" s="59" t="s">
        <v>345</v>
      </c>
      <c r="B102" s="50"/>
      <c r="C102" s="50"/>
      <c r="D102" s="411"/>
      <c r="E102" s="63"/>
      <c r="F102" s="60">
        <f>+E101</f>
        <v>10000</v>
      </c>
      <c r="G102" s="59"/>
      <c r="H102" s="60">
        <f>+G101</f>
        <v>0</v>
      </c>
      <c r="I102" s="134"/>
    </row>
    <row r="103" spans="1:9" x14ac:dyDescent="0.25">
      <c r="A103" s="47"/>
      <c r="B103" s="47"/>
      <c r="C103" s="47"/>
      <c r="D103" s="47"/>
      <c r="E103" s="48"/>
      <c r="F103" s="48"/>
      <c r="G103" s="47"/>
      <c r="H103" s="48"/>
      <c r="I103" s="134"/>
    </row>
    <row r="104" spans="1:9" x14ac:dyDescent="0.25">
      <c r="A104" s="403" t="s">
        <v>844</v>
      </c>
      <c r="B104" s="403"/>
      <c r="C104" s="403"/>
      <c r="D104" s="403"/>
      <c r="E104" s="403"/>
      <c r="F104" s="403"/>
      <c r="G104" s="403"/>
      <c r="H104" s="403"/>
      <c r="I104" s="134"/>
    </row>
    <row r="105" spans="1:9" x14ac:dyDescent="0.25">
      <c r="A105" s="40"/>
      <c r="B105" s="40"/>
      <c r="C105" s="40"/>
      <c r="D105" s="40"/>
      <c r="E105" s="61" t="s">
        <v>45</v>
      </c>
      <c r="F105" s="62" t="s">
        <v>45</v>
      </c>
      <c r="G105" s="61" t="s">
        <v>334</v>
      </c>
      <c r="H105" s="62" t="s">
        <v>334</v>
      </c>
      <c r="I105" s="134"/>
    </row>
    <row r="106" spans="1:9" x14ac:dyDescent="0.25">
      <c r="A106" s="40"/>
      <c r="B106" s="40"/>
      <c r="C106" s="40"/>
      <c r="D106" s="40"/>
      <c r="E106" s="61" t="s">
        <v>336</v>
      </c>
      <c r="F106" s="62" t="s">
        <v>337</v>
      </c>
      <c r="G106" s="61" t="s">
        <v>336</v>
      </c>
      <c r="H106" s="62" t="s">
        <v>337</v>
      </c>
      <c r="I106" s="134"/>
    </row>
    <row r="107" spans="1:9" x14ac:dyDescent="0.25">
      <c r="A107" s="65" t="s">
        <v>349</v>
      </c>
      <c r="B107" s="65"/>
      <c r="C107" s="407"/>
      <c r="D107" s="408"/>
      <c r="E107" s="55" t="s">
        <v>1</v>
      </c>
      <c r="F107" s="56" t="s">
        <v>1</v>
      </c>
      <c r="G107" s="55" t="s">
        <v>1</v>
      </c>
      <c r="H107" s="56" t="s">
        <v>1</v>
      </c>
      <c r="I107" s="134"/>
    </row>
    <row r="108" spans="1:9" x14ac:dyDescent="0.25">
      <c r="A108" s="64" t="s">
        <v>347</v>
      </c>
      <c r="B108" s="409"/>
      <c r="C108" s="409"/>
      <c r="D108" s="410"/>
      <c r="E108" s="57">
        <v>5000</v>
      </c>
      <c r="F108" s="58"/>
      <c r="G108" s="57">
        <v>0</v>
      </c>
      <c r="H108" s="58"/>
      <c r="I108" s="134"/>
    </row>
    <row r="109" spans="1:9" x14ac:dyDescent="0.25">
      <c r="A109" s="59" t="s">
        <v>348</v>
      </c>
      <c r="B109" s="50"/>
      <c r="C109" s="50"/>
      <c r="D109" s="411"/>
      <c r="E109" s="63"/>
      <c r="F109" s="60">
        <f>+E108</f>
        <v>5000</v>
      </c>
      <c r="G109" s="59"/>
      <c r="H109" s="60">
        <f>+G108</f>
        <v>0</v>
      </c>
      <c r="I109" s="134"/>
    </row>
    <row r="110" spans="1:9" x14ac:dyDescent="0.25">
      <c r="A110" s="40"/>
      <c r="B110" s="47"/>
      <c r="C110" s="47"/>
      <c r="D110" s="47"/>
      <c r="E110" s="40"/>
      <c r="F110" s="40"/>
      <c r="G110" s="40"/>
      <c r="H110" s="2"/>
      <c r="I110" s="134"/>
    </row>
    <row r="111" spans="1:9" x14ac:dyDescent="0.25">
      <c r="A111" s="403" t="s">
        <v>845</v>
      </c>
      <c r="B111" s="403"/>
      <c r="C111" s="403"/>
      <c r="D111" s="403"/>
      <c r="E111" s="403"/>
      <c r="F111" s="403"/>
      <c r="G111" s="403"/>
      <c r="H111" s="403"/>
      <c r="I111" s="134"/>
    </row>
    <row r="112" spans="1:9" x14ac:dyDescent="0.25">
      <c r="A112" s="45" t="s">
        <v>88</v>
      </c>
      <c r="B112" s="45"/>
      <c r="C112" s="45"/>
      <c r="D112" s="45"/>
      <c r="E112" s="45"/>
      <c r="F112" s="45"/>
      <c r="G112" s="45"/>
      <c r="H112" s="2"/>
      <c r="I112" s="134"/>
    </row>
    <row r="113" spans="1:9" x14ac:dyDescent="0.25">
      <c r="A113" s="45" t="s">
        <v>352</v>
      </c>
      <c r="B113" s="45"/>
      <c r="C113" s="45"/>
      <c r="D113" s="45"/>
      <c r="E113" s="45"/>
      <c r="F113" s="45"/>
      <c r="G113" s="45"/>
      <c r="H113" s="2"/>
      <c r="I113" s="134"/>
    </row>
    <row r="114" spans="1:9" x14ac:dyDescent="0.25">
      <c r="A114" s="45" t="s">
        <v>325</v>
      </c>
      <c r="B114" s="45"/>
      <c r="C114" s="45"/>
      <c r="D114" s="45"/>
      <c r="E114" s="45"/>
      <c r="F114" s="45"/>
      <c r="G114" s="45"/>
      <c r="H114" s="2"/>
      <c r="I114" s="134"/>
    </row>
    <row r="115" spans="1:9" x14ac:dyDescent="0.25">
      <c r="A115" s="45" t="s">
        <v>326</v>
      </c>
      <c r="B115" s="45"/>
      <c r="C115" s="45"/>
      <c r="D115" s="45"/>
      <c r="E115" s="45"/>
      <c r="F115" s="45"/>
      <c r="G115" s="45"/>
      <c r="H115" s="2"/>
      <c r="I115" s="134"/>
    </row>
    <row r="116" spans="1:9" x14ac:dyDescent="0.25">
      <c r="A116" s="46"/>
      <c r="B116" s="46"/>
      <c r="C116" s="46"/>
      <c r="D116" s="46"/>
      <c r="E116" s="46"/>
      <c r="F116" s="46"/>
      <c r="G116" s="46"/>
      <c r="H116" s="2"/>
      <c r="I116" s="134"/>
    </row>
    <row r="117" spans="1:9" x14ac:dyDescent="0.25">
      <c r="A117" s="47" t="s">
        <v>90</v>
      </c>
      <c r="B117" s="47"/>
      <c r="C117" s="48">
        <v>400000</v>
      </c>
      <c r="D117" s="46"/>
      <c r="E117" s="47"/>
      <c r="F117" s="47"/>
      <c r="G117" s="47"/>
      <c r="H117" s="2"/>
      <c r="I117" s="134"/>
    </row>
    <row r="118" spans="1:9" x14ac:dyDescent="0.25">
      <c r="A118" s="47" t="s">
        <v>93</v>
      </c>
      <c r="B118" s="47"/>
      <c r="C118" s="48">
        <f>500000-F83-F96</f>
        <v>397000</v>
      </c>
      <c r="D118" s="46"/>
      <c r="E118" s="47" t="s">
        <v>330</v>
      </c>
      <c r="F118" s="47"/>
      <c r="G118" s="48">
        <v>500000</v>
      </c>
      <c r="H118" s="2"/>
      <c r="I118" s="134"/>
    </row>
    <row r="119" spans="1:9" x14ac:dyDescent="0.25">
      <c r="A119" s="47" t="s">
        <v>346</v>
      </c>
      <c r="B119" s="47"/>
      <c r="C119" s="49">
        <f>+E76-F102</f>
        <v>290000</v>
      </c>
      <c r="D119" s="46"/>
      <c r="E119" s="47" t="s">
        <v>351</v>
      </c>
      <c r="F119" s="47"/>
      <c r="G119" s="49">
        <f>+F109</f>
        <v>5000</v>
      </c>
      <c r="H119" s="2"/>
      <c r="I119" s="134"/>
    </row>
    <row r="120" spans="1:9" x14ac:dyDescent="0.25">
      <c r="A120" s="51" t="s">
        <v>328</v>
      </c>
      <c r="B120" s="51"/>
      <c r="C120" s="52">
        <f>SUM(C117:C119)</f>
        <v>1087000</v>
      </c>
      <c r="D120" s="46"/>
      <c r="E120" s="51" t="s">
        <v>331</v>
      </c>
      <c r="F120" s="47"/>
      <c r="G120" s="52">
        <f>+G118+G119</f>
        <v>505000</v>
      </c>
      <c r="H120" s="2"/>
      <c r="I120" s="134"/>
    </row>
    <row r="121" spans="1:9" x14ac:dyDescent="0.25">
      <c r="A121" s="47"/>
      <c r="B121" s="47"/>
      <c r="C121" s="47"/>
      <c r="D121" s="46"/>
      <c r="E121" s="47" t="s">
        <v>333</v>
      </c>
      <c r="F121" s="47"/>
      <c r="G121" s="48">
        <f>+G55</f>
        <v>700000</v>
      </c>
      <c r="H121" s="2"/>
      <c r="I121" s="134"/>
    </row>
    <row r="122" spans="1:9" x14ac:dyDescent="0.25">
      <c r="A122" s="47" t="s">
        <v>36</v>
      </c>
      <c r="B122" s="47"/>
      <c r="C122" s="49">
        <f>300000-F89</f>
        <v>225000</v>
      </c>
      <c r="D122" s="46"/>
      <c r="E122" s="47" t="s">
        <v>3</v>
      </c>
      <c r="F122" s="47"/>
      <c r="G122" s="49">
        <f>+F77-E82-E88-E95-E101-E108</f>
        <v>107000</v>
      </c>
      <c r="H122" s="2"/>
      <c r="I122" s="134"/>
    </row>
    <row r="123" spans="1:9" x14ac:dyDescent="0.25">
      <c r="A123" s="51" t="s">
        <v>329</v>
      </c>
      <c r="B123" s="47"/>
      <c r="C123" s="53">
        <f>+C120+C122</f>
        <v>1312000</v>
      </c>
      <c r="D123" s="46"/>
      <c r="E123" s="51" t="s">
        <v>332</v>
      </c>
      <c r="F123" s="47"/>
      <c r="G123" s="53">
        <f>SUM(G120:G122)</f>
        <v>1312000</v>
      </c>
      <c r="H123" s="2"/>
      <c r="I123" s="134"/>
    </row>
    <row r="124" spans="1:9" x14ac:dyDescent="0.25">
      <c r="A124" s="40"/>
      <c r="B124" s="40"/>
      <c r="C124" s="40"/>
      <c r="D124" s="40"/>
      <c r="E124" s="40"/>
      <c r="F124" s="40"/>
      <c r="G124" s="40"/>
      <c r="H124" s="2"/>
      <c r="I124" s="134"/>
    </row>
    <row r="125" spans="1:9" x14ac:dyDescent="0.25">
      <c r="A125" s="40"/>
      <c r="B125" s="40"/>
      <c r="C125" s="40"/>
      <c r="D125" s="40"/>
      <c r="E125" s="40"/>
      <c r="F125" s="40"/>
      <c r="G125" s="40"/>
      <c r="H125" s="2"/>
      <c r="I125" s="134"/>
    </row>
    <row r="126" spans="1:9" x14ac:dyDescent="0.25">
      <c r="A126" s="45" t="s">
        <v>88</v>
      </c>
      <c r="B126" s="54"/>
      <c r="C126" s="54"/>
      <c r="D126" s="54"/>
      <c r="E126" s="54"/>
      <c r="F126" s="54"/>
      <c r="G126" s="54"/>
      <c r="H126" s="2"/>
      <c r="I126" s="134"/>
    </row>
    <row r="127" spans="1:9" x14ac:dyDescent="0.25">
      <c r="A127" s="45" t="s">
        <v>352</v>
      </c>
      <c r="B127" s="54"/>
      <c r="C127" s="54"/>
      <c r="D127" s="54"/>
      <c r="E127" s="54"/>
      <c r="F127" s="54"/>
      <c r="G127" s="54"/>
      <c r="H127" s="2"/>
      <c r="I127" s="134"/>
    </row>
    <row r="128" spans="1:9" x14ac:dyDescent="0.25">
      <c r="A128" s="45" t="s">
        <v>325</v>
      </c>
      <c r="B128" s="54"/>
      <c r="C128" s="54"/>
      <c r="D128" s="54"/>
      <c r="E128" s="54"/>
      <c r="F128" s="54"/>
      <c r="G128" s="54"/>
      <c r="H128" s="2"/>
      <c r="I128" s="134"/>
    </row>
    <row r="129" spans="1:9" x14ac:dyDescent="0.25">
      <c r="A129" s="45" t="s">
        <v>327</v>
      </c>
      <c r="B129" s="54"/>
      <c r="C129" s="54"/>
      <c r="D129" s="54"/>
      <c r="E129" s="54"/>
      <c r="F129" s="54"/>
      <c r="G129" s="54"/>
      <c r="H129" s="2"/>
      <c r="I129" s="134"/>
    </row>
    <row r="130" spans="1:9" x14ac:dyDescent="0.25">
      <c r="A130" s="46"/>
      <c r="B130" s="46"/>
      <c r="C130" s="46"/>
      <c r="D130" s="46"/>
      <c r="E130" s="46"/>
      <c r="F130" s="46"/>
      <c r="G130" s="46"/>
      <c r="H130" s="2"/>
      <c r="I130" s="134"/>
    </row>
    <row r="131" spans="1:9" x14ac:dyDescent="0.25">
      <c r="A131" s="47" t="s">
        <v>90</v>
      </c>
      <c r="B131" s="47"/>
      <c r="C131" s="48">
        <v>400000</v>
      </c>
      <c r="D131" s="46"/>
      <c r="E131" s="47"/>
      <c r="F131" s="47"/>
      <c r="G131" s="47"/>
      <c r="H131" s="2"/>
      <c r="I131" s="134"/>
    </row>
    <row r="132" spans="1:9" x14ac:dyDescent="0.25">
      <c r="A132" s="47" t="s">
        <v>93</v>
      </c>
      <c r="B132" s="47"/>
      <c r="C132" s="48">
        <f>500000-H83</f>
        <v>400000</v>
      </c>
      <c r="D132" s="46"/>
      <c r="E132" s="47" t="s">
        <v>330</v>
      </c>
      <c r="F132" s="47"/>
      <c r="G132" s="48">
        <v>500000</v>
      </c>
      <c r="H132" s="2"/>
      <c r="I132" s="134"/>
    </row>
    <row r="133" spans="1:9" x14ac:dyDescent="0.25">
      <c r="A133" s="47" t="s">
        <v>346</v>
      </c>
      <c r="B133" s="47"/>
      <c r="C133" s="49">
        <f>+G76</f>
        <v>300000</v>
      </c>
      <c r="D133" s="46"/>
      <c r="E133" s="47"/>
      <c r="F133" s="47"/>
      <c r="G133" s="50"/>
      <c r="H133" s="2"/>
      <c r="I133" s="134"/>
    </row>
    <row r="134" spans="1:9" x14ac:dyDescent="0.25">
      <c r="A134" s="51" t="s">
        <v>328</v>
      </c>
      <c r="B134" s="51"/>
      <c r="C134" s="52">
        <f>SUM(C131:C133)</f>
        <v>1100000</v>
      </c>
      <c r="D134" s="46"/>
      <c r="E134" s="51" t="s">
        <v>331</v>
      </c>
      <c r="F134" s="47"/>
      <c r="G134" s="52">
        <f>+G132</f>
        <v>500000</v>
      </c>
      <c r="H134" s="2"/>
      <c r="I134" s="134"/>
    </row>
    <row r="135" spans="1:9" x14ac:dyDescent="0.25">
      <c r="A135" s="47"/>
      <c r="B135" s="47"/>
      <c r="C135" s="47"/>
      <c r="D135" s="46"/>
      <c r="E135" s="47" t="s">
        <v>333</v>
      </c>
      <c r="F135" s="47"/>
      <c r="G135" s="48">
        <f>+G69</f>
        <v>700000</v>
      </c>
      <c r="H135" s="2"/>
      <c r="I135" s="134"/>
    </row>
    <row r="136" spans="1:9" x14ac:dyDescent="0.25">
      <c r="A136" s="47" t="s">
        <v>36</v>
      </c>
      <c r="B136" s="47"/>
      <c r="C136" s="49">
        <f>300000-H89</f>
        <v>270000</v>
      </c>
      <c r="D136" s="46"/>
      <c r="E136" s="47" t="s">
        <v>5</v>
      </c>
      <c r="F136" s="47"/>
      <c r="G136" s="49">
        <f>+H77-G82-G88-G95-G101-G108</f>
        <v>170000</v>
      </c>
      <c r="H136" s="2"/>
      <c r="I136" s="134"/>
    </row>
    <row r="137" spans="1:9" x14ac:dyDescent="0.25">
      <c r="A137" s="51" t="s">
        <v>329</v>
      </c>
      <c r="B137" s="47"/>
      <c r="C137" s="53">
        <f>+C134+C136</f>
        <v>1370000</v>
      </c>
      <c r="D137" s="46"/>
      <c r="E137" s="51" t="s">
        <v>332</v>
      </c>
      <c r="F137" s="47"/>
      <c r="G137" s="53">
        <f>SUM(G134:G136)</f>
        <v>1370000</v>
      </c>
      <c r="H137" s="2"/>
      <c r="I137" s="134"/>
    </row>
    <row r="138" spans="1:9" x14ac:dyDescent="0.25">
      <c r="A138" s="40"/>
      <c r="B138" s="40"/>
      <c r="C138" s="40"/>
      <c r="D138" s="40"/>
      <c r="E138" s="40"/>
      <c r="F138" s="40"/>
      <c r="G138" s="40"/>
      <c r="H138" s="2"/>
      <c r="I138" s="134"/>
    </row>
    <row r="139" spans="1:9" x14ac:dyDescent="0.25">
      <c r="A139" s="40"/>
      <c r="B139" s="40"/>
      <c r="C139" s="40"/>
      <c r="D139" s="40"/>
      <c r="E139" s="40"/>
      <c r="F139" s="40"/>
      <c r="G139" s="40"/>
      <c r="H139" s="2"/>
      <c r="I139" s="134"/>
    </row>
    <row r="140" spans="1:9" x14ac:dyDescent="0.25">
      <c r="A140" s="403" t="s">
        <v>846</v>
      </c>
      <c r="B140" s="403"/>
      <c r="C140" s="403"/>
      <c r="D140" s="403"/>
      <c r="E140" s="403"/>
      <c r="F140" s="403"/>
      <c r="G140" s="403"/>
      <c r="H140" s="403"/>
      <c r="I140" s="134"/>
    </row>
    <row r="141" spans="1:9" x14ac:dyDescent="0.25">
      <c r="A141" s="54"/>
      <c r="B141" s="54"/>
      <c r="C141" s="54"/>
      <c r="D141" s="54"/>
      <c r="E141" s="69" t="s">
        <v>107</v>
      </c>
      <c r="F141" s="69" t="s">
        <v>107</v>
      </c>
      <c r="G141" s="69" t="s">
        <v>224</v>
      </c>
      <c r="H141" s="2"/>
      <c r="I141" s="134"/>
    </row>
    <row r="142" spans="1:9" x14ac:dyDescent="0.25">
      <c r="A142" s="54"/>
      <c r="B142" s="54"/>
      <c r="C142" s="54"/>
      <c r="D142" s="54"/>
      <c r="E142" s="69" t="s">
        <v>110</v>
      </c>
      <c r="F142" s="69" t="s">
        <v>78</v>
      </c>
      <c r="G142" s="69" t="s">
        <v>225</v>
      </c>
      <c r="H142" s="2"/>
      <c r="I142" s="134"/>
    </row>
    <row r="143" spans="1:9" x14ac:dyDescent="0.25">
      <c r="A143" s="54"/>
      <c r="B143" s="54"/>
      <c r="C143" s="54"/>
      <c r="D143" s="54"/>
      <c r="E143" s="69" t="s">
        <v>353</v>
      </c>
      <c r="F143" s="69" t="s">
        <v>354</v>
      </c>
      <c r="G143" s="69" t="s">
        <v>215</v>
      </c>
      <c r="H143" s="2"/>
      <c r="I143" s="134"/>
    </row>
    <row r="144" spans="1:9" x14ac:dyDescent="0.25">
      <c r="A144" s="51" t="s">
        <v>355</v>
      </c>
      <c r="B144" s="51"/>
      <c r="C144" s="47"/>
      <c r="D144" s="47"/>
      <c r="E144" s="66"/>
      <c r="F144" s="66"/>
      <c r="G144" s="66"/>
      <c r="H144" s="2"/>
      <c r="I144" s="134"/>
    </row>
    <row r="145" spans="1:9" x14ac:dyDescent="0.25">
      <c r="A145" s="47" t="s">
        <v>90</v>
      </c>
      <c r="B145" s="47"/>
      <c r="C145" s="47"/>
      <c r="D145" s="47"/>
      <c r="E145" s="48">
        <f>+C117</f>
        <v>400000</v>
      </c>
      <c r="F145" s="48">
        <f>+C131</f>
        <v>400000</v>
      </c>
      <c r="G145" s="48">
        <f>+F145-E145</f>
        <v>0</v>
      </c>
      <c r="H145" s="2"/>
      <c r="I145" s="134"/>
    </row>
    <row r="146" spans="1:9" x14ac:dyDescent="0.25">
      <c r="A146" s="47" t="s">
        <v>93</v>
      </c>
      <c r="B146" s="47"/>
      <c r="C146" s="47"/>
      <c r="D146" s="47"/>
      <c r="E146" s="48">
        <f>+C118</f>
        <v>397000</v>
      </c>
      <c r="F146" s="48">
        <f>+C132</f>
        <v>400000</v>
      </c>
      <c r="G146" s="48">
        <f>+F146-E146</f>
        <v>3000</v>
      </c>
      <c r="H146" s="2"/>
      <c r="I146" s="134"/>
    </row>
    <row r="147" spans="1:9" x14ac:dyDescent="0.25">
      <c r="A147" s="47" t="s">
        <v>346</v>
      </c>
      <c r="B147" s="47"/>
      <c r="C147" s="47"/>
      <c r="D147" s="47"/>
      <c r="E147" s="48">
        <f>+C119</f>
        <v>290000</v>
      </c>
      <c r="F147" s="48">
        <f>+C133</f>
        <v>300000</v>
      </c>
      <c r="G147" s="48">
        <f>+F147-E147</f>
        <v>10000</v>
      </c>
      <c r="H147" s="2"/>
      <c r="I147" s="134"/>
    </row>
    <row r="148" spans="1:9" x14ac:dyDescent="0.25">
      <c r="A148" s="47" t="s">
        <v>36</v>
      </c>
      <c r="B148" s="47"/>
      <c r="C148" s="47"/>
      <c r="D148" s="47"/>
      <c r="E148" s="48">
        <f>+C122</f>
        <v>225000</v>
      </c>
      <c r="F148" s="48">
        <f>+C136</f>
        <v>270000</v>
      </c>
      <c r="G148" s="48">
        <f>+F148-E148</f>
        <v>45000</v>
      </c>
      <c r="H148" s="2"/>
      <c r="I148" s="134"/>
    </row>
    <row r="149" spans="1:9" x14ac:dyDescent="0.25">
      <c r="A149" s="54"/>
      <c r="B149" s="54"/>
      <c r="C149" s="54"/>
      <c r="D149" s="54"/>
      <c r="E149" s="67"/>
      <c r="F149" s="67"/>
      <c r="G149" s="68">
        <f>SUM(G145:G148)</f>
        <v>58000</v>
      </c>
      <c r="H149" s="2"/>
      <c r="I149" s="134"/>
    </row>
    <row r="150" spans="1:9" x14ac:dyDescent="0.25">
      <c r="A150" s="51" t="s">
        <v>356</v>
      </c>
      <c r="B150" s="51"/>
      <c r="C150" s="47"/>
      <c r="D150" s="47"/>
      <c r="E150" s="48"/>
      <c r="F150" s="48"/>
      <c r="G150" s="48"/>
      <c r="H150" s="2"/>
      <c r="I150" s="134"/>
    </row>
    <row r="151" spans="1:9" x14ac:dyDescent="0.25">
      <c r="A151" s="47" t="s">
        <v>330</v>
      </c>
      <c r="B151" s="47"/>
      <c r="C151" s="47"/>
      <c r="D151" s="47"/>
      <c r="E151" s="48">
        <f>+G118</f>
        <v>500000</v>
      </c>
      <c r="F151" s="48">
        <f>+G132</f>
        <v>500000</v>
      </c>
      <c r="G151" s="48">
        <f>+E151-F151</f>
        <v>0</v>
      </c>
      <c r="H151" s="2"/>
      <c r="I151" s="134"/>
    </row>
    <row r="152" spans="1:9" x14ac:dyDescent="0.25">
      <c r="A152" s="47" t="s">
        <v>351</v>
      </c>
      <c r="B152" s="47"/>
      <c r="C152" s="47"/>
      <c r="D152" s="47"/>
      <c r="E152" s="48">
        <f>+G119</f>
        <v>5000</v>
      </c>
      <c r="F152" s="48">
        <f>+G133</f>
        <v>0</v>
      </c>
      <c r="G152" s="48">
        <f>+E152-F152</f>
        <v>5000</v>
      </c>
      <c r="H152" s="2"/>
      <c r="I152" s="134"/>
    </row>
    <row r="153" spans="1:9" x14ac:dyDescent="0.25">
      <c r="A153" s="41"/>
      <c r="B153" s="41"/>
      <c r="C153" s="41"/>
      <c r="D153" s="41"/>
      <c r="E153" s="41"/>
      <c r="F153" s="41"/>
      <c r="G153" s="68">
        <f>+G151+G152</f>
        <v>5000</v>
      </c>
      <c r="H153" s="2"/>
      <c r="I153" s="134"/>
    </row>
    <row r="154" spans="1:9" x14ac:dyDescent="0.25">
      <c r="A154" s="41"/>
      <c r="B154" s="41"/>
      <c r="C154" s="41"/>
      <c r="D154" s="41"/>
      <c r="E154" s="41"/>
      <c r="F154" s="41"/>
      <c r="G154" s="68">
        <f>+G149+G153</f>
        <v>63000</v>
      </c>
      <c r="H154" s="2"/>
      <c r="I154" s="134"/>
    </row>
    <row r="155" spans="1:9" x14ac:dyDescent="0.25">
      <c r="A155" s="2"/>
      <c r="B155" s="2"/>
      <c r="C155" s="2"/>
      <c r="D155" s="2"/>
      <c r="E155" s="2"/>
      <c r="F155" s="2"/>
      <c r="G155" s="2"/>
      <c r="H155" s="2"/>
      <c r="I155" s="134"/>
    </row>
    <row r="156" spans="1:9" x14ac:dyDescent="0.25">
      <c r="A156" s="134"/>
      <c r="B156" s="134"/>
      <c r="C156" s="134"/>
      <c r="D156" s="134"/>
      <c r="E156" s="134"/>
      <c r="F156" s="134"/>
      <c r="G156" s="134"/>
      <c r="H156" s="134"/>
      <c r="I156" s="134"/>
    </row>
  </sheetData>
  <mergeCells count="1">
    <mergeCell ref="A1:XFD3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93"/>
  <sheetViews>
    <sheetView topLeftCell="A63" zoomScale="90" zoomScaleNormal="90" workbookViewId="0">
      <selection activeCell="A78" sqref="A78"/>
    </sheetView>
  </sheetViews>
  <sheetFormatPr baseColWidth="10" defaultRowHeight="15" customHeight="1" x14ac:dyDescent="0.25"/>
  <cols>
    <col min="1" max="3" width="5.7109375" style="115" customWidth="1"/>
    <col min="4" max="5" width="8.7109375" style="115" customWidth="1"/>
    <col min="6" max="6" width="9.7109375" style="115" customWidth="1"/>
    <col min="7" max="10" width="8.7109375" style="115" customWidth="1"/>
    <col min="11" max="11" width="0.85546875" style="47" customWidth="1"/>
    <col min="12" max="12" width="2.85546875" style="122" customWidth="1"/>
    <col min="13" max="13" width="6.28515625" bestFit="1" customWidth="1"/>
  </cols>
  <sheetData>
    <row r="1" spans="1:14" ht="15" customHeight="1" x14ac:dyDescent="0.2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2"/>
      <c r="M1" s="111">
        <v>73.7</v>
      </c>
      <c r="N1">
        <f>+M1/9</f>
        <v>8.18888888888889</v>
      </c>
    </row>
    <row r="3" spans="1:14" ht="15" customHeight="1" x14ac:dyDescent="0.25">
      <c r="A3" s="133"/>
      <c r="B3" s="133"/>
      <c r="C3" s="133"/>
      <c r="D3" s="133"/>
      <c r="E3" s="133"/>
      <c r="F3" s="133"/>
      <c r="G3" s="421" t="s">
        <v>445</v>
      </c>
      <c r="H3" s="421"/>
      <c r="I3" s="421" t="s">
        <v>446</v>
      </c>
      <c r="J3" s="421"/>
    </row>
    <row r="4" spans="1:14" ht="15" customHeight="1" x14ac:dyDescent="0.25">
      <c r="A4" s="121" t="s">
        <v>447</v>
      </c>
      <c r="B4" s="121" t="s">
        <v>447</v>
      </c>
      <c r="C4" s="121" t="s">
        <v>447</v>
      </c>
      <c r="D4" s="136" t="s">
        <v>451</v>
      </c>
      <c r="E4" s="136"/>
      <c r="F4" s="136"/>
      <c r="G4" s="137" t="s">
        <v>68</v>
      </c>
      <c r="H4" s="137" t="s">
        <v>28</v>
      </c>
      <c r="I4" s="137" t="s">
        <v>68</v>
      </c>
      <c r="J4" s="137" t="s">
        <v>28</v>
      </c>
    </row>
    <row r="5" spans="1:14" ht="15" customHeight="1" x14ac:dyDescent="0.25">
      <c r="A5" s="116" t="s">
        <v>448</v>
      </c>
      <c r="B5" s="116"/>
      <c r="C5" s="115" t="s">
        <v>450</v>
      </c>
      <c r="D5" s="115" t="s">
        <v>90</v>
      </c>
      <c r="G5" s="116">
        <v>100000</v>
      </c>
      <c r="I5" s="116">
        <v>100000</v>
      </c>
    </row>
    <row r="6" spans="1:14" ht="15" customHeight="1" x14ac:dyDescent="0.25">
      <c r="A6" s="116" t="s">
        <v>449</v>
      </c>
      <c r="B6" s="116"/>
      <c r="C6" s="115" t="s">
        <v>450</v>
      </c>
      <c r="D6" s="115" t="s">
        <v>333</v>
      </c>
      <c r="H6" s="116">
        <f>+G5</f>
        <v>100000</v>
      </c>
      <c r="J6" s="116">
        <f>+I5</f>
        <v>100000</v>
      </c>
    </row>
    <row r="8" spans="1:14" ht="15" customHeight="1" x14ac:dyDescent="0.25">
      <c r="A8" s="133"/>
      <c r="B8" s="133"/>
      <c r="C8" s="133"/>
      <c r="D8" s="133"/>
      <c r="E8" s="133"/>
      <c r="F8" s="133"/>
      <c r="G8" s="421" t="s">
        <v>445</v>
      </c>
      <c r="H8" s="421"/>
      <c r="I8" s="421" t="s">
        <v>446</v>
      </c>
      <c r="J8" s="421"/>
    </row>
    <row r="9" spans="1:14" ht="15" customHeight="1" x14ac:dyDescent="0.25">
      <c r="A9" s="121" t="s">
        <v>447</v>
      </c>
      <c r="B9" s="121" t="s">
        <v>447</v>
      </c>
      <c r="C9" s="121" t="s">
        <v>447</v>
      </c>
      <c r="D9" s="136" t="s">
        <v>451</v>
      </c>
      <c r="E9" s="136"/>
      <c r="F9" s="136"/>
      <c r="G9" s="137" t="s">
        <v>68</v>
      </c>
      <c r="H9" s="137" t="s">
        <v>28</v>
      </c>
      <c r="I9" s="137" t="s">
        <v>68</v>
      </c>
      <c r="J9" s="137" t="s">
        <v>28</v>
      </c>
    </row>
    <row r="10" spans="1:14" ht="15" customHeight="1" x14ac:dyDescent="0.25">
      <c r="A10" s="116" t="s">
        <v>452</v>
      </c>
      <c r="B10" s="116"/>
      <c r="C10" s="115" t="s">
        <v>454</v>
      </c>
      <c r="D10" s="115" t="s">
        <v>342</v>
      </c>
      <c r="G10" s="116">
        <v>20000</v>
      </c>
      <c r="I10" s="116">
        <v>0</v>
      </c>
    </row>
    <row r="11" spans="1:14" ht="15" customHeight="1" x14ac:dyDescent="0.25">
      <c r="A11" s="116" t="s">
        <v>453</v>
      </c>
      <c r="B11" s="116"/>
      <c r="C11" s="115" t="s">
        <v>450</v>
      </c>
      <c r="D11" s="115" t="s">
        <v>456</v>
      </c>
      <c r="H11" s="116">
        <f>+G10</f>
        <v>20000</v>
      </c>
      <c r="J11" s="116">
        <f>+I10</f>
        <v>0</v>
      </c>
    </row>
    <row r="12" spans="1:14" ht="15" customHeight="1" x14ac:dyDescent="0.25">
      <c r="C12" s="116"/>
      <c r="D12" s="116"/>
      <c r="E12" s="116"/>
      <c r="F12" s="116"/>
      <c r="G12" s="116"/>
      <c r="H12" s="116"/>
      <c r="I12" s="116"/>
    </row>
    <row r="13" spans="1:14" ht="15" customHeight="1" x14ac:dyDescent="0.25">
      <c r="A13" s="133"/>
      <c r="B13" s="133"/>
      <c r="C13" s="133"/>
      <c r="D13" s="133"/>
      <c r="E13" s="133"/>
      <c r="F13" s="133"/>
      <c r="G13" s="421" t="s">
        <v>445</v>
      </c>
      <c r="H13" s="421"/>
      <c r="I13" s="421" t="s">
        <v>446</v>
      </c>
      <c r="J13" s="421"/>
    </row>
    <row r="14" spans="1:14" ht="15" customHeight="1" x14ac:dyDescent="0.25">
      <c r="A14" s="121" t="s">
        <v>447</v>
      </c>
      <c r="B14" s="121" t="s">
        <v>447</v>
      </c>
      <c r="C14" s="121" t="s">
        <v>447</v>
      </c>
      <c r="D14" s="136" t="s">
        <v>451</v>
      </c>
      <c r="E14" s="136"/>
      <c r="F14" s="136"/>
      <c r="G14" s="137" t="s">
        <v>68</v>
      </c>
      <c r="H14" s="137" t="s">
        <v>28</v>
      </c>
      <c r="I14" s="137" t="s">
        <v>68</v>
      </c>
      <c r="J14" s="137" t="s">
        <v>28</v>
      </c>
    </row>
    <row r="15" spans="1:14" ht="15" customHeight="1" x14ac:dyDescent="0.25">
      <c r="A15" s="116" t="s">
        <v>452</v>
      </c>
      <c r="B15" s="116"/>
      <c r="C15" s="115" t="s">
        <v>454</v>
      </c>
      <c r="D15" s="115" t="s">
        <v>342</v>
      </c>
      <c r="G15" s="116">
        <v>50000</v>
      </c>
      <c r="I15" s="116">
        <v>0</v>
      </c>
    </row>
    <row r="16" spans="1:14" ht="15" customHeight="1" x14ac:dyDescent="0.25">
      <c r="A16" s="116" t="s">
        <v>455</v>
      </c>
      <c r="B16" s="116"/>
      <c r="C16" s="115" t="s">
        <v>450</v>
      </c>
      <c r="D16" s="115" t="s">
        <v>456</v>
      </c>
      <c r="H16" s="116">
        <f>+G15</f>
        <v>50000</v>
      </c>
      <c r="J16" s="116">
        <f>+I15</f>
        <v>0</v>
      </c>
    </row>
    <row r="18" spans="1:10" ht="15" customHeight="1" x14ac:dyDescent="0.25">
      <c r="A18" s="133"/>
      <c r="B18" s="133"/>
      <c r="C18" s="133"/>
      <c r="D18" s="133"/>
      <c r="E18" s="133"/>
      <c r="F18" s="133"/>
      <c r="G18" s="421" t="s">
        <v>445</v>
      </c>
      <c r="H18" s="421"/>
      <c r="I18" s="421" t="s">
        <v>446</v>
      </c>
      <c r="J18" s="421"/>
    </row>
    <row r="19" spans="1:10" ht="15" customHeight="1" x14ac:dyDescent="0.25">
      <c r="A19" s="121" t="s">
        <v>447</v>
      </c>
      <c r="B19" s="121" t="s">
        <v>447</v>
      </c>
      <c r="C19" s="121" t="s">
        <v>447</v>
      </c>
      <c r="D19" s="136" t="s">
        <v>451</v>
      </c>
      <c r="E19" s="136"/>
      <c r="F19" s="136"/>
      <c r="G19" s="137" t="s">
        <v>68</v>
      </c>
      <c r="H19" s="137" t="s">
        <v>28</v>
      </c>
      <c r="I19" s="137" t="s">
        <v>68</v>
      </c>
      <c r="J19" s="137" t="s">
        <v>28</v>
      </c>
    </row>
    <row r="20" spans="1:10" ht="15" customHeight="1" x14ac:dyDescent="0.25">
      <c r="A20" s="116" t="s">
        <v>457</v>
      </c>
      <c r="B20" s="116"/>
      <c r="C20" s="115" t="s">
        <v>454</v>
      </c>
      <c r="D20" s="115" t="s">
        <v>459</v>
      </c>
      <c r="G20" s="116">
        <v>70000</v>
      </c>
      <c r="I20" s="116">
        <v>0</v>
      </c>
    </row>
    <row r="21" spans="1:10" ht="15" customHeight="1" x14ac:dyDescent="0.25">
      <c r="A21" s="116" t="s">
        <v>458</v>
      </c>
      <c r="B21" s="116"/>
      <c r="C21" s="115" t="s">
        <v>450</v>
      </c>
      <c r="D21" s="115" t="s">
        <v>101</v>
      </c>
      <c r="H21" s="116">
        <f>+G20</f>
        <v>70000</v>
      </c>
      <c r="J21" s="116">
        <f>+I20</f>
        <v>0</v>
      </c>
    </row>
    <row r="23" spans="1:10" ht="15" customHeight="1" x14ac:dyDescent="0.25">
      <c r="A23" s="121"/>
      <c r="B23" s="121"/>
      <c r="C23" s="121"/>
      <c r="D23" s="136"/>
      <c r="E23" s="136"/>
      <c r="F23" s="136"/>
      <c r="G23" s="137"/>
      <c r="H23" s="137"/>
      <c r="I23" s="137" t="s">
        <v>460</v>
      </c>
      <c r="J23" s="137" t="s">
        <v>464</v>
      </c>
    </row>
    <row r="24" spans="1:10" ht="15" customHeight="1" x14ac:dyDescent="0.25">
      <c r="A24" s="121"/>
      <c r="B24" s="121"/>
      <c r="C24" s="121"/>
      <c r="D24" s="136"/>
      <c r="E24" s="136"/>
      <c r="F24" s="136"/>
      <c r="G24" s="137"/>
      <c r="H24" s="137"/>
      <c r="I24" s="137" t="s">
        <v>461</v>
      </c>
      <c r="J24" s="137" t="s">
        <v>461</v>
      </c>
    </row>
    <row r="25" spans="1:10" ht="15" customHeight="1" x14ac:dyDescent="0.25">
      <c r="A25" s="121"/>
      <c r="B25" s="121"/>
      <c r="C25" s="121"/>
      <c r="D25" s="136"/>
      <c r="E25" s="136"/>
      <c r="F25" s="136"/>
      <c r="G25" s="137"/>
      <c r="H25" s="137" t="s">
        <v>463</v>
      </c>
      <c r="I25" s="137" t="s">
        <v>462</v>
      </c>
      <c r="J25" s="137" t="s">
        <v>465</v>
      </c>
    </row>
    <row r="26" spans="1:10" ht="15" customHeight="1" x14ac:dyDescent="0.25">
      <c r="A26" s="121"/>
      <c r="B26" s="121"/>
      <c r="C26" s="121"/>
      <c r="D26" s="136"/>
      <c r="E26" s="136"/>
      <c r="F26" s="136"/>
      <c r="G26" s="137"/>
      <c r="H26" s="137" t="s">
        <v>1</v>
      </c>
      <c r="I26" s="137" t="s">
        <v>1</v>
      </c>
      <c r="J26" s="137" t="s">
        <v>1</v>
      </c>
    </row>
    <row r="27" spans="1:10" ht="15" customHeight="1" x14ac:dyDescent="0.25">
      <c r="A27" s="129" t="s">
        <v>466</v>
      </c>
      <c r="B27" s="132"/>
      <c r="C27" s="132"/>
      <c r="D27" s="132"/>
      <c r="E27" s="132"/>
      <c r="F27" s="132"/>
      <c r="G27" s="132"/>
      <c r="H27" s="130">
        <v>100000</v>
      </c>
      <c r="I27" s="130">
        <v>200000</v>
      </c>
      <c r="J27" s="130">
        <v>0</v>
      </c>
    </row>
    <row r="28" spans="1:10" ht="15" customHeight="1" x14ac:dyDescent="0.25">
      <c r="A28" s="115" t="s">
        <v>467</v>
      </c>
    </row>
    <row r="29" spans="1:10" ht="15" customHeight="1" x14ac:dyDescent="0.25">
      <c r="B29" s="115" t="s">
        <v>100</v>
      </c>
      <c r="H29" s="78">
        <f>-H11</f>
        <v>-20000</v>
      </c>
      <c r="I29" s="116"/>
      <c r="J29" s="116"/>
    </row>
    <row r="30" spans="1:10" ht="15" customHeight="1" x14ac:dyDescent="0.25">
      <c r="B30" s="115" t="s">
        <v>4</v>
      </c>
      <c r="H30" s="78"/>
      <c r="I30" s="78">
        <f>-H16</f>
        <v>-50000</v>
      </c>
      <c r="J30" s="116"/>
    </row>
    <row r="31" spans="1:10" ht="15" customHeight="1" x14ac:dyDescent="0.25">
      <c r="B31" s="115" t="s">
        <v>468</v>
      </c>
      <c r="H31" s="116"/>
      <c r="I31" s="116"/>
      <c r="J31" s="116">
        <f>+G20</f>
        <v>70000</v>
      </c>
    </row>
    <row r="32" spans="1:10" ht="15" customHeight="1" x14ac:dyDescent="0.25">
      <c r="A32" s="129" t="s">
        <v>469</v>
      </c>
      <c r="B32" s="132"/>
      <c r="C32" s="132"/>
      <c r="D32" s="132"/>
      <c r="E32" s="132"/>
      <c r="F32" s="132"/>
      <c r="G32" s="132"/>
      <c r="H32" s="130">
        <f>SUM(H27:H31)</f>
        <v>80000</v>
      </c>
      <c r="I32" s="130">
        <f t="shared" ref="I32:J32" si="0">SUM(I27:I31)</f>
        <v>150000</v>
      </c>
      <c r="J32" s="130">
        <f t="shared" si="0"/>
        <v>70000</v>
      </c>
    </row>
    <row r="34" spans="1:10" ht="15" customHeight="1" x14ac:dyDescent="0.25">
      <c r="A34" s="121"/>
      <c r="B34" s="121"/>
      <c r="C34" s="121"/>
      <c r="D34" s="136"/>
      <c r="E34" s="136"/>
      <c r="F34" s="136"/>
      <c r="G34" s="137"/>
      <c r="H34" s="137"/>
      <c r="I34" s="137" t="s">
        <v>460</v>
      </c>
      <c r="J34" s="137" t="s">
        <v>464</v>
      </c>
    </row>
    <row r="35" spans="1:10" ht="15" customHeight="1" x14ac:dyDescent="0.25">
      <c r="A35" s="121"/>
      <c r="B35" s="121"/>
      <c r="C35" s="121"/>
      <c r="D35" s="136"/>
      <c r="E35" s="136"/>
      <c r="F35" s="136"/>
      <c r="G35" s="137"/>
      <c r="H35" s="137"/>
      <c r="I35" s="137" t="s">
        <v>461</v>
      </c>
      <c r="J35" s="137" t="s">
        <v>461</v>
      </c>
    </row>
    <row r="36" spans="1:10" ht="15" customHeight="1" x14ac:dyDescent="0.25">
      <c r="A36" s="121"/>
      <c r="B36" s="121"/>
      <c r="C36" s="121"/>
      <c r="D36" s="136"/>
      <c r="E36" s="136"/>
      <c r="F36" s="136"/>
      <c r="G36" s="137"/>
      <c r="H36" s="137" t="s">
        <v>463</v>
      </c>
      <c r="I36" s="137" t="s">
        <v>462</v>
      </c>
      <c r="J36" s="137" t="s">
        <v>465</v>
      </c>
    </row>
    <row r="37" spans="1:10" ht="15" customHeight="1" x14ac:dyDescent="0.25">
      <c r="A37" s="121"/>
      <c r="B37" s="121"/>
      <c r="C37" s="121"/>
      <c r="D37" s="136"/>
      <c r="E37" s="136"/>
      <c r="F37" s="136"/>
      <c r="G37" s="137"/>
      <c r="H37" s="137" t="s">
        <v>1</v>
      </c>
      <c r="I37" s="137" t="s">
        <v>1</v>
      </c>
      <c r="J37" s="137" t="s">
        <v>1</v>
      </c>
    </row>
    <row r="38" spans="1:10" ht="15" customHeight="1" x14ac:dyDescent="0.25">
      <c r="A38" s="129" t="s">
        <v>470</v>
      </c>
      <c r="B38" s="132"/>
      <c r="C38" s="132"/>
      <c r="D38" s="132"/>
      <c r="E38" s="132"/>
      <c r="F38" s="132"/>
      <c r="G38" s="132"/>
      <c r="H38" s="130">
        <f>+H27</f>
        <v>100000</v>
      </c>
      <c r="I38" s="130">
        <f t="shared" ref="I38:J38" si="1">+I27</f>
        <v>200000</v>
      </c>
      <c r="J38" s="130">
        <f t="shared" si="1"/>
        <v>0</v>
      </c>
    </row>
    <row r="39" spans="1:10" ht="15" customHeight="1" x14ac:dyDescent="0.25">
      <c r="A39" s="115" t="s">
        <v>467</v>
      </c>
    </row>
    <row r="40" spans="1:10" ht="15" customHeight="1" x14ac:dyDescent="0.25">
      <c r="B40" s="115" t="s">
        <v>100</v>
      </c>
      <c r="H40" s="78">
        <v>0</v>
      </c>
      <c r="I40" s="78">
        <v>0</v>
      </c>
      <c r="J40" s="78">
        <v>0</v>
      </c>
    </row>
    <row r="41" spans="1:10" ht="15" customHeight="1" x14ac:dyDescent="0.25">
      <c r="B41" s="115" t="s">
        <v>4</v>
      </c>
      <c r="H41" s="78">
        <v>0</v>
      </c>
      <c r="I41" s="78">
        <v>0</v>
      </c>
      <c r="J41" s="78">
        <v>0</v>
      </c>
    </row>
    <row r="42" spans="1:10" ht="15" customHeight="1" x14ac:dyDescent="0.25">
      <c r="B42" s="115" t="s">
        <v>468</v>
      </c>
      <c r="H42" s="78">
        <v>0</v>
      </c>
      <c r="I42" s="78">
        <v>0</v>
      </c>
      <c r="J42" s="78">
        <v>0</v>
      </c>
    </row>
    <row r="43" spans="1:10" ht="15" customHeight="1" x14ac:dyDescent="0.25">
      <c r="A43" s="129" t="s">
        <v>471</v>
      </c>
      <c r="B43" s="132"/>
      <c r="C43" s="132"/>
      <c r="D43" s="132"/>
      <c r="E43" s="132"/>
      <c r="F43" s="132"/>
      <c r="G43" s="132"/>
      <c r="H43" s="130">
        <f>SUM(H38:H42)</f>
        <v>100000</v>
      </c>
      <c r="I43" s="130">
        <f t="shared" ref="I43" si="2">SUM(I38:I42)</f>
        <v>200000</v>
      </c>
      <c r="J43" s="130">
        <f t="shared" ref="J43" si="3">SUM(J38:J42)</f>
        <v>0</v>
      </c>
    </row>
    <row r="45" spans="1:10" ht="15" customHeight="1" x14ac:dyDescent="0.25">
      <c r="A45" s="121"/>
      <c r="B45" s="121"/>
      <c r="C45" s="121"/>
      <c r="D45" s="136"/>
      <c r="E45" s="136"/>
      <c r="F45" s="136"/>
      <c r="G45" s="137"/>
      <c r="H45" s="137"/>
      <c r="I45" s="137" t="s">
        <v>460</v>
      </c>
      <c r="J45" s="137" t="s">
        <v>464</v>
      </c>
    </row>
    <row r="46" spans="1:10" ht="15" customHeight="1" x14ac:dyDescent="0.25">
      <c r="A46" s="121"/>
      <c r="B46" s="121"/>
      <c r="C46" s="121"/>
      <c r="D46" s="136"/>
      <c r="E46" s="136"/>
      <c r="F46" s="136"/>
      <c r="G46" s="137"/>
      <c r="H46" s="137"/>
      <c r="I46" s="137" t="s">
        <v>461</v>
      </c>
      <c r="J46" s="137" t="s">
        <v>461</v>
      </c>
    </row>
    <row r="47" spans="1:10" ht="15" customHeight="1" x14ac:dyDescent="0.25">
      <c r="A47" s="121"/>
      <c r="B47" s="121"/>
      <c r="C47" s="121"/>
      <c r="D47" s="136"/>
      <c r="E47" s="136"/>
      <c r="F47" s="136"/>
      <c r="G47" s="137"/>
      <c r="H47" s="137" t="s">
        <v>463</v>
      </c>
      <c r="I47" s="137" t="s">
        <v>462</v>
      </c>
      <c r="J47" s="137" t="s">
        <v>465</v>
      </c>
    </row>
    <row r="48" spans="1:10" ht="15" customHeight="1" x14ac:dyDescent="0.25">
      <c r="A48" s="121"/>
      <c r="B48" s="121"/>
      <c r="C48" s="121"/>
      <c r="D48" s="136"/>
      <c r="E48" s="136"/>
      <c r="F48" s="136"/>
      <c r="G48" s="137"/>
      <c r="H48" s="137" t="s">
        <v>1</v>
      </c>
      <c r="I48" s="137" t="s">
        <v>1</v>
      </c>
      <c r="J48" s="137" t="s">
        <v>1</v>
      </c>
    </row>
    <row r="49" spans="1:10" ht="15" customHeight="1" x14ac:dyDescent="0.25">
      <c r="A49" s="115" t="s">
        <v>479</v>
      </c>
      <c r="H49" s="78">
        <f>+H43</f>
        <v>100000</v>
      </c>
      <c r="I49" s="78">
        <f>+I43</f>
        <v>200000</v>
      </c>
      <c r="J49" s="78">
        <f>+J43</f>
        <v>0</v>
      </c>
    </row>
    <row r="50" spans="1:10" ht="15" customHeight="1" x14ac:dyDescent="0.25">
      <c r="A50" s="115" t="s">
        <v>480</v>
      </c>
      <c r="H50" s="78">
        <f>+H32</f>
        <v>80000</v>
      </c>
      <c r="I50" s="78">
        <f t="shared" ref="I50:J50" si="4">+I32</f>
        <v>150000</v>
      </c>
      <c r="J50" s="78">
        <f t="shared" si="4"/>
        <v>70000</v>
      </c>
    </row>
    <row r="51" spans="1:10" ht="15" customHeight="1" x14ac:dyDescent="0.25">
      <c r="A51" s="129" t="s">
        <v>146</v>
      </c>
      <c r="B51" s="132"/>
      <c r="C51" s="132"/>
      <c r="D51" s="132"/>
      <c r="E51" s="132"/>
      <c r="F51" s="132"/>
      <c r="G51" s="132"/>
      <c r="H51" s="130">
        <f>+H49-H50</f>
        <v>20000</v>
      </c>
      <c r="I51" s="130">
        <f t="shared" ref="I51" si="5">+I49-I50</f>
        <v>50000</v>
      </c>
      <c r="J51" s="130">
        <f>+J50-J49</f>
        <v>70000</v>
      </c>
    </row>
    <row r="54" spans="1:10" ht="15" customHeight="1" x14ac:dyDescent="0.25">
      <c r="A54" s="121"/>
      <c r="B54" s="121"/>
      <c r="C54" s="121"/>
      <c r="D54" s="136"/>
      <c r="E54" s="136"/>
      <c r="F54" s="136"/>
      <c r="G54" s="137"/>
      <c r="H54" s="137"/>
      <c r="I54" s="137" t="s">
        <v>460</v>
      </c>
      <c r="J54" s="137" t="s">
        <v>464</v>
      </c>
    </row>
    <row r="55" spans="1:10" ht="15" customHeight="1" x14ac:dyDescent="0.25">
      <c r="A55" s="121"/>
      <c r="B55" s="121"/>
      <c r="C55" s="121"/>
      <c r="D55" s="136"/>
      <c r="E55" s="136"/>
      <c r="F55" s="136"/>
      <c r="G55" s="137"/>
      <c r="H55" s="137"/>
      <c r="I55" s="137" t="s">
        <v>461</v>
      </c>
      <c r="J55" s="137" t="s">
        <v>461</v>
      </c>
    </row>
    <row r="56" spans="1:10" ht="15" customHeight="1" x14ac:dyDescent="0.25">
      <c r="A56" s="121"/>
      <c r="B56" s="121"/>
      <c r="C56" s="121"/>
      <c r="D56" s="136"/>
      <c r="E56" s="136"/>
      <c r="F56" s="136"/>
      <c r="G56" s="137"/>
      <c r="H56" s="137" t="s">
        <v>463</v>
      </c>
      <c r="I56" s="137" t="s">
        <v>462</v>
      </c>
      <c r="J56" s="137" t="s">
        <v>465</v>
      </c>
    </row>
    <row r="57" spans="1:10" ht="15" customHeight="1" x14ac:dyDescent="0.25">
      <c r="A57" s="121"/>
      <c r="B57" s="121"/>
      <c r="C57" s="121"/>
      <c r="D57" s="136"/>
      <c r="E57" s="136"/>
      <c r="F57" s="136"/>
      <c r="G57" s="137"/>
      <c r="H57" s="137" t="s">
        <v>1</v>
      </c>
      <c r="I57" s="137" t="s">
        <v>1</v>
      </c>
      <c r="J57" s="137" t="s">
        <v>1</v>
      </c>
    </row>
    <row r="58" spans="1:10" ht="15" customHeight="1" x14ac:dyDescent="0.25">
      <c r="A58" s="129" t="s">
        <v>481</v>
      </c>
      <c r="B58" s="132"/>
      <c r="C58" s="132"/>
      <c r="D58" s="132"/>
      <c r="E58" s="132"/>
      <c r="F58" s="132"/>
      <c r="G58" s="132"/>
      <c r="H58" s="130">
        <f>+H51</f>
        <v>20000</v>
      </c>
      <c r="I58" s="130">
        <f t="shared" ref="I58:J58" si="6">+I51</f>
        <v>50000</v>
      </c>
      <c r="J58" s="130">
        <f t="shared" si="6"/>
        <v>70000</v>
      </c>
    </row>
    <row r="59" spans="1:10" ht="15" customHeight="1" x14ac:dyDescent="0.25">
      <c r="A59" s="129" t="s">
        <v>482</v>
      </c>
      <c r="B59" s="132"/>
      <c r="C59" s="132"/>
      <c r="D59" s="132"/>
      <c r="E59" s="132"/>
      <c r="F59" s="132"/>
      <c r="G59" s="132"/>
      <c r="H59" s="130">
        <f>+H58*30%</f>
        <v>6000</v>
      </c>
      <c r="I59" s="130">
        <f t="shared" ref="I59:J59" si="7">+I58*30%</f>
        <v>15000</v>
      </c>
      <c r="J59" s="130">
        <f t="shared" si="7"/>
        <v>21000</v>
      </c>
    </row>
    <row r="60" spans="1:10" ht="15" customHeight="1" x14ac:dyDescent="0.25">
      <c r="H60" s="116" t="s">
        <v>472</v>
      </c>
      <c r="I60" s="116" t="s">
        <v>472</v>
      </c>
      <c r="J60" s="116" t="s">
        <v>472</v>
      </c>
    </row>
    <row r="61" spans="1:10" ht="15" customHeight="1" x14ac:dyDescent="0.25">
      <c r="H61" s="135" t="s">
        <v>474</v>
      </c>
      <c r="I61" s="135" t="s">
        <v>474</v>
      </c>
      <c r="J61" s="135" t="s">
        <v>474</v>
      </c>
    </row>
    <row r="62" spans="1:10" ht="15" customHeight="1" x14ac:dyDescent="0.25">
      <c r="H62" s="116" t="s">
        <v>473</v>
      </c>
      <c r="I62" s="116" t="s">
        <v>473</v>
      </c>
      <c r="J62" s="116" t="s">
        <v>473</v>
      </c>
    </row>
    <row r="64" spans="1:10" ht="15" customHeight="1" x14ac:dyDescent="0.25">
      <c r="A64" s="121"/>
      <c r="B64" s="121"/>
      <c r="C64" s="121"/>
      <c r="D64" s="136"/>
      <c r="E64" s="136"/>
      <c r="F64" s="136"/>
      <c r="G64" s="137"/>
      <c r="H64" s="137"/>
      <c r="I64" s="137" t="s">
        <v>276</v>
      </c>
      <c r="J64" s="137" t="s">
        <v>277</v>
      </c>
    </row>
    <row r="65" spans="1:10" ht="15" customHeight="1" x14ac:dyDescent="0.25">
      <c r="A65" s="129"/>
      <c r="B65" s="132"/>
      <c r="C65" s="132"/>
      <c r="D65" s="132"/>
      <c r="E65" s="132"/>
      <c r="F65" s="132"/>
      <c r="G65" s="132"/>
      <c r="H65" s="130"/>
      <c r="I65" s="138" t="str">
        <f t="shared" ref="I65:J65" si="8">+I57</f>
        <v>S/</v>
      </c>
      <c r="J65" s="138" t="str">
        <f t="shared" si="8"/>
        <v>S/</v>
      </c>
    </row>
    <row r="66" spans="1:10" ht="15" customHeight="1" x14ac:dyDescent="0.25">
      <c r="A66" s="115" t="s">
        <v>467</v>
      </c>
    </row>
    <row r="67" spans="1:10" ht="15" customHeight="1" x14ac:dyDescent="0.25">
      <c r="B67" s="115" t="s">
        <v>4</v>
      </c>
      <c r="H67" s="78"/>
      <c r="I67" s="78">
        <f>H58</f>
        <v>20000</v>
      </c>
      <c r="J67" s="78">
        <f>+I67*30%</f>
        <v>6000</v>
      </c>
    </row>
    <row r="68" spans="1:10" ht="15" customHeight="1" x14ac:dyDescent="0.25">
      <c r="B68" s="115" t="s">
        <v>100</v>
      </c>
      <c r="H68" s="78"/>
      <c r="I68" s="78">
        <f>+I58</f>
        <v>50000</v>
      </c>
      <c r="J68" s="78">
        <f>+I68*30%</f>
        <v>15000</v>
      </c>
    </row>
    <row r="69" spans="1:10" ht="15" customHeight="1" x14ac:dyDescent="0.25">
      <c r="B69" s="115" t="s">
        <v>468</v>
      </c>
      <c r="H69" s="78"/>
      <c r="I69" s="78">
        <f>+J58</f>
        <v>70000</v>
      </c>
      <c r="J69" s="78">
        <f>+I69*30%</f>
        <v>21000</v>
      </c>
    </row>
    <row r="70" spans="1:10" ht="15" customHeight="1" x14ac:dyDescent="0.25">
      <c r="H70" s="78"/>
      <c r="I70" s="130">
        <f t="shared" ref="I70" si="9">SUM(I65:I69)</f>
        <v>140000</v>
      </c>
      <c r="J70" s="130">
        <f t="shared" ref="J70" si="10">SUM(J65:J69)</f>
        <v>42000</v>
      </c>
    </row>
    <row r="71" spans="1:10" ht="15" customHeight="1" x14ac:dyDescent="0.25">
      <c r="A71" s="115" t="s">
        <v>406</v>
      </c>
    </row>
    <row r="72" spans="1:10" ht="15" customHeight="1" x14ac:dyDescent="0.25">
      <c r="A72" s="115" t="s">
        <v>475</v>
      </c>
    </row>
    <row r="74" spans="1:10" ht="15" customHeight="1" x14ac:dyDescent="0.25">
      <c r="A74" s="133"/>
      <c r="B74" s="133"/>
      <c r="C74" s="133"/>
      <c r="D74" s="133"/>
      <c r="E74" s="133"/>
      <c r="F74" s="133"/>
      <c r="G74" s="421"/>
      <c r="H74" s="421"/>
      <c r="I74" s="421" t="s">
        <v>445</v>
      </c>
      <c r="J74" s="421"/>
    </row>
    <row r="75" spans="1:10" ht="15" customHeight="1" x14ac:dyDescent="0.25">
      <c r="A75" s="121" t="s">
        <v>447</v>
      </c>
      <c r="B75" s="121" t="s">
        <v>447</v>
      </c>
      <c r="C75" s="121" t="s">
        <v>447</v>
      </c>
      <c r="D75" s="136" t="s">
        <v>451</v>
      </c>
      <c r="E75" s="136"/>
      <c r="F75" s="136"/>
      <c r="G75" s="137"/>
      <c r="H75" s="137"/>
      <c r="I75" s="137" t="s">
        <v>68</v>
      </c>
      <c r="J75" s="137" t="s">
        <v>28</v>
      </c>
    </row>
    <row r="76" spans="1:10" ht="15" customHeight="1" x14ac:dyDescent="0.25">
      <c r="A76" s="116" t="s">
        <v>476</v>
      </c>
      <c r="B76" s="116"/>
      <c r="C76" s="115" t="s">
        <v>450</v>
      </c>
      <c r="D76" s="115" t="s">
        <v>202</v>
      </c>
      <c r="G76" s="116"/>
      <c r="I76" s="116">
        <f>+J70</f>
        <v>42000</v>
      </c>
    </row>
    <row r="77" spans="1:10" ht="15" customHeight="1" x14ac:dyDescent="0.25">
      <c r="A77" s="116" t="s">
        <v>477</v>
      </c>
      <c r="B77" s="116"/>
      <c r="C77" s="115" t="s">
        <v>454</v>
      </c>
      <c r="D77" s="115" t="s">
        <v>270</v>
      </c>
      <c r="H77" s="116"/>
      <c r="J77" s="116">
        <f>+I76</f>
        <v>42000</v>
      </c>
    </row>
    <row r="79" spans="1:10" ht="15" customHeight="1" x14ac:dyDescent="0.25">
      <c r="A79" s="133"/>
      <c r="B79" s="133"/>
      <c r="C79" s="133"/>
      <c r="D79" s="133"/>
      <c r="E79" s="133"/>
      <c r="F79" s="133"/>
      <c r="G79" s="421" t="s">
        <v>445</v>
      </c>
      <c r="H79" s="421"/>
      <c r="I79" s="421" t="s">
        <v>478</v>
      </c>
      <c r="J79" s="421"/>
    </row>
    <row r="80" spans="1:10" ht="15" customHeight="1" x14ac:dyDescent="0.25">
      <c r="A80" s="121" t="s">
        <v>447</v>
      </c>
      <c r="B80" s="121" t="s">
        <v>447</v>
      </c>
      <c r="C80" s="121" t="s">
        <v>447</v>
      </c>
      <c r="D80" s="136" t="s">
        <v>451</v>
      </c>
      <c r="E80" s="136"/>
      <c r="F80" s="136"/>
      <c r="G80" s="137" t="s">
        <v>68</v>
      </c>
      <c r="H80" s="137" t="s">
        <v>28</v>
      </c>
      <c r="I80" s="137" t="s">
        <v>68</v>
      </c>
      <c r="J80" s="137" t="s">
        <v>28</v>
      </c>
    </row>
    <row r="81" spans="1:10" ht="15" customHeight="1" x14ac:dyDescent="0.25">
      <c r="A81" s="116" t="s">
        <v>477</v>
      </c>
      <c r="B81" s="116"/>
      <c r="C81" s="115" t="s">
        <v>454</v>
      </c>
      <c r="D81" s="115" t="s">
        <v>240</v>
      </c>
      <c r="G81" s="116">
        <f>+'S-2'!C39</f>
        <v>90000</v>
      </c>
      <c r="I81" s="116">
        <f>+G81</f>
        <v>90000</v>
      </c>
    </row>
    <row r="82" spans="1:10" ht="15" customHeight="1" x14ac:dyDescent="0.25">
      <c r="A82" s="116" t="s">
        <v>491</v>
      </c>
      <c r="B82" s="116"/>
      <c r="C82" s="115" t="s">
        <v>450</v>
      </c>
      <c r="D82" s="115" t="s">
        <v>171</v>
      </c>
      <c r="H82" s="116">
        <f>+G81</f>
        <v>90000</v>
      </c>
      <c r="J82" s="116">
        <f>+I81</f>
        <v>90000</v>
      </c>
    </row>
    <row r="83" spans="1:10" ht="15" customHeight="1" x14ac:dyDescent="0.25">
      <c r="A83" s="116"/>
    </row>
    <row r="84" spans="1:10" ht="15" customHeight="1" x14ac:dyDescent="0.25">
      <c r="C84" s="119"/>
      <c r="D84" s="119"/>
      <c r="E84" s="119"/>
      <c r="F84" s="119"/>
      <c r="G84" s="119"/>
      <c r="H84" s="119"/>
      <c r="I84" s="118">
        <v>2013</v>
      </c>
    </row>
    <row r="85" spans="1:10" ht="15" customHeight="1" x14ac:dyDescent="0.25">
      <c r="C85" s="119"/>
      <c r="D85" s="119"/>
      <c r="E85" s="119"/>
      <c r="F85" s="119"/>
      <c r="G85" s="119"/>
      <c r="H85" s="119"/>
      <c r="I85" s="118" t="s">
        <v>1</v>
      </c>
    </row>
    <row r="86" spans="1:10" ht="15" customHeight="1" x14ac:dyDescent="0.25">
      <c r="C86" s="115" t="s">
        <v>483</v>
      </c>
      <c r="I86" s="140" t="s">
        <v>175</v>
      </c>
    </row>
    <row r="87" spans="1:10" ht="15" customHeight="1" x14ac:dyDescent="0.25">
      <c r="C87" s="115" t="s">
        <v>484</v>
      </c>
      <c r="I87" s="140" t="s">
        <v>175</v>
      </c>
      <c r="J87" s="78"/>
    </row>
    <row r="88" spans="1:10" ht="15" customHeight="1" x14ac:dyDescent="0.25">
      <c r="C88" s="119" t="s">
        <v>174</v>
      </c>
      <c r="D88" s="119"/>
      <c r="E88" s="121"/>
      <c r="F88" s="121"/>
      <c r="G88" s="121"/>
      <c r="H88" s="121"/>
      <c r="I88" s="141" t="s">
        <v>175</v>
      </c>
    </row>
    <row r="89" spans="1:10" ht="15" customHeight="1" x14ac:dyDescent="0.25">
      <c r="C89" s="115" t="s">
        <v>485</v>
      </c>
      <c r="I89" s="140" t="s">
        <v>175</v>
      </c>
      <c r="J89" s="78"/>
    </row>
    <row r="90" spans="1:10" ht="15" customHeight="1" x14ac:dyDescent="0.25">
      <c r="C90" s="115" t="s">
        <v>486</v>
      </c>
      <c r="I90" s="140" t="s">
        <v>175</v>
      </c>
      <c r="J90" s="78"/>
    </row>
    <row r="91" spans="1:10" ht="15" customHeight="1" x14ac:dyDescent="0.25">
      <c r="C91" s="119" t="s">
        <v>492</v>
      </c>
      <c r="D91" s="119"/>
      <c r="E91" s="121"/>
      <c r="F91" s="121"/>
      <c r="G91" s="121"/>
      <c r="H91" s="121"/>
      <c r="I91" s="139">
        <v>60000</v>
      </c>
    </row>
    <row r="92" spans="1:10" ht="15" customHeight="1" x14ac:dyDescent="0.25">
      <c r="C92" s="115" t="s">
        <v>26</v>
      </c>
      <c r="I92" s="78">
        <v>-48000</v>
      </c>
    </row>
    <row r="93" spans="1:10" ht="15" customHeight="1" x14ac:dyDescent="0.25">
      <c r="C93" s="119" t="s">
        <v>176</v>
      </c>
      <c r="D93" s="119"/>
      <c r="E93" s="121"/>
      <c r="F93" s="121"/>
      <c r="G93" s="121"/>
      <c r="H93" s="121"/>
      <c r="I93" s="139">
        <v>12000</v>
      </c>
    </row>
  </sheetData>
  <mergeCells count="12">
    <mergeCell ref="G3:H3"/>
    <mergeCell ref="I3:J3"/>
    <mergeCell ref="G8:H8"/>
    <mergeCell ref="I8:J8"/>
    <mergeCell ref="G13:H13"/>
    <mergeCell ref="I13:J13"/>
    <mergeCell ref="G79:H79"/>
    <mergeCell ref="I79:J79"/>
    <mergeCell ref="G18:H18"/>
    <mergeCell ref="I18:J18"/>
    <mergeCell ref="G74:H74"/>
    <mergeCell ref="I74:J7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309"/>
  <sheetViews>
    <sheetView zoomScale="80" zoomScaleNormal="80" workbookViewId="0">
      <selection sqref="A1:XFD3"/>
    </sheetView>
  </sheetViews>
  <sheetFormatPr baseColWidth="10" defaultColWidth="0" defaultRowHeight="17.25" customHeight="1" zeroHeight="1" x14ac:dyDescent="0.25"/>
  <cols>
    <col min="1" max="1" width="1.5703125" style="42" customWidth="1"/>
    <col min="2" max="2" width="21.42578125" style="42" customWidth="1"/>
    <col min="3" max="6" width="11.140625" style="42" customWidth="1"/>
    <col min="7" max="7" width="13.85546875" style="42" customWidth="1"/>
    <col min="8" max="8" width="3.5703125" style="42" customWidth="1"/>
    <col min="9" max="19" width="0" style="42" hidden="1" customWidth="1"/>
    <col min="20" max="16384" width="11.42578125" style="1" hidden="1"/>
  </cols>
  <sheetData>
    <row r="1" spans="1:8" s="420" customFormat="1" ht="15" x14ac:dyDescent="0.25">
      <c r="A1" s="420" t="s">
        <v>916</v>
      </c>
    </row>
    <row r="2" spans="1:8" s="420" customFormat="1" ht="15" x14ac:dyDescent="0.25"/>
    <row r="3" spans="1:8" s="420" customFormat="1" ht="15" x14ac:dyDescent="0.25"/>
    <row r="4" spans="1:8" customFormat="1" ht="18" x14ac:dyDescent="0.25">
      <c r="A4" s="403" t="s">
        <v>847</v>
      </c>
      <c r="B4" s="403"/>
      <c r="C4" s="403"/>
      <c r="D4" s="403"/>
      <c r="E4" s="403"/>
      <c r="F4" s="403"/>
      <c r="G4" s="403"/>
      <c r="H4" s="134"/>
    </row>
    <row r="5" spans="1:8" ht="18" x14ac:dyDescent="0.25">
      <c r="A5" s="150"/>
      <c r="B5" s="150"/>
      <c r="C5" s="150"/>
      <c r="D5" s="150"/>
      <c r="E5" s="150"/>
      <c r="F5" s="150"/>
      <c r="G5" s="150"/>
      <c r="H5" s="196"/>
    </row>
    <row r="6" spans="1:8" ht="18" x14ac:dyDescent="0.25">
      <c r="A6" s="142" t="s">
        <v>254</v>
      </c>
      <c r="B6" s="142"/>
      <c r="C6" s="150"/>
      <c r="D6" s="75" t="s">
        <v>198</v>
      </c>
      <c r="E6" s="75" t="s">
        <v>199</v>
      </c>
      <c r="F6" s="75" t="s">
        <v>200</v>
      </c>
      <c r="G6" s="75" t="s">
        <v>201</v>
      </c>
      <c r="H6" s="196"/>
    </row>
    <row r="7" spans="1:8" ht="18" x14ac:dyDescent="0.25">
      <c r="A7" s="92" t="s">
        <v>37</v>
      </c>
      <c r="B7" s="92"/>
      <c r="C7" s="150"/>
      <c r="D7" s="48">
        <v>400000</v>
      </c>
      <c r="E7" s="48">
        <f>+D7</f>
        <v>400000</v>
      </c>
      <c r="F7" s="48">
        <f t="shared" ref="F7:G7" si="0">+E7</f>
        <v>400000</v>
      </c>
      <c r="G7" s="48">
        <f t="shared" si="0"/>
        <v>400000</v>
      </c>
      <c r="H7" s="196"/>
    </row>
    <row r="8" spans="1:8" ht="18" x14ac:dyDescent="0.25">
      <c r="A8" s="92" t="s">
        <v>494</v>
      </c>
      <c r="B8" s="92"/>
      <c r="C8" s="44"/>
      <c r="D8" s="76">
        <f>-D7</f>
        <v>-400000</v>
      </c>
      <c r="E8" s="76">
        <f>+D8</f>
        <v>-400000</v>
      </c>
      <c r="F8" s="76">
        <f t="shared" ref="F8:G8" si="1">+E8</f>
        <v>-400000</v>
      </c>
      <c r="G8" s="76">
        <f t="shared" si="1"/>
        <v>-400000</v>
      </c>
      <c r="H8" s="196"/>
    </row>
    <row r="9" spans="1:8" ht="18" x14ac:dyDescent="0.25">
      <c r="A9" s="143" t="s">
        <v>155</v>
      </c>
      <c r="B9" s="143"/>
      <c r="C9" s="48" t="s">
        <v>14</v>
      </c>
      <c r="D9" s="144">
        <f>+D7+D8</f>
        <v>0</v>
      </c>
      <c r="E9" s="144">
        <f t="shared" ref="E9:G9" si="2">+E7+E8</f>
        <v>0</v>
      </c>
      <c r="F9" s="144">
        <f t="shared" si="2"/>
        <v>0</v>
      </c>
      <c r="G9" s="144">
        <f t="shared" si="2"/>
        <v>0</v>
      </c>
      <c r="H9" s="196"/>
    </row>
    <row r="10" spans="1:8" ht="18" x14ac:dyDescent="0.25">
      <c r="A10" s="92" t="s">
        <v>493</v>
      </c>
      <c r="B10" s="92"/>
      <c r="C10" s="48" t="s">
        <v>17</v>
      </c>
      <c r="D10" s="78">
        <f>+D8</f>
        <v>-400000</v>
      </c>
      <c r="E10" s="78">
        <f>+E8-D8</f>
        <v>0</v>
      </c>
      <c r="F10" s="78">
        <f>+F8-E8</f>
        <v>0</v>
      </c>
      <c r="G10" s="78">
        <f>+G8-F8</f>
        <v>0</v>
      </c>
      <c r="H10" s="196"/>
    </row>
    <row r="11" spans="1:8" ht="18" x14ac:dyDescent="0.25">
      <c r="A11" s="145"/>
      <c r="B11" s="145"/>
      <c r="C11" s="48"/>
      <c r="D11" s="48"/>
      <c r="E11" s="48"/>
      <c r="F11" s="48"/>
      <c r="G11" s="48"/>
      <c r="H11" s="196"/>
    </row>
    <row r="12" spans="1:8" ht="18" x14ac:dyDescent="0.25">
      <c r="A12" s="142" t="s">
        <v>253</v>
      </c>
      <c r="B12" s="142"/>
      <c r="C12" s="48"/>
      <c r="D12" s="75" t="s">
        <v>198</v>
      </c>
      <c r="E12" s="75" t="s">
        <v>199</v>
      </c>
      <c r="F12" s="75" t="s">
        <v>200</v>
      </c>
      <c r="G12" s="75" t="s">
        <v>201</v>
      </c>
      <c r="H12" s="196"/>
    </row>
    <row r="13" spans="1:8" ht="18" x14ac:dyDescent="0.25">
      <c r="A13" s="92" t="s">
        <v>37</v>
      </c>
      <c r="B13" s="92"/>
      <c r="C13" s="48"/>
      <c r="D13" s="48">
        <v>400000</v>
      </c>
      <c r="E13" s="48">
        <f>+D13</f>
        <v>400000</v>
      </c>
      <c r="F13" s="48">
        <f t="shared" ref="F13:G13" si="3">+E13</f>
        <v>400000</v>
      </c>
      <c r="G13" s="48">
        <f t="shared" si="3"/>
        <v>400000</v>
      </c>
      <c r="H13" s="196"/>
    </row>
    <row r="14" spans="1:8" ht="18" x14ac:dyDescent="0.25">
      <c r="A14" s="92" t="s">
        <v>632</v>
      </c>
      <c r="B14" s="92"/>
      <c r="C14" s="48"/>
      <c r="D14" s="76">
        <f>+-D13*10%</f>
        <v>-40000</v>
      </c>
      <c r="E14" s="76">
        <f>+D14*2</f>
        <v>-80000</v>
      </c>
      <c r="F14" s="76">
        <f>+D14*3</f>
        <v>-120000</v>
      </c>
      <c r="G14" s="76">
        <f>+D14*4</f>
        <v>-160000</v>
      </c>
      <c r="H14" s="196"/>
    </row>
    <row r="15" spans="1:8" ht="18" x14ac:dyDescent="0.25">
      <c r="A15" s="143" t="s">
        <v>244</v>
      </c>
      <c r="B15" s="143"/>
      <c r="C15" s="48" t="s">
        <v>15</v>
      </c>
      <c r="D15" s="146">
        <f>+D13+D14</f>
        <v>360000</v>
      </c>
      <c r="E15" s="146">
        <f t="shared" ref="E15:G15" si="4">+E13+E14</f>
        <v>320000</v>
      </c>
      <c r="F15" s="146">
        <f t="shared" si="4"/>
        <v>280000</v>
      </c>
      <c r="G15" s="146">
        <f t="shared" si="4"/>
        <v>240000</v>
      </c>
      <c r="H15" s="196"/>
    </row>
    <row r="16" spans="1:8" ht="18" x14ac:dyDescent="0.25">
      <c r="A16" s="92" t="s">
        <v>493</v>
      </c>
      <c r="B16" s="92"/>
      <c r="C16" s="48" t="s">
        <v>64</v>
      </c>
      <c r="D16" s="78">
        <f>+D14</f>
        <v>-40000</v>
      </c>
      <c r="E16" s="78">
        <f>+E14-D14</f>
        <v>-40000</v>
      </c>
      <c r="F16" s="78">
        <f>+F14-E14</f>
        <v>-40000</v>
      </c>
      <c r="G16" s="78">
        <f>+G14-F14</f>
        <v>-40000</v>
      </c>
      <c r="H16" s="196"/>
    </row>
    <row r="17" spans="1:8" ht="18" x14ac:dyDescent="0.25">
      <c r="A17" s="145"/>
      <c r="B17" s="145"/>
      <c r="C17" s="48"/>
      <c r="D17" s="78"/>
      <c r="E17" s="78"/>
      <c r="F17" s="78"/>
      <c r="G17" s="78"/>
      <c r="H17" s="196"/>
    </row>
    <row r="18" spans="1:8" ht="18" x14ac:dyDescent="0.25">
      <c r="A18" s="147" t="s">
        <v>276</v>
      </c>
      <c r="B18" s="147"/>
      <c r="C18" s="67" t="s">
        <v>250</v>
      </c>
      <c r="D18" s="68">
        <f>+D15-D9</f>
        <v>360000</v>
      </c>
      <c r="E18" s="68">
        <f>+E15-E9</f>
        <v>320000</v>
      </c>
      <c r="F18" s="68">
        <f>+F15-F9</f>
        <v>280000</v>
      </c>
      <c r="G18" s="68">
        <f>+G15-G9</f>
        <v>240000</v>
      </c>
      <c r="H18" s="196"/>
    </row>
    <row r="19" spans="1:8" ht="18" x14ac:dyDescent="0.25">
      <c r="A19" s="147" t="s">
        <v>166</v>
      </c>
      <c r="B19" s="147"/>
      <c r="C19" s="67" t="s">
        <v>251</v>
      </c>
      <c r="D19" s="68">
        <f>+D18*0.3</f>
        <v>108000</v>
      </c>
      <c r="E19" s="68">
        <f t="shared" ref="E19:G19" si="5">+E18*0.3</f>
        <v>96000</v>
      </c>
      <c r="F19" s="68">
        <f t="shared" si="5"/>
        <v>84000</v>
      </c>
      <c r="G19" s="68">
        <f t="shared" si="5"/>
        <v>72000</v>
      </c>
      <c r="H19" s="196"/>
    </row>
    <row r="20" spans="1:8" ht="18" x14ac:dyDescent="0.25">
      <c r="A20" s="145" t="s">
        <v>406</v>
      </c>
      <c r="B20" s="145"/>
      <c r="C20" s="48"/>
      <c r="D20" s="48"/>
      <c r="E20" s="48"/>
      <c r="F20" s="48"/>
      <c r="G20" s="52"/>
      <c r="H20" s="196"/>
    </row>
    <row r="21" spans="1:8" ht="18" x14ac:dyDescent="0.25">
      <c r="A21" s="145" t="s">
        <v>407</v>
      </c>
      <c r="B21" s="145"/>
      <c r="C21" s="48"/>
      <c r="D21" s="48"/>
      <c r="E21" s="48"/>
      <c r="F21" s="48"/>
      <c r="G21" s="52"/>
      <c r="H21" s="196"/>
    </row>
    <row r="22" spans="1:8" ht="18" x14ac:dyDescent="0.25">
      <c r="A22" s="145"/>
      <c r="B22" s="145"/>
      <c r="C22" s="48"/>
      <c r="D22" s="48"/>
      <c r="E22" s="48"/>
      <c r="F22" s="48"/>
      <c r="G22" s="52"/>
      <c r="H22" s="196"/>
    </row>
    <row r="23" spans="1:8" ht="18" x14ac:dyDescent="0.25">
      <c r="A23" s="142" t="s">
        <v>255</v>
      </c>
      <c r="B23" s="142"/>
      <c r="C23" s="48"/>
      <c r="D23" s="48"/>
      <c r="E23" s="48"/>
      <c r="F23" s="48"/>
      <c r="G23" s="52"/>
      <c r="H23" s="196"/>
    </row>
    <row r="24" spans="1:8" ht="18" x14ac:dyDescent="0.25">
      <c r="A24" s="142"/>
      <c r="B24" s="142"/>
      <c r="D24" s="75" t="s">
        <v>198</v>
      </c>
      <c r="E24" s="75" t="s">
        <v>199</v>
      </c>
      <c r="F24" s="75" t="s">
        <v>200</v>
      </c>
      <c r="G24" s="75" t="s">
        <v>201</v>
      </c>
      <c r="H24" s="196"/>
    </row>
    <row r="25" spans="1:8" ht="18" x14ac:dyDescent="0.25">
      <c r="A25" s="142" t="s">
        <v>256</v>
      </c>
      <c r="B25" s="142"/>
      <c r="C25" s="75"/>
      <c r="D25" s="75"/>
      <c r="E25" s="75"/>
      <c r="F25" s="75"/>
      <c r="G25" s="75"/>
      <c r="H25" s="196"/>
    </row>
    <row r="26" spans="1:8" ht="18" x14ac:dyDescent="0.25">
      <c r="A26" s="145" t="s">
        <v>249</v>
      </c>
      <c r="B26" s="145"/>
      <c r="D26" s="48"/>
      <c r="E26" s="48"/>
      <c r="F26" s="48"/>
      <c r="G26" s="48"/>
      <c r="H26" s="196"/>
    </row>
    <row r="27" spans="1:8" ht="18" x14ac:dyDescent="0.25">
      <c r="A27" s="145" t="s">
        <v>248</v>
      </c>
      <c r="B27" s="145"/>
      <c r="C27" s="48" t="s">
        <v>252</v>
      </c>
      <c r="D27" s="48"/>
      <c r="E27" s="148">
        <f>+E16-E10</f>
        <v>-40000</v>
      </c>
      <c r="F27" s="88">
        <f>+F16-F10</f>
        <v>-40000</v>
      </c>
      <c r="G27" s="148">
        <f>+G16-G10</f>
        <v>-40000</v>
      </c>
      <c r="H27" s="196"/>
    </row>
    <row r="28" spans="1:8" ht="18" x14ac:dyDescent="0.25">
      <c r="A28" s="142" t="s">
        <v>191</v>
      </c>
      <c r="B28" s="142"/>
      <c r="C28" s="48"/>
      <c r="D28" s="48"/>
      <c r="E28" s="48"/>
      <c r="F28" s="48"/>
      <c r="G28" s="48"/>
      <c r="H28" s="196"/>
    </row>
    <row r="29" spans="1:8" ht="18" x14ac:dyDescent="0.25">
      <c r="A29" s="145" t="s">
        <v>247</v>
      </c>
      <c r="B29" s="145"/>
      <c r="C29" s="48"/>
      <c r="D29" s="48"/>
      <c r="E29" s="48"/>
      <c r="F29" s="48"/>
      <c r="G29" s="48"/>
      <c r="H29" s="196"/>
    </row>
    <row r="30" spans="1:8" ht="18" x14ac:dyDescent="0.25">
      <c r="A30" s="145" t="s">
        <v>248</v>
      </c>
      <c r="B30" s="145"/>
      <c r="C30" s="48" t="s">
        <v>252</v>
      </c>
      <c r="D30" s="148">
        <f>+D16-D10</f>
        <v>360000</v>
      </c>
      <c r="E30" s="78">
        <v>0</v>
      </c>
      <c r="F30" s="78">
        <v>0</v>
      </c>
      <c r="G30" s="78">
        <v>0</v>
      </c>
      <c r="H30" s="196"/>
    </row>
    <row r="31" spans="1:8" ht="18" x14ac:dyDescent="0.25">
      <c r="A31" s="145"/>
      <c r="B31" s="145"/>
      <c r="C31" s="78"/>
      <c r="D31" s="78"/>
      <c r="E31" s="78"/>
      <c r="F31" s="78"/>
      <c r="G31" s="52"/>
      <c r="H31" s="196"/>
    </row>
    <row r="32" spans="1:8" ht="18" x14ac:dyDescent="0.25">
      <c r="A32" s="145"/>
      <c r="B32" s="145"/>
      <c r="C32" s="78"/>
      <c r="D32" s="78"/>
      <c r="E32" s="78"/>
      <c r="F32" s="78"/>
      <c r="G32" s="52"/>
      <c r="H32" s="196"/>
    </row>
    <row r="33" spans="1:8" customFormat="1" ht="18" x14ac:dyDescent="0.25">
      <c r="A33" s="403" t="s">
        <v>848</v>
      </c>
      <c r="B33" s="403"/>
      <c r="C33" s="403"/>
      <c r="D33" s="403"/>
      <c r="E33" s="403"/>
      <c r="F33" s="403"/>
      <c r="G33" s="403"/>
      <c r="H33" s="134"/>
    </row>
    <row r="34" spans="1:8" ht="18" x14ac:dyDescent="0.25">
      <c r="A34" s="145"/>
      <c r="B34" s="147"/>
      <c r="C34" s="147"/>
      <c r="D34" s="77" t="s">
        <v>213</v>
      </c>
      <c r="E34" s="77" t="s">
        <v>214</v>
      </c>
      <c r="F34" s="77" t="s">
        <v>276</v>
      </c>
      <c r="G34" s="77" t="s">
        <v>277</v>
      </c>
      <c r="H34" s="196"/>
    </row>
    <row r="35" spans="1:8" ht="18" x14ac:dyDescent="0.25">
      <c r="A35" s="145"/>
      <c r="B35" s="322" t="s">
        <v>281</v>
      </c>
      <c r="C35" s="147"/>
      <c r="D35" s="77" t="s">
        <v>1</v>
      </c>
      <c r="E35" s="77" t="s">
        <v>1</v>
      </c>
      <c r="F35" s="77" t="s">
        <v>1</v>
      </c>
      <c r="G35" s="77" t="s">
        <v>1</v>
      </c>
      <c r="H35" s="196"/>
    </row>
    <row r="36" spans="1:8" ht="18" x14ac:dyDescent="0.25">
      <c r="A36" s="145"/>
      <c r="B36" s="93" t="s">
        <v>262</v>
      </c>
      <c r="C36" s="145"/>
      <c r="D36" s="83">
        <v>0</v>
      </c>
      <c r="E36" s="78">
        <f>D15</f>
        <v>360000</v>
      </c>
      <c r="F36" s="78">
        <f>+E36-D36</f>
        <v>360000</v>
      </c>
      <c r="G36" s="78">
        <f>+F36*0.3</f>
        <v>108000</v>
      </c>
      <c r="H36" s="196"/>
    </row>
    <row r="37" spans="1:8" ht="18" x14ac:dyDescent="0.25">
      <c r="A37" s="145"/>
      <c r="B37" s="93" t="s">
        <v>263</v>
      </c>
      <c r="C37" s="145"/>
      <c r="D37" s="83">
        <v>0</v>
      </c>
      <c r="E37" s="78">
        <f>+E15</f>
        <v>320000</v>
      </c>
      <c r="F37" s="78">
        <f>+E37-D37</f>
        <v>320000</v>
      </c>
      <c r="G37" s="78">
        <f t="shared" ref="G37:G45" si="6">+F37*0.3</f>
        <v>96000</v>
      </c>
      <c r="H37" s="196"/>
    </row>
    <row r="38" spans="1:8" ht="18.75" thickBot="1" x14ac:dyDescent="0.3">
      <c r="A38" s="145"/>
      <c r="B38" s="93" t="s">
        <v>264</v>
      </c>
      <c r="C38" s="145"/>
      <c r="D38" s="83">
        <v>0</v>
      </c>
      <c r="E38" s="78">
        <f>+F15</f>
        <v>280000</v>
      </c>
      <c r="F38" s="78">
        <f>+E38-D38</f>
        <v>280000</v>
      </c>
      <c r="G38" s="78">
        <f t="shared" si="6"/>
        <v>84000</v>
      </c>
      <c r="H38" s="196"/>
    </row>
    <row r="39" spans="1:8" ht="18.75" thickBot="1" x14ac:dyDescent="0.3">
      <c r="A39" s="145"/>
      <c r="B39" s="182" t="s">
        <v>265</v>
      </c>
      <c r="C39" s="151"/>
      <c r="D39" s="152">
        <v>0</v>
      </c>
      <c r="E39" s="153">
        <f>+G15</f>
        <v>240000</v>
      </c>
      <c r="F39" s="153">
        <f>+E39-D39</f>
        <v>240000</v>
      </c>
      <c r="G39" s="154">
        <f t="shared" si="6"/>
        <v>72000</v>
      </c>
      <c r="H39" s="196"/>
    </row>
    <row r="40" spans="1:8" ht="18" x14ac:dyDescent="0.25">
      <c r="A40" s="145"/>
      <c r="B40" s="93" t="s">
        <v>271</v>
      </c>
      <c r="C40" s="145"/>
      <c r="D40" s="83">
        <v>0</v>
      </c>
      <c r="E40" s="78">
        <f>+E39+G16</f>
        <v>200000</v>
      </c>
      <c r="F40" s="78">
        <f t="shared" ref="F40:F45" si="7">+E40-D40</f>
        <v>200000</v>
      </c>
      <c r="G40" s="78">
        <f t="shared" si="6"/>
        <v>60000</v>
      </c>
      <c r="H40" s="196"/>
    </row>
    <row r="41" spans="1:8" ht="18" x14ac:dyDescent="0.25">
      <c r="A41" s="145"/>
      <c r="B41" s="93" t="s">
        <v>282</v>
      </c>
      <c r="C41" s="145"/>
      <c r="D41" s="83">
        <v>0</v>
      </c>
      <c r="E41" s="78">
        <f>+E40+G16</f>
        <v>160000</v>
      </c>
      <c r="F41" s="78">
        <f t="shared" si="7"/>
        <v>160000</v>
      </c>
      <c r="G41" s="78">
        <f t="shared" si="6"/>
        <v>48000</v>
      </c>
      <c r="H41" s="196"/>
    </row>
    <row r="42" spans="1:8" ht="18" x14ac:dyDescent="0.25">
      <c r="A42" s="145"/>
      <c r="B42" s="93" t="s">
        <v>283</v>
      </c>
      <c r="C42" s="145"/>
      <c r="D42" s="83">
        <v>0</v>
      </c>
      <c r="E42" s="78">
        <f>+E41+G16</f>
        <v>120000</v>
      </c>
      <c r="F42" s="78">
        <f t="shared" si="7"/>
        <v>120000</v>
      </c>
      <c r="G42" s="78">
        <f t="shared" si="6"/>
        <v>36000</v>
      </c>
      <c r="H42" s="196"/>
    </row>
    <row r="43" spans="1:8" ht="18" x14ac:dyDescent="0.25">
      <c r="A43" s="145"/>
      <c r="B43" s="93" t="s">
        <v>284</v>
      </c>
      <c r="C43" s="145"/>
      <c r="D43" s="83">
        <v>0</v>
      </c>
      <c r="E43" s="78">
        <f>+E42+G16</f>
        <v>80000</v>
      </c>
      <c r="F43" s="78">
        <f t="shared" si="7"/>
        <v>80000</v>
      </c>
      <c r="G43" s="78">
        <f t="shared" si="6"/>
        <v>24000</v>
      </c>
      <c r="H43" s="196"/>
    </row>
    <row r="44" spans="1:8" ht="18" x14ac:dyDescent="0.25">
      <c r="A44" s="145"/>
      <c r="B44" s="93" t="s">
        <v>285</v>
      </c>
      <c r="C44" s="145"/>
      <c r="D44" s="83">
        <v>0</v>
      </c>
      <c r="E44" s="78">
        <f>+E43+G16</f>
        <v>40000</v>
      </c>
      <c r="F44" s="78">
        <f t="shared" si="7"/>
        <v>40000</v>
      </c>
      <c r="G44" s="78">
        <f t="shared" si="6"/>
        <v>12000</v>
      </c>
      <c r="H44" s="196"/>
    </row>
    <row r="45" spans="1:8" ht="18" x14ac:dyDescent="0.25">
      <c r="A45" s="145"/>
      <c r="B45" s="93" t="s">
        <v>286</v>
      </c>
      <c r="C45" s="145"/>
      <c r="D45" s="83">
        <v>0</v>
      </c>
      <c r="E45" s="78">
        <f>+E44+G16</f>
        <v>0</v>
      </c>
      <c r="F45" s="78">
        <f t="shared" si="7"/>
        <v>0</v>
      </c>
      <c r="G45" s="78">
        <f t="shared" si="6"/>
        <v>0</v>
      </c>
      <c r="H45" s="196"/>
    </row>
    <row r="46" spans="1:8" ht="18" x14ac:dyDescent="0.25">
      <c r="A46" s="145"/>
      <c r="B46" s="145" t="s">
        <v>487</v>
      </c>
      <c r="C46" s="145"/>
      <c r="D46" s="145" t="s">
        <v>406</v>
      </c>
      <c r="E46" s="78"/>
      <c r="F46" s="78"/>
      <c r="G46" s="78"/>
      <c r="H46" s="196"/>
    </row>
    <row r="47" spans="1:8" ht="18" x14ac:dyDescent="0.25">
      <c r="A47" s="145"/>
      <c r="B47" s="145" t="s">
        <v>488</v>
      </c>
      <c r="C47" s="145"/>
      <c r="D47" s="145" t="s">
        <v>633</v>
      </c>
      <c r="E47" s="78"/>
      <c r="F47" s="78"/>
      <c r="G47" s="78"/>
      <c r="H47" s="196"/>
    </row>
    <row r="48" spans="1:8" ht="18" x14ac:dyDescent="0.25">
      <c r="A48" s="78"/>
      <c r="B48" s="78"/>
      <c r="C48" s="78"/>
      <c r="D48" s="78"/>
      <c r="E48" s="78"/>
      <c r="F48" s="78"/>
      <c r="G48" s="78"/>
      <c r="H48" s="196"/>
    </row>
    <row r="49" spans="1:8" customFormat="1" ht="18" x14ac:dyDescent="0.25">
      <c r="A49" s="403" t="s">
        <v>849</v>
      </c>
      <c r="B49" s="403"/>
      <c r="C49" s="403"/>
      <c r="D49" s="403"/>
      <c r="E49" s="403"/>
      <c r="F49" s="403"/>
      <c r="G49" s="403"/>
      <c r="H49" s="134"/>
    </row>
    <row r="50" spans="1:8" ht="18" x14ac:dyDescent="0.25">
      <c r="A50" s="145"/>
      <c r="B50" s="145"/>
      <c r="C50" s="83"/>
      <c r="D50" s="78"/>
      <c r="E50" s="78"/>
      <c r="F50" s="78"/>
      <c r="G50" s="75" t="s">
        <v>277</v>
      </c>
      <c r="H50" s="196"/>
    </row>
    <row r="51" spans="1:8" ht="18" x14ac:dyDescent="0.25">
      <c r="A51" s="145"/>
      <c r="B51" s="142"/>
      <c r="C51" s="83"/>
      <c r="D51" s="78"/>
      <c r="E51" s="78"/>
      <c r="F51" s="78"/>
      <c r="G51" s="75" t="s">
        <v>489</v>
      </c>
      <c r="H51" s="196"/>
    </row>
    <row r="52" spans="1:8" ht="18" x14ac:dyDescent="0.25">
      <c r="A52" s="142"/>
      <c r="B52" s="142" t="s">
        <v>262</v>
      </c>
      <c r="C52" s="83"/>
      <c r="D52" s="78"/>
      <c r="E52" s="75" t="s">
        <v>68</v>
      </c>
      <c r="F52" s="75" t="s">
        <v>28</v>
      </c>
      <c r="G52" s="75" t="s">
        <v>490</v>
      </c>
      <c r="H52" s="196"/>
    </row>
    <row r="53" spans="1:8" ht="18" x14ac:dyDescent="0.25">
      <c r="A53" s="145"/>
      <c r="B53" s="145" t="s">
        <v>202</v>
      </c>
      <c r="C53" s="83"/>
      <c r="D53" s="78"/>
      <c r="E53" s="48">
        <f>+D19</f>
        <v>108000</v>
      </c>
      <c r="F53" s="48"/>
      <c r="G53" s="48"/>
      <c r="H53" s="196"/>
    </row>
    <row r="54" spans="1:8" ht="18" x14ac:dyDescent="0.25">
      <c r="A54" s="145"/>
      <c r="B54" s="145" t="s">
        <v>270</v>
      </c>
      <c r="C54" s="83"/>
      <c r="D54" s="78"/>
      <c r="E54" s="48"/>
      <c r="F54" s="48">
        <f>+E53</f>
        <v>108000</v>
      </c>
      <c r="G54" s="52">
        <f>+F54</f>
        <v>108000</v>
      </c>
      <c r="H54" s="196"/>
    </row>
    <row r="55" spans="1:8" ht="8.25" customHeight="1" x14ac:dyDescent="0.25">
      <c r="A55" s="145"/>
      <c r="B55" s="145"/>
      <c r="C55" s="83"/>
      <c r="D55" s="78"/>
      <c r="E55" s="48"/>
      <c r="F55" s="48"/>
      <c r="G55" s="52"/>
      <c r="H55" s="196"/>
    </row>
    <row r="56" spans="1:8" ht="18" x14ac:dyDescent="0.25">
      <c r="A56" s="142"/>
      <c r="B56" s="142" t="s">
        <v>263</v>
      </c>
      <c r="C56" s="83"/>
      <c r="D56" s="78"/>
      <c r="E56" s="75" t="s">
        <v>68</v>
      </c>
      <c r="F56" s="75" t="s">
        <v>28</v>
      </c>
      <c r="G56" s="52"/>
      <c r="H56" s="196"/>
    </row>
    <row r="57" spans="1:8" ht="18" x14ac:dyDescent="0.25">
      <c r="A57" s="145"/>
      <c r="B57" s="145" t="s">
        <v>240</v>
      </c>
      <c r="C57" s="83"/>
      <c r="D57" s="78"/>
      <c r="E57" s="48">
        <f>+D19-E19</f>
        <v>12000</v>
      </c>
      <c r="F57" s="48"/>
      <c r="G57" s="52"/>
      <c r="H57" s="196"/>
    </row>
    <row r="58" spans="1:8" ht="18" x14ac:dyDescent="0.25">
      <c r="A58" s="145"/>
      <c r="B58" s="145" t="s">
        <v>202</v>
      </c>
      <c r="C58" s="83"/>
      <c r="D58" s="78"/>
      <c r="E58" s="48"/>
      <c r="F58" s="48">
        <f>+E57</f>
        <v>12000</v>
      </c>
      <c r="G58" s="52">
        <f>+G54-F58</f>
        <v>96000</v>
      </c>
      <c r="H58" s="196"/>
    </row>
    <row r="59" spans="1:8" ht="9" customHeight="1" x14ac:dyDescent="0.25">
      <c r="A59" s="145"/>
      <c r="B59" s="145"/>
      <c r="C59" s="83"/>
      <c r="D59" s="78"/>
      <c r="E59" s="48"/>
      <c r="F59" s="48"/>
      <c r="G59" s="52"/>
      <c r="H59" s="196"/>
    </row>
    <row r="60" spans="1:8" ht="18" x14ac:dyDescent="0.25">
      <c r="A60" s="142"/>
      <c r="B60" s="142" t="s">
        <v>264</v>
      </c>
      <c r="C60" s="83"/>
      <c r="D60" s="78"/>
      <c r="E60" s="75" t="s">
        <v>68</v>
      </c>
      <c r="F60" s="75" t="s">
        <v>28</v>
      </c>
      <c r="G60" s="52"/>
      <c r="H60" s="196"/>
    </row>
    <row r="61" spans="1:8" ht="18" x14ac:dyDescent="0.25">
      <c r="A61" s="145"/>
      <c r="B61" s="145" t="s">
        <v>240</v>
      </c>
      <c r="C61" s="83"/>
      <c r="D61" s="78"/>
      <c r="E61" s="48">
        <f>+E19-F19</f>
        <v>12000</v>
      </c>
      <c r="F61" s="48"/>
      <c r="G61" s="52"/>
      <c r="H61" s="196"/>
    </row>
    <row r="62" spans="1:8" ht="18" x14ac:dyDescent="0.25">
      <c r="A62" s="145"/>
      <c r="B62" s="145" t="s">
        <v>202</v>
      </c>
      <c r="C62" s="83"/>
      <c r="D62" s="78"/>
      <c r="E62" s="48"/>
      <c r="F62" s="48">
        <f>+E61</f>
        <v>12000</v>
      </c>
      <c r="G62" s="52">
        <f>+G58-F62</f>
        <v>84000</v>
      </c>
      <c r="H62" s="196"/>
    </row>
    <row r="63" spans="1:8" ht="6.75" customHeight="1" x14ac:dyDescent="0.25">
      <c r="A63" s="145"/>
      <c r="B63" s="145"/>
      <c r="C63" s="83"/>
      <c r="D63" s="78"/>
      <c r="E63" s="48"/>
      <c r="F63" s="48"/>
      <c r="G63" s="52"/>
      <c r="H63" s="196"/>
    </row>
    <row r="64" spans="1:8" ht="18" x14ac:dyDescent="0.25">
      <c r="A64" s="142"/>
      <c r="B64" s="142" t="s">
        <v>265</v>
      </c>
      <c r="C64" s="83"/>
      <c r="D64" s="78"/>
      <c r="E64" s="75" t="s">
        <v>68</v>
      </c>
      <c r="F64" s="75" t="s">
        <v>28</v>
      </c>
      <c r="G64" s="52"/>
      <c r="H64" s="196"/>
    </row>
    <row r="65" spans="1:8" ht="18" x14ac:dyDescent="0.25">
      <c r="A65" s="145"/>
      <c r="B65" s="145" t="s">
        <v>240</v>
      </c>
      <c r="C65" s="83"/>
      <c r="D65" s="78"/>
      <c r="E65" s="48">
        <f>+F19-G19</f>
        <v>12000</v>
      </c>
      <c r="F65" s="48"/>
      <c r="G65" s="52"/>
      <c r="H65" s="196"/>
    </row>
    <row r="66" spans="1:8" ht="18" x14ac:dyDescent="0.25">
      <c r="A66" s="145"/>
      <c r="B66" s="145" t="s">
        <v>202</v>
      </c>
      <c r="C66" s="83"/>
      <c r="D66" s="78"/>
      <c r="E66" s="48"/>
      <c r="F66" s="48">
        <f>+E65</f>
        <v>12000</v>
      </c>
      <c r="G66" s="52">
        <f>+G62-F66</f>
        <v>72000</v>
      </c>
      <c r="H66" s="196"/>
    </row>
    <row r="67" spans="1:8" ht="18" x14ac:dyDescent="0.25">
      <c r="A67" s="145"/>
      <c r="B67" s="145"/>
      <c r="C67" s="83"/>
      <c r="D67" s="78"/>
      <c r="E67" s="48"/>
      <c r="F67" s="48"/>
      <c r="G67" s="52"/>
      <c r="H67" s="196"/>
    </row>
    <row r="68" spans="1:8" customFormat="1" ht="18" x14ac:dyDescent="0.25">
      <c r="A68" s="403" t="s">
        <v>850</v>
      </c>
      <c r="B68" s="403"/>
      <c r="C68" s="403"/>
      <c r="D68" s="403"/>
      <c r="E68" s="403"/>
      <c r="F68" s="403"/>
      <c r="G68" s="403"/>
      <c r="H68" s="134"/>
    </row>
    <row r="69" spans="1:8" ht="17.25" customHeight="1" x14ac:dyDescent="0.25">
      <c r="A69" s="145"/>
      <c r="B69" s="145"/>
      <c r="C69" s="83"/>
      <c r="D69" s="78"/>
      <c r="E69" s="48"/>
      <c r="F69" s="48"/>
      <c r="G69" s="52"/>
      <c r="H69" s="196"/>
    </row>
    <row r="70" spans="1:8" ht="17.25" customHeight="1" x14ac:dyDescent="0.25">
      <c r="A70" s="155" t="s">
        <v>254</v>
      </c>
      <c r="B70" s="156"/>
      <c r="C70" s="183"/>
      <c r="D70" s="157" t="s">
        <v>198</v>
      </c>
      <c r="E70" s="157" t="s">
        <v>199</v>
      </c>
      <c r="F70" s="157" t="s">
        <v>200</v>
      </c>
      <c r="G70" s="158" t="s">
        <v>201</v>
      </c>
      <c r="H70" s="196"/>
    </row>
    <row r="71" spans="1:8" ht="17.25" customHeight="1" x14ac:dyDescent="0.25">
      <c r="A71" s="159" t="s">
        <v>37</v>
      </c>
      <c r="B71" s="92"/>
      <c r="C71" s="83"/>
      <c r="D71" s="48">
        <v>400000</v>
      </c>
      <c r="E71" s="48">
        <f>+D71</f>
        <v>400000</v>
      </c>
      <c r="F71" s="48">
        <f t="shared" ref="F71:G71" si="8">+E71</f>
        <v>400000</v>
      </c>
      <c r="G71" s="160">
        <f t="shared" si="8"/>
        <v>400000</v>
      </c>
      <c r="H71" s="196"/>
    </row>
    <row r="72" spans="1:8" ht="17.25" customHeight="1" x14ac:dyDescent="0.25">
      <c r="A72" s="159" t="s">
        <v>43</v>
      </c>
      <c r="B72" s="92"/>
      <c r="C72" s="83"/>
      <c r="D72" s="76">
        <f>-D71*10%</f>
        <v>-40000</v>
      </c>
      <c r="E72" s="76">
        <f>+D72*2</f>
        <v>-80000</v>
      </c>
      <c r="F72" s="76">
        <f>-E71</f>
        <v>-400000</v>
      </c>
      <c r="G72" s="161">
        <f>+F72</f>
        <v>-400000</v>
      </c>
      <c r="H72" s="196"/>
    </row>
    <row r="73" spans="1:8" ht="17.25" customHeight="1" x14ac:dyDescent="0.25">
      <c r="A73" s="162" t="s">
        <v>155</v>
      </c>
      <c r="B73" s="143"/>
      <c r="C73" s="48" t="s">
        <v>14</v>
      </c>
      <c r="D73" s="144">
        <f>+D71+D72</f>
        <v>360000</v>
      </c>
      <c r="E73" s="144">
        <f t="shared" ref="E73" si="9">+E71+E72</f>
        <v>320000</v>
      </c>
      <c r="F73" s="144">
        <f t="shared" ref="F73" si="10">+F71+F72</f>
        <v>0</v>
      </c>
      <c r="G73" s="163">
        <f t="shared" ref="G73" si="11">+G71+G72</f>
        <v>0</v>
      </c>
      <c r="H73" s="196"/>
    </row>
    <row r="74" spans="1:8" ht="17.25" customHeight="1" x14ac:dyDescent="0.25">
      <c r="A74" s="159" t="s">
        <v>287</v>
      </c>
      <c r="B74" s="92"/>
      <c r="C74" s="48" t="s">
        <v>17</v>
      </c>
      <c r="D74" s="47"/>
      <c r="E74" s="47"/>
      <c r="F74" s="47"/>
      <c r="G74" s="164">
        <f>+G72-F72</f>
        <v>0</v>
      </c>
      <c r="H74" s="196"/>
    </row>
    <row r="75" spans="1:8" ht="17.25" customHeight="1" x14ac:dyDescent="0.25">
      <c r="A75" s="159"/>
      <c r="B75" s="92" t="s">
        <v>288</v>
      </c>
      <c r="C75" s="48"/>
      <c r="D75" s="78">
        <f>+D72</f>
        <v>-40000</v>
      </c>
      <c r="E75" s="78">
        <f>+E72-D72</f>
        <v>-40000</v>
      </c>
      <c r="F75" s="78">
        <f>+E75</f>
        <v>-40000</v>
      </c>
      <c r="G75" s="164"/>
      <c r="H75" s="196"/>
    </row>
    <row r="76" spans="1:8" ht="17.25" customHeight="1" x14ac:dyDescent="0.25">
      <c r="A76" s="165"/>
      <c r="B76" s="166" t="s">
        <v>289</v>
      </c>
      <c r="C76" s="49"/>
      <c r="D76" s="49"/>
      <c r="E76" s="49"/>
      <c r="F76" s="76">
        <f>+F72-E72-F75</f>
        <v>-280000</v>
      </c>
      <c r="G76" s="60"/>
      <c r="H76" s="196"/>
    </row>
    <row r="77" spans="1:8" ht="17.25" customHeight="1" x14ac:dyDescent="0.25">
      <c r="A77" s="145"/>
      <c r="B77" s="145"/>
      <c r="C77" s="48"/>
      <c r="D77" s="48"/>
      <c r="E77" s="48"/>
      <c r="F77" s="48"/>
      <c r="G77" s="48"/>
      <c r="H77" s="196"/>
    </row>
    <row r="78" spans="1:8" ht="17.25" customHeight="1" x14ac:dyDescent="0.25">
      <c r="A78" s="155" t="s">
        <v>253</v>
      </c>
      <c r="B78" s="156"/>
      <c r="C78" s="174"/>
      <c r="D78" s="157" t="s">
        <v>198</v>
      </c>
      <c r="E78" s="157" t="s">
        <v>199</v>
      </c>
      <c r="F78" s="157" t="s">
        <v>200</v>
      </c>
      <c r="G78" s="158" t="s">
        <v>201</v>
      </c>
      <c r="H78" s="196"/>
    </row>
    <row r="79" spans="1:8" ht="17.25" customHeight="1" x14ac:dyDescent="0.25">
      <c r="A79" s="159" t="s">
        <v>37</v>
      </c>
      <c r="B79" s="92"/>
      <c r="C79" s="48"/>
      <c r="D79" s="48">
        <v>400000</v>
      </c>
      <c r="E79" s="48">
        <f>+D79</f>
        <v>400000</v>
      </c>
      <c r="F79" s="48">
        <f t="shared" ref="F79:G79" si="12">+E79</f>
        <v>400000</v>
      </c>
      <c r="G79" s="160">
        <f t="shared" si="12"/>
        <v>400000</v>
      </c>
      <c r="H79" s="196"/>
    </row>
    <row r="80" spans="1:8" ht="17.25" customHeight="1" x14ac:dyDescent="0.25">
      <c r="A80" s="159" t="s">
        <v>43</v>
      </c>
      <c r="B80" s="92"/>
      <c r="C80" s="48"/>
      <c r="D80" s="76">
        <f>+-D79*10%</f>
        <v>-40000</v>
      </c>
      <c r="E80" s="76">
        <f>+D80*2</f>
        <v>-80000</v>
      </c>
      <c r="F80" s="76">
        <f>+D80*3</f>
        <v>-120000</v>
      </c>
      <c r="G80" s="161">
        <f>+D80*4</f>
        <v>-160000</v>
      </c>
      <c r="H80" s="196"/>
    </row>
    <row r="81" spans="1:8" ht="17.25" customHeight="1" x14ac:dyDescent="0.25">
      <c r="A81" s="162" t="s">
        <v>244</v>
      </c>
      <c r="B81" s="143"/>
      <c r="C81" s="107" t="s">
        <v>15</v>
      </c>
      <c r="D81" s="146">
        <f>+D79+D80</f>
        <v>360000</v>
      </c>
      <c r="E81" s="146">
        <f t="shared" ref="E81" si="13">+E79+E80</f>
        <v>320000</v>
      </c>
      <c r="F81" s="146">
        <f t="shared" ref="F81" si="14">+F79+F80</f>
        <v>280000</v>
      </c>
      <c r="G81" s="167">
        <f t="shared" ref="G81" si="15">+G79+G80</f>
        <v>240000</v>
      </c>
      <c r="H81" s="196"/>
    </row>
    <row r="82" spans="1:8" ht="17.25" customHeight="1" x14ac:dyDescent="0.25">
      <c r="A82" s="168" t="s">
        <v>634</v>
      </c>
      <c r="B82" s="166"/>
      <c r="C82" s="323" t="s">
        <v>64</v>
      </c>
      <c r="D82" s="76">
        <f>+D80</f>
        <v>-40000</v>
      </c>
      <c r="E82" s="76">
        <f>+E80-D80</f>
        <v>-40000</v>
      </c>
      <c r="F82" s="76">
        <f>+F80-E80</f>
        <v>-40000</v>
      </c>
      <c r="G82" s="161">
        <f>+G80-F80</f>
        <v>-40000</v>
      </c>
      <c r="H82" s="196"/>
    </row>
    <row r="83" spans="1:8" ht="17.25" customHeight="1" x14ac:dyDescent="0.25">
      <c r="A83" s="145"/>
      <c r="B83" s="145"/>
      <c r="C83" s="78"/>
      <c r="D83" s="78"/>
      <c r="E83" s="78"/>
      <c r="F83" s="78"/>
      <c r="G83" s="48"/>
      <c r="H83" s="196"/>
    </row>
    <row r="84" spans="1:8" ht="17.25" customHeight="1" x14ac:dyDescent="0.25">
      <c r="A84" s="184" t="s">
        <v>9</v>
      </c>
      <c r="B84" s="185"/>
      <c r="C84" s="186"/>
      <c r="D84" s="187" t="s">
        <v>250</v>
      </c>
      <c r="E84" s="186"/>
      <c r="F84" s="186">
        <f>+F81-F73</f>
        <v>280000</v>
      </c>
      <c r="G84" s="188">
        <f>+G81-G73</f>
        <v>240000</v>
      </c>
      <c r="H84" s="196"/>
    </row>
    <row r="85" spans="1:8" ht="17.25" customHeight="1" x14ac:dyDescent="0.25">
      <c r="A85" s="189" t="s">
        <v>166</v>
      </c>
      <c r="B85" s="190"/>
      <c r="C85" s="146"/>
      <c r="D85" s="191" t="s">
        <v>251</v>
      </c>
      <c r="E85" s="146"/>
      <c r="F85" s="146">
        <f>+F84*0.3</f>
        <v>84000</v>
      </c>
      <c r="G85" s="167">
        <f>+G84*0.3</f>
        <v>72000</v>
      </c>
      <c r="H85" s="196"/>
    </row>
    <row r="86" spans="1:8" ht="17.25" customHeight="1" x14ac:dyDescent="0.25">
      <c r="A86" s="145"/>
      <c r="B86" s="145"/>
      <c r="C86" s="48"/>
      <c r="D86" s="48"/>
      <c r="E86" s="48"/>
      <c r="F86" s="48"/>
      <c r="G86" s="48"/>
      <c r="H86" s="196"/>
    </row>
    <row r="87" spans="1:8" ht="17.25" customHeight="1" x14ac:dyDescent="0.25">
      <c r="A87" s="155" t="s">
        <v>255</v>
      </c>
      <c r="B87" s="156"/>
      <c r="C87" s="174"/>
      <c r="D87" s="174"/>
      <c r="E87" s="174"/>
      <c r="F87" s="174"/>
      <c r="G87" s="175"/>
      <c r="H87" s="196"/>
    </row>
    <row r="88" spans="1:8" ht="17.25" customHeight="1" x14ac:dyDescent="0.25">
      <c r="A88" s="171"/>
      <c r="B88" s="142"/>
      <c r="C88" s="48"/>
      <c r="D88" s="75" t="s">
        <v>198</v>
      </c>
      <c r="E88" s="75" t="s">
        <v>199</v>
      </c>
      <c r="F88" s="75" t="s">
        <v>200</v>
      </c>
      <c r="G88" s="172" t="s">
        <v>201</v>
      </c>
      <c r="H88" s="196"/>
    </row>
    <row r="89" spans="1:8" ht="17.25" customHeight="1" x14ac:dyDescent="0.25">
      <c r="A89" s="171" t="s">
        <v>256</v>
      </c>
      <c r="B89" s="142"/>
      <c r="C89" s="48"/>
      <c r="D89" s="75"/>
      <c r="E89" s="75"/>
      <c r="F89" s="75"/>
      <c r="G89" s="172"/>
      <c r="H89" s="196"/>
    </row>
    <row r="90" spans="1:8" ht="17.25" customHeight="1" x14ac:dyDescent="0.25">
      <c r="A90" s="176" t="s">
        <v>249</v>
      </c>
      <c r="B90" s="145"/>
      <c r="C90" s="48"/>
      <c r="D90" s="48"/>
      <c r="E90" s="48"/>
      <c r="F90" s="48"/>
      <c r="G90" s="160"/>
      <c r="H90" s="196"/>
    </row>
    <row r="91" spans="1:8" ht="17.25" customHeight="1" x14ac:dyDescent="0.25">
      <c r="A91" s="176" t="s">
        <v>248</v>
      </c>
      <c r="B91" s="145"/>
      <c r="C91" s="48" t="s">
        <v>252</v>
      </c>
      <c r="D91" s="88">
        <v>0</v>
      </c>
      <c r="E91" s="88">
        <v>0</v>
      </c>
      <c r="F91" s="88">
        <v>0</v>
      </c>
      <c r="G91" s="192">
        <f>+G82-G74</f>
        <v>-40000</v>
      </c>
      <c r="H91" s="196"/>
    </row>
    <row r="92" spans="1:8" ht="17.25" customHeight="1" x14ac:dyDescent="0.25">
      <c r="A92" s="171" t="s">
        <v>191</v>
      </c>
      <c r="B92" s="142"/>
      <c r="C92" s="48"/>
      <c r="D92" s="48"/>
      <c r="E92" s="48"/>
      <c r="F92" s="48"/>
      <c r="G92" s="160"/>
      <c r="H92" s="196"/>
    </row>
    <row r="93" spans="1:8" ht="17.25" customHeight="1" x14ac:dyDescent="0.25">
      <c r="A93" s="176" t="s">
        <v>247</v>
      </c>
      <c r="B93" s="145"/>
      <c r="C93" s="48"/>
      <c r="D93" s="48"/>
      <c r="E93" s="48"/>
      <c r="F93" s="48"/>
      <c r="G93" s="160"/>
      <c r="H93" s="196"/>
    </row>
    <row r="94" spans="1:8" ht="17.25" customHeight="1" x14ac:dyDescent="0.25">
      <c r="A94" s="165" t="s">
        <v>248</v>
      </c>
      <c r="B94" s="178"/>
      <c r="C94" s="49" t="s">
        <v>252</v>
      </c>
      <c r="D94" s="179">
        <f>+D82-D75</f>
        <v>0</v>
      </c>
      <c r="E94" s="76">
        <v>0</v>
      </c>
      <c r="F94" s="180">
        <f>-F76</f>
        <v>280000</v>
      </c>
      <c r="G94" s="161">
        <v>0</v>
      </c>
      <c r="H94" s="196"/>
    </row>
    <row r="95" spans="1:8" ht="17.25" customHeight="1" x14ac:dyDescent="0.25">
      <c r="A95" s="145"/>
      <c r="B95" s="145"/>
      <c r="C95" s="78"/>
      <c r="D95" s="78"/>
      <c r="E95" s="78"/>
      <c r="F95" s="78"/>
      <c r="G95" s="52"/>
      <c r="H95" s="196"/>
    </row>
    <row r="96" spans="1:8" customFormat="1" ht="18" x14ac:dyDescent="0.25">
      <c r="A96" s="403" t="s">
        <v>851</v>
      </c>
      <c r="B96" s="403"/>
      <c r="C96" s="403"/>
      <c r="D96" s="403"/>
      <c r="E96" s="403"/>
      <c r="F96" s="403"/>
      <c r="G96" s="403"/>
      <c r="H96" s="134"/>
    </row>
    <row r="97" spans="1:8" ht="17.25" customHeight="1" x14ac:dyDescent="0.25">
      <c r="A97" s="149"/>
      <c r="B97" s="149"/>
      <c r="C97" s="149"/>
      <c r="D97" s="69" t="s">
        <v>213</v>
      </c>
      <c r="E97" s="69" t="s">
        <v>214</v>
      </c>
      <c r="F97" s="69" t="s">
        <v>276</v>
      </c>
      <c r="G97" s="69" t="s">
        <v>277</v>
      </c>
      <c r="H97" s="196"/>
    </row>
    <row r="98" spans="1:8" ht="17.25" customHeight="1" x14ac:dyDescent="0.25">
      <c r="A98" s="193"/>
      <c r="B98" s="149" t="s">
        <v>301</v>
      </c>
      <c r="C98" s="54"/>
      <c r="D98" s="69" t="s">
        <v>1</v>
      </c>
      <c r="E98" s="69" t="s">
        <v>1</v>
      </c>
      <c r="F98" s="69" t="s">
        <v>1</v>
      </c>
      <c r="G98" s="69" t="s">
        <v>1</v>
      </c>
      <c r="H98" s="196"/>
    </row>
    <row r="99" spans="1:8" ht="17.25" customHeight="1" x14ac:dyDescent="0.25">
      <c r="A99" s="145"/>
      <c r="B99" s="145" t="s">
        <v>262</v>
      </c>
      <c r="C99" s="169"/>
      <c r="D99" s="83">
        <v>0</v>
      </c>
      <c r="E99" s="78">
        <f>+F81</f>
        <v>280000</v>
      </c>
      <c r="F99" s="78">
        <f t="shared" ref="F99:F106" si="16">+E99-D99</f>
        <v>280000</v>
      </c>
      <c r="G99" s="78">
        <f t="shared" ref="G99:G106" si="17">+F99*0.3</f>
        <v>84000</v>
      </c>
      <c r="H99" s="196"/>
    </row>
    <row r="100" spans="1:8" ht="17.25" customHeight="1" x14ac:dyDescent="0.25">
      <c r="A100" s="145"/>
      <c r="B100" s="145" t="s">
        <v>263</v>
      </c>
      <c r="C100" s="169"/>
      <c r="D100" s="83">
        <v>0</v>
      </c>
      <c r="E100" s="78">
        <f>+G81</f>
        <v>240000</v>
      </c>
      <c r="F100" s="78">
        <f t="shared" si="16"/>
        <v>240000</v>
      </c>
      <c r="G100" s="78">
        <f t="shared" si="17"/>
        <v>72000</v>
      </c>
      <c r="H100" s="196"/>
    </row>
    <row r="101" spans="1:8" ht="17.25" customHeight="1" x14ac:dyDescent="0.25">
      <c r="A101" s="145"/>
      <c r="B101" s="145" t="s">
        <v>264</v>
      </c>
      <c r="C101" s="169"/>
      <c r="D101" s="83">
        <v>0</v>
      </c>
      <c r="E101" s="78">
        <f>+E100+E82</f>
        <v>200000</v>
      </c>
      <c r="F101" s="78">
        <f t="shared" si="16"/>
        <v>200000</v>
      </c>
      <c r="G101" s="78">
        <f t="shared" si="17"/>
        <v>60000</v>
      </c>
      <c r="H101" s="196"/>
    </row>
    <row r="102" spans="1:8" ht="17.25" customHeight="1" x14ac:dyDescent="0.25">
      <c r="A102" s="145"/>
      <c r="B102" s="145" t="s">
        <v>265</v>
      </c>
      <c r="C102" s="169"/>
      <c r="D102" s="83">
        <v>0</v>
      </c>
      <c r="E102" s="78">
        <f>+E101+E82</f>
        <v>160000</v>
      </c>
      <c r="F102" s="78">
        <f t="shared" si="16"/>
        <v>160000</v>
      </c>
      <c r="G102" s="78">
        <f t="shared" si="17"/>
        <v>48000</v>
      </c>
      <c r="H102" s="196"/>
    </row>
    <row r="103" spans="1:8" ht="17.25" customHeight="1" x14ac:dyDescent="0.25">
      <c r="A103" s="145"/>
      <c r="B103" s="145" t="s">
        <v>271</v>
      </c>
      <c r="C103" s="169"/>
      <c r="D103" s="83">
        <v>0</v>
      </c>
      <c r="E103" s="78">
        <f>+E102+E82</f>
        <v>120000</v>
      </c>
      <c r="F103" s="78">
        <f t="shared" si="16"/>
        <v>120000</v>
      </c>
      <c r="G103" s="78">
        <f t="shared" si="17"/>
        <v>36000</v>
      </c>
      <c r="H103" s="196"/>
    </row>
    <row r="104" spans="1:8" ht="17.25" customHeight="1" x14ac:dyDescent="0.25">
      <c r="A104" s="145"/>
      <c r="B104" s="145" t="s">
        <v>282</v>
      </c>
      <c r="C104" s="169"/>
      <c r="D104" s="83">
        <v>0</v>
      </c>
      <c r="E104" s="78">
        <f>+E103+E82</f>
        <v>80000</v>
      </c>
      <c r="F104" s="78">
        <f t="shared" si="16"/>
        <v>80000</v>
      </c>
      <c r="G104" s="78">
        <f t="shared" si="17"/>
        <v>24000</v>
      </c>
      <c r="H104" s="196"/>
    </row>
    <row r="105" spans="1:8" ht="17.25" customHeight="1" x14ac:dyDescent="0.25">
      <c r="A105" s="145"/>
      <c r="B105" s="145" t="s">
        <v>283</v>
      </c>
      <c r="C105" s="169"/>
      <c r="D105" s="83">
        <v>0</v>
      </c>
      <c r="E105" s="78">
        <f>+E104+E82</f>
        <v>40000</v>
      </c>
      <c r="F105" s="78">
        <f t="shared" si="16"/>
        <v>40000</v>
      </c>
      <c r="G105" s="78">
        <f t="shared" si="17"/>
        <v>12000</v>
      </c>
      <c r="H105" s="196"/>
    </row>
    <row r="106" spans="1:8" ht="17.25" customHeight="1" x14ac:dyDescent="0.25">
      <c r="A106" s="145"/>
      <c r="B106" s="145" t="s">
        <v>284</v>
      </c>
      <c r="C106" s="169"/>
      <c r="D106" s="83">
        <v>0</v>
      </c>
      <c r="E106" s="78">
        <f>+E105+E82</f>
        <v>0</v>
      </c>
      <c r="F106" s="78">
        <f t="shared" si="16"/>
        <v>0</v>
      </c>
      <c r="G106" s="78">
        <f t="shared" si="17"/>
        <v>0</v>
      </c>
      <c r="H106" s="196"/>
    </row>
    <row r="107" spans="1:8" ht="17.25" customHeight="1" x14ac:dyDescent="0.25">
      <c r="A107" s="145"/>
      <c r="B107" s="145"/>
      <c r="C107" s="83"/>
      <c r="D107" s="78"/>
      <c r="E107" s="78"/>
      <c r="F107" s="78"/>
      <c r="G107" s="52"/>
      <c r="H107" s="196"/>
    </row>
    <row r="108" spans="1:8" customFormat="1" ht="18" x14ac:dyDescent="0.25">
      <c r="A108" s="403" t="s">
        <v>852</v>
      </c>
      <c r="B108" s="403"/>
      <c r="C108" s="403"/>
      <c r="D108" s="403"/>
      <c r="E108" s="403"/>
      <c r="F108" s="403"/>
      <c r="G108" s="403"/>
      <c r="H108" s="134"/>
    </row>
    <row r="109" spans="1:8" ht="17.25" customHeight="1" x14ac:dyDescent="0.25">
      <c r="A109" s="145"/>
      <c r="B109" s="145"/>
      <c r="C109" s="83"/>
      <c r="D109" s="78"/>
      <c r="E109" s="78"/>
      <c r="F109" s="78"/>
      <c r="G109" s="75" t="s">
        <v>277</v>
      </c>
      <c r="H109" s="196"/>
    </row>
    <row r="110" spans="1:8" ht="17.25" customHeight="1" x14ac:dyDescent="0.25">
      <c r="A110" s="145"/>
      <c r="B110" s="145"/>
      <c r="C110" s="83"/>
      <c r="D110" s="78"/>
      <c r="E110" s="78"/>
      <c r="F110" s="78"/>
      <c r="G110" s="75" t="s">
        <v>489</v>
      </c>
      <c r="H110" s="196"/>
    </row>
    <row r="111" spans="1:8" ht="17.25" customHeight="1" x14ac:dyDescent="0.25">
      <c r="A111" s="145"/>
      <c r="B111" s="145"/>
      <c r="C111" s="83"/>
      <c r="D111" s="78"/>
      <c r="E111" s="78"/>
      <c r="F111" s="78"/>
      <c r="G111" s="75" t="s">
        <v>490</v>
      </c>
      <c r="H111" s="196"/>
    </row>
    <row r="112" spans="1:8" ht="17.25" customHeight="1" x14ac:dyDescent="0.25">
      <c r="A112" s="145"/>
      <c r="B112" s="142" t="s">
        <v>262</v>
      </c>
      <c r="C112" s="83"/>
      <c r="D112" s="78"/>
      <c r="E112" s="75" t="s">
        <v>68</v>
      </c>
      <c r="F112" s="75" t="s">
        <v>28</v>
      </c>
      <c r="G112" s="75"/>
      <c r="H112" s="196"/>
    </row>
    <row r="113" spans="1:8" ht="17.25" customHeight="1" x14ac:dyDescent="0.25">
      <c r="A113" s="145"/>
      <c r="B113" s="145" t="s">
        <v>202</v>
      </c>
      <c r="C113" s="83"/>
      <c r="D113" s="78"/>
      <c r="E113" s="48">
        <f>G99</f>
        <v>84000</v>
      </c>
      <c r="F113" s="48"/>
      <c r="G113" s="48"/>
      <c r="H113" s="196"/>
    </row>
    <row r="114" spans="1:8" ht="17.25" customHeight="1" x14ac:dyDescent="0.25">
      <c r="A114" s="145"/>
      <c r="B114" s="145" t="s">
        <v>270</v>
      </c>
      <c r="C114" s="83"/>
      <c r="D114" s="78"/>
      <c r="E114" s="48"/>
      <c r="F114" s="48">
        <f>+E113</f>
        <v>84000</v>
      </c>
      <c r="G114" s="52">
        <f>+F114</f>
        <v>84000</v>
      </c>
      <c r="H114" s="196"/>
    </row>
    <row r="115" spans="1:8" ht="17.25" customHeight="1" x14ac:dyDescent="0.25">
      <c r="A115" s="142"/>
      <c r="B115" s="145"/>
      <c r="C115" s="83"/>
      <c r="D115" s="78"/>
      <c r="E115" s="48"/>
      <c r="F115" s="48"/>
      <c r="G115" s="52"/>
      <c r="H115" s="196"/>
    </row>
    <row r="116" spans="1:8" ht="17.25" customHeight="1" x14ac:dyDescent="0.25">
      <c r="A116" s="145"/>
      <c r="B116" s="142" t="s">
        <v>263</v>
      </c>
      <c r="C116" s="83"/>
      <c r="D116" s="78"/>
      <c r="E116" s="75" t="s">
        <v>68</v>
      </c>
      <c r="F116" s="75" t="s">
        <v>28</v>
      </c>
      <c r="G116" s="52"/>
      <c r="H116" s="196"/>
    </row>
    <row r="117" spans="1:8" ht="17.25" customHeight="1" x14ac:dyDescent="0.25">
      <c r="A117" s="145"/>
      <c r="B117" s="145" t="s">
        <v>240</v>
      </c>
      <c r="C117" s="83"/>
      <c r="D117" s="78"/>
      <c r="E117" s="48">
        <f>+G99-G100</f>
        <v>12000</v>
      </c>
      <c r="F117" s="48"/>
      <c r="G117" s="52"/>
      <c r="H117" s="196"/>
    </row>
    <row r="118" spans="1:8" ht="17.25" customHeight="1" x14ac:dyDescent="0.25">
      <c r="A118" s="145"/>
      <c r="B118" s="145" t="s">
        <v>202</v>
      </c>
      <c r="C118" s="83"/>
      <c r="D118" s="78"/>
      <c r="E118" s="48"/>
      <c r="F118" s="48">
        <f>+E117</f>
        <v>12000</v>
      </c>
      <c r="G118" s="52">
        <f>+G114-F118</f>
        <v>72000</v>
      </c>
      <c r="H118" s="196"/>
    </row>
    <row r="119" spans="1:8" ht="17.25" customHeight="1" x14ac:dyDescent="0.25">
      <c r="A119" s="142"/>
      <c r="B119" s="145"/>
      <c r="C119" s="83"/>
      <c r="D119" s="78"/>
      <c r="E119" s="48"/>
      <c r="F119" s="48"/>
      <c r="G119" s="52"/>
      <c r="H119" s="196"/>
    </row>
    <row r="120" spans="1:8" ht="17.25" customHeight="1" x14ac:dyDescent="0.25">
      <c r="A120" s="145"/>
      <c r="B120" s="142" t="s">
        <v>264</v>
      </c>
      <c r="C120" s="83"/>
      <c r="D120" s="78"/>
      <c r="E120" s="75" t="s">
        <v>68</v>
      </c>
      <c r="F120" s="75" t="s">
        <v>28</v>
      </c>
      <c r="G120" s="52"/>
      <c r="H120" s="196"/>
    </row>
    <row r="121" spans="1:8" ht="17.25" customHeight="1" x14ac:dyDescent="0.25">
      <c r="A121" s="145"/>
      <c r="B121" s="145" t="s">
        <v>240</v>
      </c>
      <c r="C121" s="83"/>
      <c r="D121" s="78"/>
      <c r="E121" s="48">
        <f>+G100-G101</f>
        <v>12000</v>
      </c>
      <c r="F121" s="48"/>
      <c r="G121" s="52"/>
      <c r="H121" s="196"/>
    </row>
    <row r="122" spans="1:8" ht="17.25" customHeight="1" x14ac:dyDescent="0.25">
      <c r="A122" s="145"/>
      <c r="B122" s="145" t="s">
        <v>202</v>
      </c>
      <c r="C122" s="83"/>
      <c r="D122" s="78"/>
      <c r="E122" s="48"/>
      <c r="F122" s="48">
        <f>+E121</f>
        <v>12000</v>
      </c>
      <c r="G122" s="52">
        <f>+G118-F122</f>
        <v>60000</v>
      </c>
      <c r="H122" s="196"/>
    </row>
    <row r="123" spans="1:8" ht="17.25" customHeight="1" x14ac:dyDescent="0.25">
      <c r="A123" s="142"/>
      <c r="B123" s="145"/>
      <c r="C123" s="83"/>
      <c r="D123" s="78"/>
      <c r="E123" s="48"/>
      <c r="F123" s="48"/>
      <c r="G123" s="52"/>
      <c r="H123" s="196"/>
    </row>
    <row r="124" spans="1:8" ht="17.25" customHeight="1" x14ac:dyDescent="0.25">
      <c r="A124" s="145"/>
      <c r="B124" s="142" t="s">
        <v>265</v>
      </c>
      <c r="C124" s="83"/>
      <c r="D124" s="78"/>
      <c r="E124" s="75" t="s">
        <v>68</v>
      </c>
      <c r="F124" s="75" t="s">
        <v>28</v>
      </c>
      <c r="G124" s="52"/>
      <c r="H124" s="196"/>
    </row>
    <row r="125" spans="1:8" ht="17.25" customHeight="1" x14ac:dyDescent="0.25">
      <c r="A125" s="145"/>
      <c r="B125" s="145" t="s">
        <v>240</v>
      </c>
      <c r="C125" s="83"/>
      <c r="D125" s="78"/>
      <c r="E125" s="48">
        <f>+G102-G103</f>
        <v>12000</v>
      </c>
      <c r="F125" s="48"/>
      <c r="G125" s="52"/>
      <c r="H125" s="196"/>
    </row>
    <row r="126" spans="1:8" ht="17.25" customHeight="1" x14ac:dyDescent="0.25">
      <c r="A126" s="145"/>
      <c r="B126" s="145" t="s">
        <v>202</v>
      </c>
      <c r="C126" s="83"/>
      <c r="D126" s="78"/>
      <c r="E126" s="48"/>
      <c r="F126" s="48">
        <f>+E125</f>
        <v>12000</v>
      </c>
      <c r="G126" s="52">
        <f>+G122-F126</f>
        <v>48000</v>
      </c>
      <c r="H126" s="196"/>
    </row>
    <row r="127" spans="1:8" ht="17.25" customHeight="1" x14ac:dyDescent="0.25">
      <c r="A127" s="145"/>
      <c r="B127" s="145"/>
      <c r="C127" s="83"/>
      <c r="D127" s="78"/>
      <c r="E127" s="48"/>
      <c r="F127" s="48"/>
      <c r="G127" s="52"/>
      <c r="H127" s="196"/>
    </row>
    <row r="128" spans="1:8" s="42" customFormat="1" ht="17.25" customHeight="1" x14ac:dyDescent="0.25">
      <c r="A128" s="147" t="s">
        <v>297</v>
      </c>
      <c r="B128" s="147"/>
      <c r="C128" s="149"/>
      <c r="D128" s="149"/>
      <c r="E128" s="91" t="s">
        <v>293</v>
      </c>
      <c r="F128" s="91" t="s">
        <v>294</v>
      </c>
      <c r="G128" s="77" t="s">
        <v>295</v>
      </c>
      <c r="H128" s="196"/>
    </row>
    <row r="129" spans="1:8" s="42" customFormat="1" ht="17.25" customHeight="1" x14ac:dyDescent="0.2">
      <c r="A129" s="145" t="s">
        <v>290</v>
      </c>
      <c r="B129" s="145"/>
      <c r="C129" s="145"/>
      <c r="D129" s="145"/>
      <c r="E129" s="78">
        <v>100000</v>
      </c>
      <c r="F129" s="78">
        <v>15000</v>
      </c>
      <c r="G129" s="78">
        <f>+E129+F129</f>
        <v>115000</v>
      </c>
      <c r="H129" s="196"/>
    </row>
    <row r="130" spans="1:8" s="42" customFormat="1" ht="17.25" customHeight="1" x14ac:dyDescent="0.2">
      <c r="A130" s="145" t="s">
        <v>291</v>
      </c>
      <c r="B130" s="145"/>
      <c r="C130" s="145"/>
      <c r="D130" s="145"/>
      <c r="E130" s="78">
        <v>100000</v>
      </c>
      <c r="F130" s="78">
        <v>15000</v>
      </c>
      <c r="G130" s="78">
        <f>+E130+F130</f>
        <v>115000</v>
      </c>
      <c r="H130" s="196"/>
    </row>
    <row r="131" spans="1:8" s="42" customFormat="1" ht="17.25" customHeight="1" x14ac:dyDescent="0.2">
      <c r="A131" s="145" t="s">
        <v>292</v>
      </c>
      <c r="B131" s="145"/>
      <c r="C131" s="145"/>
      <c r="D131" s="145"/>
      <c r="E131" s="78">
        <v>100000</v>
      </c>
      <c r="F131" s="78">
        <v>15000</v>
      </c>
      <c r="G131" s="78">
        <f>+E131+F131</f>
        <v>115000</v>
      </c>
      <c r="H131" s="196"/>
    </row>
    <row r="132" spans="1:8" s="42" customFormat="1" ht="17.25" customHeight="1" x14ac:dyDescent="0.2">
      <c r="A132" s="170"/>
      <c r="B132" s="170"/>
      <c r="C132" s="170"/>
      <c r="D132" s="170"/>
      <c r="E132" s="85">
        <f>SUM(E128:E131)</f>
        <v>300000</v>
      </c>
      <c r="F132" s="85">
        <f>SUM(F128:F131)</f>
        <v>45000</v>
      </c>
      <c r="G132" s="85">
        <f>SUM(G128:G131)</f>
        <v>345000</v>
      </c>
      <c r="H132" s="196"/>
    </row>
    <row r="133" spans="1:8" ht="17.25" customHeight="1" x14ac:dyDescent="0.25">
      <c r="A133" s="48"/>
      <c r="B133" s="48"/>
      <c r="C133" s="48"/>
      <c r="D133" s="48"/>
      <c r="E133" s="48"/>
      <c r="F133" s="48"/>
      <c r="G133" s="48"/>
      <c r="H133" s="196"/>
    </row>
    <row r="134" spans="1:8" customFormat="1" ht="18" x14ac:dyDescent="0.25">
      <c r="A134" s="403" t="s">
        <v>853</v>
      </c>
      <c r="B134" s="403"/>
      <c r="C134" s="403"/>
      <c r="D134" s="403"/>
      <c r="E134" s="403"/>
      <c r="F134" s="403"/>
      <c r="G134" s="403"/>
      <c r="H134" s="134"/>
    </row>
    <row r="135" spans="1:8" ht="17.25" customHeight="1" x14ac:dyDescent="0.25">
      <c r="A135" s="155" t="s">
        <v>254</v>
      </c>
      <c r="B135" s="156"/>
      <c r="C135" s="157"/>
      <c r="D135" s="157" t="s">
        <v>495</v>
      </c>
      <c r="E135" s="157" t="s">
        <v>496</v>
      </c>
      <c r="F135" s="157" t="s">
        <v>497</v>
      </c>
      <c r="G135" s="158" t="s">
        <v>498</v>
      </c>
      <c r="H135" s="196"/>
    </row>
    <row r="136" spans="1:8" ht="17.25" customHeight="1" x14ac:dyDescent="0.25">
      <c r="A136" s="171"/>
      <c r="B136" s="142"/>
      <c r="C136" s="75"/>
      <c r="D136" s="75"/>
      <c r="E136" s="75"/>
      <c r="F136" s="75"/>
      <c r="G136" s="172"/>
      <c r="H136" s="196"/>
    </row>
    <row r="137" spans="1:8" ht="17.25" customHeight="1" x14ac:dyDescent="0.25">
      <c r="A137" s="162" t="s">
        <v>0</v>
      </c>
      <c r="B137" s="92"/>
      <c r="C137" s="52"/>
      <c r="D137" s="52">
        <f>+E132</f>
        <v>300000</v>
      </c>
      <c r="E137" s="52">
        <f>+D140</f>
        <v>307500</v>
      </c>
      <c r="F137" s="52">
        <f>+E140</f>
        <v>207500</v>
      </c>
      <c r="G137" s="173">
        <f>+F140</f>
        <v>107500</v>
      </c>
      <c r="H137" s="196"/>
    </row>
    <row r="138" spans="1:8" ht="17.25" customHeight="1" x14ac:dyDescent="0.25">
      <c r="A138" s="159" t="s">
        <v>298</v>
      </c>
      <c r="B138" s="92"/>
      <c r="C138" s="78"/>
      <c r="D138" s="78">
        <v>7500</v>
      </c>
      <c r="E138" s="78">
        <f>+D138*2</f>
        <v>15000</v>
      </c>
      <c r="F138" s="78">
        <f>+E138</f>
        <v>15000</v>
      </c>
      <c r="G138" s="164">
        <f>+D138</f>
        <v>7500</v>
      </c>
      <c r="H138" s="196"/>
    </row>
    <row r="139" spans="1:8" ht="17.25" customHeight="1" x14ac:dyDescent="0.25">
      <c r="A139" s="159" t="s">
        <v>299</v>
      </c>
      <c r="B139" s="92"/>
      <c r="C139" s="78"/>
      <c r="D139" s="76">
        <v>0</v>
      </c>
      <c r="E139" s="76">
        <f>-G129</f>
        <v>-115000</v>
      </c>
      <c r="F139" s="76">
        <f>-G130</f>
        <v>-115000</v>
      </c>
      <c r="G139" s="161">
        <f>-G131</f>
        <v>-115000</v>
      </c>
      <c r="H139" s="196"/>
    </row>
    <row r="140" spans="1:8" ht="17.25" customHeight="1" x14ac:dyDescent="0.25">
      <c r="A140" s="162" t="s">
        <v>2</v>
      </c>
      <c r="B140" s="143"/>
      <c r="C140" s="47" t="s">
        <v>14</v>
      </c>
      <c r="D140" s="144">
        <f t="shared" ref="D140:F140" si="18">SUM(D137:D139)</f>
        <v>307500</v>
      </c>
      <c r="E140" s="144">
        <f t="shared" si="18"/>
        <v>207500</v>
      </c>
      <c r="F140" s="144">
        <f t="shared" si="18"/>
        <v>107500</v>
      </c>
      <c r="G140" s="163">
        <f>SUM(G137:G139)</f>
        <v>0</v>
      </c>
      <c r="H140" s="196"/>
    </row>
    <row r="141" spans="1:8" ht="17.25" customHeight="1" x14ac:dyDescent="0.25">
      <c r="A141" s="159" t="s">
        <v>287</v>
      </c>
      <c r="B141" s="92"/>
      <c r="C141" s="47"/>
      <c r="D141" s="47"/>
      <c r="E141" s="47"/>
      <c r="F141" s="78"/>
      <c r="G141" s="164"/>
      <c r="H141" s="196"/>
    </row>
    <row r="142" spans="1:8" ht="17.25" customHeight="1" x14ac:dyDescent="0.25">
      <c r="A142" s="168"/>
      <c r="B142" s="166" t="s">
        <v>300</v>
      </c>
      <c r="C142" s="50" t="s">
        <v>17</v>
      </c>
      <c r="D142" s="76">
        <f t="shared" ref="D142:F142" si="19">+D138</f>
        <v>7500</v>
      </c>
      <c r="E142" s="76">
        <f t="shared" si="19"/>
        <v>15000</v>
      </c>
      <c r="F142" s="76">
        <f t="shared" si="19"/>
        <v>15000</v>
      </c>
      <c r="G142" s="161">
        <f>+G138</f>
        <v>7500</v>
      </c>
      <c r="H142" s="196"/>
    </row>
    <row r="143" spans="1:8" ht="17.25" customHeight="1" x14ac:dyDescent="0.25">
      <c r="A143" s="145"/>
      <c r="B143" s="145"/>
      <c r="C143" s="145"/>
      <c r="D143" s="145"/>
      <c r="E143" s="145"/>
      <c r="F143" s="145"/>
      <c r="G143" s="145"/>
      <c r="H143" s="196"/>
    </row>
    <row r="144" spans="1:8" ht="17.25" customHeight="1" x14ac:dyDescent="0.25">
      <c r="A144" s="155" t="s">
        <v>253</v>
      </c>
      <c r="B144" s="156"/>
      <c r="C144" s="157"/>
      <c r="D144" s="157" t="s">
        <v>495</v>
      </c>
      <c r="E144" s="157" t="s">
        <v>496</v>
      </c>
      <c r="F144" s="157" t="s">
        <v>497</v>
      </c>
      <c r="G144" s="158" t="s">
        <v>498</v>
      </c>
      <c r="H144" s="196"/>
    </row>
    <row r="145" spans="1:8" ht="17.25" customHeight="1" x14ac:dyDescent="0.25">
      <c r="A145" s="171"/>
      <c r="B145" s="142"/>
      <c r="C145" s="75"/>
      <c r="D145" s="75"/>
      <c r="E145" s="75"/>
      <c r="F145" s="75"/>
      <c r="G145" s="172"/>
      <c r="H145" s="196"/>
    </row>
    <row r="146" spans="1:8" ht="17.25" customHeight="1" x14ac:dyDescent="0.25">
      <c r="A146" s="162" t="s">
        <v>0</v>
      </c>
      <c r="B146" s="92"/>
      <c r="C146" s="75"/>
      <c r="D146" s="52">
        <f>+E132</f>
        <v>300000</v>
      </c>
      <c r="E146" s="52">
        <f>+D149</f>
        <v>300000</v>
      </c>
      <c r="F146" s="52">
        <f>+E149</f>
        <v>200000</v>
      </c>
      <c r="G146" s="173">
        <f>+F149</f>
        <v>100000</v>
      </c>
      <c r="H146" s="196"/>
    </row>
    <row r="147" spans="1:8" ht="17.25" customHeight="1" x14ac:dyDescent="0.25">
      <c r="A147" s="159" t="s">
        <v>298</v>
      </c>
      <c r="B147" s="92"/>
      <c r="C147" s="75"/>
      <c r="D147" s="78">
        <v>0</v>
      </c>
      <c r="E147" s="78">
        <f>+E138</f>
        <v>15000</v>
      </c>
      <c r="F147" s="78">
        <f>+E147</f>
        <v>15000</v>
      </c>
      <c r="G147" s="164">
        <f>+F147</f>
        <v>15000</v>
      </c>
      <c r="H147" s="196"/>
    </row>
    <row r="148" spans="1:8" ht="17.25" customHeight="1" x14ac:dyDescent="0.25">
      <c r="A148" s="159" t="s">
        <v>299</v>
      </c>
      <c r="B148" s="92"/>
      <c r="C148" s="75"/>
      <c r="D148" s="76">
        <f>+D139</f>
        <v>0</v>
      </c>
      <c r="E148" s="76">
        <f>+E139</f>
        <v>-115000</v>
      </c>
      <c r="F148" s="76">
        <f>+F139</f>
        <v>-115000</v>
      </c>
      <c r="G148" s="161">
        <f>+G139</f>
        <v>-115000</v>
      </c>
      <c r="H148" s="196"/>
    </row>
    <row r="149" spans="1:8" ht="17.25" customHeight="1" x14ac:dyDescent="0.25">
      <c r="A149" s="162" t="s">
        <v>2</v>
      </c>
      <c r="B149" s="143"/>
      <c r="C149" s="47" t="s">
        <v>15</v>
      </c>
      <c r="D149" s="144">
        <f t="shared" ref="D149" si="20">SUM(D146:D148)</f>
        <v>300000</v>
      </c>
      <c r="E149" s="144">
        <f t="shared" ref="E149" si="21">SUM(E146:E148)</f>
        <v>200000</v>
      </c>
      <c r="F149" s="144">
        <f t="shared" ref="F149" si="22">SUM(F146:F148)</f>
        <v>100000</v>
      </c>
      <c r="G149" s="163">
        <f>SUM(G146:G148)</f>
        <v>0</v>
      </c>
      <c r="H149" s="196"/>
    </row>
    <row r="150" spans="1:8" ht="17.25" customHeight="1" x14ac:dyDescent="0.25">
      <c r="A150" s="159" t="s">
        <v>287</v>
      </c>
      <c r="B150" s="92"/>
      <c r="C150" s="47"/>
      <c r="D150" s="47"/>
      <c r="E150" s="47"/>
      <c r="F150" s="78"/>
      <c r="G150" s="164"/>
      <c r="H150" s="196"/>
    </row>
    <row r="151" spans="1:8" ht="17.25" customHeight="1" x14ac:dyDescent="0.25">
      <c r="A151" s="168"/>
      <c r="B151" s="166" t="s">
        <v>300</v>
      </c>
      <c r="C151" s="50" t="s">
        <v>64</v>
      </c>
      <c r="D151" s="76">
        <f t="shared" ref="D151:F151" si="23">+D147</f>
        <v>0</v>
      </c>
      <c r="E151" s="76">
        <f t="shared" si="23"/>
        <v>15000</v>
      </c>
      <c r="F151" s="76">
        <f t="shared" si="23"/>
        <v>15000</v>
      </c>
      <c r="G151" s="161">
        <f>+G147</f>
        <v>15000</v>
      </c>
      <c r="H151" s="196"/>
    </row>
    <row r="152" spans="1:8" ht="17.25" customHeight="1" x14ac:dyDescent="0.25">
      <c r="A152" s="75"/>
      <c r="B152" s="75"/>
      <c r="C152" s="75"/>
      <c r="D152" s="75"/>
      <c r="E152" s="75"/>
      <c r="F152" s="75"/>
      <c r="G152" s="75"/>
      <c r="H152" s="196"/>
    </row>
    <row r="153" spans="1:8" ht="17.25" customHeight="1" x14ac:dyDescent="0.25">
      <c r="A153" s="184" t="s">
        <v>276</v>
      </c>
      <c r="B153" s="185"/>
      <c r="C153" s="187" t="s">
        <v>250</v>
      </c>
      <c r="D153" s="186">
        <f t="shared" ref="D153:G153" si="24">+D140-D149</f>
        <v>7500</v>
      </c>
      <c r="E153" s="186">
        <f t="shared" si="24"/>
        <v>7500</v>
      </c>
      <c r="F153" s="186">
        <f t="shared" si="24"/>
        <v>7500</v>
      </c>
      <c r="G153" s="188">
        <f t="shared" si="24"/>
        <v>0</v>
      </c>
      <c r="H153" s="196"/>
    </row>
    <row r="154" spans="1:8" ht="17.25" customHeight="1" x14ac:dyDescent="0.25">
      <c r="A154" s="189" t="s">
        <v>166</v>
      </c>
      <c r="B154" s="190"/>
      <c r="C154" s="191" t="s">
        <v>251</v>
      </c>
      <c r="D154" s="146">
        <f t="shared" ref="D154:F154" si="25">+D153*0.3</f>
        <v>2250</v>
      </c>
      <c r="E154" s="146">
        <f t="shared" si="25"/>
        <v>2250</v>
      </c>
      <c r="F154" s="146">
        <f t="shared" si="25"/>
        <v>2250</v>
      </c>
      <c r="G154" s="167">
        <f t="shared" ref="G154" si="26">+G153*0.3</f>
        <v>0</v>
      </c>
      <c r="H154" s="196"/>
    </row>
    <row r="155" spans="1:8" ht="17.25" customHeight="1" x14ac:dyDescent="0.25">
      <c r="A155" s="75"/>
      <c r="B155" s="75"/>
      <c r="C155" s="75"/>
      <c r="D155" s="75"/>
      <c r="E155" s="75"/>
      <c r="F155" s="75"/>
      <c r="G155" s="75"/>
      <c r="H155" s="196"/>
    </row>
    <row r="156" spans="1:8" customFormat="1" ht="18" x14ac:dyDescent="0.25">
      <c r="A156" s="403" t="s">
        <v>854</v>
      </c>
      <c r="B156" s="403"/>
      <c r="C156" s="403"/>
      <c r="D156" s="403"/>
      <c r="E156" s="403"/>
      <c r="F156" s="403"/>
      <c r="G156" s="403"/>
      <c r="H156" s="134"/>
    </row>
    <row r="157" spans="1:8" ht="17.25" customHeight="1" x14ac:dyDescent="0.25">
      <c r="A157" s="155" t="s">
        <v>255</v>
      </c>
      <c r="B157" s="156"/>
      <c r="C157" s="174"/>
      <c r="D157" s="174"/>
      <c r="E157" s="174"/>
      <c r="F157" s="174"/>
      <c r="G157" s="175"/>
      <c r="H157" s="196"/>
    </row>
    <row r="158" spans="1:8" ht="17.25" customHeight="1" x14ac:dyDescent="0.25">
      <c r="A158" s="171"/>
      <c r="B158" s="142"/>
      <c r="C158" s="75"/>
      <c r="D158" s="75" t="s">
        <v>198</v>
      </c>
      <c r="E158" s="75" t="s">
        <v>199</v>
      </c>
      <c r="F158" s="75" t="s">
        <v>200</v>
      </c>
      <c r="G158" s="172" t="s">
        <v>201</v>
      </c>
      <c r="H158" s="196"/>
    </row>
    <row r="159" spans="1:8" ht="17.25" customHeight="1" x14ac:dyDescent="0.25">
      <c r="A159" s="171" t="s">
        <v>256</v>
      </c>
      <c r="B159" s="142"/>
      <c r="C159" s="75"/>
      <c r="D159" s="75"/>
      <c r="E159" s="75"/>
      <c r="F159" s="75"/>
      <c r="G159" s="172"/>
      <c r="H159" s="196"/>
    </row>
    <row r="160" spans="1:8" ht="17.25" customHeight="1" x14ac:dyDescent="0.25">
      <c r="A160" s="176" t="s">
        <v>249</v>
      </c>
      <c r="B160" s="145"/>
      <c r="C160" s="48"/>
      <c r="D160" s="48"/>
      <c r="E160" s="48"/>
      <c r="F160" s="48"/>
      <c r="G160" s="160"/>
      <c r="H160" s="196"/>
    </row>
    <row r="161" spans="1:8" ht="17.25" customHeight="1" x14ac:dyDescent="0.25">
      <c r="A161" s="176" t="s">
        <v>248</v>
      </c>
      <c r="B161" s="145"/>
      <c r="C161" s="145" t="s">
        <v>252</v>
      </c>
      <c r="D161" s="88">
        <v>0</v>
      </c>
      <c r="E161" s="88">
        <v>0</v>
      </c>
      <c r="F161" s="88">
        <v>0</v>
      </c>
      <c r="G161" s="177">
        <f>+G138-G147</f>
        <v>-7500</v>
      </c>
      <c r="H161" s="196"/>
    </row>
    <row r="162" spans="1:8" ht="17.25" customHeight="1" x14ac:dyDescent="0.25">
      <c r="A162" s="171" t="s">
        <v>191</v>
      </c>
      <c r="B162" s="142"/>
      <c r="C162" s="48"/>
      <c r="D162" s="48"/>
      <c r="E162" s="48"/>
      <c r="F162" s="48"/>
      <c r="G162" s="160"/>
      <c r="H162" s="196"/>
    </row>
    <row r="163" spans="1:8" ht="17.25" customHeight="1" x14ac:dyDescent="0.25">
      <c r="A163" s="176" t="s">
        <v>247</v>
      </c>
      <c r="B163" s="145"/>
      <c r="C163" s="48"/>
      <c r="D163" s="48"/>
      <c r="E163" s="48"/>
      <c r="F163" s="48"/>
      <c r="G163" s="160"/>
      <c r="H163" s="196"/>
    </row>
    <row r="164" spans="1:8" ht="17.25" customHeight="1" x14ac:dyDescent="0.25">
      <c r="A164" s="165" t="s">
        <v>248</v>
      </c>
      <c r="B164" s="178"/>
      <c r="C164" s="178" t="s">
        <v>252</v>
      </c>
      <c r="D164" s="76">
        <f>+D138-D147</f>
        <v>7500</v>
      </c>
      <c r="E164" s="180">
        <f>-E143</f>
        <v>0</v>
      </c>
      <c r="F164" s="76">
        <v>0</v>
      </c>
      <c r="G164" s="161">
        <v>0</v>
      </c>
      <c r="H164" s="196"/>
    </row>
    <row r="165" spans="1:8" ht="17.25" customHeight="1" x14ac:dyDescent="0.25">
      <c r="A165" s="145"/>
      <c r="B165" s="145"/>
      <c r="C165" s="78"/>
      <c r="D165" s="78"/>
      <c r="E165" s="78"/>
      <c r="F165" s="78"/>
      <c r="G165" s="78"/>
      <c r="H165" s="196"/>
    </row>
    <row r="166" spans="1:8" ht="17.25" customHeight="1" x14ac:dyDescent="0.25">
      <c r="A166" s="149"/>
      <c r="B166" s="149"/>
      <c r="C166" s="149"/>
      <c r="D166" s="69" t="s">
        <v>107</v>
      </c>
      <c r="E166" s="69" t="s">
        <v>107</v>
      </c>
      <c r="F166" s="69" t="s">
        <v>224</v>
      </c>
      <c r="G166" s="69" t="s">
        <v>79</v>
      </c>
      <c r="H166" s="196"/>
    </row>
    <row r="167" spans="1:8" ht="17.25" customHeight="1" x14ac:dyDescent="0.25">
      <c r="A167" s="149"/>
      <c r="B167" s="149"/>
      <c r="C167" s="149"/>
      <c r="D167" s="69" t="s">
        <v>110</v>
      </c>
      <c r="E167" s="69" t="s">
        <v>78</v>
      </c>
      <c r="F167" s="69" t="s">
        <v>225</v>
      </c>
      <c r="G167" s="69" t="s">
        <v>189</v>
      </c>
      <c r="H167" s="196"/>
    </row>
    <row r="168" spans="1:8" ht="17.25" customHeight="1" x14ac:dyDescent="0.25">
      <c r="A168" s="149"/>
      <c r="B168" s="149" t="s">
        <v>781</v>
      </c>
      <c r="C168" s="149"/>
      <c r="D168" s="69" t="s">
        <v>1</v>
      </c>
      <c r="E168" s="69" t="s">
        <v>1</v>
      </c>
      <c r="F168" s="69" t="s">
        <v>1</v>
      </c>
      <c r="G168" s="69" t="s">
        <v>1</v>
      </c>
      <c r="H168" s="196"/>
    </row>
    <row r="169" spans="1:8" ht="17.25" customHeight="1" x14ac:dyDescent="0.25">
      <c r="A169" s="145"/>
      <c r="B169" s="145" t="s">
        <v>262</v>
      </c>
      <c r="C169" s="145"/>
      <c r="D169" s="83">
        <f>+D140</f>
        <v>307500</v>
      </c>
      <c r="E169" s="78">
        <f>+D149</f>
        <v>300000</v>
      </c>
      <c r="F169" s="78">
        <f t="shared" ref="F169" si="27">+D169-E169</f>
        <v>7500</v>
      </c>
      <c r="G169" s="78">
        <f>+F169*0.3</f>
        <v>2250</v>
      </c>
      <c r="H169" s="196"/>
    </row>
    <row r="170" spans="1:8" ht="17.25" customHeight="1" x14ac:dyDescent="0.25">
      <c r="A170" s="145"/>
      <c r="B170" s="145" t="s">
        <v>263</v>
      </c>
      <c r="C170" s="145"/>
      <c r="D170" s="83">
        <f>+E140</f>
        <v>207500</v>
      </c>
      <c r="E170" s="78">
        <f>+E149</f>
        <v>200000</v>
      </c>
      <c r="F170" s="78">
        <f t="shared" ref="F170:F172" si="28">+D170-E170</f>
        <v>7500</v>
      </c>
      <c r="G170" s="78">
        <f>+F170*0.3</f>
        <v>2250</v>
      </c>
      <c r="H170" s="196"/>
    </row>
    <row r="171" spans="1:8" ht="17.25" customHeight="1" x14ac:dyDescent="0.25">
      <c r="A171" s="145"/>
      <c r="B171" s="145" t="s">
        <v>264</v>
      </c>
      <c r="C171" s="145"/>
      <c r="D171" s="83">
        <f>+F140</f>
        <v>107500</v>
      </c>
      <c r="E171" s="78">
        <f>+F149</f>
        <v>100000</v>
      </c>
      <c r="F171" s="78">
        <f t="shared" si="28"/>
        <v>7500</v>
      </c>
      <c r="G171" s="78">
        <f>+F171*0.3</f>
        <v>2250</v>
      </c>
      <c r="H171" s="196"/>
    </row>
    <row r="172" spans="1:8" ht="17.25" customHeight="1" x14ac:dyDescent="0.25">
      <c r="A172" s="145"/>
      <c r="B172" s="145" t="s">
        <v>265</v>
      </c>
      <c r="C172" s="145"/>
      <c r="D172" s="83">
        <f>+G140</f>
        <v>0</v>
      </c>
      <c r="E172" s="83">
        <f>+G149</f>
        <v>0</v>
      </c>
      <c r="F172" s="83">
        <f t="shared" si="28"/>
        <v>0</v>
      </c>
      <c r="G172" s="83">
        <f>+F172*0.3</f>
        <v>0</v>
      </c>
      <c r="H172" s="196"/>
    </row>
    <row r="173" spans="1:8" ht="17.25" customHeight="1" x14ac:dyDescent="0.25">
      <c r="A173" s="145"/>
      <c r="B173" s="145"/>
      <c r="C173" s="83"/>
      <c r="D173" s="78"/>
      <c r="E173" s="78"/>
      <c r="F173" s="78"/>
      <c r="G173" s="78"/>
      <c r="H173" s="196"/>
    </row>
    <row r="174" spans="1:8" customFormat="1" ht="18" x14ac:dyDescent="0.25">
      <c r="A174" s="403" t="s">
        <v>855</v>
      </c>
      <c r="B174" s="403"/>
      <c r="C174" s="403"/>
      <c r="D174" s="403"/>
      <c r="E174" s="403"/>
      <c r="F174" s="403"/>
      <c r="G174" s="403"/>
      <c r="H174" s="134"/>
    </row>
    <row r="175" spans="1:8" ht="17.25" customHeight="1" x14ac:dyDescent="0.25">
      <c r="A175" s="145"/>
      <c r="B175" s="142" t="s">
        <v>262</v>
      </c>
      <c r="C175" s="83"/>
      <c r="D175" s="78"/>
      <c r="E175" s="75" t="s">
        <v>68</v>
      </c>
      <c r="F175" s="75" t="s">
        <v>28</v>
      </c>
      <c r="G175" s="75" t="s">
        <v>504</v>
      </c>
      <c r="H175" s="196"/>
    </row>
    <row r="176" spans="1:8" ht="17.25" customHeight="1" x14ac:dyDescent="0.25">
      <c r="A176" s="145"/>
      <c r="B176" s="145" t="s">
        <v>202</v>
      </c>
      <c r="C176" s="83"/>
      <c r="D176" s="78"/>
      <c r="E176" s="48">
        <f>+G169</f>
        <v>2250</v>
      </c>
      <c r="F176" s="48"/>
      <c r="G176" s="48"/>
      <c r="H176" s="196"/>
    </row>
    <row r="177" spans="1:8" ht="17.25" customHeight="1" x14ac:dyDescent="0.25">
      <c r="A177" s="145"/>
      <c r="B177" s="145" t="s">
        <v>270</v>
      </c>
      <c r="C177" s="83"/>
      <c r="D177" s="78"/>
      <c r="E177" s="48"/>
      <c r="F177" s="48">
        <f>+E176</f>
        <v>2250</v>
      </c>
      <c r="G177" s="52">
        <f>+F177</f>
        <v>2250</v>
      </c>
      <c r="H177" s="196"/>
    </row>
    <row r="178" spans="1:8" ht="17.25" customHeight="1" x14ac:dyDescent="0.25">
      <c r="A178" s="142"/>
      <c r="B178" s="145"/>
      <c r="C178" s="83"/>
      <c r="D178" s="78"/>
      <c r="E178" s="48"/>
      <c r="F178" s="48"/>
      <c r="G178" s="52"/>
      <c r="H178" s="196"/>
    </row>
    <row r="179" spans="1:8" ht="17.25" customHeight="1" x14ac:dyDescent="0.25">
      <c r="A179" s="145"/>
      <c r="B179" s="142" t="s">
        <v>263</v>
      </c>
      <c r="C179" s="83"/>
      <c r="D179" s="78"/>
      <c r="E179" s="75" t="s">
        <v>68</v>
      </c>
      <c r="F179" s="75" t="s">
        <v>28</v>
      </c>
      <c r="G179" s="52"/>
      <c r="H179" s="196"/>
    </row>
    <row r="180" spans="1:8" ht="17.25" customHeight="1" x14ac:dyDescent="0.25">
      <c r="A180" s="145"/>
      <c r="B180" s="145" t="s">
        <v>202</v>
      </c>
      <c r="C180" s="83"/>
      <c r="D180" s="78"/>
      <c r="E180" s="48">
        <f>+G170-G169</f>
        <v>0</v>
      </c>
      <c r="F180" s="48"/>
      <c r="G180" s="52"/>
      <c r="H180" s="196"/>
    </row>
    <row r="181" spans="1:8" ht="17.25" customHeight="1" x14ac:dyDescent="0.25">
      <c r="A181" s="145"/>
      <c r="B181" s="145" t="s">
        <v>270</v>
      </c>
      <c r="C181" s="83"/>
      <c r="D181" s="78"/>
      <c r="E181" s="48"/>
      <c r="F181" s="48">
        <f>+E180</f>
        <v>0</v>
      </c>
      <c r="G181" s="52">
        <f>+G177+E180</f>
        <v>2250</v>
      </c>
      <c r="H181" s="196"/>
    </row>
    <row r="182" spans="1:8" ht="17.25" customHeight="1" x14ac:dyDescent="0.25">
      <c r="A182" s="142"/>
      <c r="B182" s="145"/>
      <c r="C182" s="83"/>
      <c r="D182" s="78"/>
      <c r="E182" s="48"/>
      <c r="F182" s="48"/>
      <c r="G182" s="52"/>
      <c r="H182" s="196"/>
    </row>
    <row r="183" spans="1:8" ht="17.25" customHeight="1" x14ac:dyDescent="0.25">
      <c r="A183" s="145"/>
      <c r="B183" s="142" t="s">
        <v>264</v>
      </c>
      <c r="C183" s="83"/>
      <c r="D183" s="78"/>
      <c r="E183" s="75" t="s">
        <v>68</v>
      </c>
      <c r="F183" s="75" t="s">
        <v>28</v>
      </c>
      <c r="G183" s="52"/>
      <c r="H183" s="196"/>
    </row>
    <row r="184" spans="1:8" ht="17.25" customHeight="1" x14ac:dyDescent="0.25">
      <c r="A184" s="145"/>
      <c r="B184" s="145" t="s">
        <v>202</v>
      </c>
      <c r="C184" s="83"/>
      <c r="D184" s="78"/>
      <c r="E184" s="48">
        <f>+G171-G170</f>
        <v>0</v>
      </c>
      <c r="F184" s="48"/>
      <c r="G184" s="52"/>
      <c r="H184" s="196"/>
    </row>
    <row r="185" spans="1:8" ht="17.25" customHeight="1" x14ac:dyDescent="0.25">
      <c r="A185" s="145"/>
      <c r="B185" s="145" t="s">
        <v>270</v>
      </c>
      <c r="C185" s="83"/>
      <c r="D185" s="78"/>
      <c r="E185" s="48"/>
      <c r="F185" s="48">
        <f>+E184</f>
        <v>0</v>
      </c>
      <c r="G185" s="52">
        <f>+G181+E184</f>
        <v>2250</v>
      </c>
      <c r="H185" s="196"/>
    </row>
    <row r="186" spans="1:8" ht="17.25" customHeight="1" x14ac:dyDescent="0.25">
      <c r="A186" s="142"/>
      <c r="B186" s="145"/>
      <c r="C186" s="83"/>
      <c r="D186" s="78"/>
      <c r="E186" s="48"/>
      <c r="F186" s="48"/>
      <c r="G186" s="52"/>
      <c r="H186" s="196"/>
    </row>
    <row r="187" spans="1:8" ht="17.25" customHeight="1" x14ac:dyDescent="0.25">
      <c r="A187" s="145"/>
      <c r="B187" s="142" t="s">
        <v>265</v>
      </c>
      <c r="C187" s="83"/>
      <c r="D187" s="78"/>
      <c r="E187" s="75" t="s">
        <v>68</v>
      </c>
      <c r="F187" s="75" t="s">
        <v>28</v>
      </c>
      <c r="G187" s="52"/>
      <c r="H187" s="196"/>
    </row>
    <row r="188" spans="1:8" ht="17.25" customHeight="1" x14ac:dyDescent="0.25">
      <c r="A188" s="145"/>
      <c r="B188" s="145" t="s">
        <v>240</v>
      </c>
      <c r="C188" s="83"/>
      <c r="D188" s="78"/>
      <c r="E188" s="48">
        <f>+G171-G172</f>
        <v>2250</v>
      </c>
      <c r="F188" s="48"/>
      <c r="G188" s="52"/>
      <c r="H188" s="196"/>
    </row>
    <row r="189" spans="1:8" ht="17.25" customHeight="1" x14ac:dyDescent="0.25">
      <c r="A189" s="145"/>
      <c r="B189" s="145" t="s">
        <v>202</v>
      </c>
      <c r="C189" s="83"/>
      <c r="D189" s="78"/>
      <c r="E189" s="48"/>
      <c r="F189" s="48">
        <f>+E188</f>
        <v>2250</v>
      </c>
      <c r="G189" s="52">
        <f>+G185-F189</f>
        <v>0</v>
      </c>
      <c r="H189" s="196"/>
    </row>
    <row r="190" spans="1:8" ht="17.25" customHeight="1" x14ac:dyDescent="0.25">
      <c r="A190" s="145"/>
      <c r="B190" s="145"/>
      <c r="C190" s="83"/>
      <c r="D190" s="78"/>
      <c r="E190" s="48"/>
      <c r="F190" s="48"/>
      <c r="G190" s="52"/>
      <c r="H190" s="196"/>
    </row>
    <row r="191" spans="1:8" customFormat="1" ht="18" x14ac:dyDescent="0.25">
      <c r="A191" s="403" t="s">
        <v>856</v>
      </c>
      <c r="B191" s="403"/>
      <c r="C191" s="403"/>
      <c r="D191" s="403"/>
      <c r="E191" s="403"/>
      <c r="F191" s="403"/>
      <c r="G191" s="403"/>
      <c r="H191" s="134"/>
    </row>
    <row r="192" spans="1:8" ht="17.25" customHeight="1" x14ac:dyDescent="0.25">
      <c r="A192" s="149" t="s">
        <v>303</v>
      </c>
      <c r="B192" s="149"/>
      <c r="C192" s="98" t="s">
        <v>107</v>
      </c>
      <c r="D192" s="98" t="s">
        <v>107</v>
      </c>
      <c r="E192" s="98"/>
      <c r="F192" s="98"/>
      <c r="G192" s="98"/>
      <c r="H192" s="196"/>
    </row>
    <row r="193" spans="1:8" ht="17.25" customHeight="1" x14ac:dyDescent="0.25">
      <c r="A193" s="149" t="s">
        <v>304</v>
      </c>
      <c r="B193" s="149"/>
      <c r="C193" s="98" t="s">
        <v>110</v>
      </c>
      <c r="D193" s="98" t="s">
        <v>78</v>
      </c>
      <c r="E193" s="98" t="s">
        <v>276</v>
      </c>
      <c r="F193" s="98" t="s">
        <v>277</v>
      </c>
      <c r="G193" s="98" t="s">
        <v>306</v>
      </c>
      <c r="H193" s="196"/>
    </row>
    <row r="194" spans="1:8" ht="17.25" customHeight="1" x14ac:dyDescent="0.25">
      <c r="A194" s="149" t="s">
        <v>305</v>
      </c>
      <c r="B194" s="149"/>
      <c r="C194" s="98" t="s">
        <v>91</v>
      </c>
      <c r="D194" s="98" t="s">
        <v>91</v>
      </c>
      <c r="E194" s="98" t="s">
        <v>91</v>
      </c>
      <c r="F194" s="98" t="s">
        <v>91</v>
      </c>
      <c r="G194" s="98" t="s">
        <v>636</v>
      </c>
      <c r="H194" s="196"/>
    </row>
    <row r="195" spans="1:8" ht="17.25" customHeight="1" x14ac:dyDescent="0.25">
      <c r="A195" s="145" t="s">
        <v>302</v>
      </c>
      <c r="B195" s="40"/>
      <c r="C195" s="83">
        <v>30000</v>
      </c>
      <c r="D195" s="83">
        <v>0</v>
      </c>
      <c r="E195" s="83">
        <f>+C195-D195</f>
        <v>30000</v>
      </c>
      <c r="F195" s="78">
        <f>+E195*30%</f>
        <v>9000</v>
      </c>
      <c r="G195" s="194" t="s">
        <v>307</v>
      </c>
      <c r="H195" s="196"/>
    </row>
    <row r="196" spans="1:8" ht="17.25" customHeight="1" x14ac:dyDescent="0.25">
      <c r="A196" s="145" t="s">
        <v>310</v>
      </c>
      <c r="B196" s="40"/>
      <c r="C196" s="83">
        <v>40000</v>
      </c>
      <c r="D196" s="83">
        <v>0</v>
      </c>
      <c r="E196" s="83">
        <f>+C196-D196</f>
        <v>40000</v>
      </c>
      <c r="F196" s="78">
        <f>+E196*30%</f>
        <v>12000</v>
      </c>
      <c r="G196" s="194" t="s">
        <v>308</v>
      </c>
      <c r="H196" s="196"/>
    </row>
    <row r="197" spans="1:8" ht="17.25" customHeight="1" x14ac:dyDescent="0.25">
      <c r="A197" s="145" t="s">
        <v>311</v>
      </c>
      <c r="B197" s="40"/>
      <c r="C197" s="83">
        <v>80000</v>
      </c>
      <c r="D197" s="83">
        <v>0</v>
      </c>
      <c r="E197" s="83">
        <f>+C197-D197</f>
        <v>80000</v>
      </c>
      <c r="F197" s="78">
        <f>+E197*30%</f>
        <v>24000</v>
      </c>
      <c r="G197" s="194" t="s">
        <v>309</v>
      </c>
      <c r="H197" s="196"/>
    </row>
    <row r="198" spans="1:8" ht="17.25" customHeight="1" x14ac:dyDescent="0.25">
      <c r="A198" s="145"/>
      <c r="B198" s="40"/>
      <c r="C198" s="170">
        <f>SUM(C195:C197)</f>
        <v>150000</v>
      </c>
      <c r="D198" s="170"/>
      <c r="E198" s="170">
        <f>SUM(E195:E197)</f>
        <v>150000</v>
      </c>
      <c r="F198" s="170">
        <f>SUM(F195:F197)</f>
        <v>45000</v>
      </c>
      <c r="G198" s="170">
        <f>SUM(G195:G197)</f>
        <v>0</v>
      </c>
      <c r="H198" s="196"/>
    </row>
    <row r="199" spans="1:8" ht="17.25" customHeight="1" x14ac:dyDescent="0.25">
      <c r="A199" s="78"/>
      <c r="B199" s="78"/>
      <c r="C199" s="78"/>
      <c r="D199" s="78"/>
      <c r="E199" s="78"/>
      <c r="F199" s="78"/>
      <c r="G199" s="78"/>
      <c r="H199" s="196"/>
    </row>
    <row r="200" spans="1:8" customFormat="1" ht="18" x14ac:dyDescent="0.25">
      <c r="A200" s="403" t="s">
        <v>857</v>
      </c>
      <c r="B200" s="403"/>
      <c r="C200" s="403"/>
      <c r="D200" s="403"/>
      <c r="E200" s="403"/>
      <c r="F200" s="403"/>
      <c r="G200" s="403"/>
      <c r="H200" s="134"/>
    </row>
    <row r="201" spans="1:8" ht="17.25" customHeight="1" x14ac:dyDescent="0.25">
      <c r="A201" s="142" t="s">
        <v>314</v>
      </c>
      <c r="B201" s="78"/>
      <c r="C201" s="78"/>
      <c r="D201" s="78"/>
      <c r="E201" s="78"/>
      <c r="F201" s="78"/>
      <c r="G201" s="48"/>
      <c r="H201" s="196"/>
    </row>
    <row r="202" spans="1:8" ht="17.25" customHeight="1" x14ac:dyDescent="0.25">
      <c r="A202" s="43"/>
      <c r="B202" s="149" t="s">
        <v>312</v>
      </c>
      <c r="C202" s="91"/>
      <c r="D202" s="91" t="s">
        <v>198</v>
      </c>
      <c r="E202" s="91" t="s">
        <v>199</v>
      </c>
      <c r="F202" s="91" t="s">
        <v>200</v>
      </c>
      <c r="G202" s="91" t="s">
        <v>201</v>
      </c>
      <c r="H202" s="196"/>
    </row>
    <row r="203" spans="1:8" ht="17.25" customHeight="1" x14ac:dyDescent="0.25">
      <c r="A203" s="43"/>
      <c r="B203" s="149" t="s">
        <v>313</v>
      </c>
      <c r="C203" s="91"/>
      <c r="D203" s="91" t="s">
        <v>1</v>
      </c>
      <c r="E203" s="91" t="s">
        <v>1</v>
      </c>
      <c r="F203" s="91" t="s">
        <v>1</v>
      </c>
      <c r="G203" s="91" t="s">
        <v>1</v>
      </c>
      <c r="H203" s="196"/>
    </row>
    <row r="204" spans="1:8" ht="17.25" customHeight="1" x14ac:dyDescent="0.25">
      <c r="A204" s="43"/>
      <c r="B204" s="147" t="s">
        <v>0</v>
      </c>
      <c r="C204" s="181"/>
      <c r="D204" s="181">
        <v>0</v>
      </c>
      <c r="E204" s="181">
        <f t="shared" ref="E204:G204" si="29">+D207</f>
        <v>40000</v>
      </c>
      <c r="F204" s="181">
        <f t="shared" si="29"/>
        <v>80000</v>
      </c>
      <c r="G204" s="181">
        <f t="shared" si="29"/>
        <v>110000</v>
      </c>
      <c r="H204" s="196"/>
    </row>
    <row r="205" spans="1:8" ht="17.25" customHeight="1" x14ac:dyDescent="0.25">
      <c r="A205" s="43"/>
      <c r="B205" s="145" t="s">
        <v>133</v>
      </c>
      <c r="C205" s="145" t="s">
        <v>14</v>
      </c>
      <c r="D205" s="83">
        <v>40000</v>
      </c>
      <c r="E205" s="83">
        <v>60000</v>
      </c>
      <c r="F205" s="83">
        <v>60000</v>
      </c>
      <c r="G205" s="78">
        <v>70000</v>
      </c>
      <c r="H205" s="196"/>
    </row>
    <row r="206" spans="1:8" ht="17.25" customHeight="1" x14ac:dyDescent="0.25">
      <c r="A206" s="43"/>
      <c r="B206" s="145" t="s">
        <v>296</v>
      </c>
      <c r="C206" s="145" t="s">
        <v>15</v>
      </c>
      <c r="D206" s="83">
        <v>0</v>
      </c>
      <c r="E206" s="78">
        <v>-20000</v>
      </c>
      <c r="F206" s="78">
        <v>-30000</v>
      </c>
      <c r="G206" s="78">
        <v>-40000</v>
      </c>
      <c r="H206" s="196"/>
    </row>
    <row r="207" spans="1:8" ht="17.25" customHeight="1" x14ac:dyDescent="0.25">
      <c r="A207" s="43"/>
      <c r="B207" s="147" t="s">
        <v>2</v>
      </c>
      <c r="C207" s="145" t="s">
        <v>64</v>
      </c>
      <c r="D207" s="170">
        <f t="shared" ref="D207" si="30">SUM(D204:D206)</f>
        <v>40000</v>
      </c>
      <c r="E207" s="170">
        <f t="shared" ref="E207" si="31">SUM(E204:E206)</f>
        <v>80000</v>
      </c>
      <c r="F207" s="170">
        <f t="shared" ref="F207" si="32">SUM(F204:F206)</f>
        <v>110000</v>
      </c>
      <c r="G207" s="170">
        <f t="shared" ref="G207" si="33">SUM(G204:G206)</f>
        <v>140000</v>
      </c>
      <c r="H207" s="196"/>
    </row>
    <row r="208" spans="1:8" ht="17.25" customHeight="1" x14ac:dyDescent="0.25">
      <c r="A208" s="142" t="s">
        <v>315</v>
      </c>
      <c r="B208" s="142"/>
      <c r="C208" s="78"/>
      <c r="D208" s="78"/>
      <c r="E208" s="78"/>
      <c r="F208" s="78"/>
      <c r="G208" s="48"/>
      <c r="H208" s="196"/>
    </row>
    <row r="209" spans="1:8" ht="17.25" customHeight="1" x14ac:dyDescent="0.25">
      <c r="A209" s="43"/>
      <c r="B209" s="149" t="s">
        <v>312</v>
      </c>
      <c r="C209" s="78"/>
      <c r="D209" s="91" t="s">
        <v>198</v>
      </c>
      <c r="E209" s="91" t="s">
        <v>199</v>
      </c>
      <c r="F209" s="91" t="s">
        <v>200</v>
      </c>
      <c r="G209" s="91" t="s">
        <v>201</v>
      </c>
      <c r="H209" s="196"/>
    </row>
    <row r="210" spans="1:8" ht="17.25" customHeight="1" x14ac:dyDescent="0.25">
      <c r="A210" s="43"/>
      <c r="B210" s="149" t="s">
        <v>313</v>
      </c>
      <c r="C210" s="78"/>
      <c r="D210" s="91" t="s">
        <v>1</v>
      </c>
      <c r="E210" s="91" t="s">
        <v>1</v>
      </c>
      <c r="F210" s="91" t="s">
        <v>1</v>
      </c>
      <c r="G210" s="91" t="s">
        <v>1</v>
      </c>
      <c r="H210" s="196"/>
    </row>
    <row r="211" spans="1:8" ht="17.25" customHeight="1" x14ac:dyDescent="0.25">
      <c r="A211" s="43"/>
      <c r="B211" s="147" t="s">
        <v>0</v>
      </c>
      <c r="C211" s="78"/>
      <c r="D211" s="181">
        <v>0</v>
      </c>
      <c r="E211" s="181">
        <f t="shared" ref="E211:G211" si="34">+D214</f>
        <v>0</v>
      </c>
      <c r="F211" s="181">
        <f t="shared" si="34"/>
        <v>0</v>
      </c>
      <c r="G211" s="181">
        <f t="shared" si="34"/>
        <v>0</v>
      </c>
      <c r="H211" s="196"/>
    </row>
    <row r="212" spans="1:8" ht="17.25" customHeight="1" x14ac:dyDescent="0.25">
      <c r="A212" s="43"/>
      <c r="B212" s="145" t="s">
        <v>133</v>
      </c>
      <c r="C212" s="78"/>
      <c r="D212" s="83">
        <v>0</v>
      </c>
      <c r="E212" s="83">
        <v>0</v>
      </c>
      <c r="F212" s="83">
        <v>0</v>
      </c>
      <c r="G212" s="83">
        <v>0</v>
      </c>
      <c r="H212" s="196"/>
    </row>
    <row r="213" spans="1:8" ht="17.25" customHeight="1" x14ac:dyDescent="0.25">
      <c r="A213" s="43"/>
      <c r="B213" s="145" t="s">
        <v>296</v>
      </c>
      <c r="C213" s="78"/>
      <c r="D213" s="83">
        <v>0</v>
      </c>
      <c r="E213" s="83">
        <v>0</v>
      </c>
      <c r="F213" s="83">
        <v>0</v>
      </c>
      <c r="G213" s="83">
        <v>0</v>
      </c>
      <c r="H213" s="196"/>
    </row>
    <row r="214" spans="1:8" ht="17.25" customHeight="1" x14ac:dyDescent="0.25">
      <c r="A214" s="43"/>
      <c r="B214" s="147" t="s">
        <v>2</v>
      </c>
      <c r="C214" s="145" t="s">
        <v>17</v>
      </c>
      <c r="D214" s="170">
        <f t="shared" ref="D214" si="35">SUM(D211:D213)</f>
        <v>0</v>
      </c>
      <c r="E214" s="170">
        <f t="shared" ref="E214" si="36">SUM(E211:E213)</f>
        <v>0</v>
      </c>
      <c r="F214" s="170">
        <f t="shared" ref="F214" si="37">SUM(F211:F213)</f>
        <v>0</v>
      </c>
      <c r="G214" s="170">
        <f t="shared" ref="G214" si="38">SUM(G211:G213)</f>
        <v>0</v>
      </c>
      <c r="H214" s="196"/>
    </row>
    <row r="215" spans="1:8" ht="17.25" customHeight="1" x14ac:dyDescent="0.25">
      <c r="A215" s="43"/>
      <c r="B215" s="78"/>
      <c r="C215" s="78"/>
      <c r="D215" s="78"/>
      <c r="E215" s="78"/>
      <c r="F215" s="78"/>
      <c r="G215" s="48"/>
      <c r="H215" s="196"/>
    </row>
    <row r="216" spans="1:8" ht="17.25" customHeight="1" x14ac:dyDescent="0.25">
      <c r="A216" s="43"/>
      <c r="B216" s="147" t="s">
        <v>500</v>
      </c>
      <c r="C216" s="145" t="s">
        <v>250</v>
      </c>
      <c r="D216" s="170">
        <f>+D205</f>
        <v>40000</v>
      </c>
      <c r="E216" s="170">
        <f>+E205+E206</f>
        <v>40000</v>
      </c>
      <c r="F216" s="170">
        <f>+F205+F206</f>
        <v>30000</v>
      </c>
      <c r="G216" s="170">
        <f>+G205+G206</f>
        <v>30000</v>
      </c>
      <c r="H216" s="196"/>
    </row>
    <row r="217" spans="1:8" ht="17.25" customHeight="1" x14ac:dyDescent="0.25">
      <c r="A217" s="43"/>
      <c r="B217" s="147" t="s">
        <v>499</v>
      </c>
      <c r="C217" s="145" t="s">
        <v>252</v>
      </c>
      <c r="D217" s="170">
        <f>+D207--D214</f>
        <v>40000</v>
      </c>
      <c r="E217" s="170">
        <f>+E207--E214</f>
        <v>80000</v>
      </c>
      <c r="F217" s="170">
        <f>+F207--F214</f>
        <v>110000</v>
      </c>
      <c r="G217" s="170">
        <f>+G207--G214</f>
        <v>140000</v>
      </c>
      <c r="H217" s="196"/>
    </row>
    <row r="218" spans="1:8" ht="17.25" customHeight="1" x14ac:dyDescent="0.25">
      <c r="A218" s="43"/>
      <c r="B218" s="78"/>
      <c r="C218" s="78"/>
      <c r="D218" s="78"/>
      <c r="E218" s="78"/>
      <c r="F218" s="78"/>
      <c r="G218" s="48"/>
      <c r="H218" s="196"/>
    </row>
    <row r="219" spans="1:8" ht="17.25" customHeight="1" x14ac:dyDescent="0.25">
      <c r="A219" s="142" t="s">
        <v>316</v>
      </c>
      <c r="B219" s="78"/>
      <c r="C219" s="78"/>
      <c r="D219" s="78"/>
      <c r="E219" s="78"/>
      <c r="F219" s="78"/>
      <c r="G219" s="48"/>
      <c r="H219" s="196"/>
    </row>
    <row r="220" spans="1:8" ht="17.25" customHeight="1" x14ac:dyDescent="0.25">
      <c r="A220" s="43"/>
      <c r="B220" s="142"/>
      <c r="C220" s="78"/>
      <c r="D220" s="91" t="s">
        <v>198</v>
      </c>
      <c r="E220" s="91" t="s">
        <v>199</v>
      </c>
      <c r="F220" s="91" t="s">
        <v>200</v>
      </c>
      <c r="G220" s="91" t="s">
        <v>201</v>
      </c>
      <c r="H220" s="196"/>
    </row>
    <row r="221" spans="1:8" ht="17.25" customHeight="1" x14ac:dyDescent="0.25">
      <c r="A221" s="142" t="s">
        <v>126</v>
      </c>
      <c r="B221" s="142"/>
      <c r="C221" s="78"/>
      <c r="D221" s="91" t="s">
        <v>1</v>
      </c>
      <c r="E221" s="91" t="s">
        <v>1</v>
      </c>
      <c r="F221" s="91" t="s">
        <v>1</v>
      </c>
      <c r="G221" s="91" t="s">
        <v>1</v>
      </c>
      <c r="H221" s="196"/>
    </row>
    <row r="222" spans="1:8" ht="17.25" customHeight="1" x14ac:dyDescent="0.25">
      <c r="A222" s="145" t="s">
        <v>133</v>
      </c>
      <c r="B222" s="145"/>
      <c r="C222" s="145" t="s">
        <v>14</v>
      </c>
      <c r="D222" s="78">
        <f>+D205</f>
        <v>40000</v>
      </c>
      <c r="E222" s="78">
        <f t="shared" ref="E222:G223" si="39">+E205</f>
        <v>60000</v>
      </c>
      <c r="F222" s="78">
        <f t="shared" si="39"/>
        <v>60000</v>
      </c>
      <c r="G222" s="78">
        <f t="shared" si="39"/>
        <v>70000</v>
      </c>
      <c r="H222" s="196"/>
    </row>
    <row r="223" spans="1:8" ht="17.25" customHeight="1" x14ac:dyDescent="0.25">
      <c r="A223" s="145" t="s">
        <v>501</v>
      </c>
      <c r="B223" s="145"/>
      <c r="C223" s="145" t="s">
        <v>15</v>
      </c>
      <c r="D223" s="78">
        <f>+D206</f>
        <v>0</v>
      </c>
      <c r="E223" s="78">
        <f t="shared" si="39"/>
        <v>-20000</v>
      </c>
      <c r="F223" s="78">
        <f t="shared" si="39"/>
        <v>-30000</v>
      </c>
      <c r="G223" s="78">
        <f t="shared" si="39"/>
        <v>-40000</v>
      </c>
      <c r="H223" s="196"/>
    </row>
    <row r="224" spans="1:8" ht="17.25" customHeight="1" x14ac:dyDescent="0.25">
      <c r="A224" s="147" t="s">
        <v>317</v>
      </c>
      <c r="B224" s="147"/>
      <c r="C224" s="85"/>
      <c r="D224" s="170">
        <f>+D222+D223</f>
        <v>40000</v>
      </c>
      <c r="E224" s="170">
        <f t="shared" ref="E224:G224" si="40">+E222+E223</f>
        <v>40000</v>
      </c>
      <c r="F224" s="170">
        <f t="shared" si="40"/>
        <v>30000</v>
      </c>
      <c r="G224" s="170">
        <f t="shared" si="40"/>
        <v>30000</v>
      </c>
      <c r="H224" s="196"/>
    </row>
    <row r="225" spans="1:8" ht="17.25" customHeight="1" x14ac:dyDescent="0.25">
      <c r="A225" s="43"/>
      <c r="B225" s="78"/>
      <c r="C225" s="78"/>
      <c r="D225" s="78"/>
      <c r="E225" s="78"/>
      <c r="F225" s="78"/>
      <c r="G225" s="48"/>
      <c r="H225" s="196"/>
    </row>
    <row r="226" spans="1:8" customFormat="1" ht="18" x14ac:dyDescent="0.25">
      <c r="A226" s="403" t="s">
        <v>858</v>
      </c>
      <c r="B226" s="403"/>
      <c r="C226" s="403"/>
      <c r="D226" s="403"/>
      <c r="E226" s="403"/>
      <c r="F226" s="403"/>
      <c r="G226" s="403"/>
      <c r="H226" s="134"/>
    </row>
    <row r="227" spans="1:8" ht="17.25" customHeight="1" x14ac:dyDescent="0.25">
      <c r="A227" s="147" t="s">
        <v>499</v>
      </c>
      <c r="B227" s="147"/>
      <c r="C227" s="145" t="s">
        <v>502</v>
      </c>
      <c r="D227" s="170">
        <f>+D217</f>
        <v>40000</v>
      </c>
      <c r="E227" s="170">
        <f t="shared" ref="E227:G227" si="41">+E217</f>
        <v>80000</v>
      </c>
      <c r="F227" s="170">
        <f t="shared" si="41"/>
        <v>110000</v>
      </c>
      <c r="G227" s="170">
        <f t="shared" si="41"/>
        <v>140000</v>
      </c>
      <c r="H227" s="196"/>
    </row>
    <row r="228" spans="1:8" ht="17.25" customHeight="1" x14ac:dyDescent="0.25">
      <c r="A228" s="147" t="s">
        <v>166</v>
      </c>
      <c r="B228" s="147"/>
      <c r="C228" s="145" t="s">
        <v>503</v>
      </c>
      <c r="D228" s="170">
        <f>+D227*0.3</f>
        <v>12000</v>
      </c>
      <c r="E228" s="170">
        <f t="shared" ref="E228:G228" si="42">+E227*0.3</f>
        <v>24000</v>
      </c>
      <c r="F228" s="170">
        <f t="shared" si="42"/>
        <v>33000</v>
      </c>
      <c r="G228" s="170">
        <f t="shared" si="42"/>
        <v>42000</v>
      </c>
      <c r="H228" s="196"/>
    </row>
    <row r="229" spans="1:8" ht="17.25" customHeight="1" x14ac:dyDescent="0.25">
      <c r="A229" s="43"/>
      <c r="B229" s="78"/>
      <c r="C229" s="78"/>
      <c r="D229" s="78"/>
      <c r="E229" s="78"/>
      <c r="F229" s="78"/>
      <c r="G229" s="48"/>
      <c r="H229" s="196"/>
    </row>
    <row r="230" spans="1:8" ht="17.25" customHeight="1" x14ac:dyDescent="0.25">
      <c r="A230" s="43"/>
      <c r="B230" s="142" t="s">
        <v>318</v>
      </c>
      <c r="C230" s="83"/>
      <c r="D230" s="78"/>
      <c r="E230" s="75" t="s">
        <v>68</v>
      </c>
      <c r="F230" s="75" t="s">
        <v>28</v>
      </c>
      <c r="G230" s="75" t="s">
        <v>504</v>
      </c>
      <c r="H230" s="196"/>
    </row>
    <row r="231" spans="1:8" ht="17.25" customHeight="1" x14ac:dyDescent="0.25">
      <c r="A231" s="43"/>
      <c r="B231" s="145" t="s">
        <v>202</v>
      </c>
      <c r="C231" s="83"/>
      <c r="D231" s="78"/>
      <c r="E231" s="48">
        <f>+D228</f>
        <v>12000</v>
      </c>
      <c r="F231" s="48"/>
      <c r="G231" s="48"/>
      <c r="H231" s="196"/>
    </row>
    <row r="232" spans="1:8" ht="17.25" customHeight="1" x14ac:dyDescent="0.25">
      <c r="A232" s="43"/>
      <c r="B232" s="145" t="s">
        <v>270</v>
      </c>
      <c r="C232" s="83"/>
      <c r="D232" s="78"/>
      <c r="E232" s="48"/>
      <c r="F232" s="48">
        <f>+E231</f>
        <v>12000</v>
      </c>
      <c r="G232" s="52">
        <f>+F232</f>
        <v>12000</v>
      </c>
      <c r="H232" s="196"/>
    </row>
    <row r="233" spans="1:8" ht="17.25" customHeight="1" x14ac:dyDescent="0.25">
      <c r="A233" s="43"/>
      <c r="B233" s="145"/>
      <c r="C233" s="83"/>
      <c r="D233" s="78"/>
      <c r="E233" s="48"/>
      <c r="F233" s="48"/>
      <c r="G233" s="52"/>
      <c r="H233" s="196"/>
    </row>
    <row r="234" spans="1:8" ht="17.25" customHeight="1" x14ac:dyDescent="0.25">
      <c r="A234" s="43"/>
      <c r="B234" s="142" t="s">
        <v>319</v>
      </c>
      <c r="C234" s="83"/>
      <c r="D234" s="78"/>
      <c r="E234" s="75" t="s">
        <v>68</v>
      </c>
      <c r="F234" s="75" t="s">
        <v>28</v>
      </c>
      <c r="G234" s="52"/>
      <c r="H234" s="196"/>
    </row>
    <row r="235" spans="1:8" ht="17.25" customHeight="1" x14ac:dyDescent="0.25">
      <c r="A235" s="43"/>
      <c r="B235" s="145" t="s">
        <v>202</v>
      </c>
      <c r="C235" s="83"/>
      <c r="D235" s="78"/>
      <c r="E235" s="48">
        <f>+E228-E231</f>
        <v>12000</v>
      </c>
      <c r="F235" s="48"/>
      <c r="G235" s="52"/>
      <c r="H235" s="196"/>
    </row>
    <row r="236" spans="1:8" ht="17.25" customHeight="1" x14ac:dyDescent="0.25">
      <c r="A236" s="43"/>
      <c r="B236" s="145" t="s">
        <v>270</v>
      </c>
      <c r="C236" s="83"/>
      <c r="D236" s="78"/>
      <c r="E236" s="48"/>
      <c r="F236" s="48">
        <f>+E235</f>
        <v>12000</v>
      </c>
      <c r="G236" s="52">
        <f>+G232+E235</f>
        <v>24000</v>
      </c>
      <c r="H236" s="196"/>
    </row>
    <row r="237" spans="1:8" ht="17.25" customHeight="1" x14ac:dyDescent="0.25">
      <c r="A237" s="43"/>
      <c r="B237" s="145"/>
      <c r="C237" s="83"/>
      <c r="D237" s="78"/>
      <c r="E237" s="48"/>
      <c r="F237" s="48"/>
      <c r="G237" s="52"/>
      <c r="H237" s="196"/>
    </row>
    <row r="238" spans="1:8" ht="17.25" customHeight="1" x14ac:dyDescent="0.25">
      <c r="A238" s="43"/>
      <c r="B238" s="142" t="s">
        <v>320</v>
      </c>
      <c r="C238" s="83"/>
      <c r="D238" s="78"/>
      <c r="E238" s="75" t="s">
        <v>68</v>
      </c>
      <c r="F238" s="75" t="s">
        <v>28</v>
      </c>
      <c r="G238" s="52"/>
      <c r="H238" s="196"/>
    </row>
    <row r="239" spans="1:8" ht="17.25" customHeight="1" x14ac:dyDescent="0.25">
      <c r="A239" s="43"/>
      <c r="B239" s="145" t="s">
        <v>202</v>
      </c>
      <c r="C239" s="83"/>
      <c r="D239" s="78"/>
      <c r="E239" s="48">
        <f>+F228-E235-E231</f>
        <v>9000</v>
      </c>
      <c r="F239" s="48"/>
      <c r="G239" s="52"/>
      <c r="H239" s="196"/>
    </row>
    <row r="240" spans="1:8" ht="17.25" customHeight="1" x14ac:dyDescent="0.25">
      <c r="A240" s="43"/>
      <c r="B240" s="145" t="s">
        <v>270</v>
      </c>
      <c r="C240" s="83"/>
      <c r="D240" s="78"/>
      <c r="E240" s="48"/>
      <c r="F240" s="48">
        <f>+E239</f>
        <v>9000</v>
      </c>
      <c r="G240" s="52">
        <f>+G236+E239</f>
        <v>33000</v>
      </c>
      <c r="H240" s="196"/>
    </row>
    <row r="241" spans="1:8" ht="17.25" customHeight="1" x14ac:dyDescent="0.25">
      <c r="A241" s="43"/>
      <c r="B241" s="145"/>
      <c r="C241" s="83"/>
      <c r="D241" s="78"/>
      <c r="E241" s="48"/>
      <c r="F241" s="48"/>
      <c r="G241" s="52"/>
      <c r="H241" s="196"/>
    </row>
    <row r="242" spans="1:8" ht="17.25" customHeight="1" x14ac:dyDescent="0.25">
      <c r="A242" s="43"/>
      <c r="B242" s="142" t="s">
        <v>321</v>
      </c>
      <c r="C242" s="83"/>
      <c r="D242" s="78"/>
      <c r="E242" s="75" t="s">
        <v>68</v>
      </c>
      <c r="F242" s="75" t="s">
        <v>28</v>
      </c>
      <c r="G242" s="52"/>
      <c r="H242" s="196"/>
    </row>
    <row r="243" spans="1:8" ht="17.25" customHeight="1" x14ac:dyDescent="0.25">
      <c r="A243" s="43"/>
      <c r="B243" s="145" t="s">
        <v>202</v>
      </c>
      <c r="C243" s="83"/>
      <c r="D243" s="78"/>
      <c r="E243" s="48">
        <f>+G228-E239-E235-E231</f>
        <v>9000</v>
      </c>
      <c r="F243" s="48"/>
      <c r="G243" s="52"/>
      <c r="H243" s="196"/>
    </row>
    <row r="244" spans="1:8" ht="17.25" customHeight="1" x14ac:dyDescent="0.25">
      <c r="A244" s="43"/>
      <c r="B244" s="145" t="s">
        <v>270</v>
      </c>
      <c r="C244" s="83"/>
      <c r="D244" s="78"/>
      <c r="E244" s="48"/>
      <c r="F244" s="48">
        <f>+E243</f>
        <v>9000</v>
      </c>
      <c r="G244" s="52">
        <f>+G240+E243</f>
        <v>42000</v>
      </c>
      <c r="H244" s="196"/>
    </row>
    <row r="245" spans="1:8" ht="17.25" customHeight="1" x14ac:dyDescent="0.25">
      <c r="A245" s="145"/>
      <c r="B245" s="145"/>
      <c r="C245" s="83"/>
      <c r="D245" s="78"/>
      <c r="E245" s="78"/>
      <c r="F245" s="78"/>
      <c r="G245" s="78"/>
      <c r="H245" s="196"/>
    </row>
    <row r="246" spans="1:8" ht="17.25" customHeight="1" x14ac:dyDescent="0.25">
      <c r="A246" s="145" t="s">
        <v>635</v>
      </c>
      <c r="B246" s="145"/>
      <c r="C246" s="83"/>
      <c r="D246" s="78"/>
      <c r="E246" s="78"/>
      <c r="F246" s="78"/>
      <c r="G246" s="78"/>
      <c r="H246" s="196"/>
    </row>
    <row r="247" spans="1:8" ht="17.25" customHeight="1" x14ac:dyDescent="0.25">
      <c r="A247" s="145"/>
      <c r="B247" s="145"/>
      <c r="C247" s="83"/>
      <c r="D247" s="78"/>
      <c r="E247" s="78"/>
      <c r="F247" s="78"/>
      <c r="G247" s="78"/>
      <c r="H247" s="196"/>
    </row>
    <row r="248" spans="1:8" customFormat="1" ht="18" x14ac:dyDescent="0.25">
      <c r="A248" s="403" t="s">
        <v>859</v>
      </c>
      <c r="B248" s="403"/>
      <c r="C248" s="403"/>
      <c r="D248" s="403"/>
      <c r="E248" s="403"/>
      <c r="F248" s="403"/>
      <c r="G248" s="403"/>
      <c r="H248" s="134"/>
    </row>
    <row r="249" spans="1:8" ht="17.25" customHeight="1" x14ac:dyDescent="0.25">
      <c r="A249" s="142" t="s">
        <v>506</v>
      </c>
      <c r="B249" s="78"/>
      <c r="C249" s="78"/>
      <c r="D249" s="78"/>
      <c r="E249" s="78"/>
      <c r="F249" s="48"/>
      <c r="G249" s="78"/>
      <c r="H249" s="196"/>
    </row>
    <row r="250" spans="1:8" ht="17.25" customHeight="1" x14ac:dyDescent="0.25">
      <c r="A250" s="149"/>
      <c r="B250" s="91"/>
      <c r="C250" s="91"/>
      <c r="D250" s="91" t="s">
        <v>198</v>
      </c>
      <c r="E250" s="91" t="s">
        <v>199</v>
      </c>
      <c r="F250" s="91" t="s">
        <v>200</v>
      </c>
      <c r="G250" s="91" t="s">
        <v>201</v>
      </c>
      <c r="H250" s="196"/>
    </row>
    <row r="251" spans="1:8" ht="17.25" customHeight="1" x14ac:dyDescent="0.25">
      <c r="A251" s="149"/>
      <c r="B251" s="91"/>
      <c r="C251" s="91"/>
      <c r="D251" s="91" t="s">
        <v>1</v>
      </c>
      <c r="E251" s="91" t="s">
        <v>1</v>
      </c>
      <c r="F251" s="91" t="s">
        <v>1</v>
      </c>
      <c r="G251" s="91" t="s">
        <v>1</v>
      </c>
      <c r="H251" s="196"/>
    </row>
    <row r="252" spans="1:8" ht="17.25" customHeight="1" x14ac:dyDescent="0.25">
      <c r="A252" s="147" t="s">
        <v>507</v>
      </c>
      <c r="B252" s="91"/>
      <c r="C252" s="91"/>
      <c r="D252" s="91"/>
      <c r="E252" s="91"/>
      <c r="F252" s="91"/>
      <c r="G252" s="91"/>
      <c r="H252" s="196"/>
    </row>
    <row r="253" spans="1:8" ht="17.25" customHeight="1" x14ac:dyDescent="0.25">
      <c r="A253" s="147" t="s">
        <v>0</v>
      </c>
      <c r="B253" s="181"/>
      <c r="C253" s="91"/>
      <c r="D253" s="84">
        <v>0</v>
      </c>
      <c r="E253" s="84">
        <f t="shared" ref="E253:G253" si="43">+D256</f>
        <v>0</v>
      </c>
      <c r="F253" s="84">
        <f t="shared" si="43"/>
        <v>0</v>
      </c>
      <c r="G253" s="84">
        <f t="shared" si="43"/>
        <v>0</v>
      </c>
      <c r="H253" s="196"/>
    </row>
    <row r="254" spans="1:8" ht="17.25" customHeight="1" x14ac:dyDescent="0.25">
      <c r="A254" s="145" t="s">
        <v>133</v>
      </c>
      <c r="B254" s="83"/>
      <c r="C254" s="145" t="s">
        <v>14</v>
      </c>
      <c r="D254" s="83">
        <v>100000</v>
      </c>
      <c r="E254" s="83">
        <v>100000</v>
      </c>
      <c r="F254" s="83">
        <v>100000</v>
      </c>
      <c r="G254" s="83">
        <v>100000</v>
      </c>
      <c r="H254" s="196"/>
    </row>
    <row r="255" spans="1:8" ht="17.25" customHeight="1" x14ac:dyDescent="0.25">
      <c r="A255" s="145" t="s">
        <v>505</v>
      </c>
      <c r="B255" s="83"/>
      <c r="C255" s="145" t="s">
        <v>15</v>
      </c>
      <c r="D255" s="78">
        <f>-D254</f>
        <v>-100000</v>
      </c>
      <c r="E255" s="78">
        <f t="shared" ref="E255:G255" si="44">-E254</f>
        <v>-100000</v>
      </c>
      <c r="F255" s="78">
        <f t="shared" si="44"/>
        <v>-100000</v>
      </c>
      <c r="G255" s="78">
        <f t="shared" si="44"/>
        <v>-100000</v>
      </c>
      <c r="H255" s="196"/>
    </row>
    <row r="256" spans="1:8" ht="17.25" customHeight="1" x14ac:dyDescent="0.25">
      <c r="A256" s="147" t="s">
        <v>2</v>
      </c>
      <c r="B256" s="170"/>
      <c r="C256" s="145" t="s">
        <v>64</v>
      </c>
      <c r="D256" s="170">
        <f t="shared" ref="D256" si="45">SUM(D253:D255)</f>
        <v>0</v>
      </c>
      <c r="E256" s="170">
        <f t="shared" ref="E256" si="46">SUM(E253:E255)</f>
        <v>0</v>
      </c>
      <c r="F256" s="170">
        <f t="shared" ref="F256" si="47">SUM(F253:F255)</f>
        <v>0</v>
      </c>
      <c r="G256" s="170">
        <f t="shared" ref="G256" si="48">SUM(G253:G255)</f>
        <v>0</v>
      </c>
      <c r="H256" s="196"/>
    </row>
    <row r="257" spans="1:8" ht="17.25" customHeight="1" x14ac:dyDescent="0.25">
      <c r="A257" s="149"/>
      <c r="B257" s="91"/>
      <c r="C257" s="91"/>
      <c r="D257" s="91"/>
      <c r="E257" s="91"/>
      <c r="F257" s="91"/>
      <c r="G257" s="91"/>
      <c r="H257" s="196"/>
    </row>
    <row r="258" spans="1:8" ht="17.25" customHeight="1" x14ac:dyDescent="0.25">
      <c r="A258" s="147" t="s">
        <v>315</v>
      </c>
      <c r="B258" s="91"/>
      <c r="C258" s="91"/>
      <c r="D258" s="91"/>
      <c r="E258" s="91"/>
      <c r="F258" s="91"/>
      <c r="G258" s="91"/>
      <c r="H258" s="196"/>
    </row>
    <row r="259" spans="1:8" ht="17.25" customHeight="1" x14ac:dyDescent="0.25">
      <c r="A259" s="149" t="s">
        <v>0</v>
      </c>
      <c r="B259" s="84"/>
      <c r="C259" s="98"/>
      <c r="D259" s="84">
        <f>+B262</f>
        <v>0</v>
      </c>
      <c r="E259" s="84">
        <f t="shared" ref="E259:G259" si="49">+D262</f>
        <v>100000</v>
      </c>
      <c r="F259" s="84">
        <f t="shared" si="49"/>
        <v>200000</v>
      </c>
      <c r="G259" s="84">
        <f t="shared" si="49"/>
        <v>300000</v>
      </c>
      <c r="H259" s="196"/>
    </row>
    <row r="260" spans="1:8" ht="17.25" customHeight="1" x14ac:dyDescent="0.25">
      <c r="A260" s="145" t="s">
        <v>133</v>
      </c>
      <c r="B260" s="83"/>
      <c r="C260" s="78"/>
      <c r="D260" s="83">
        <f>+D254</f>
        <v>100000</v>
      </c>
      <c r="E260" s="83">
        <f>+E254</f>
        <v>100000</v>
      </c>
      <c r="F260" s="83">
        <f>+F254</f>
        <v>100000</v>
      </c>
      <c r="G260" s="83">
        <f>+G254</f>
        <v>100000</v>
      </c>
      <c r="H260" s="196"/>
    </row>
    <row r="261" spans="1:8" ht="17.25" customHeight="1" x14ac:dyDescent="0.25">
      <c r="A261" s="145" t="s">
        <v>505</v>
      </c>
      <c r="B261" s="83"/>
      <c r="C261" s="78"/>
      <c r="D261" s="83">
        <v>0</v>
      </c>
      <c r="E261" s="83">
        <v>0</v>
      </c>
      <c r="F261" s="83">
        <v>0</v>
      </c>
      <c r="G261" s="83">
        <v>0</v>
      </c>
      <c r="H261" s="196"/>
    </row>
    <row r="262" spans="1:8" ht="17.25" customHeight="1" x14ac:dyDescent="0.25">
      <c r="A262" s="149" t="s">
        <v>2</v>
      </c>
      <c r="B262" s="85"/>
      <c r="C262" s="145" t="s">
        <v>17</v>
      </c>
      <c r="D262" s="85">
        <f t="shared" ref="D262" si="50">SUM(D259:D261)</f>
        <v>100000</v>
      </c>
      <c r="E262" s="85">
        <f t="shared" ref="E262" si="51">SUM(E259:E261)</f>
        <v>200000</v>
      </c>
      <c r="F262" s="85">
        <f t="shared" ref="F262" si="52">SUM(F259:F261)</f>
        <v>300000</v>
      </c>
      <c r="G262" s="85">
        <f t="shared" ref="G262" si="53">SUM(G259:G261)</f>
        <v>400000</v>
      </c>
      <c r="H262" s="196"/>
    </row>
    <row r="263" spans="1:8" ht="17.25" customHeight="1" x14ac:dyDescent="0.25">
      <c r="A263" s="78"/>
      <c r="B263" s="78"/>
      <c r="C263" s="78"/>
      <c r="D263" s="78"/>
      <c r="E263" s="78"/>
      <c r="F263" s="78"/>
      <c r="G263" s="48"/>
      <c r="H263" s="196"/>
    </row>
    <row r="264" spans="1:8" ht="17.25" customHeight="1" x14ac:dyDescent="0.25">
      <c r="A264" s="149" t="s">
        <v>168</v>
      </c>
      <c r="B264" s="85"/>
      <c r="C264" s="145" t="s">
        <v>250</v>
      </c>
      <c r="D264" s="85">
        <f>+D260</f>
        <v>100000</v>
      </c>
      <c r="E264" s="85">
        <f t="shared" ref="E264:G264" si="54">+E260</f>
        <v>100000</v>
      </c>
      <c r="F264" s="85">
        <f t="shared" si="54"/>
        <v>100000</v>
      </c>
      <c r="G264" s="85">
        <f t="shared" si="54"/>
        <v>100000</v>
      </c>
      <c r="H264" s="196"/>
    </row>
    <row r="265" spans="1:8" ht="17.25" customHeight="1" x14ac:dyDescent="0.25">
      <c r="A265" s="149" t="s">
        <v>9</v>
      </c>
      <c r="B265" s="85"/>
      <c r="C265" s="145" t="s">
        <v>252</v>
      </c>
      <c r="D265" s="85">
        <f>+D256--D262</f>
        <v>100000</v>
      </c>
      <c r="E265" s="85">
        <f>+E256--E262</f>
        <v>200000</v>
      </c>
      <c r="F265" s="85">
        <f>+F256--F262</f>
        <v>300000</v>
      </c>
      <c r="G265" s="85">
        <f>+G256--G262</f>
        <v>400000</v>
      </c>
      <c r="H265" s="196"/>
    </row>
    <row r="266" spans="1:8" ht="17.25" customHeight="1" x14ac:dyDescent="0.25">
      <c r="A266" s="149" t="s">
        <v>166</v>
      </c>
      <c r="B266" s="85"/>
      <c r="C266" s="145" t="s">
        <v>322</v>
      </c>
      <c r="D266" s="85">
        <f>+D265*0.3</f>
        <v>30000</v>
      </c>
      <c r="E266" s="85">
        <f t="shared" ref="E266:G266" si="55">+E265*0.3</f>
        <v>60000</v>
      </c>
      <c r="F266" s="85">
        <f t="shared" si="55"/>
        <v>90000</v>
      </c>
      <c r="G266" s="85">
        <f t="shared" si="55"/>
        <v>120000</v>
      </c>
      <c r="H266" s="196"/>
    </row>
    <row r="267" spans="1:8" ht="17.25" customHeight="1" x14ac:dyDescent="0.25">
      <c r="A267" s="78"/>
      <c r="B267" s="78"/>
      <c r="C267" s="78"/>
      <c r="D267" s="78"/>
      <c r="E267" s="78"/>
      <c r="F267" s="78"/>
      <c r="G267" s="48"/>
      <c r="H267" s="196"/>
    </row>
    <row r="268" spans="1:8" ht="17.25" customHeight="1" x14ac:dyDescent="0.25">
      <c r="A268" s="142" t="s">
        <v>316</v>
      </c>
      <c r="B268" s="78"/>
      <c r="C268" s="78"/>
      <c r="D268" s="78"/>
      <c r="E268" s="78"/>
      <c r="F268" s="78"/>
      <c r="G268" s="48"/>
      <c r="H268" s="196"/>
    </row>
    <row r="269" spans="1:8" ht="17.25" customHeight="1" x14ac:dyDescent="0.25">
      <c r="A269" s="142"/>
      <c r="B269" s="78"/>
      <c r="C269" s="78"/>
      <c r="D269" s="91" t="s">
        <v>198</v>
      </c>
      <c r="E269" s="91" t="s">
        <v>199</v>
      </c>
      <c r="F269" s="91" t="s">
        <v>200</v>
      </c>
      <c r="G269" s="91" t="s">
        <v>201</v>
      </c>
      <c r="H269" s="196"/>
    </row>
    <row r="270" spans="1:8" ht="17.25" customHeight="1" x14ac:dyDescent="0.25">
      <c r="A270" s="142"/>
      <c r="B270" s="78"/>
      <c r="C270" s="78"/>
      <c r="D270" s="91" t="s">
        <v>1</v>
      </c>
      <c r="E270" s="91" t="s">
        <v>1</v>
      </c>
      <c r="F270" s="91" t="s">
        <v>1</v>
      </c>
      <c r="G270" s="91" t="s">
        <v>1</v>
      </c>
      <c r="H270" s="196"/>
    </row>
    <row r="271" spans="1:8" ht="17.25" customHeight="1" x14ac:dyDescent="0.25">
      <c r="A271" s="145" t="s">
        <v>191</v>
      </c>
      <c r="B271" s="78"/>
      <c r="C271" s="145" t="s">
        <v>14</v>
      </c>
      <c r="D271" s="78">
        <f>+D254</f>
        <v>100000</v>
      </c>
      <c r="E271" s="78">
        <f>+E254</f>
        <v>100000</v>
      </c>
      <c r="F271" s="78">
        <f>+F254</f>
        <v>100000</v>
      </c>
      <c r="G271" s="78">
        <f>+G254</f>
        <v>100000</v>
      </c>
      <c r="H271" s="196"/>
    </row>
    <row r="272" spans="1:8" ht="17.25" customHeight="1" x14ac:dyDescent="0.25">
      <c r="A272" s="145"/>
      <c r="B272" s="78"/>
      <c r="C272" s="145"/>
      <c r="D272" s="78"/>
      <c r="E272" s="78"/>
      <c r="F272" s="78"/>
      <c r="G272" s="78"/>
      <c r="H272" s="196"/>
    </row>
    <row r="273" spans="1:8" customFormat="1" ht="18" x14ac:dyDescent="0.25">
      <c r="A273" s="403" t="s">
        <v>860</v>
      </c>
      <c r="B273" s="403"/>
      <c r="C273" s="403"/>
      <c r="D273" s="403"/>
      <c r="E273" s="403"/>
      <c r="F273" s="403"/>
      <c r="G273" s="403"/>
      <c r="H273" s="134"/>
    </row>
    <row r="274" spans="1:8" ht="17.25" customHeight="1" x14ac:dyDescent="0.25">
      <c r="A274" s="142" t="s">
        <v>323</v>
      </c>
      <c r="B274" s="78"/>
      <c r="C274" s="78"/>
      <c r="D274" s="78"/>
      <c r="E274" s="78"/>
      <c r="F274" s="78"/>
      <c r="G274" s="48"/>
      <c r="H274" s="196"/>
    </row>
    <row r="275" spans="1:8" ht="17.25" customHeight="1" x14ac:dyDescent="0.25">
      <c r="A275" s="142" t="s">
        <v>318</v>
      </c>
      <c r="B275" s="83"/>
      <c r="C275" s="78"/>
      <c r="D275" s="78"/>
      <c r="E275" s="75" t="s">
        <v>68</v>
      </c>
      <c r="F275" s="75" t="s">
        <v>28</v>
      </c>
      <c r="G275" s="75" t="s">
        <v>504</v>
      </c>
      <c r="H275" s="196"/>
    </row>
    <row r="276" spans="1:8" ht="17.25" customHeight="1" x14ac:dyDescent="0.25">
      <c r="A276" s="145" t="s">
        <v>202</v>
      </c>
      <c r="B276" s="83"/>
      <c r="C276" s="78"/>
      <c r="D276" s="78"/>
      <c r="E276" s="48">
        <f>+D266</f>
        <v>30000</v>
      </c>
      <c r="F276" s="48"/>
      <c r="G276" s="48"/>
      <c r="H276" s="196"/>
    </row>
    <row r="277" spans="1:8" ht="17.25" customHeight="1" x14ac:dyDescent="0.25">
      <c r="A277" s="145" t="s">
        <v>270</v>
      </c>
      <c r="B277" s="83"/>
      <c r="C277" s="78"/>
      <c r="D277" s="78"/>
      <c r="E277" s="48"/>
      <c r="F277" s="48">
        <f>+E276</f>
        <v>30000</v>
      </c>
      <c r="G277" s="52">
        <f>+F277</f>
        <v>30000</v>
      </c>
      <c r="H277" s="196"/>
    </row>
    <row r="278" spans="1:8" ht="17.25" customHeight="1" x14ac:dyDescent="0.25">
      <c r="A278" s="145"/>
      <c r="B278" s="83"/>
      <c r="C278" s="78"/>
      <c r="D278" s="78"/>
      <c r="E278" s="48"/>
      <c r="F278" s="48"/>
      <c r="G278" s="52"/>
      <c r="H278" s="196"/>
    </row>
    <row r="279" spans="1:8" ht="17.25" customHeight="1" x14ac:dyDescent="0.25">
      <c r="A279" s="142" t="s">
        <v>319</v>
      </c>
      <c r="B279" s="83"/>
      <c r="C279" s="78"/>
      <c r="D279" s="78"/>
      <c r="E279" s="75" t="s">
        <v>68</v>
      </c>
      <c r="F279" s="75" t="s">
        <v>28</v>
      </c>
      <c r="G279" s="52"/>
      <c r="H279" s="196"/>
    </row>
    <row r="280" spans="1:8" ht="17.25" customHeight="1" x14ac:dyDescent="0.25">
      <c r="A280" s="145" t="s">
        <v>202</v>
      </c>
      <c r="B280" s="83"/>
      <c r="C280" s="78"/>
      <c r="D280" s="78"/>
      <c r="E280" s="48">
        <f>+E266-E276</f>
        <v>30000</v>
      </c>
      <c r="F280" s="48"/>
      <c r="G280" s="52"/>
      <c r="H280" s="196"/>
    </row>
    <row r="281" spans="1:8" ht="17.25" customHeight="1" x14ac:dyDescent="0.25">
      <c r="A281" s="145" t="s">
        <v>270</v>
      </c>
      <c r="B281" s="83"/>
      <c r="C281" s="78"/>
      <c r="D281" s="78"/>
      <c r="E281" s="48"/>
      <c r="F281" s="48">
        <f>+E280</f>
        <v>30000</v>
      </c>
      <c r="G281" s="52">
        <f>+G277+E280</f>
        <v>60000</v>
      </c>
      <c r="H281" s="196"/>
    </row>
    <row r="282" spans="1:8" ht="17.25" customHeight="1" x14ac:dyDescent="0.25">
      <c r="A282" s="145"/>
      <c r="B282" s="83"/>
      <c r="C282" s="78"/>
      <c r="D282" s="78"/>
      <c r="E282" s="48"/>
      <c r="F282" s="48"/>
      <c r="G282" s="52"/>
      <c r="H282" s="196"/>
    </row>
    <row r="283" spans="1:8" ht="17.25" customHeight="1" x14ac:dyDescent="0.25">
      <c r="A283" s="142" t="s">
        <v>320</v>
      </c>
      <c r="B283" s="83"/>
      <c r="C283" s="78"/>
      <c r="D283" s="78"/>
      <c r="E283" s="75" t="s">
        <v>68</v>
      </c>
      <c r="F283" s="75" t="s">
        <v>28</v>
      </c>
      <c r="G283" s="52"/>
      <c r="H283" s="196"/>
    </row>
    <row r="284" spans="1:8" ht="17.25" customHeight="1" x14ac:dyDescent="0.25">
      <c r="A284" s="145" t="s">
        <v>202</v>
      </c>
      <c r="B284" s="83"/>
      <c r="C284" s="78"/>
      <c r="D284" s="78"/>
      <c r="E284" s="48">
        <f>+F266-E266</f>
        <v>30000</v>
      </c>
      <c r="F284" s="48"/>
      <c r="G284" s="52"/>
      <c r="H284" s="196"/>
    </row>
    <row r="285" spans="1:8" ht="17.25" customHeight="1" x14ac:dyDescent="0.25">
      <c r="A285" s="145" t="s">
        <v>270</v>
      </c>
      <c r="B285" s="83"/>
      <c r="C285" s="78"/>
      <c r="D285" s="78"/>
      <c r="E285" s="48"/>
      <c r="F285" s="48">
        <f>+E284</f>
        <v>30000</v>
      </c>
      <c r="G285" s="52">
        <f>+G281+E284</f>
        <v>90000</v>
      </c>
      <c r="H285" s="196"/>
    </row>
    <row r="286" spans="1:8" ht="17.25" customHeight="1" x14ac:dyDescent="0.25">
      <c r="A286" s="145"/>
      <c r="B286" s="83"/>
      <c r="C286" s="78"/>
      <c r="D286" s="78"/>
      <c r="E286" s="48"/>
      <c r="F286" s="48"/>
      <c r="G286" s="52"/>
      <c r="H286" s="196"/>
    </row>
    <row r="287" spans="1:8" ht="17.25" customHeight="1" x14ac:dyDescent="0.25">
      <c r="A287" s="142" t="s">
        <v>321</v>
      </c>
      <c r="B287" s="83"/>
      <c r="C287" s="78"/>
      <c r="D287" s="78"/>
      <c r="E287" s="75" t="s">
        <v>68</v>
      </c>
      <c r="F287" s="75" t="s">
        <v>28</v>
      </c>
      <c r="G287" s="52"/>
      <c r="H287" s="196"/>
    </row>
    <row r="288" spans="1:8" ht="17.25" customHeight="1" x14ac:dyDescent="0.25">
      <c r="A288" s="145" t="s">
        <v>202</v>
      </c>
      <c r="B288" s="83"/>
      <c r="C288" s="78"/>
      <c r="D288" s="78"/>
      <c r="E288" s="48">
        <f>+G266-F266</f>
        <v>30000</v>
      </c>
      <c r="F288" s="48"/>
      <c r="G288" s="52"/>
      <c r="H288" s="196"/>
    </row>
    <row r="289" spans="1:8" ht="17.25" customHeight="1" x14ac:dyDescent="0.25">
      <c r="A289" s="145" t="s">
        <v>270</v>
      </c>
      <c r="B289" s="83"/>
      <c r="C289" s="78"/>
      <c r="D289" s="78"/>
      <c r="E289" s="48"/>
      <c r="F289" s="48">
        <f>+E288</f>
        <v>30000</v>
      </c>
      <c r="G289" s="52">
        <f>+G285+E288</f>
        <v>120000</v>
      </c>
      <c r="H289" s="196"/>
    </row>
    <row r="290" spans="1:8" ht="17.25" customHeight="1" x14ac:dyDescent="0.25">
      <c r="A290" s="145"/>
      <c r="B290" s="83"/>
      <c r="C290" s="78"/>
      <c r="D290" s="78"/>
      <c r="E290" s="48"/>
      <c r="F290" s="48"/>
      <c r="G290" s="52"/>
      <c r="H290" s="196"/>
    </row>
    <row r="291" spans="1:8" ht="17.25" customHeight="1" x14ac:dyDescent="0.25">
      <c r="A291" s="145" t="s">
        <v>635</v>
      </c>
      <c r="B291" s="145"/>
      <c r="C291" s="83"/>
      <c r="D291" s="78"/>
      <c r="E291" s="78"/>
      <c r="F291" s="78"/>
      <c r="G291" s="78"/>
      <c r="H291" s="196"/>
    </row>
    <row r="292" spans="1:8" ht="17.25" customHeight="1" x14ac:dyDescent="0.25">
      <c r="A292" s="145"/>
      <c r="B292" s="145"/>
      <c r="C292" s="83"/>
      <c r="D292" s="78"/>
      <c r="E292" s="78"/>
      <c r="F292" s="78"/>
      <c r="G292" s="78"/>
      <c r="H292" s="196"/>
    </row>
    <row r="293" spans="1:8" ht="17.25" customHeight="1" x14ac:dyDescent="0.25">
      <c r="A293" s="196"/>
      <c r="B293" s="196"/>
      <c r="C293" s="196"/>
      <c r="D293" s="196"/>
      <c r="E293" s="196"/>
      <c r="F293" s="196"/>
      <c r="G293" s="196"/>
      <c r="H293" s="196"/>
    </row>
    <row r="309" spans="1:8" ht="17.25" hidden="1" customHeight="1" x14ac:dyDescent="0.25">
      <c r="A309" s="195"/>
      <c r="B309" s="195"/>
      <c r="C309" s="195"/>
      <c r="D309" s="195"/>
      <c r="E309" s="195"/>
      <c r="F309" s="195"/>
      <c r="G309" s="195"/>
      <c r="H309" s="196"/>
    </row>
  </sheetData>
  <mergeCells count="1">
    <mergeCell ref="A1:XFD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Carátula</vt:lpstr>
      <vt:lpstr>S-1</vt:lpstr>
      <vt:lpstr>Sección 1.1</vt:lpstr>
      <vt:lpstr>Sección 1.2</vt:lpstr>
      <vt:lpstr>Tasas</vt:lpstr>
      <vt:lpstr>S-2</vt:lpstr>
      <vt:lpstr>S-3</vt:lpstr>
      <vt:lpstr>Seccion 3.1</vt:lpstr>
      <vt:lpstr>S-4</vt:lpstr>
      <vt:lpstr>S-5</vt:lpstr>
      <vt:lpstr>S-6-</vt:lpstr>
      <vt:lpstr>S-7</vt:lpstr>
      <vt:lpstr>S-8</vt:lpstr>
      <vt:lpstr>S-9</vt:lpstr>
      <vt:lpstr>S-11</vt:lpstr>
      <vt:lpstr>Sección 11.4</vt:lpstr>
      <vt:lpstr>Sección 11.5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2024-09-02T03:49:44Z</dcterms:modified>
</cp:coreProperties>
</file>