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60" windowWidth="15120" windowHeight="6705" tabRatio="933" firstSheet="9" activeTab="18"/>
  </bookViews>
  <sheets>
    <sheet name="TASA" sheetId="39" state="hidden" r:id="rId1"/>
    <sheet name="Hoja6" sheetId="38" state="hidden" r:id="rId2"/>
    <sheet name="LOGICA (2)" sheetId="32" state="hidden" r:id="rId3"/>
    <sheet name="Hoja5" sheetId="33" state="hidden" r:id="rId4"/>
    <sheet name="-NIC39-" sheetId="19" state="hidden" r:id="rId5"/>
    <sheet name="-NIC2-" sheetId="25" state="hidden" r:id="rId6"/>
    <sheet name="-NIC19-" sheetId="26" state="hidden" r:id="rId7"/>
    <sheet name="-JUNTO-" sheetId="27" state="hidden" r:id="rId8"/>
    <sheet name="Hoja3" sheetId="31" state="hidden" r:id="rId9"/>
    <sheet name="Esquema" sheetId="42" r:id="rId10"/>
    <sheet name="BC2014" sheetId="4" r:id="rId11"/>
    <sheet name="VARIOS" sheetId="5" r:id="rId12"/>
    <sheet name="29111" sheetId="6" state="hidden" r:id="rId13"/>
    <sheet name="41151" sheetId="8" state="hidden" r:id="rId14"/>
    <sheet name="482" sheetId="9" state="hidden" r:id="rId15"/>
    <sheet name="486" sheetId="10" state="hidden" r:id="rId16"/>
    <sheet name="39201" sheetId="7" r:id="rId17"/>
    <sheet name="39402" sheetId="11" r:id="rId18"/>
    <sheet name="45111" sheetId="12" r:id="rId19"/>
    <sheet name="45111 (2)" sheetId="41" state="hidden" r:id="rId20"/>
    <sheet name="IMP DIF 1" sheetId="1" r:id="rId21"/>
    <sheet name="IMP DIF 2" sheetId="15" state="hidden" r:id="rId22"/>
    <sheet name="Nota-1" sheetId="20" state="hidden" r:id="rId23"/>
    <sheet name="Nota-2" sheetId="21" state="hidden" r:id="rId24"/>
    <sheet name="DT." sheetId="17" state="hidden" r:id="rId25"/>
    <sheet name="correo" sheetId="22" state="hidden" r:id="rId26"/>
    <sheet name="Hoja1" sheetId="29" state="hidden" r:id="rId27"/>
    <sheet name="Hoja2" sheetId="30" state="hidden" r:id="rId28"/>
  </sheets>
  <definedNames>
    <definedName name="_xlnm._FilterDatabase" localSheetId="12" hidden="1">'29111'!$A$4:$H$16</definedName>
    <definedName name="_xlnm._FilterDatabase" localSheetId="16" hidden="1">'39201'!$A$8:$N$15</definedName>
    <definedName name="_xlnm._FilterDatabase" localSheetId="17" hidden="1">'39402'!$A$11:$N$16</definedName>
    <definedName name="_xlnm._FilterDatabase" localSheetId="13" hidden="1">VARIOS!$B$25:$F$36</definedName>
    <definedName name="_xlnm._FilterDatabase" localSheetId="14" hidden="1">VARIOS!$B$43:$F$54</definedName>
    <definedName name="_xlnm._FilterDatabase" localSheetId="11" hidden="1">VARIOS!$A$9:$H$21</definedName>
    <definedName name="_xlnm.Print_Area" localSheetId="12">'29111'!$A$8:$F$16</definedName>
    <definedName name="_xlnm.Print_Area" localSheetId="16">'39201'!$A$2:$AQ$22</definedName>
    <definedName name="_xlnm.Print_Area" localSheetId="17">'39402'!$A$1:$U$23</definedName>
    <definedName name="_xlnm.Print_Area" localSheetId="13">VARIOS!$A$23:$E$36</definedName>
    <definedName name="_xlnm.Print_Area" localSheetId="18">'45111'!$A$2:$J$84</definedName>
    <definedName name="_xlnm.Print_Area" localSheetId="19">'45111 (2)'!$A$1:$J$50</definedName>
    <definedName name="_xlnm.Print_Area" localSheetId="14">VARIOS!$B$41:$D$54</definedName>
    <definedName name="_xlnm.Print_Area" localSheetId="10">'BC2014'!$A$5:$I$549</definedName>
    <definedName name="_xlnm.Print_Area" localSheetId="20">'IMP DIF 1'!$A$1:$I$90</definedName>
    <definedName name="_xlnm.Print_Area" localSheetId="21">'IMP DIF 2'!$A$1:$J$98</definedName>
    <definedName name="_xlnm.Print_Area" localSheetId="7">'-JUNTO-'!$A$2:$G$18</definedName>
    <definedName name="_xlnm.Print_Area" localSheetId="2">'LOGICA (2)'!$A$2:$D$9</definedName>
    <definedName name="_xlnm.Print_Area" localSheetId="6">'-NIC19-'!$A$3:$L$21</definedName>
    <definedName name="_xlnm.Print_Area" localSheetId="5">'-NIC2-'!$A$1:$L$19</definedName>
    <definedName name="_xlnm.Print_Area" localSheetId="4">'-NIC39-'!$A$1:$M$19</definedName>
    <definedName name="_xlnm.Print_Area" localSheetId="22">'Nota-1'!$A$1:$Q$22</definedName>
    <definedName name="_xlnm.Print_Area" localSheetId="23">'Nota-2'!$A$2:$J$52</definedName>
    <definedName name="_xlnm.Print_Area" localSheetId="0">TASA!$A$1:$E$30</definedName>
    <definedName name="_xlnm.Print_Area" localSheetId="11">VARIOS!$A$1:$N$68</definedName>
    <definedName name="Desv_eq_demo" localSheetId="19">#REF!</definedName>
    <definedName name="Desv_eq_demo" localSheetId="21">#REF!</definedName>
    <definedName name="Desv_eq_demo" localSheetId="7">#REF!</definedName>
    <definedName name="Desv_eq_demo" localSheetId="2">#REF!</definedName>
    <definedName name="Desv_eq_demo" localSheetId="6">#REF!</definedName>
    <definedName name="Desv_eq_demo" localSheetId="5">#REF!</definedName>
    <definedName name="Desv_eq_demo" localSheetId="23">#REF!</definedName>
    <definedName name="Desv_eq_demo" localSheetId="0">#REF!</definedName>
    <definedName name="Desv_eq_demo">#REF!</definedName>
    <definedName name="DESVALORIZACION" localSheetId="19">#REF!</definedName>
    <definedName name="DESVALORIZACION" localSheetId="21">#REF!</definedName>
    <definedName name="DESVALORIZACION" localSheetId="7">#REF!</definedName>
    <definedName name="DESVALORIZACION" localSheetId="2">#REF!</definedName>
    <definedName name="DESVALORIZACION" localSheetId="6">#REF!</definedName>
    <definedName name="DESVALORIZACION" localSheetId="5">#REF!</definedName>
    <definedName name="DESVALORIZACION" localSheetId="23">#REF!</definedName>
    <definedName name="DESVALORIZACION" localSheetId="0">#REF!</definedName>
    <definedName name="DESVALORIZACION">#REF!</definedName>
    <definedName name="s" localSheetId="19">#REF!</definedName>
    <definedName name="s" localSheetId="0">#REF!</definedName>
    <definedName name="s">#REF!</definedName>
    <definedName name="SS" localSheetId="19">#REF!</definedName>
    <definedName name="SS" localSheetId="7">#REF!</definedName>
    <definedName name="SS" localSheetId="2">#REF!</definedName>
    <definedName name="SS" localSheetId="0">#REF!</definedName>
    <definedName name="SS">#REF!</definedName>
    <definedName name="_xlnm.Print_Titles" localSheetId="10">'BC2014'!$5:$6</definedName>
  </definedNames>
  <calcPr calcId="152511"/>
</workbook>
</file>

<file path=xl/calcChain.xml><?xml version="1.0" encoding="utf-8"?>
<calcChain xmlns="http://schemas.openxmlformats.org/spreadsheetml/2006/main">
  <c r="E29" i="42" l="1"/>
  <c r="D29" i="42"/>
  <c r="E24" i="42"/>
  <c r="D24" i="42"/>
  <c r="F24" i="42" s="1"/>
  <c r="G24" i="42" s="1"/>
  <c r="E19" i="42"/>
  <c r="D19" i="42"/>
  <c r="D14" i="42"/>
  <c r="G14" i="42" s="1"/>
  <c r="D7" i="42"/>
  <c r="G7" i="42" s="1"/>
  <c r="E13" i="42"/>
  <c r="D13" i="42"/>
  <c r="E6" i="42"/>
  <c r="D6" i="42"/>
  <c r="F19" i="42" l="1"/>
  <c r="F29" i="42"/>
  <c r="G29" i="42" s="1"/>
  <c r="F6" i="42"/>
  <c r="G6" i="42" s="1"/>
  <c r="G19" i="42"/>
  <c r="F13" i="42"/>
  <c r="G13" i="42" s="1"/>
  <c r="D44" i="12"/>
  <c r="D45" i="12" s="1"/>
  <c r="D46" i="12" s="1"/>
  <c r="D47" i="12" s="1"/>
  <c r="D48" i="12" s="1"/>
  <c r="D49" i="12" s="1"/>
  <c r="H39" i="1" l="1"/>
  <c r="H38" i="1"/>
  <c r="G37" i="1"/>
  <c r="D17" i="12"/>
  <c r="D18" i="12" s="1"/>
  <c r="D19" i="12" s="1"/>
  <c r="D20" i="12" s="1"/>
  <c r="D21" i="12" s="1"/>
  <c r="D22" i="12" s="1"/>
  <c r="D9" i="1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Q9" i="11" s="1"/>
  <c r="R9" i="11" s="1"/>
  <c r="T9" i="11" s="1"/>
  <c r="I13" i="41" l="1"/>
  <c r="I14" i="41" s="1"/>
  <c r="I15" i="41" s="1"/>
  <c r="I16" i="41" s="1"/>
  <c r="I17" i="41" s="1"/>
  <c r="I12" i="41"/>
  <c r="E44" i="41"/>
  <c r="E45" i="41" s="1"/>
  <c r="E46" i="41" s="1"/>
  <c r="E47" i="41" s="1"/>
  <c r="E48" i="41" s="1"/>
  <c r="E49" i="41" s="1"/>
  <c r="C34" i="41"/>
  <c r="C35" i="41" s="1"/>
  <c r="C36" i="41" s="1"/>
  <c r="C37" i="41" s="1"/>
  <c r="C38" i="41" s="1"/>
  <c r="C39" i="41" s="1"/>
  <c r="C23" i="41"/>
  <c r="C24" i="41" s="1"/>
  <c r="C25" i="41" s="1"/>
  <c r="C26" i="41" s="1"/>
  <c r="C27" i="41" s="1"/>
  <c r="C28" i="41" s="1"/>
  <c r="C13" i="41"/>
  <c r="C14" i="41" s="1"/>
  <c r="C12" i="41"/>
  <c r="D7" i="41"/>
  <c r="D21" i="41" s="1"/>
  <c r="I7" i="41" l="1"/>
  <c r="D33" i="41"/>
  <c r="C15" i="41"/>
  <c r="C16" i="41" l="1"/>
  <c r="D32" i="41"/>
  <c r="I32" i="41" s="1"/>
  <c r="E16" i="41" l="1"/>
  <c r="C17" i="41"/>
  <c r="D16" i="41"/>
  <c r="F16" i="41" s="1"/>
  <c r="J18" i="39"/>
  <c r="J17" i="39"/>
  <c r="J16" i="39"/>
  <c r="J15" i="39"/>
  <c r="J14" i="39"/>
  <c r="J13" i="39"/>
  <c r="J12" i="39"/>
  <c r="J11" i="39"/>
  <c r="J10" i="39"/>
  <c r="I17" i="39"/>
  <c r="I16" i="39"/>
  <c r="I15" i="39"/>
  <c r="I14" i="39"/>
  <c r="I13" i="39"/>
  <c r="I12" i="39"/>
  <c r="I11" i="39"/>
  <c r="G12" i="39"/>
  <c r="G13" i="39" s="1"/>
  <c r="G14" i="39" s="1"/>
  <c r="G15" i="39" s="1"/>
  <c r="G16" i="39" s="1"/>
  <c r="G17" i="39" s="1"/>
  <c r="B12" i="39"/>
  <c r="B13" i="39" s="1"/>
  <c r="E5" i="39"/>
  <c r="E7" i="39" s="1"/>
  <c r="W19" i="38"/>
  <c r="W18" i="38"/>
  <c r="X16" i="38"/>
  <c r="W17" i="38"/>
  <c r="W16" i="38"/>
  <c r="W14" i="38"/>
  <c r="V14" i="38"/>
  <c r="U14" i="38"/>
  <c r="T14" i="38"/>
  <c r="S14" i="38"/>
  <c r="R14" i="38"/>
  <c r="T12" i="38"/>
  <c r="U12" i="38" s="1"/>
  <c r="V12" i="38" s="1"/>
  <c r="W12" i="38" s="1"/>
  <c r="S12" i="38"/>
  <c r="Y8" i="38"/>
  <c r="Y7" i="38"/>
  <c r="Y6" i="38"/>
  <c r="T6" i="38"/>
  <c r="K6" i="38"/>
  <c r="K3" i="38"/>
  <c r="J28" i="38"/>
  <c r="J41" i="38"/>
  <c r="J40" i="38"/>
  <c r="O32" i="38"/>
  <c r="E31" i="38"/>
  <c r="J27" i="38"/>
  <c r="J31" i="38" s="1"/>
  <c r="J33" i="38" s="1"/>
  <c r="J36" i="38" s="1"/>
  <c r="J19" i="38"/>
  <c r="J20" i="38" s="1"/>
  <c r="J21" i="38" s="1"/>
  <c r="J18" i="38"/>
  <c r="O10" i="38"/>
  <c r="J5" i="38"/>
  <c r="J9" i="38" s="1"/>
  <c r="J11" i="38" s="1"/>
  <c r="J14" i="38" s="1"/>
  <c r="E9" i="38"/>
  <c r="D9" i="38"/>
  <c r="D10" i="38" s="1"/>
  <c r="D11" i="38" s="1"/>
  <c r="D14" i="38" s="1"/>
  <c r="E15" i="38" s="1"/>
  <c r="F38" i="41" l="1"/>
  <c r="D27" i="41"/>
  <c r="D12" i="41"/>
  <c r="E17" i="41"/>
  <c r="D11" i="41"/>
  <c r="D17" i="41"/>
  <c r="E11" i="41"/>
  <c r="E14" i="41"/>
  <c r="D14" i="41"/>
  <c r="E13" i="41"/>
  <c r="E12" i="41"/>
  <c r="D13" i="41"/>
  <c r="F13" i="41" s="1"/>
  <c r="D15" i="41"/>
  <c r="E15" i="41"/>
  <c r="H10" i="39"/>
  <c r="B14" i="39"/>
  <c r="K15" i="38"/>
  <c r="O11" i="38"/>
  <c r="O12" i="38" s="1"/>
  <c r="K5" i="38"/>
  <c r="K9" i="38" s="1"/>
  <c r="D28" i="38"/>
  <c r="D31" i="38" s="1"/>
  <c r="D32" i="38" s="1"/>
  <c r="D33" i="38" s="1"/>
  <c r="D36" i="38" s="1"/>
  <c r="E37" i="38" s="1"/>
  <c r="O33" i="38"/>
  <c r="O36" i="38" s="1"/>
  <c r="J42" i="38"/>
  <c r="J43" i="38" s="1"/>
  <c r="K37" i="38"/>
  <c r="E18" i="41" l="1"/>
  <c r="F12" i="41"/>
  <c r="F17" i="41"/>
  <c r="F15" i="41"/>
  <c r="F14" i="41"/>
  <c r="D18" i="41"/>
  <c r="H33" i="41" s="1"/>
  <c r="F11" i="41"/>
  <c r="D24" i="41"/>
  <c r="F35" i="41"/>
  <c r="B15" i="39"/>
  <c r="O34" i="38"/>
  <c r="D28" i="41" l="1"/>
  <c r="F39" i="41"/>
  <c r="F36" i="41"/>
  <c r="D25" i="41"/>
  <c r="D26" i="41"/>
  <c r="F37" i="41"/>
  <c r="F34" i="41"/>
  <c r="D23" i="41"/>
  <c r="D22" i="41"/>
  <c r="I5" i="41"/>
  <c r="F33" i="41"/>
  <c r="F18" i="41"/>
  <c r="H34" i="41"/>
  <c r="B16" i="39"/>
  <c r="D29" i="41" l="1"/>
  <c r="I8" i="41" s="1"/>
  <c r="H35" i="41"/>
  <c r="B17" i="39"/>
  <c r="D16" i="39" s="1"/>
  <c r="C11" i="33"/>
  <c r="D12" i="33"/>
  <c r="I7" i="33"/>
  <c r="I2" i="33"/>
  <c r="B6" i="33"/>
  <c r="C6" i="33" s="1"/>
  <c r="B5" i="33"/>
  <c r="B4" i="33"/>
  <c r="C4" i="33" s="1"/>
  <c r="H17" i="33"/>
  <c r="D7" i="33"/>
  <c r="D8" i="33" s="1"/>
  <c r="C5" i="33"/>
  <c r="J19" i="32"/>
  <c r="J18" i="32"/>
  <c r="J8" i="32"/>
  <c r="J3" i="32"/>
  <c r="H20" i="32"/>
  <c r="H19" i="32"/>
  <c r="H18" i="32"/>
  <c r="C16" i="32"/>
  <c r="B15" i="32"/>
  <c r="H11" i="32"/>
  <c r="H10" i="32"/>
  <c r="H6" i="32"/>
  <c r="C13" i="32"/>
  <c r="B12" i="32"/>
  <c r="D10" i="32"/>
  <c r="D8" i="32"/>
  <c r="D9" i="32" s="1"/>
  <c r="B8" i="32"/>
  <c r="B9" i="32" s="1"/>
  <c r="C7" i="32"/>
  <c r="C6" i="32"/>
  <c r="C5" i="32"/>
  <c r="J17" i="30"/>
  <c r="J13" i="30"/>
  <c r="J19" i="30" s="1"/>
  <c r="J21" i="30" s="1"/>
  <c r="I19" i="30"/>
  <c r="I21" i="30" s="1"/>
  <c r="C16" i="30" s="1"/>
  <c r="I15" i="30"/>
  <c r="G9" i="30"/>
  <c r="H9" i="30" s="1"/>
  <c r="F9" i="30"/>
  <c r="E9" i="30"/>
  <c r="F10" i="30"/>
  <c r="G10" i="30" s="1"/>
  <c r="H10" i="30" s="1"/>
  <c r="C13" i="30" s="1"/>
  <c r="D14" i="30" s="1"/>
  <c r="C6" i="30"/>
  <c r="E10" i="30" s="1"/>
  <c r="G9" i="29"/>
  <c r="B3" i="29"/>
  <c r="E33" i="41" l="1"/>
  <c r="G33" i="41" s="1"/>
  <c r="H36" i="41"/>
  <c r="C16" i="39"/>
  <c r="E16" i="39" s="1"/>
  <c r="C17" i="39"/>
  <c r="D11" i="39"/>
  <c r="C12" i="39"/>
  <c r="C11" i="39"/>
  <c r="D13" i="39"/>
  <c r="D17" i="39"/>
  <c r="C13" i="39"/>
  <c r="D12" i="39"/>
  <c r="D14" i="39"/>
  <c r="C14" i="39"/>
  <c r="D15" i="39"/>
  <c r="C15" i="39"/>
  <c r="B7" i="33"/>
  <c r="B8" i="33" s="1"/>
  <c r="D9" i="33" s="1"/>
  <c r="C7" i="33"/>
  <c r="C8" i="32"/>
  <c r="I2" i="30"/>
  <c r="I3" i="30" s="1"/>
  <c r="D17" i="30"/>
  <c r="I4" i="31"/>
  <c r="I1" i="31"/>
  <c r="H9" i="31"/>
  <c r="H6" i="31"/>
  <c r="H7" i="31" s="1"/>
  <c r="C10" i="31" s="1"/>
  <c r="D11" i="31" s="1"/>
  <c r="H3" i="31"/>
  <c r="I3" i="31" s="1"/>
  <c r="I6" i="31" s="1"/>
  <c r="K12" i="31"/>
  <c r="B3" i="31"/>
  <c r="D2" i="31"/>
  <c r="D3" i="31" s="1"/>
  <c r="G5" i="29"/>
  <c r="G6" i="29" s="1"/>
  <c r="C12" i="29" s="1"/>
  <c r="G3" i="29"/>
  <c r="D6" i="29"/>
  <c r="D3" i="29"/>
  <c r="C3" i="29" s="1"/>
  <c r="C9" i="29" s="1"/>
  <c r="D10" i="29" s="1"/>
  <c r="D2" i="29"/>
  <c r="L6" i="26"/>
  <c r="L13" i="25"/>
  <c r="K13" i="25"/>
  <c r="J13" i="25"/>
  <c r="I13" i="25"/>
  <c r="F12" i="25"/>
  <c r="E12" i="25"/>
  <c r="D12" i="25"/>
  <c r="C12" i="25"/>
  <c r="F12" i="19"/>
  <c r="E12" i="19"/>
  <c r="D12" i="19"/>
  <c r="C12" i="19"/>
  <c r="E546" i="4"/>
  <c r="G546" i="4" s="1"/>
  <c r="H205" i="4"/>
  <c r="H226" i="4"/>
  <c r="H180" i="4"/>
  <c r="H113" i="4"/>
  <c r="H111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G103" i="4"/>
  <c r="H103" i="4"/>
  <c r="G104" i="4"/>
  <c r="H104" i="4"/>
  <c r="G105" i="4"/>
  <c r="H105" i="4"/>
  <c r="G106" i="4"/>
  <c r="H106" i="4"/>
  <c r="G107" i="4"/>
  <c r="H107" i="4"/>
  <c r="G108" i="4"/>
  <c r="H108" i="4"/>
  <c r="G109" i="4"/>
  <c r="H109" i="4"/>
  <c r="G110" i="4"/>
  <c r="H110" i="4"/>
  <c r="H112" i="4"/>
  <c r="H114" i="4"/>
  <c r="G115" i="4"/>
  <c r="H115" i="4"/>
  <c r="G116" i="4"/>
  <c r="H116" i="4"/>
  <c r="G117" i="4"/>
  <c r="H117" i="4"/>
  <c r="G118" i="4"/>
  <c r="H118" i="4"/>
  <c r="G119" i="4"/>
  <c r="H119" i="4"/>
  <c r="G120" i="4"/>
  <c r="H120" i="4"/>
  <c r="G121" i="4"/>
  <c r="H121" i="4"/>
  <c r="G122" i="4"/>
  <c r="H122" i="4"/>
  <c r="G123" i="4"/>
  <c r="H123" i="4"/>
  <c r="G124" i="4"/>
  <c r="H124" i="4"/>
  <c r="G125" i="4"/>
  <c r="H125" i="4"/>
  <c r="G126" i="4"/>
  <c r="H126" i="4"/>
  <c r="G127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G151" i="4"/>
  <c r="H151" i="4"/>
  <c r="G152" i="4"/>
  <c r="H152" i="4"/>
  <c r="G153" i="4"/>
  <c r="H153" i="4"/>
  <c r="G154" i="4"/>
  <c r="H154" i="4"/>
  <c r="G155" i="4"/>
  <c r="H155" i="4"/>
  <c r="G156" i="4"/>
  <c r="G157" i="4"/>
  <c r="H157" i="4"/>
  <c r="G158" i="4"/>
  <c r="H158" i="4"/>
  <c r="G159" i="4"/>
  <c r="H159" i="4"/>
  <c r="G160" i="4"/>
  <c r="H160" i="4"/>
  <c r="G161" i="4"/>
  <c r="H161" i="4"/>
  <c r="G162" i="4"/>
  <c r="H162" i="4"/>
  <c r="G163" i="4"/>
  <c r="H163" i="4"/>
  <c r="G164" i="4"/>
  <c r="H164" i="4"/>
  <c r="G165" i="4"/>
  <c r="H165" i="4"/>
  <c r="G166" i="4"/>
  <c r="H166" i="4"/>
  <c r="G167" i="4"/>
  <c r="H167" i="4"/>
  <c r="G168" i="4"/>
  <c r="H168" i="4"/>
  <c r="G169" i="4"/>
  <c r="H169" i="4"/>
  <c r="G170" i="4"/>
  <c r="H170" i="4"/>
  <c r="G171" i="4"/>
  <c r="H171" i="4"/>
  <c r="G172" i="4"/>
  <c r="H172" i="4"/>
  <c r="G173" i="4"/>
  <c r="H173" i="4"/>
  <c r="G174" i="4"/>
  <c r="H174" i="4"/>
  <c r="G175" i="4"/>
  <c r="H175" i="4"/>
  <c r="G176" i="4"/>
  <c r="H176" i="4"/>
  <c r="G177" i="4"/>
  <c r="H177" i="4"/>
  <c r="G178" i="4"/>
  <c r="H178" i="4"/>
  <c r="G179" i="4"/>
  <c r="G181" i="4"/>
  <c r="H181" i="4"/>
  <c r="G182" i="4"/>
  <c r="H182" i="4"/>
  <c r="G183" i="4"/>
  <c r="H183" i="4"/>
  <c r="G184" i="4"/>
  <c r="H184" i="4"/>
  <c r="G185" i="4"/>
  <c r="H185" i="4"/>
  <c r="G186" i="4"/>
  <c r="H186" i="4"/>
  <c r="G187" i="4"/>
  <c r="H187" i="4"/>
  <c r="G188" i="4"/>
  <c r="H188" i="4"/>
  <c r="G189" i="4"/>
  <c r="H189" i="4"/>
  <c r="G190" i="4"/>
  <c r="H190" i="4"/>
  <c r="G191" i="4"/>
  <c r="H191" i="4"/>
  <c r="G192" i="4"/>
  <c r="H192" i="4"/>
  <c r="G193" i="4"/>
  <c r="H193" i="4"/>
  <c r="G194" i="4"/>
  <c r="G195" i="4"/>
  <c r="H195" i="4"/>
  <c r="G196" i="4"/>
  <c r="H196" i="4"/>
  <c r="G197" i="4"/>
  <c r="H197" i="4"/>
  <c r="G198" i="4"/>
  <c r="H198" i="4"/>
  <c r="G199" i="4"/>
  <c r="H199" i="4"/>
  <c r="G200" i="4"/>
  <c r="H200" i="4"/>
  <c r="G201" i="4"/>
  <c r="H201" i="4"/>
  <c r="G202" i="4"/>
  <c r="H202" i="4"/>
  <c r="G203" i="4"/>
  <c r="H203" i="4"/>
  <c r="G204" i="4"/>
  <c r="H204" i="4"/>
  <c r="G206" i="4"/>
  <c r="H206" i="4"/>
  <c r="G207" i="4"/>
  <c r="H207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G214" i="4"/>
  <c r="H214" i="4"/>
  <c r="G215" i="4"/>
  <c r="H215" i="4"/>
  <c r="G216" i="4"/>
  <c r="H216" i="4"/>
  <c r="G217" i="4"/>
  <c r="H217" i="4"/>
  <c r="G218" i="4"/>
  <c r="H218" i="4"/>
  <c r="G219" i="4"/>
  <c r="G220" i="4"/>
  <c r="H220" i="4"/>
  <c r="G221" i="4"/>
  <c r="H221" i="4"/>
  <c r="G222" i="4"/>
  <c r="H222" i="4"/>
  <c r="G223" i="4"/>
  <c r="H223" i="4"/>
  <c r="G224" i="4"/>
  <c r="H224" i="4"/>
  <c r="G225" i="4"/>
  <c r="G228" i="4"/>
  <c r="H228" i="4"/>
  <c r="G229" i="4"/>
  <c r="H229" i="4"/>
  <c r="G230" i="4"/>
  <c r="H230" i="4"/>
  <c r="G231" i="4"/>
  <c r="H231" i="4"/>
  <c r="G232" i="4"/>
  <c r="H232" i="4"/>
  <c r="G233" i="4"/>
  <c r="H233" i="4"/>
  <c r="G234" i="4"/>
  <c r="H234" i="4"/>
  <c r="G235" i="4"/>
  <c r="H235" i="4"/>
  <c r="G236" i="4"/>
  <c r="H236" i="4"/>
  <c r="G237" i="4"/>
  <c r="H237" i="4"/>
  <c r="G238" i="4"/>
  <c r="H238" i="4"/>
  <c r="G239" i="4"/>
  <c r="H239" i="4"/>
  <c r="G240" i="4"/>
  <c r="H240" i="4"/>
  <c r="G241" i="4"/>
  <c r="H241" i="4"/>
  <c r="G242" i="4"/>
  <c r="H242" i="4"/>
  <c r="G243" i="4"/>
  <c r="H243" i="4"/>
  <c r="G244" i="4"/>
  <c r="H244" i="4"/>
  <c r="G245" i="4"/>
  <c r="H245" i="4"/>
  <c r="G246" i="4"/>
  <c r="H246" i="4"/>
  <c r="G247" i="4"/>
  <c r="H247" i="4"/>
  <c r="G248" i="4"/>
  <c r="H248" i="4"/>
  <c r="G249" i="4"/>
  <c r="H249" i="4"/>
  <c r="G250" i="4"/>
  <c r="H250" i="4"/>
  <c r="G251" i="4"/>
  <c r="H251" i="4"/>
  <c r="G252" i="4"/>
  <c r="H252" i="4"/>
  <c r="G253" i="4"/>
  <c r="H253" i="4"/>
  <c r="G254" i="4"/>
  <c r="H254" i="4"/>
  <c r="G255" i="4"/>
  <c r="H255" i="4"/>
  <c r="G256" i="4"/>
  <c r="H256" i="4"/>
  <c r="G257" i="4"/>
  <c r="H257" i="4"/>
  <c r="G258" i="4"/>
  <c r="H258" i="4"/>
  <c r="G259" i="4"/>
  <c r="H259" i="4"/>
  <c r="G260" i="4"/>
  <c r="H260" i="4"/>
  <c r="G261" i="4"/>
  <c r="H261" i="4"/>
  <c r="G262" i="4"/>
  <c r="H262" i="4"/>
  <c r="G263" i="4"/>
  <c r="H263" i="4"/>
  <c r="G264" i="4"/>
  <c r="H264" i="4"/>
  <c r="G265" i="4"/>
  <c r="H265" i="4"/>
  <c r="G266" i="4"/>
  <c r="H266" i="4"/>
  <c r="G267" i="4"/>
  <c r="H267" i="4"/>
  <c r="G268" i="4"/>
  <c r="H268" i="4"/>
  <c r="G269" i="4"/>
  <c r="H269" i="4"/>
  <c r="G270" i="4"/>
  <c r="H270" i="4"/>
  <c r="G271" i="4"/>
  <c r="H271" i="4"/>
  <c r="G272" i="4"/>
  <c r="H272" i="4"/>
  <c r="G273" i="4"/>
  <c r="H273" i="4"/>
  <c r="G274" i="4"/>
  <c r="H274" i="4"/>
  <c r="G275" i="4"/>
  <c r="H275" i="4"/>
  <c r="G276" i="4"/>
  <c r="H276" i="4"/>
  <c r="G277" i="4"/>
  <c r="H277" i="4"/>
  <c r="G278" i="4"/>
  <c r="H278" i="4"/>
  <c r="G279" i="4"/>
  <c r="H279" i="4"/>
  <c r="G280" i="4"/>
  <c r="H280" i="4"/>
  <c r="G281" i="4"/>
  <c r="H281" i="4"/>
  <c r="G282" i="4"/>
  <c r="H282" i="4"/>
  <c r="G283" i="4"/>
  <c r="H283" i="4"/>
  <c r="G284" i="4"/>
  <c r="H284" i="4"/>
  <c r="G285" i="4"/>
  <c r="H285" i="4"/>
  <c r="G286" i="4"/>
  <c r="H286" i="4"/>
  <c r="G287" i="4"/>
  <c r="H287" i="4"/>
  <c r="G288" i="4"/>
  <c r="H288" i="4"/>
  <c r="G289" i="4"/>
  <c r="H289" i="4"/>
  <c r="G290" i="4"/>
  <c r="H290" i="4"/>
  <c r="G291" i="4"/>
  <c r="H291" i="4"/>
  <c r="G292" i="4"/>
  <c r="H292" i="4"/>
  <c r="G293" i="4"/>
  <c r="H293" i="4"/>
  <c r="G294" i="4"/>
  <c r="H294" i="4"/>
  <c r="G295" i="4"/>
  <c r="H295" i="4"/>
  <c r="G296" i="4"/>
  <c r="H296" i="4"/>
  <c r="G297" i="4"/>
  <c r="H297" i="4"/>
  <c r="G298" i="4"/>
  <c r="H298" i="4"/>
  <c r="G299" i="4"/>
  <c r="H299" i="4"/>
  <c r="G300" i="4"/>
  <c r="H300" i="4"/>
  <c r="G301" i="4"/>
  <c r="H301" i="4"/>
  <c r="G302" i="4"/>
  <c r="H302" i="4"/>
  <c r="G303" i="4"/>
  <c r="H303" i="4"/>
  <c r="G304" i="4"/>
  <c r="H304" i="4"/>
  <c r="G305" i="4"/>
  <c r="H305" i="4"/>
  <c r="G306" i="4"/>
  <c r="H306" i="4"/>
  <c r="G307" i="4"/>
  <c r="H307" i="4"/>
  <c r="G308" i="4"/>
  <c r="H308" i="4"/>
  <c r="G309" i="4"/>
  <c r="H309" i="4"/>
  <c r="G310" i="4"/>
  <c r="H310" i="4"/>
  <c r="G311" i="4"/>
  <c r="H311" i="4"/>
  <c r="G312" i="4"/>
  <c r="H312" i="4"/>
  <c r="G313" i="4"/>
  <c r="H313" i="4"/>
  <c r="G314" i="4"/>
  <c r="H314" i="4"/>
  <c r="G315" i="4"/>
  <c r="H315" i="4"/>
  <c r="G316" i="4"/>
  <c r="H316" i="4"/>
  <c r="G317" i="4"/>
  <c r="H317" i="4"/>
  <c r="G318" i="4"/>
  <c r="H318" i="4"/>
  <c r="G319" i="4"/>
  <c r="H319" i="4"/>
  <c r="G320" i="4"/>
  <c r="H320" i="4"/>
  <c r="G321" i="4"/>
  <c r="H321" i="4"/>
  <c r="G322" i="4"/>
  <c r="H322" i="4"/>
  <c r="G323" i="4"/>
  <c r="H323" i="4"/>
  <c r="G324" i="4"/>
  <c r="H324" i="4"/>
  <c r="G325" i="4"/>
  <c r="H325" i="4"/>
  <c r="G326" i="4"/>
  <c r="H326" i="4"/>
  <c r="G327" i="4"/>
  <c r="H327" i="4"/>
  <c r="G328" i="4"/>
  <c r="H328" i="4"/>
  <c r="G329" i="4"/>
  <c r="H329" i="4"/>
  <c r="G330" i="4"/>
  <c r="H330" i="4"/>
  <c r="G331" i="4"/>
  <c r="H331" i="4"/>
  <c r="G332" i="4"/>
  <c r="H332" i="4"/>
  <c r="G333" i="4"/>
  <c r="H333" i="4"/>
  <c r="G334" i="4"/>
  <c r="H334" i="4"/>
  <c r="G335" i="4"/>
  <c r="H335" i="4"/>
  <c r="G336" i="4"/>
  <c r="H336" i="4"/>
  <c r="G337" i="4"/>
  <c r="H337" i="4"/>
  <c r="G338" i="4"/>
  <c r="H338" i="4"/>
  <c r="G339" i="4"/>
  <c r="H339" i="4"/>
  <c r="G340" i="4"/>
  <c r="H340" i="4"/>
  <c r="G341" i="4"/>
  <c r="H341" i="4"/>
  <c r="G342" i="4"/>
  <c r="H342" i="4"/>
  <c r="G343" i="4"/>
  <c r="H343" i="4"/>
  <c r="G344" i="4"/>
  <c r="H344" i="4"/>
  <c r="G345" i="4"/>
  <c r="H345" i="4"/>
  <c r="G346" i="4"/>
  <c r="H346" i="4"/>
  <c r="G347" i="4"/>
  <c r="H347" i="4"/>
  <c r="G348" i="4"/>
  <c r="H348" i="4"/>
  <c r="G349" i="4"/>
  <c r="H349" i="4"/>
  <c r="G350" i="4"/>
  <c r="H350" i="4"/>
  <c r="G351" i="4"/>
  <c r="H351" i="4"/>
  <c r="G352" i="4"/>
  <c r="H352" i="4"/>
  <c r="G353" i="4"/>
  <c r="H353" i="4"/>
  <c r="G354" i="4"/>
  <c r="H354" i="4"/>
  <c r="G355" i="4"/>
  <c r="H355" i="4"/>
  <c r="G356" i="4"/>
  <c r="H356" i="4"/>
  <c r="G357" i="4"/>
  <c r="H357" i="4"/>
  <c r="G358" i="4"/>
  <c r="H358" i="4"/>
  <c r="G359" i="4"/>
  <c r="H359" i="4"/>
  <c r="G360" i="4"/>
  <c r="H360" i="4"/>
  <c r="G361" i="4"/>
  <c r="H361" i="4"/>
  <c r="G362" i="4"/>
  <c r="H362" i="4"/>
  <c r="G363" i="4"/>
  <c r="H363" i="4"/>
  <c r="G364" i="4"/>
  <c r="H364" i="4"/>
  <c r="G365" i="4"/>
  <c r="H365" i="4"/>
  <c r="G366" i="4"/>
  <c r="H366" i="4"/>
  <c r="G367" i="4"/>
  <c r="H367" i="4"/>
  <c r="G368" i="4"/>
  <c r="H368" i="4"/>
  <c r="G369" i="4"/>
  <c r="H369" i="4"/>
  <c r="G370" i="4"/>
  <c r="H370" i="4"/>
  <c r="G371" i="4"/>
  <c r="H371" i="4"/>
  <c r="G372" i="4"/>
  <c r="H372" i="4"/>
  <c r="G373" i="4"/>
  <c r="H373" i="4"/>
  <c r="G374" i="4"/>
  <c r="H374" i="4"/>
  <c r="G375" i="4"/>
  <c r="H375" i="4"/>
  <c r="G376" i="4"/>
  <c r="H376" i="4"/>
  <c r="G377" i="4"/>
  <c r="H377" i="4"/>
  <c r="G378" i="4"/>
  <c r="H378" i="4"/>
  <c r="G379" i="4"/>
  <c r="H379" i="4"/>
  <c r="G380" i="4"/>
  <c r="H380" i="4"/>
  <c r="G381" i="4"/>
  <c r="H381" i="4"/>
  <c r="G382" i="4"/>
  <c r="H382" i="4"/>
  <c r="G383" i="4"/>
  <c r="H383" i="4"/>
  <c r="G384" i="4"/>
  <c r="H384" i="4"/>
  <c r="G385" i="4"/>
  <c r="H385" i="4"/>
  <c r="G386" i="4"/>
  <c r="H386" i="4"/>
  <c r="G387" i="4"/>
  <c r="H387" i="4"/>
  <c r="G388" i="4"/>
  <c r="H388" i="4"/>
  <c r="G389" i="4"/>
  <c r="H389" i="4"/>
  <c r="G390" i="4"/>
  <c r="H390" i="4"/>
  <c r="G391" i="4"/>
  <c r="H391" i="4"/>
  <c r="G392" i="4"/>
  <c r="H392" i="4"/>
  <c r="G393" i="4"/>
  <c r="H393" i="4"/>
  <c r="G394" i="4"/>
  <c r="H394" i="4"/>
  <c r="G395" i="4"/>
  <c r="H395" i="4"/>
  <c r="G396" i="4"/>
  <c r="H396" i="4"/>
  <c r="G397" i="4"/>
  <c r="H397" i="4"/>
  <c r="G398" i="4"/>
  <c r="H398" i="4"/>
  <c r="G399" i="4"/>
  <c r="H399" i="4"/>
  <c r="G400" i="4"/>
  <c r="H400" i="4"/>
  <c r="G401" i="4"/>
  <c r="H401" i="4"/>
  <c r="G402" i="4"/>
  <c r="H402" i="4"/>
  <c r="G403" i="4"/>
  <c r="H403" i="4"/>
  <c r="G404" i="4"/>
  <c r="H404" i="4"/>
  <c r="G405" i="4"/>
  <c r="H405" i="4"/>
  <c r="G406" i="4"/>
  <c r="H406" i="4"/>
  <c r="G407" i="4"/>
  <c r="H407" i="4"/>
  <c r="G408" i="4"/>
  <c r="H408" i="4"/>
  <c r="G409" i="4"/>
  <c r="H409" i="4"/>
  <c r="G410" i="4"/>
  <c r="H410" i="4"/>
  <c r="G411" i="4"/>
  <c r="H411" i="4"/>
  <c r="G412" i="4"/>
  <c r="H412" i="4"/>
  <c r="G413" i="4"/>
  <c r="H413" i="4"/>
  <c r="G414" i="4"/>
  <c r="H414" i="4"/>
  <c r="G415" i="4"/>
  <c r="H415" i="4"/>
  <c r="G416" i="4"/>
  <c r="H416" i="4"/>
  <c r="G417" i="4"/>
  <c r="H417" i="4"/>
  <c r="G418" i="4"/>
  <c r="H418" i="4"/>
  <c r="G419" i="4"/>
  <c r="H419" i="4"/>
  <c r="G420" i="4"/>
  <c r="H420" i="4"/>
  <c r="G421" i="4"/>
  <c r="H421" i="4"/>
  <c r="G422" i="4"/>
  <c r="H422" i="4"/>
  <c r="G423" i="4"/>
  <c r="H423" i="4"/>
  <c r="G424" i="4"/>
  <c r="H424" i="4"/>
  <c r="G425" i="4"/>
  <c r="H425" i="4"/>
  <c r="G426" i="4"/>
  <c r="H426" i="4"/>
  <c r="G427" i="4"/>
  <c r="H427" i="4"/>
  <c r="G428" i="4"/>
  <c r="H428" i="4"/>
  <c r="G429" i="4"/>
  <c r="H429" i="4"/>
  <c r="G430" i="4"/>
  <c r="H430" i="4"/>
  <c r="G431" i="4"/>
  <c r="H431" i="4"/>
  <c r="G432" i="4"/>
  <c r="H432" i="4"/>
  <c r="G433" i="4"/>
  <c r="H433" i="4"/>
  <c r="G434" i="4"/>
  <c r="H434" i="4"/>
  <c r="G435" i="4"/>
  <c r="H435" i="4"/>
  <c r="G436" i="4"/>
  <c r="H436" i="4"/>
  <c r="G437" i="4"/>
  <c r="H437" i="4"/>
  <c r="G438" i="4"/>
  <c r="H438" i="4"/>
  <c r="G439" i="4"/>
  <c r="H439" i="4"/>
  <c r="G440" i="4"/>
  <c r="H440" i="4"/>
  <c r="G441" i="4"/>
  <c r="H441" i="4"/>
  <c r="G442" i="4"/>
  <c r="H442" i="4"/>
  <c r="G443" i="4"/>
  <c r="H443" i="4"/>
  <c r="G444" i="4"/>
  <c r="H444" i="4"/>
  <c r="G445" i="4"/>
  <c r="H445" i="4"/>
  <c r="G446" i="4"/>
  <c r="H446" i="4"/>
  <c r="G447" i="4"/>
  <c r="H447" i="4"/>
  <c r="G448" i="4"/>
  <c r="H448" i="4"/>
  <c r="G449" i="4"/>
  <c r="H449" i="4"/>
  <c r="G450" i="4"/>
  <c r="H450" i="4"/>
  <c r="G451" i="4"/>
  <c r="H451" i="4"/>
  <c r="G452" i="4"/>
  <c r="H452" i="4"/>
  <c r="G453" i="4"/>
  <c r="H453" i="4"/>
  <c r="G454" i="4"/>
  <c r="H454" i="4"/>
  <c r="G455" i="4"/>
  <c r="H455" i="4"/>
  <c r="G456" i="4"/>
  <c r="H456" i="4"/>
  <c r="G457" i="4"/>
  <c r="H457" i="4"/>
  <c r="G458" i="4"/>
  <c r="H458" i="4"/>
  <c r="G459" i="4"/>
  <c r="H459" i="4"/>
  <c r="G460" i="4"/>
  <c r="H460" i="4"/>
  <c r="G461" i="4"/>
  <c r="H461" i="4"/>
  <c r="G462" i="4"/>
  <c r="H462" i="4"/>
  <c r="G463" i="4"/>
  <c r="H463" i="4"/>
  <c r="G464" i="4"/>
  <c r="H464" i="4"/>
  <c r="G465" i="4"/>
  <c r="H465" i="4"/>
  <c r="G466" i="4"/>
  <c r="H466" i="4"/>
  <c r="G467" i="4"/>
  <c r="H467" i="4"/>
  <c r="G468" i="4"/>
  <c r="H468" i="4"/>
  <c r="G469" i="4"/>
  <c r="H469" i="4"/>
  <c r="G470" i="4"/>
  <c r="H470" i="4"/>
  <c r="G471" i="4"/>
  <c r="H471" i="4"/>
  <c r="G472" i="4"/>
  <c r="H472" i="4"/>
  <c r="G473" i="4"/>
  <c r="H473" i="4"/>
  <c r="G474" i="4"/>
  <c r="H474" i="4"/>
  <c r="G475" i="4"/>
  <c r="H475" i="4"/>
  <c r="G476" i="4"/>
  <c r="H476" i="4"/>
  <c r="G477" i="4"/>
  <c r="H477" i="4"/>
  <c r="G478" i="4"/>
  <c r="H478" i="4"/>
  <c r="G479" i="4"/>
  <c r="H479" i="4"/>
  <c r="G480" i="4"/>
  <c r="H480" i="4"/>
  <c r="G481" i="4"/>
  <c r="H481" i="4"/>
  <c r="G482" i="4"/>
  <c r="H482" i="4"/>
  <c r="G483" i="4"/>
  <c r="H483" i="4"/>
  <c r="G484" i="4"/>
  <c r="H484" i="4"/>
  <c r="G485" i="4"/>
  <c r="H485" i="4"/>
  <c r="G486" i="4"/>
  <c r="H486" i="4"/>
  <c r="G487" i="4"/>
  <c r="H487" i="4"/>
  <c r="G488" i="4"/>
  <c r="H488" i="4"/>
  <c r="G489" i="4"/>
  <c r="H489" i="4"/>
  <c r="G490" i="4"/>
  <c r="H490" i="4"/>
  <c r="G491" i="4"/>
  <c r="H491" i="4"/>
  <c r="G492" i="4"/>
  <c r="H492" i="4"/>
  <c r="G493" i="4"/>
  <c r="H493" i="4"/>
  <c r="G494" i="4"/>
  <c r="H494" i="4"/>
  <c r="G495" i="4"/>
  <c r="H495" i="4"/>
  <c r="G496" i="4"/>
  <c r="H496" i="4"/>
  <c r="G497" i="4"/>
  <c r="H497" i="4"/>
  <c r="G498" i="4"/>
  <c r="H498" i="4"/>
  <c r="G499" i="4"/>
  <c r="H499" i="4"/>
  <c r="G500" i="4"/>
  <c r="H500" i="4"/>
  <c r="G501" i="4"/>
  <c r="H501" i="4"/>
  <c r="G502" i="4"/>
  <c r="H502" i="4"/>
  <c r="G503" i="4"/>
  <c r="H503" i="4"/>
  <c r="G504" i="4"/>
  <c r="H504" i="4"/>
  <c r="G505" i="4"/>
  <c r="H505" i="4"/>
  <c r="G506" i="4"/>
  <c r="H506" i="4"/>
  <c r="G507" i="4"/>
  <c r="H507" i="4"/>
  <c r="G508" i="4"/>
  <c r="H508" i="4"/>
  <c r="G509" i="4"/>
  <c r="H509" i="4"/>
  <c r="G510" i="4"/>
  <c r="H510" i="4"/>
  <c r="G511" i="4"/>
  <c r="H511" i="4"/>
  <c r="G512" i="4"/>
  <c r="H512" i="4"/>
  <c r="G513" i="4"/>
  <c r="H513" i="4"/>
  <c r="G514" i="4"/>
  <c r="H514" i="4"/>
  <c r="G515" i="4"/>
  <c r="H515" i="4"/>
  <c r="G516" i="4"/>
  <c r="H516" i="4"/>
  <c r="G517" i="4"/>
  <c r="H517" i="4"/>
  <c r="G518" i="4"/>
  <c r="H518" i="4"/>
  <c r="G519" i="4"/>
  <c r="H519" i="4"/>
  <c r="G520" i="4"/>
  <c r="H520" i="4"/>
  <c r="G521" i="4"/>
  <c r="H521" i="4"/>
  <c r="G522" i="4"/>
  <c r="H522" i="4"/>
  <c r="G523" i="4"/>
  <c r="H523" i="4"/>
  <c r="G524" i="4"/>
  <c r="H524" i="4"/>
  <c r="G525" i="4"/>
  <c r="H525" i="4"/>
  <c r="G526" i="4"/>
  <c r="H526" i="4"/>
  <c r="G527" i="4"/>
  <c r="H527" i="4"/>
  <c r="G528" i="4"/>
  <c r="H528" i="4"/>
  <c r="G529" i="4"/>
  <c r="H529" i="4"/>
  <c r="G530" i="4"/>
  <c r="H530" i="4"/>
  <c r="G531" i="4"/>
  <c r="H531" i="4"/>
  <c r="G532" i="4"/>
  <c r="H532" i="4"/>
  <c r="G533" i="4"/>
  <c r="H533" i="4"/>
  <c r="G534" i="4"/>
  <c r="H534" i="4"/>
  <c r="G535" i="4"/>
  <c r="H535" i="4"/>
  <c r="G536" i="4"/>
  <c r="H536" i="4"/>
  <c r="G537" i="4"/>
  <c r="H537" i="4"/>
  <c r="G538" i="4"/>
  <c r="H538" i="4"/>
  <c r="G539" i="4"/>
  <c r="H539" i="4"/>
  <c r="G540" i="4"/>
  <c r="H540" i="4"/>
  <c r="G541" i="4"/>
  <c r="H541" i="4"/>
  <c r="G542" i="4"/>
  <c r="H542" i="4"/>
  <c r="G543" i="4"/>
  <c r="H543" i="4"/>
  <c r="G544" i="4"/>
  <c r="H544" i="4"/>
  <c r="G545" i="4"/>
  <c r="H545" i="4"/>
  <c r="H546" i="4"/>
  <c r="H7" i="4"/>
  <c r="G7" i="4"/>
  <c r="K115" i="4" l="1"/>
  <c r="F43" i="41"/>
  <c r="D34" i="41"/>
  <c r="I33" i="41"/>
  <c r="H37" i="41"/>
  <c r="E13" i="39"/>
  <c r="E14" i="39"/>
  <c r="H14" i="39" s="1"/>
  <c r="E15" i="39"/>
  <c r="H15" i="39" s="1"/>
  <c r="D18" i="39"/>
  <c r="E17" i="39"/>
  <c r="C18" i="39"/>
  <c r="E11" i="39"/>
  <c r="H16" i="39"/>
  <c r="H13" i="39"/>
  <c r="E12" i="39"/>
  <c r="H5" i="33"/>
  <c r="K416" i="4"/>
  <c r="D4" i="31"/>
  <c r="C7" i="31" s="1"/>
  <c r="D8" i="31" s="1"/>
  <c r="K13" i="31" s="1"/>
  <c r="K14" i="31" s="1"/>
  <c r="G10" i="29"/>
  <c r="D13" i="29"/>
  <c r="D13" i="31"/>
  <c r="B8" i="27"/>
  <c r="B9" i="27" s="1"/>
  <c r="C11" i="26"/>
  <c r="C4" i="26" s="1"/>
  <c r="L9" i="26"/>
  <c r="L11" i="26" s="1"/>
  <c r="L19" i="26" s="1"/>
  <c r="L20" i="26" s="1"/>
  <c r="K6" i="26"/>
  <c r="K9" i="26" s="1"/>
  <c r="K11" i="26" s="1"/>
  <c r="K19" i="26" s="1"/>
  <c r="K20" i="26" s="1"/>
  <c r="J6" i="26"/>
  <c r="J9" i="26" s="1"/>
  <c r="J11" i="26" s="1"/>
  <c r="J19" i="26" s="1"/>
  <c r="J20" i="26" s="1"/>
  <c r="I6" i="26"/>
  <c r="I9" i="26" s="1"/>
  <c r="I11" i="26" s="1"/>
  <c r="I19" i="26" s="1"/>
  <c r="I20" i="26" s="1"/>
  <c r="J3" i="26"/>
  <c r="K3" i="26" s="1"/>
  <c r="D3" i="26"/>
  <c r="E3" i="26" s="1"/>
  <c r="F3" i="26" s="1"/>
  <c r="C9" i="25"/>
  <c r="K4" i="25"/>
  <c r="K7" i="25" s="1"/>
  <c r="K9" i="25" s="1"/>
  <c r="K17" i="25" s="1"/>
  <c r="K18" i="25" s="1"/>
  <c r="J4" i="25"/>
  <c r="J7" i="25" s="1"/>
  <c r="J9" i="25" s="1"/>
  <c r="J17" i="25" s="1"/>
  <c r="J18" i="25" s="1"/>
  <c r="I4" i="25"/>
  <c r="I7" i="25" s="1"/>
  <c r="I9" i="25" s="1"/>
  <c r="I17" i="25" s="1"/>
  <c r="I18" i="25" s="1"/>
  <c r="J1" i="25"/>
  <c r="K1" i="25" s="1"/>
  <c r="D1" i="25"/>
  <c r="E1" i="25" s="1"/>
  <c r="F1" i="25" s="1"/>
  <c r="J4" i="19"/>
  <c r="J7" i="19" s="1"/>
  <c r="J9" i="19" s="1"/>
  <c r="J17" i="19" s="1"/>
  <c r="J18" i="19" s="1"/>
  <c r="I4" i="19"/>
  <c r="I7" i="19" s="1"/>
  <c r="H20" i="20"/>
  <c r="H35" i="21"/>
  <c r="O20" i="20"/>
  <c r="Q20" i="20"/>
  <c r="Q11" i="20"/>
  <c r="O11" i="20"/>
  <c r="H11" i="20"/>
  <c r="H15" i="20" s="1"/>
  <c r="H19" i="20" s="1"/>
  <c r="F11" i="20"/>
  <c r="F15" i="20" s="1"/>
  <c r="J33" i="41" l="1"/>
  <c r="E34" i="41"/>
  <c r="G34" i="41" s="1"/>
  <c r="H38" i="41"/>
  <c r="H12" i="39"/>
  <c r="E18" i="39"/>
  <c r="H11" i="39"/>
  <c r="H18" i="39" s="1"/>
  <c r="H17" i="39"/>
  <c r="H9" i="33"/>
  <c r="H10" i="33" s="1"/>
  <c r="I5" i="33"/>
  <c r="I9" i="33" s="1"/>
  <c r="C14" i="33"/>
  <c r="G11" i="29"/>
  <c r="G12" i="29"/>
  <c r="K15" i="31"/>
  <c r="L3" i="26"/>
  <c r="C6" i="26"/>
  <c r="C13" i="26"/>
  <c r="C15" i="26" s="1"/>
  <c r="D7" i="27" s="1"/>
  <c r="C7" i="27" s="1"/>
  <c r="G7" i="27" s="1"/>
  <c r="D6" i="25"/>
  <c r="D9" i="25" s="1"/>
  <c r="C3" i="25"/>
  <c r="C4" i="25" s="1"/>
  <c r="C11" i="25" s="1"/>
  <c r="C13" i="25" s="1"/>
  <c r="L1" i="25"/>
  <c r="D8" i="26"/>
  <c r="D11" i="26" s="1"/>
  <c r="L4" i="25"/>
  <c r="L7" i="25" s="1"/>
  <c r="L9" i="25" s="1"/>
  <c r="L17" i="25" s="1"/>
  <c r="L18" i="25" s="1"/>
  <c r="H21" i="20"/>
  <c r="K4" i="19"/>
  <c r="I9" i="19"/>
  <c r="I17" i="19" s="1"/>
  <c r="I18" i="19" s="1"/>
  <c r="C9" i="19"/>
  <c r="C3" i="19" s="1"/>
  <c r="J1" i="19"/>
  <c r="K1" i="19" s="1"/>
  <c r="D1" i="19"/>
  <c r="E1" i="19" s="1"/>
  <c r="F1" i="19" s="1"/>
  <c r="H39" i="41" l="1"/>
  <c r="F44" i="41"/>
  <c r="D35" i="41"/>
  <c r="I34" i="41"/>
  <c r="H18" i="33"/>
  <c r="D15" i="33"/>
  <c r="C16" i="26"/>
  <c r="E6" i="25"/>
  <c r="E9" i="25" s="1"/>
  <c r="D3" i="25"/>
  <c r="D4" i="25" s="1"/>
  <c r="D11" i="25" s="1"/>
  <c r="D13" i="25" s="1"/>
  <c r="C14" i="25"/>
  <c r="D6" i="27"/>
  <c r="C6" i="27" s="1"/>
  <c r="G6" i="27" s="1"/>
  <c r="E8" i="26"/>
  <c r="E11" i="26" s="1"/>
  <c r="D4" i="26"/>
  <c r="K7" i="19"/>
  <c r="K9" i="19" s="1"/>
  <c r="K17" i="19" s="1"/>
  <c r="K18" i="19" s="1"/>
  <c r="C4" i="19"/>
  <c r="D6" i="19"/>
  <c r="D9" i="19" s="1"/>
  <c r="D3" i="19" s="1"/>
  <c r="M1" i="19"/>
  <c r="E35" i="41" l="1"/>
  <c r="G44" i="41"/>
  <c r="J34" i="41"/>
  <c r="H19" i="33"/>
  <c r="H20" i="33"/>
  <c r="C20" i="26"/>
  <c r="I14" i="26" s="1"/>
  <c r="C19" i="26"/>
  <c r="D6" i="26"/>
  <c r="D13" i="26"/>
  <c r="D15" i="26" s="1"/>
  <c r="F6" i="25"/>
  <c r="F9" i="25" s="1"/>
  <c r="F3" i="25" s="1"/>
  <c r="F4" i="25" s="1"/>
  <c r="F11" i="25" s="1"/>
  <c r="F13" i="25" s="1"/>
  <c r="E3" i="25"/>
  <c r="E4" i="25" s="1"/>
  <c r="E11" i="25" s="1"/>
  <c r="E13" i="25" s="1"/>
  <c r="D14" i="25"/>
  <c r="D17" i="25" s="1"/>
  <c r="D18" i="25" s="1"/>
  <c r="J12" i="25" s="1"/>
  <c r="C18" i="25"/>
  <c r="I12" i="25" s="1"/>
  <c r="C17" i="25"/>
  <c r="C11" i="19"/>
  <c r="C13" i="19" s="1"/>
  <c r="F8" i="26"/>
  <c r="F11" i="26" s="1"/>
  <c r="F4" i="26" s="1"/>
  <c r="E4" i="26"/>
  <c r="E6" i="19"/>
  <c r="E9" i="19" s="1"/>
  <c r="E3" i="19" s="1"/>
  <c r="F45" i="41" l="1"/>
  <c r="H44" i="41"/>
  <c r="G35" i="41"/>
  <c r="E6" i="26"/>
  <c r="E13" i="26"/>
  <c r="E15" i="26" s="1"/>
  <c r="F6" i="26"/>
  <c r="F13" i="26"/>
  <c r="F15" i="26" s="1"/>
  <c r="D16" i="26"/>
  <c r="D19" i="26" s="1"/>
  <c r="D20" i="26" s="1"/>
  <c r="J14" i="26" s="1"/>
  <c r="F14" i="25"/>
  <c r="E14" i="25"/>
  <c r="E17" i="25" s="1"/>
  <c r="E18" i="25" s="1"/>
  <c r="K12" i="25" s="1"/>
  <c r="D5" i="27"/>
  <c r="C5" i="27" s="1"/>
  <c r="C14" i="19"/>
  <c r="E4" i="19"/>
  <c r="E11" i="19" s="1"/>
  <c r="D4" i="19"/>
  <c r="F6" i="19"/>
  <c r="F7" i="19" s="1"/>
  <c r="M4" i="19" s="1"/>
  <c r="M7" i="19" s="1"/>
  <c r="G45" i="41" l="1"/>
  <c r="D36" i="41"/>
  <c r="I35" i="41"/>
  <c r="F16" i="26"/>
  <c r="E16" i="26"/>
  <c r="E19" i="26" s="1"/>
  <c r="E20" i="26" s="1"/>
  <c r="K14" i="26" s="1"/>
  <c r="F17" i="25"/>
  <c r="F18" i="25" s="1"/>
  <c r="L12" i="25" s="1"/>
  <c r="D8" i="27"/>
  <c r="D9" i="27" s="1"/>
  <c r="C16" i="27" s="1"/>
  <c r="D11" i="19"/>
  <c r="D13" i="19" s="1"/>
  <c r="C18" i="19"/>
  <c r="C17" i="19"/>
  <c r="I12" i="19" s="1"/>
  <c r="I13" i="19" s="1"/>
  <c r="C8" i="27"/>
  <c r="G5" i="27"/>
  <c r="G10" i="27" s="1"/>
  <c r="E13" i="19"/>
  <c r="M9" i="19"/>
  <c r="M17" i="19" s="1"/>
  <c r="M18" i="19" s="1"/>
  <c r="F9" i="19"/>
  <c r="F3" i="19" s="1"/>
  <c r="F4" i="19" s="1"/>
  <c r="F11" i="19" s="1"/>
  <c r="F13" i="19" s="1"/>
  <c r="J35" i="41" l="1"/>
  <c r="H45" i="41"/>
  <c r="E36" i="41"/>
  <c r="G36" i="41" s="1"/>
  <c r="F19" i="26"/>
  <c r="F20" i="26" s="1"/>
  <c r="L14" i="26" s="1"/>
  <c r="C17" i="27"/>
  <c r="D14" i="19"/>
  <c r="D17" i="19" s="1"/>
  <c r="J12" i="19" s="1"/>
  <c r="J13" i="19" s="1"/>
  <c r="D18" i="19"/>
  <c r="F14" i="19"/>
  <c r="G16" i="27"/>
  <c r="E14" i="19"/>
  <c r="J90" i="15"/>
  <c r="J92" i="15"/>
  <c r="J89" i="15"/>
  <c r="J88" i="15"/>
  <c r="G97" i="15"/>
  <c r="G96" i="15"/>
  <c r="F95" i="15"/>
  <c r="G69" i="15"/>
  <c r="E22" i="15"/>
  <c r="F44" i="15" s="1"/>
  <c r="G24" i="21" s="1"/>
  <c r="G25" i="21" s="1"/>
  <c r="H11" i="15"/>
  <c r="E11" i="15"/>
  <c r="F33" i="15" s="1"/>
  <c r="G12" i="21" s="1"/>
  <c r="H10" i="15"/>
  <c r="H32" i="15" s="1"/>
  <c r="I11" i="21" s="1"/>
  <c r="E10" i="15"/>
  <c r="F32" i="15" s="1"/>
  <c r="G11" i="21" s="1"/>
  <c r="H9" i="15"/>
  <c r="H31" i="15" s="1"/>
  <c r="I10" i="21" s="1"/>
  <c r="E9" i="15"/>
  <c r="H8" i="15"/>
  <c r="E8" i="15"/>
  <c r="F62" i="5"/>
  <c r="F63" i="5"/>
  <c r="F64" i="5"/>
  <c r="F65" i="5"/>
  <c r="F66" i="5"/>
  <c r="C67" i="5"/>
  <c r="F14" i="1" s="1"/>
  <c r="D67" i="5"/>
  <c r="G14" i="1" s="1"/>
  <c r="E67" i="5"/>
  <c r="H14" i="1" s="1"/>
  <c r="N42" i="5"/>
  <c r="C56" i="5"/>
  <c r="F13" i="1" s="1"/>
  <c r="F31" i="1" s="1"/>
  <c r="D56" i="5"/>
  <c r="F11" i="15" s="1"/>
  <c r="F91" i="15" s="1"/>
  <c r="E56" i="5"/>
  <c r="G11" i="15" s="1"/>
  <c r="G91" i="15" s="1"/>
  <c r="E30" i="5"/>
  <c r="E38" i="5" s="1"/>
  <c r="H12" i="1" s="1"/>
  <c r="C38" i="5"/>
  <c r="F12" i="1" s="1"/>
  <c r="F30" i="1" s="1"/>
  <c r="D38" i="5"/>
  <c r="F10" i="15" s="1"/>
  <c r="F90" i="15" s="1"/>
  <c r="F17" i="5"/>
  <c r="F18" i="5"/>
  <c r="F19" i="5"/>
  <c r="C20" i="5"/>
  <c r="F11" i="1" s="1"/>
  <c r="F29" i="1" s="1"/>
  <c r="D20" i="5"/>
  <c r="F9" i="15" s="1"/>
  <c r="F89" i="15" s="1"/>
  <c r="E20" i="5"/>
  <c r="G9" i="15" s="1"/>
  <c r="G89" i="15" s="1"/>
  <c r="K67" i="1"/>
  <c r="K69" i="1" s="1"/>
  <c r="C5" i="11"/>
  <c r="C6" i="11" s="1"/>
  <c r="D194" i="4"/>
  <c r="H194" i="4" s="1"/>
  <c r="I7" i="12"/>
  <c r="I8" i="12" s="1"/>
  <c r="I9" i="12" s="1"/>
  <c r="I10" i="12" s="1"/>
  <c r="I11" i="12" s="1"/>
  <c r="I12" i="12" s="1"/>
  <c r="D6" i="12"/>
  <c r="B6" i="12"/>
  <c r="B8" i="12" s="1"/>
  <c r="D150" i="4"/>
  <c r="H150" i="4" s="1"/>
  <c r="C16" i="11"/>
  <c r="D16" i="11" s="1"/>
  <c r="F16" i="11" s="1"/>
  <c r="D15" i="11"/>
  <c r="F15" i="11" s="1"/>
  <c r="G15" i="11" s="1"/>
  <c r="H15" i="11" s="1"/>
  <c r="I15" i="11" s="1"/>
  <c r="J15" i="11" s="1"/>
  <c r="K15" i="11" s="1"/>
  <c r="L15" i="11" s="1"/>
  <c r="M15" i="11" s="1"/>
  <c r="N15" i="11" s="1"/>
  <c r="O15" i="11" s="1"/>
  <c r="Q15" i="11" s="1"/>
  <c r="R15" i="11" s="1"/>
  <c r="T15" i="11" s="1"/>
  <c r="D14" i="11"/>
  <c r="F14" i="11" s="1"/>
  <c r="G14" i="11" s="1"/>
  <c r="H14" i="11" s="1"/>
  <c r="I14" i="11" s="1"/>
  <c r="J14" i="11" s="1"/>
  <c r="K14" i="11" s="1"/>
  <c r="L14" i="11" s="1"/>
  <c r="M14" i="11" s="1"/>
  <c r="N14" i="11" s="1"/>
  <c r="O14" i="11" s="1"/>
  <c r="Q14" i="11" s="1"/>
  <c r="R14" i="11" s="1"/>
  <c r="T14" i="11" s="1"/>
  <c r="D5" i="11"/>
  <c r="D11" i="11"/>
  <c r="F11" i="11" s="1"/>
  <c r="D10" i="1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Q10" i="11" s="1"/>
  <c r="R10" i="11" s="1"/>
  <c r="T10" i="11" s="1"/>
  <c r="D8" i="11"/>
  <c r="F8" i="11" s="1"/>
  <c r="G8" i="11" s="1"/>
  <c r="H8" i="11" s="1"/>
  <c r="I8" i="11" s="1"/>
  <c r="J8" i="11" s="1"/>
  <c r="K8" i="11" s="1"/>
  <c r="L8" i="11" s="1"/>
  <c r="M8" i="11" s="1"/>
  <c r="N8" i="11" s="1"/>
  <c r="O8" i="11" s="1"/>
  <c r="Q8" i="11" s="1"/>
  <c r="R8" i="11" s="1"/>
  <c r="T8" i="11" s="1"/>
  <c r="D225" i="4"/>
  <c r="H225" i="4" s="1"/>
  <c r="D227" i="4"/>
  <c r="D179" i="4"/>
  <c r="H179" i="4" s="1"/>
  <c r="D156" i="4"/>
  <c r="H156" i="4" s="1"/>
  <c r="D15" i="7"/>
  <c r="E15" i="7" s="1"/>
  <c r="G15" i="7" s="1"/>
  <c r="H15" i="7" s="1"/>
  <c r="I15" i="7" s="1"/>
  <c r="J15" i="7" s="1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AK15" i="7" s="1"/>
  <c r="AL15" i="7" s="1"/>
  <c r="AM15" i="7" s="1"/>
  <c r="AN15" i="7" s="1"/>
  <c r="AO15" i="7" s="1"/>
  <c r="AP15" i="7" s="1"/>
  <c r="AQ15" i="7" s="1"/>
  <c r="D8" i="7"/>
  <c r="E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AL8" i="7" s="1"/>
  <c r="AM8" i="7" s="1"/>
  <c r="AN8" i="7" s="1"/>
  <c r="AO8" i="7" s="1"/>
  <c r="AP8" i="7" s="1"/>
  <c r="AQ8" i="7" s="1"/>
  <c r="D14" i="7"/>
  <c r="E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4" i="7" s="1"/>
  <c r="AI14" i="7" s="1"/>
  <c r="AJ14" i="7" s="1"/>
  <c r="AK14" i="7" s="1"/>
  <c r="AL14" i="7" s="1"/>
  <c r="AM14" i="7" s="1"/>
  <c r="AN14" i="7" s="1"/>
  <c r="AO14" i="7" s="1"/>
  <c r="AP14" i="7" s="1"/>
  <c r="AQ14" i="7" s="1"/>
  <c r="D13" i="7"/>
  <c r="E13" i="7" s="1"/>
  <c r="G13" i="7" s="1"/>
  <c r="D4" i="7"/>
  <c r="D5" i="7" s="1"/>
  <c r="D6" i="7"/>
  <c r="E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I6" i="7" s="1"/>
  <c r="AJ6" i="7" s="1"/>
  <c r="AK6" i="7" s="1"/>
  <c r="AL6" i="7" s="1"/>
  <c r="AM6" i="7" s="1"/>
  <c r="AN6" i="7" s="1"/>
  <c r="AO6" i="7" s="1"/>
  <c r="AP6" i="7" s="1"/>
  <c r="AQ6" i="7" s="1"/>
  <c r="C4" i="7"/>
  <c r="C5" i="7" s="1"/>
  <c r="D7" i="7"/>
  <c r="E7" i="7" s="1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AH7" i="7" s="1"/>
  <c r="AI7" i="7" s="1"/>
  <c r="AJ7" i="7" s="1"/>
  <c r="AK7" i="7" s="1"/>
  <c r="AL7" i="7" s="1"/>
  <c r="AM7" i="7" s="1"/>
  <c r="AN7" i="7" s="1"/>
  <c r="AO7" i="7" s="1"/>
  <c r="AP7" i="7" s="1"/>
  <c r="AQ7" i="7" s="1"/>
  <c r="F11" i="5"/>
  <c r="F10" i="5"/>
  <c r="F9" i="5"/>
  <c r="D12" i="5"/>
  <c r="F8" i="15" s="1"/>
  <c r="F88" i="15" s="1"/>
  <c r="E12" i="5"/>
  <c r="G8" i="15" s="1"/>
  <c r="G88" i="15" s="1"/>
  <c r="C12" i="5"/>
  <c r="F10" i="1" s="1"/>
  <c r="F28" i="1" s="1"/>
  <c r="D219" i="4"/>
  <c r="H219" i="4" s="1"/>
  <c r="C114" i="4"/>
  <c r="G114" i="4" s="1"/>
  <c r="C112" i="4"/>
  <c r="G112" i="4" s="1"/>
  <c r="B1" i="4"/>
  <c r="C1" i="4" s="1"/>
  <c r="D1" i="4" s="1"/>
  <c r="E1" i="4" s="1"/>
  <c r="F1" i="4" s="1"/>
  <c r="G1" i="4" s="1"/>
  <c r="H1" i="4" s="1"/>
  <c r="I14" i="1" l="1"/>
  <c r="F32" i="1"/>
  <c r="F33" i="1" s="1"/>
  <c r="G63" i="1"/>
  <c r="D7" i="12"/>
  <c r="D37" i="41"/>
  <c r="I36" i="41"/>
  <c r="F46" i="41"/>
  <c r="H32" i="1"/>
  <c r="G32" i="1"/>
  <c r="G12" i="15"/>
  <c r="G92" i="15" s="1"/>
  <c r="G46" i="21"/>
  <c r="H69" i="15"/>
  <c r="E12" i="15"/>
  <c r="E92" i="15" s="1"/>
  <c r="H227" i="4"/>
  <c r="J5" i="12"/>
  <c r="B16" i="12"/>
  <c r="E17" i="19"/>
  <c r="K12" i="19" s="1"/>
  <c r="K13" i="19" s="1"/>
  <c r="F17" i="19"/>
  <c r="G17" i="27"/>
  <c r="G11" i="27"/>
  <c r="F12" i="15"/>
  <c r="F92" i="15" s="1"/>
  <c r="G10" i="15"/>
  <c r="G90" i="15" s="1"/>
  <c r="P8" i="15"/>
  <c r="P9" i="15"/>
  <c r="E89" i="15"/>
  <c r="H89" i="15" s="1"/>
  <c r="E90" i="15"/>
  <c r="E91" i="15"/>
  <c r="E88" i="15"/>
  <c r="H88" i="15" s="1"/>
  <c r="G32" i="15"/>
  <c r="H11" i="21" s="1"/>
  <c r="H30" i="15"/>
  <c r="I9" i="21" s="1"/>
  <c r="F45" i="15"/>
  <c r="P11" i="15"/>
  <c r="F30" i="15"/>
  <c r="G9" i="21" s="1"/>
  <c r="F31" i="15"/>
  <c r="E23" i="15"/>
  <c r="F67" i="5"/>
  <c r="F43" i="5"/>
  <c r="M42" i="5" s="1"/>
  <c r="J43" i="5" s="1"/>
  <c r="G13" i="1"/>
  <c r="G12" i="1"/>
  <c r="H11" i="1"/>
  <c r="F38" i="5"/>
  <c r="F25" i="5" s="1"/>
  <c r="F20" i="5"/>
  <c r="H30" i="1"/>
  <c r="G11" i="1"/>
  <c r="I11" i="1" s="1"/>
  <c r="H10" i="1"/>
  <c r="G10" i="1"/>
  <c r="M12" i="11"/>
  <c r="D6" i="11"/>
  <c r="D17" i="11" s="1"/>
  <c r="D18" i="11" s="1"/>
  <c r="H13" i="1"/>
  <c r="F15" i="1"/>
  <c r="G16" i="11"/>
  <c r="T12" i="11"/>
  <c r="N12" i="11"/>
  <c r="J12" i="11"/>
  <c r="F12" i="11"/>
  <c r="F13" i="11" s="1"/>
  <c r="O12" i="11"/>
  <c r="K12" i="11"/>
  <c r="G12" i="11"/>
  <c r="Q12" i="11"/>
  <c r="L12" i="11"/>
  <c r="H12" i="11"/>
  <c r="C12" i="11"/>
  <c r="C13" i="11" s="1"/>
  <c r="R12" i="11"/>
  <c r="I12" i="11"/>
  <c r="D12" i="11"/>
  <c r="D13" i="11" s="1"/>
  <c r="G11" i="11"/>
  <c r="E16" i="7"/>
  <c r="E17" i="7" s="1"/>
  <c r="D16" i="7"/>
  <c r="D17" i="7" s="1"/>
  <c r="C16" i="7"/>
  <c r="C17" i="7" s="1"/>
  <c r="G16" i="7"/>
  <c r="G17" i="7" s="1"/>
  <c r="H13" i="7"/>
  <c r="H16" i="7" s="1"/>
  <c r="AN9" i="7"/>
  <c r="AN10" i="7" s="1"/>
  <c r="AJ9" i="7"/>
  <c r="AJ10" i="7" s="1"/>
  <c r="AF9" i="7"/>
  <c r="AF10" i="7" s="1"/>
  <c r="AB9" i="7"/>
  <c r="AB10" i="7" s="1"/>
  <c r="X9" i="7"/>
  <c r="X10" i="7" s="1"/>
  <c r="T9" i="7"/>
  <c r="T10" i="7" s="1"/>
  <c r="P9" i="7"/>
  <c r="P10" i="7" s="1"/>
  <c r="L9" i="7"/>
  <c r="L10" i="7" s="1"/>
  <c r="D547" i="4" s="1"/>
  <c r="H9" i="7"/>
  <c r="C9" i="7"/>
  <c r="AO9" i="7"/>
  <c r="AO10" i="7" s="1"/>
  <c r="AK9" i="7"/>
  <c r="AK10" i="7" s="1"/>
  <c r="AG9" i="7"/>
  <c r="AG10" i="7" s="1"/>
  <c r="AC9" i="7"/>
  <c r="AC10" i="7" s="1"/>
  <c r="Y9" i="7"/>
  <c r="Y10" i="7" s="1"/>
  <c r="U9" i="7"/>
  <c r="U10" i="7" s="1"/>
  <c r="Q9" i="7"/>
  <c r="Q10" i="7" s="1"/>
  <c r="M9" i="7"/>
  <c r="I9" i="7"/>
  <c r="D9" i="7"/>
  <c r="AP9" i="7"/>
  <c r="AP10" i="7" s="1"/>
  <c r="AL9" i="7"/>
  <c r="AL10" i="7" s="1"/>
  <c r="AH9" i="7"/>
  <c r="AH10" i="7" s="1"/>
  <c r="AD9" i="7"/>
  <c r="AD10" i="7" s="1"/>
  <c r="Z9" i="7"/>
  <c r="Z10" i="7" s="1"/>
  <c r="V9" i="7"/>
  <c r="V10" i="7" s="1"/>
  <c r="R9" i="7"/>
  <c r="R10" i="7" s="1"/>
  <c r="N9" i="7"/>
  <c r="N10" i="7" s="1"/>
  <c r="J9" i="7"/>
  <c r="E9" i="7"/>
  <c r="AQ9" i="7"/>
  <c r="AQ10" i="7" s="1"/>
  <c r="AM9" i="7"/>
  <c r="AM10" i="7" s="1"/>
  <c r="AI9" i="7"/>
  <c r="AI10" i="7" s="1"/>
  <c r="AE9" i="7"/>
  <c r="AE10" i="7" s="1"/>
  <c r="AA9" i="7"/>
  <c r="AA10" i="7" s="1"/>
  <c r="W9" i="7"/>
  <c r="W10" i="7" s="1"/>
  <c r="S9" i="7"/>
  <c r="S10" i="7" s="1"/>
  <c r="O9" i="7"/>
  <c r="O10" i="7" s="1"/>
  <c r="K9" i="7"/>
  <c r="K10" i="7" s="1"/>
  <c r="G9" i="7"/>
  <c r="C547" i="4"/>
  <c r="I10" i="1" l="1"/>
  <c r="I13" i="1"/>
  <c r="G61" i="1"/>
  <c r="I12" i="1"/>
  <c r="G60" i="1"/>
  <c r="H12" i="15"/>
  <c r="H34" i="15" s="1"/>
  <c r="I13" i="21" s="1"/>
  <c r="G59" i="1"/>
  <c r="G62" i="1"/>
  <c r="D8" i="12"/>
  <c r="C17" i="11"/>
  <c r="C21" i="11" s="1"/>
  <c r="I32" i="1"/>
  <c r="E37" i="41"/>
  <c r="G37" i="41" s="1"/>
  <c r="G46" i="41"/>
  <c r="J36" i="41"/>
  <c r="G29" i="1"/>
  <c r="H29" i="1"/>
  <c r="G30" i="1"/>
  <c r="I30" i="1" s="1"/>
  <c r="H31" i="1"/>
  <c r="H28" i="1"/>
  <c r="G31" i="1"/>
  <c r="F17" i="11"/>
  <c r="G17" i="11" s="1"/>
  <c r="H17" i="11" s="1"/>
  <c r="I17" i="11" s="1"/>
  <c r="J17" i="11" s="1"/>
  <c r="K17" i="11" s="1"/>
  <c r="L17" i="11" s="1"/>
  <c r="M17" i="11" s="1"/>
  <c r="N17" i="11" s="1"/>
  <c r="O17" i="11" s="1"/>
  <c r="Q17" i="11" s="1"/>
  <c r="R17" i="11" s="1"/>
  <c r="T17" i="11" s="1"/>
  <c r="F34" i="15"/>
  <c r="G13" i="21" s="1"/>
  <c r="H92" i="15"/>
  <c r="E13" i="15"/>
  <c r="E18" i="19"/>
  <c r="F18" i="19"/>
  <c r="M12" i="19"/>
  <c r="M13" i="19" s="1"/>
  <c r="P10" i="15"/>
  <c r="H90" i="15"/>
  <c r="G28" i="1"/>
  <c r="D548" i="4"/>
  <c r="G31" i="15"/>
  <c r="H10" i="21" s="1"/>
  <c r="G10" i="21"/>
  <c r="G30" i="15"/>
  <c r="H9" i="21" s="1"/>
  <c r="K43" i="5"/>
  <c r="F56" i="5"/>
  <c r="D22" i="11"/>
  <c r="J10" i="7"/>
  <c r="H10" i="7"/>
  <c r="I10" i="7"/>
  <c r="G10" i="7"/>
  <c r="E10" i="7"/>
  <c r="C10" i="7"/>
  <c r="C20" i="7"/>
  <c r="D10" i="7"/>
  <c r="G13" i="11"/>
  <c r="H11" i="11"/>
  <c r="H16" i="11"/>
  <c r="M10" i="7"/>
  <c r="H17" i="7"/>
  <c r="I13" i="7"/>
  <c r="I16" i="7" s="1"/>
  <c r="I15" i="1" l="1"/>
  <c r="I31" i="1"/>
  <c r="P12" i="15"/>
  <c r="H13" i="15"/>
  <c r="D9" i="12"/>
  <c r="F17" i="15"/>
  <c r="F96" i="15" s="1"/>
  <c r="G18" i="11"/>
  <c r="G22" i="11" s="1"/>
  <c r="H20" i="11" s="1"/>
  <c r="F18" i="11"/>
  <c r="F22" i="11" s="1"/>
  <c r="G20" i="11" s="1"/>
  <c r="C18" i="11"/>
  <c r="C21" i="7"/>
  <c r="D19" i="7" s="1"/>
  <c r="I28" i="1"/>
  <c r="I29" i="1"/>
  <c r="G34" i="15"/>
  <c r="H13" i="21" s="1"/>
  <c r="G14" i="21"/>
  <c r="F35" i="15"/>
  <c r="D38" i="41"/>
  <c r="I37" i="41"/>
  <c r="H46" i="41"/>
  <c r="F47" i="41"/>
  <c r="G47" i="41" s="1"/>
  <c r="H47" i="41" s="1"/>
  <c r="E18" i="15"/>
  <c r="M43" i="5"/>
  <c r="J44" i="5" s="1"/>
  <c r="K44" i="5" s="1"/>
  <c r="N44" i="5" s="1"/>
  <c r="F20" i="11"/>
  <c r="D20" i="7"/>
  <c r="H18" i="11"/>
  <c r="I16" i="11"/>
  <c r="H13" i="11"/>
  <c r="I11" i="11"/>
  <c r="I17" i="7"/>
  <c r="J13" i="7"/>
  <c r="J16" i="7" s="1"/>
  <c r="F12" i="5"/>
  <c r="I33" i="1" l="1"/>
  <c r="I34" i="1" s="1"/>
  <c r="I47" i="1" s="1"/>
  <c r="H79" i="1" s="1"/>
  <c r="D10" i="12"/>
  <c r="C22" i="11"/>
  <c r="D20" i="11" s="1"/>
  <c r="D21" i="11" s="1"/>
  <c r="E38" i="41"/>
  <c r="F48" i="41" s="1"/>
  <c r="G48" i="41" s="1"/>
  <c r="H48" i="41" s="1"/>
  <c r="J37" i="41"/>
  <c r="F40" i="15"/>
  <c r="E97" i="15"/>
  <c r="H22" i="11"/>
  <c r="I20" i="11" s="1"/>
  <c r="M44" i="5"/>
  <c r="J45" i="5" s="1"/>
  <c r="K45" i="5" s="1"/>
  <c r="F21" i="11"/>
  <c r="E20" i="7"/>
  <c r="D21" i="7"/>
  <c r="E19" i="7" s="1"/>
  <c r="J11" i="11"/>
  <c r="I13" i="11"/>
  <c r="J16" i="11"/>
  <c r="I18" i="11"/>
  <c r="K13" i="7"/>
  <c r="K16" i="7" s="1"/>
  <c r="J17" i="7"/>
  <c r="D11" i="12" l="1"/>
  <c r="E10" i="12" s="1"/>
  <c r="G18" i="21"/>
  <c r="G38" i="41"/>
  <c r="D39" i="41"/>
  <c r="I38" i="41"/>
  <c r="M45" i="5"/>
  <c r="J46" i="5" s="1"/>
  <c r="K46" i="5" s="1"/>
  <c r="M46" i="5" s="1"/>
  <c r="J47" i="5" s="1"/>
  <c r="H46" i="1"/>
  <c r="I22" i="11"/>
  <c r="J20" i="11" s="1"/>
  <c r="H21" i="11"/>
  <c r="G21" i="11"/>
  <c r="E21" i="7"/>
  <c r="G19" i="7" s="1"/>
  <c r="G20" i="7"/>
  <c r="H20" i="7" s="1"/>
  <c r="J13" i="11"/>
  <c r="K11" i="11"/>
  <c r="J18" i="11"/>
  <c r="K16" i="11"/>
  <c r="K17" i="7"/>
  <c r="L13" i="7"/>
  <c r="L16" i="7" s="1"/>
  <c r="F10" i="12" l="1"/>
  <c r="E11" i="12"/>
  <c r="F11" i="12"/>
  <c r="E5" i="12"/>
  <c r="F5" i="12"/>
  <c r="E6" i="12"/>
  <c r="F6" i="12"/>
  <c r="F7" i="12"/>
  <c r="E7" i="12"/>
  <c r="E8" i="12"/>
  <c r="F8" i="12"/>
  <c r="F9" i="12"/>
  <c r="E9" i="12"/>
  <c r="N46" i="5"/>
  <c r="E39" i="41"/>
  <c r="J38" i="41"/>
  <c r="K47" i="5"/>
  <c r="J22" i="11"/>
  <c r="K20" i="11" s="1"/>
  <c r="I21" i="11"/>
  <c r="G21" i="7"/>
  <c r="H19" i="7" s="1"/>
  <c r="H21" i="7" s="1"/>
  <c r="I19" i="7" s="1"/>
  <c r="I20" i="7"/>
  <c r="K18" i="11"/>
  <c r="L16" i="11"/>
  <c r="L18" i="11" s="1"/>
  <c r="K13" i="11"/>
  <c r="L11" i="11"/>
  <c r="L13" i="11" s="1"/>
  <c r="L17" i="7"/>
  <c r="M13" i="7"/>
  <c r="M16" i="7" s="1"/>
  <c r="E45" i="12" l="1"/>
  <c r="E46" i="12"/>
  <c r="E44" i="12"/>
  <c r="E49" i="12"/>
  <c r="E47" i="12"/>
  <c r="E43" i="12"/>
  <c r="H16" i="41"/>
  <c r="E48" i="12"/>
  <c r="G10" i="12"/>
  <c r="H15" i="41"/>
  <c r="H13" i="41"/>
  <c r="H14" i="41"/>
  <c r="H12" i="41"/>
  <c r="H17" i="41"/>
  <c r="G9" i="12"/>
  <c r="G7" i="12"/>
  <c r="G6" i="12"/>
  <c r="F12" i="12"/>
  <c r="H11" i="41"/>
  <c r="G8" i="12"/>
  <c r="G11" i="12"/>
  <c r="G5" i="12"/>
  <c r="E12" i="12"/>
  <c r="F27" i="12" s="1"/>
  <c r="G16" i="15"/>
  <c r="G95" i="15" s="1"/>
  <c r="F49" i="41"/>
  <c r="E40" i="41"/>
  <c r="G39" i="41"/>
  <c r="I39" i="41" s="1"/>
  <c r="J39" i="41" s="1"/>
  <c r="J40" i="41" s="1"/>
  <c r="M47" i="5"/>
  <c r="J48" i="5" s="1"/>
  <c r="K48" i="5" s="1"/>
  <c r="M48" i="5" s="1"/>
  <c r="J49" i="5" s="1"/>
  <c r="K22" i="11"/>
  <c r="L20" i="11" s="1"/>
  <c r="J21" i="11"/>
  <c r="I21" i="7"/>
  <c r="J19" i="7" s="1"/>
  <c r="J20" i="7"/>
  <c r="M16" i="11"/>
  <c r="M18" i="11" s="1"/>
  <c r="M11" i="11"/>
  <c r="M13" i="11" s="1"/>
  <c r="N13" i="7"/>
  <c r="N16" i="7" s="1"/>
  <c r="M17" i="7"/>
  <c r="F29" i="12" l="1"/>
  <c r="J11" i="12"/>
  <c r="E50" i="12"/>
  <c r="J8" i="12"/>
  <c r="H18" i="41"/>
  <c r="J10" i="12"/>
  <c r="J12" i="12"/>
  <c r="J6" i="12"/>
  <c r="G12" i="12"/>
  <c r="J9" i="12"/>
  <c r="J7" i="12"/>
  <c r="G49" i="41"/>
  <c r="F50" i="41"/>
  <c r="E17" i="15"/>
  <c r="F19" i="1"/>
  <c r="J21" i="7"/>
  <c r="K19" i="7" s="1"/>
  <c r="F67" i="15"/>
  <c r="K49" i="5"/>
  <c r="M49" i="5" s="1"/>
  <c r="J50" i="5" s="1"/>
  <c r="L22" i="11"/>
  <c r="M20" i="11" s="1"/>
  <c r="K21" i="11"/>
  <c r="K20" i="7"/>
  <c r="L20" i="7" s="1"/>
  <c r="M20" i="7" s="1"/>
  <c r="H18" i="1" s="1"/>
  <c r="N11" i="11"/>
  <c r="N16" i="11"/>
  <c r="O13" i="7"/>
  <c r="O16" i="7" s="1"/>
  <c r="N17" i="7"/>
  <c r="H37" i="1" l="1"/>
  <c r="G64" i="1"/>
  <c r="J13" i="12"/>
  <c r="H49" i="41"/>
  <c r="H50" i="41" s="1"/>
  <c r="G50" i="41"/>
  <c r="F38" i="1"/>
  <c r="F39" i="15"/>
  <c r="G17" i="21" s="1"/>
  <c r="E96" i="15"/>
  <c r="H17" i="15"/>
  <c r="P17" i="15" s="1"/>
  <c r="K50" i="5"/>
  <c r="M22" i="11"/>
  <c r="L21" i="11"/>
  <c r="K21" i="7"/>
  <c r="L19" i="7" s="1"/>
  <c r="L21" i="7" s="1"/>
  <c r="M19" i="7" s="1"/>
  <c r="N20" i="7"/>
  <c r="N13" i="11"/>
  <c r="O11" i="11"/>
  <c r="N18" i="11"/>
  <c r="O16" i="11"/>
  <c r="P13" i="7"/>
  <c r="P16" i="7" s="1"/>
  <c r="O17" i="7"/>
  <c r="B17" i="12" l="1"/>
  <c r="N20" i="11"/>
  <c r="F18" i="1"/>
  <c r="I18" i="1" s="1"/>
  <c r="E16" i="15"/>
  <c r="O20" i="7"/>
  <c r="P20" i="7" s="1"/>
  <c r="M50" i="5"/>
  <c r="J51" i="5" s="1"/>
  <c r="N22" i="11"/>
  <c r="O20" i="11" s="1"/>
  <c r="M21" i="11"/>
  <c r="G19" i="1" s="1"/>
  <c r="I19" i="1" s="1"/>
  <c r="M21" i="7"/>
  <c r="O18" i="11"/>
  <c r="Q16" i="11"/>
  <c r="O13" i="11"/>
  <c r="Q11" i="11"/>
  <c r="P17" i="7"/>
  <c r="Q13" i="7"/>
  <c r="Q16" i="7" s="1"/>
  <c r="F22" i="12" l="1"/>
  <c r="F49" i="12" s="1"/>
  <c r="G49" i="12" s="1"/>
  <c r="F18" i="12"/>
  <c r="F45" i="12" s="1"/>
  <c r="G45" i="12" s="1"/>
  <c r="E21" i="12"/>
  <c r="E17" i="12"/>
  <c r="F21" i="12"/>
  <c r="F17" i="12"/>
  <c r="F44" i="12" s="1"/>
  <c r="G44" i="12" s="1"/>
  <c r="E20" i="12"/>
  <c r="E16" i="12"/>
  <c r="F19" i="12"/>
  <c r="E22" i="12"/>
  <c r="E18" i="12"/>
  <c r="F20" i="12"/>
  <c r="F47" i="12" s="1"/>
  <c r="G47" i="12" s="1"/>
  <c r="F16" i="12"/>
  <c r="E19" i="12"/>
  <c r="G38" i="1"/>
  <c r="G65" i="1"/>
  <c r="F37" i="1"/>
  <c r="F46" i="12"/>
  <c r="G46" i="12" s="1"/>
  <c r="F48" i="12"/>
  <c r="G48" i="12" s="1"/>
  <c r="O22" i="11"/>
  <c r="Q20" i="11" s="1"/>
  <c r="H16" i="15"/>
  <c r="P16" i="15" s="1"/>
  <c r="F38" i="15"/>
  <c r="E95" i="15"/>
  <c r="E19" i="15"/>
  <c r="K51" i="5"/>
  <c r="N21" i="11"/>
  <c r="N19" i="7"/>
  <c r="N21" i="7" s="1"/>
  <c r="O19" i="7" s="1"/>
  <c r="O21" i="7" s="1"/>
  <c r="P19" i="7" s="1"/>
  <c r="P21" i="7" s="1"/>
  <c r="Q20" i="7"/>
  <c r="Q18" i="11"/>
  <c r="R16" i="11"/>
  <c r="Q13" i="11"/>
  <c r="R11" i="11"/>
  <c r="Q17" i="7"/>
  <c r="R13" i="7"/>
  <c r="R16" i="7" s="1"/>
  <c r="F43" i="12" l="1"/>
  <c r="G17" i="12"/>
  <c r="G22" i="12"/>
  <c r="G20" i="12"/>
  <c r="J19" i="12"/>
  <c r="G21" i="12"/>
  <c r="J20" i="12"/>
  <c r="G19" i="12"/>
  <c r="J17" i="12"/>
  <c r="J18" i="12"/>
  <c r="G18" i="12"/>
  <c r="G16" i="12"/>
  <c r="J21" i="12"/>
  <c r="J22" i="12"/>
  <c r="H88" i="1"/>
  <c r="H89" i="1" s="1"/>
  <c r="I38" i="1"/>
  <c r="J16" i="12"/>
  <c r="G54" i="12" s="1"/>
  <c r="G20" i="1" s="1"/>
  <c r="F23" i="12"/>
  <c r="E23" i="12"/>
  <c r="Q22" i="11"/>
  <c r="R20" i="11" s="1"/>
  <c r="M51" i="5"/>
  <c r="J52" i="5" s="1"/>
  <c r="K52" i="5" s="1"/>
  <c r="M52" i="5" s="1"/>
  <c r="J53" i="5" s="1"/>
  <c r="G16" i="21"/>
  <c r="G19" i="21" s="1"/>
  <c r="F41" i="15"/>
  <c r="F46" i="15" s="1"/>
  <c r="O21" i="11"/>
  <c r="I37" i="1"/>
  <c r="R20" i="7"/>
  <c r="Q19" i="7"/>
  <c r="Q21" i="7" s="1"/>
  <c r="T11" i="11"/>
  <c r="R13" i="11"/>
  <c r="T16" i="11"/>
  <c r="R18" i="11"/>
  <c r="S13" i="7"/>
  <c r="S16" i="7" s="1"/>
  <c r="R17" i="7"/>
  <c r="E29" i="12" l="1"/>
  <c r="G29" i="12" s="1"/>
  <c r="E27" i="12"/>
  <c r="G27" i="12" s="1"/>
  <c r="G43" i="12"/>
  <c r="G50" i="12" s="1"/>
  <c r="F50" i="12"/>
  <c r="J23" i="12"/>
  <c r="G52" i="12" s="1"/>
  <c r="G23" i="12"/>
  <c r="Q21" i="11"/>
  <c r="H18" i="15"/>
  <c r="H19" i="15" s="1"/>
  <c r="G21" i="21"/>
  <c r="G27" i="21"/>
  <c r="Q15" i="20" s="1"/>
  <c r="Q16" i="20" s="1"/>
  <c r="Q21" i="20" s="1"/>
  <c r="K53" i="5"/>
  <c r="M53" i="5" s="1"/>
  <c r="J54" i="5" s="1"/>
  <c r="R22" i="11"/>
  <c r="T20" i="11" s="1"/>
  <c r="S20" i="7"/>
  <c r="R19" i="7"/>
  <c r="R21" i="7" s="1"/>
  <c r="T13" i="11"/>
  <c r="T18" i="11"/>
  <c r="S17" i="7"/>
  <c r="T13" i="7"/>
  <c r="T16" i="7" s="1"/>
  <c r="F20" i="1" l="1"/>
  <c r="G56" i="12"/>
  <c r="G39" i="1"/>
  <c r="G66" i="1"/>
  <c r="F18" i="15"/>
  <c r="K54" i="5"/>
  <c r="N54" i="5" s="1"/>
  <c r="T22" i="11"/>
  <c r="R21" i="11"/>
  <c r="T20" i="7"/>
  <c r="S19" i="7"/>
  <c r="S21" i="7" s="1"/>
  <c r="T17" i="7"/>
  <c r="U13" i="7"/>
  <c r="U16" i="7" s="1"/>
  <c r="I20" i="1" l="1"/>
  <c r="I21" i="1" s="1"/>
  <c r="F39" i="1"/>
  <c r="F40" i="1" s="1"/>
  <c r="F21" i="1"/>
  <c r="P18" i="15"/>
  <c r="F97" i="15"/>
  <c r="N55" i="5"/>
  <c r="H33" i="15" s="1"/>
  <c r="E33" i="15" s="1"/>
  <c r="M54" i="5"/>
  <c r="T21" i="11"/>
  <c r="U20" i="7"/>
  <c r="T19" i="7"/>
  <c r="T21" i="7" s="1"/>
  <c r="U17" i="7"/>
  <c r="V13" i="7"/>
  <c r="V16" i="7" s="1"/>
  <c r="I39" i="1" l="1"/>
  <c r="I40" i="1" s="1"/>
  <c r="I41" i="1" s="1"/>
  <c r="H50" i="1" s="1"/>
  <c r="G33" i="15"/>
  <c r="H12" i="21" s="1"/>
  <c r="H14" i="21" s="1"/>
  <c r="J91" i="15"/>
  <c r="H91" i="15" s="1"/>
  <c r="I12" i="21"/>
  <c r="I14" i="21" s="1"/>
  <c r="H35" i="15"/>
  <c r="V20" i="7"/>
  <c r="U19" i="7"/>
  <c r="U21" i="7" s="1"/>
  <c r="W13" i="7"/>
  <c r="W16" i="7" s="1"/>
  <c r="X16" i="7" s="1"/>
  <c r="Y16" i="7" s="1"/>
  <c r="Z16" i="7" s="1"/>
  <c r="AA16" i="7" s="1"/>
  <c r="AB16" i="7" s="1"/>
  <c r="AC16" i="7" s="1"/>
  <c r="AD16" i="7" s="1"/>
  <c r="AE16" i="7" s="1"/>
  <c r="AF16" i="7" s="1"/>
  <c r="AG16" i="7" s="1"/>
  <c r="AH16" i="7" s="1"/>
  <c r="AI16" i="7" s="1"/>
  <c r="AJ16" i="7" s="1"/>
  <c r="AK16" i="7" s="1"/>
  <c r="AL16" i="7" s="1"/>
  <c r="AM16" i="7" s="1"/>
  <c r="AN16" i="7" s="1"/>
  <c r="AO16" i="7" s="1"/>
  <c r="AP16" i="7" s="1"/>
  <c r="AQ16" i="7" s="1"/>
  <c r="V17" i="7"/>
  <c r="I51" i="1" l="1"/>
  <c r="H80" i="1" s="1"/>
  <c r="J35" i="15"/>
  <c r="H51" i="15" s="1"/>
  <c r="W20" i="7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AN20" i="7" s="1"/>
  <c r="AO20" i="7" s="1"/>
  <c r="AP20" i="7" s="1"/>
  <c r="AQ20" i="7" s="1"/>
  <c r="V19" i="7"/>
  <c r="V21" i="7" s="1"/>
  <c r="X13" i="7"/>
  <c r="W17" i="7"/>
  <c r="G50" i="15" l="1"/>
  <c r="H38" i="15"/>
  <c r="W19" i="7"/>
  <c r="W21" i="7" s="1"/>
  <c r="X17" i="7"/>
  <c r="Y13" i="7"/>
  <c r="E38" i="15" l="1"/>
  <c r="J95" i="15" s="1"/>
  <c r="H95" i="15" s="1"/>
  <c r="I16" i="21"/>
  <c r="G38" i="15"/>
  <c r="H16" i="21" s="1"/>
  <c r="X19" i="7"/>
  <c r="X21" i="7" s="1"/>
  <c r="Y17" i="7"/>
  <c r="Z13" i="7"/>
  <c r="Y19" i="7" l="1"/>
  <c r="Y21" i="7" s="1"/>
  <c r="AA13" i="7"/>
  <c r="Z17" i="7"/>
  <c r="Z19" i="7" l="1"/>
  <c r="Z21" i="7" s="1"/>
  <c r="AB13" i="7"/>
  <c r="AA17" i="7"/>
  <c r="AA19" i="7" l="1"/>
  <c r="AA21" i="7" s="1"/>
  <c r="AB17" i="7"/>
  <c r="AC13" i="7"/>
  <c r="AB19" i="7" l="1"/>
  <c r="AB21" i="7" s="1"/>
  <c r="AD13" i="7"/>
  <c r="AC17" i="7"/>
  <c r="AC19" i="7" l="1"/>
  <c r="AC21" i="7" s="1"/>
  <c r="AE13" i="7"/>
  <c r="AD17" i="7"/>
  <c r="AD19" i="7" l="1"/>
  <c r="AD21" i="7" s="1"/>
  <c r="AE17" i="7"/>
  <c r="AF13" i="7"/>
  <c r="AE19" i="7" l="1"/>
  <c r="AE21" i="7" s="1"/>
  <c r="AF17" i="7"/>
  <c r="AG13" i="7"/>
  <c r="H40" i="15" l="1"/>
  <c r="AF19" i="7"/>
  <c r="AF21" i="7" s="1"/>
  <c r="AG17" i="7"/>
  <c r="AH13" i="7"/>
  <c r="I18" i="21" l="1"/>
  <c r="G40" i="15"/>
  <c r="H18" i="21" s="1"/>
  <c r="E40" i="15"/>
  <c r="J97" i="15" s="1"/>
  <c r="H97" i="15" s="1"/>
  <c r="AG19" i="7"/>
  <c r="AG21" i="7" s="1"/>
  <c r="AI13" i="7"/>
  <c r="AH17" i="7"/>
  <c r="AH19" i="7" l="1"/>
  <c r="AH21" i="7" s="1"/>
  <c r="AJ13" i="7"/>
  <c r="AI17" i="7"/>
  <c r="AI19" i="7" l="1"/>
  <c r="AI21" i="7" s="1"/>
  <c r="AJ17" i="7"/>
  <c r="AK13" i="7"/>
  <c r="AJ19" i="7" l="1"/>
  <c r="AJ21" i="7" s="1"/>
  <c r="AK17" i="7"/>
  <c r="AL13" i="7"/>
  <c r="AK19" i="7" l="1"/>
  <c r="AK21" i="7" s="1"/>
  <c r="AM13" i="7"/>
  <c r="AL17" i="7"/>
  <c r="AL19" i="7" l="1"/>
  <c r="AL21" i="7" s="1"/>
  <c r="AM17" i="7"/>
  <c r="AN13" i="7"/>
  <c r="AM19" i="7" l="1"/>
  <c r="AM21" i="7" s="1"/>
  <c r="AN17" i="7"/>
  <c r="AO13" i="7"/>
  <c r="AN19" i="7" l="1"/>
  <c r="AN21" i="7" s="1"/>
  <c r="AP13" i="7"/>
  <c r="AO17" i="7"/>
  <c r="AO19" i="7" l="1"/>
  <c r="AO21" i="7" s="1"/>
  <c r="AQ13" i="7"/>
  <c r="AQ17" i="7" s="1"/>
  <c r="AP17" i="7"/>
  <c r="AP19" i="7" l="1"/>
  <c r="AP21" i="7" s="1"/>
  <c r="AQ19" i="7" l="1"/>
  <c r="AQ21" i="7" s="1"/>
  <c r="H39" i="15" l="1"/>
  <c r="G39" i="15" s="1"/>
  <c r="I17" i="21" l="1"/>
  <c r="I19" i="21" s="1"/>
  <c r="I21" i="21" s="1"/>
  <c r="H21" i="21" s="1"/>
  <c r="G34" i="21" s="1"/>
  <c r="E39" i="15"/>
  <c r="J96" i="15" s="1"/>
  <c r="H96" i="15" s="1"/>
  <c r="H98" i="15" s="1"/>
  <c r="H17" i="21"/>
  <c r="H19" i="21" s="1"/>
  <c r="H41" i="15"/>
  <c r="F19" i="20"/>
  <c r="J41" i="15" l="1"/>
  <c r="H55" i="15" s="1"/>
  <c r="F80" i="15" s="1"/>
  <c r="F73" i="15"/>
  <c r="G54" i="15" l="1"/>
  <c r="G68" i="1"/>
  <c r="G69" i="1" s="1"/>
  <c r="H73" i="1" s="1"/>
  <c r="F75" i="15"/>
  <c r="G64" i="15" s="1"/>
  <c r="I74" i="1" l="1"/>
  <c r="H81" i="1"/>
  <c r="H82" i="1" s="1"/>
  <c r="K56" i="1"/>
  <c r="K68" i="1" s="1"/>
  <c r="F23" i="20"/>
  <c r="F24" i="20"/>
  <c r="H65" i="15"/>
  <c r="G41" i="21"/>
  <c r="F77" i="15"/>
  <c r="F79" i="15" s="1"/>
  <c r="F81" i="15" s="1"/>
  <c r="G73" i="15"/>
  <c r="G81" i="15" s="1"/>
  <c r="G43" i="21" l="1"/>
  <c r="H43" i="21" s="1"/>
  <c r="H46" i="21"/>
  <c r="G82" i="15"/>
  <c r="G33" i="21"/>
  <c r="G35" i="21" s="1"/>
  <c r="J81" i="15"/>
  <c r="F20" i="20" l="1"/>
  <c r="H71" i="15"/>
  <c r="G49" i="21" s="1"/>
  <c r="H49" i="21" s="1"/>
  <c r="F21" i="20" l="1"/>
  <c r="F22" i="20"/>
  <c r="H51" i="21"/>
  <c r="G51" i="21"/>
  <c r="G52" i="21" s="1"/>
  <c r="H81" i="15"/>
  <c r="E547" i="4" l="1"/>
  <c r="E549" i="4" s="1"/>
  <c r="H547" i="4"/>
  <c r="F547" i="4"/>
  <c r="G547" i="4"/>
  <c r="G549" i="4" s="1"/>
  <c r="H22" i="15"/>
  <c r="H23" i="15" s="1"/>
  <c r="P22" i="15" l="1"/>
  <c r="F548" i="4"/>
  <c r="H548" i="4" s="1"/>
  <c r="H549" i="4" s="1"/>
  <c r="H44" i="15"/>
  <c r="F549" i="4" l="1"/>
  <c r="F552" i="4" s="1"/>
  <c r="I24" i="21"/>
  <c r="I25" i="21" s="1"/>
  <c r="I27" i="21" s="1"/>
  <c r="O15" i="20" s="1"/>
  <c r="O16" i="20" s="1"/>
  <c r="O21" i="20" s="1"/>
  <c r="H45" i="15"/>
  <c r="G44" i="15"/>
  <c r="H24" i="21" s="1"/>
  <c r="H550" i="4"/>
  <c r="H46" i="15" l="1"/>
  <c r="L35" i="15"/>
  <c r="J45" i="15"/>
  <c r="H59" i="15" s="1"/>
  <c r="G58" i="15" s="1"/>
</calcChain>
</file>

<file path=xl/comments1.xml><?xml version="1.0" encoding="utf-8"?>
<comments xmlns="http://schemas.openxmlformats.org/spreadsheetml/2006/main">
  <authors>
    <author>Autor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DIFERENCIA TEMPORAL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DIFERENCIA TEMPORAL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DIFERENCIA TEMPORAL</t>
        </r>
      </text>
    </comment>
  </commentList>
</comments>
</file>

<file path=xl/sharedStrings.xml><?xml version="1.0" encoding="utf-8"?>
<sst xmlns="http://schemas.openxmlformats.org/spreadsheetml/2006/main" count="2045" uniqueCount="1392">
  <si>
    <t>MOVIMIENTOS DEL PERIODO</t>
  </si>
  <si>
    <t>DESCRIPCIÓN</t>
  </si>
  <si>
    <t>DEBE</t>
  </si>
  <si>
    <t>HABER</t>
  </si>
  <si>
    <t>ACTIVO</t>
  </si>
  <si>
    <t>10101</t>
  </si>
  <si>
    <t>CAJA TESORERIA SOLES</t>
  </si>
  <si>
    <t>10102</t>
  </si>
  <si>
    <t>CAJA COURIER</t>
  </si>
  <si>
    <t>10103</t>
  </si>
  <si>
    <t>CAJA OPERACIONES</t>
  </si>
  <si>
    <t>10106</t>
  </si>
  <si>
    <t>CAJA DIRECTORIO</t>
  </si>
  <si>
    <t>10111</t>
  </si>
  <si>
    <t>CAJA COMPENSACIONES SOLES</t>
  </si>
  <si>
    <t>10112</t>
  </si>
  <si>
    <t>CAJA COMPENSACIONES DOLARES</t>
  </si>
  <si>
    <t>10122</t>
  </si>
  <si>
    <t>CAJA TESORERIA-DOLARES</t>
  </si>
  <si>
    <t>10201</t>
  </si>
  <si>
    <t>FONDO FIJO COBRANZA FAUCET - SOLES</t>
  </si>
  <si>
    <t>10202</t>
  </si>
  <si>
    <t>FONDO FIJO COBRANZA FAUCETT - DOLARES</t>
  </si>
  <si>
    <t>10203</t>
  </si>
  <si>
    <t>FONDO FIJO TACNA</t>
  </si>
  <si>
    <t>10208</t>
  </si>
  <si>
    <t>FONDO FIJO COUNTER DE MIRAFLORES MN</t>
  </si>
  <si>
    <t>10209</t>
  </si>
  <si>
    <t>FONDO FIJO COUNTER DE MIRAFLORES ME</t>
  </si>
  <si>
    <t>10213</t>
  </si>
  <si>
    <t>FONDO FIJO AREQUIPA(SICCSA)</t>
  </si>
  <si>
    <t>10235</t>
  </si>
  <si>
    <t>FONDO FIJO PIURA</t>
  </si>
  <si>
    <t>10236</t>
  </si>
  <si>
    <t>FONDO FIJO PIURA - M.E.</t>
  </si>
  <si>
    <t>10241</t>
  </si>
  <si>
    <t>FONDO FIJO TRUJILLO</t>
  </si>
  <si>
    <t>10245</t>
  </si>
  <si>
    <t>TARJETA DE CREDITO DIRECTORIO MN</t>
  </si>
  <si>
    <t>10246</t>
  </si>
  <si>
    <t>TARJETA DE CREDITO DIRECTORIO ME</t>
  </si>
  <si>
    <t>10247</t>
  </si>
  <si>
    <t>FONDO FIJO COBRANZA AQP - SOLES</t>
  </si>
  <si>
    <t>10248</t>
  </si>
  <si>
    <t>FONDO FIJO COBRANZA AQP -DOLARES</t>
  </si>
  <si>
    <t>10301</t>
  </si>
  <si>
    <t>REM LIM- AQP - SOLES</t>
  </si>
  <si>
    <t>10302</t>
  </si>
  <si>
    <t>REMESA LIM-AQP ME</t>
  </si>
  <si>
    <t>10303</t>
  </si>
  <si>
    <t>CAJA COBRANZAS</t>
  </si>
  <si>
    <t>10305</t>
  </si>
  <si>
    <t>REMESA LIM-TCN MN</t>
  </si>
  <si>
    <t>10306</t>
  </si>
  <si>
    <t>REM LIM-TCN ME</t>
  </si>
  <si>
    <t>10308</t>
  </si>
  <si>
    <t>REMESA LIM-PIU-ME</t>
  </si>
  <si>
    <t>10309</t>
  </si>
  <si>
    <t>REMESA LIMA-TRU MN</t>
  </si>
  <si>
    <t>10310</t>
  </si>
  <si>
    <t>REMESA LIM-TRU-ME</t>
  </si>
  <si>
    <t>10316</t>
  </si>
  <si>
    <t>REMESA AQP-TCN ME</t>
  </si>
  <si>
    <t>10323</t>
  </si>
  <si>
    <t>REMESA PIU-TRU MN</t>
  </si>
  <si>
    <t>10324</t>
  </si>
  <si>
    <t>REMESA PIU-TRU ME</t>
  </si>
  <si>
    <t>10401</t>
  </si>
  <si>
    <t>BANCO CONTINENTAL - SOLES</t>
  </si>
  <si>
    <t>10402</t>
  </si>
  <si>
    <t>BANCO CREDITO - SOLES</t>
  </si>
  <si>
    <t>10403</t>
  </si>
  <si>
    <t>BANCO SCOTIABANK - SOLES</t>
  </si>
  <si>
    <t>10421</t>
  </si>
  <si>
    <t>BANCO CONTINENTAL - DOLARES</t>
  </si>
  <si>
    <t>10422</t>
  </si>
  <si>
    <t>BANCO CREDITO - DOLARES</t>
  </si>
  <si>
    <t>10423</t>
  </si>
  <si>
    <t>BANCO SCOTIABANK - DOLARES</t>
  </si>
  <si>
    <t>10431</t>
  </si>
  <si>
    <t>BANCO DE CREDITO MIAMI - DOLARES</t>
  </si>
  <si>
    <t>10432</t>
  </si>
  <si>
    <t>INTERBANK  - SOLES</t>
  </si>
  <si>
    <t>10433</t>
  </si>
  <si>
    <t>INTERBANK - DOLARES</t>
  </si>
  <si>
    <t>10441</t>
  </si>
  <si>
    <t>BANCO DE CREDITO GARANTIA - ME</t>
  </si>
  <si>
    <t>10442</t>
  </si>
  <si>
    <t>SANTANDER ME 0008068089</t>
  </si>
  <si>
    <t>10445</t>
  </si>
  <si>
    <t>BCP MN 475-1925618-0-64</t>
  </si>
  <si>
    <t>10446</t>
  </si>
  <si>
    <t>BCP M.E. 475-1804857-1-66</t>
  </si>
  <si>
    <t>10450</t>
  </si>
  <si>
    <t>BCP TCN MN 540-1972147-0-20</t>
  </si>
  <si>
    <t>10486</t>
  </si>
  <si>
    <t>BANCO FINANCIERO LIMA ME 000-531362710</t>
  </si>
  <si>
    <t>10601</t>
  </si>
  <si>
    <t>DEPOSITOS A PLAZOS - SOLES</t>
  </si>
  <si>
    <t>10801</t>
  </si>
  <si>
    <t>OTROS DEPOSITOS - SOLES</t>
  </si>
  <si>
    <t>10804</t>
  </si>
  <si>
    <t>BANCO DE CREDITO CUENTA DE AHORROS ME</t>
  </si>
  <si>
    <t>10901</t>
  </si>
  <si>
    <t>CUENTA CORRIENTE - BANCO DE LA NACION</t>
  </si>
  <si>
    <t>12101</t>
  </si>
  <si>
    <t>CUENTAS POR COBRAR - SOLES</t>
  </si>
  <si>
    <t>12102</t>
  </si>
  <si>
    <t>CUENTAS POR COBRAR - DOLARES</t>
  </si>
  <si>
    <t>12103</t>
  </si>
  <si>
    <t>DOCUMENTO DE COBRANZA - SOLES</t>
  </si>
  <si>
    <t>12104</t>
  </si>
  <si>
    <t>DOCUMENTO DE COBRANZA - DOLARES</t>
  </si>
  <si>
    <t>12112</t>
  </si>
  <si>
    <t>12201</t>
  </si>
  <si>
    <t>ANTICIPOS DE CLIENTES - SOLES</t>
  </si>
  <si>
    <t>12202</t>
  </si>
  <si>
    <t>ANTICIPOS DE CLIENTES DOLARES</t>
  </si>
  <si>
    <t>12203</t>
  </si>
  <si>
    <t>ANTICIPO POR APLICAR  - SOLES</t>
  </si>
  <si>
    <t>12204</t>
  </si>
  <si>
    <t>ANTICIPO POR APLICAR  - DOLARES</t>
  </si>
  <si>
    <t>12901</t>
  </si>
  <si>
    <t>COBRANZA DUDOSA - SOLES</t>
  </si>
  <si>
    <t>12902</t>
  </si>
  <si>
    <t>COBRANZA DUDOSA - DOLARES</t>
  </si>
  <si>
    <t>13105</t>
  </si>
  <si>
    <t>13106</t>
  </si>
  <si>
    <t>DERECHOS DE ADUANA X CR</t>
  </si>
  <si>
    <t>13108</t>
  </si>
  <si>
    <t>SUNAT - PERCEPCIONES IGV</t>
  </si>
  <si>
    <t>13109</t>
  </si>
  <si>
    <t>DERECHOS  ADUANAS - POR RENDIR</t>
  </si>
  <si>
    <t>14101</t>
  </si>
  <si>
    <t>PRESTAMO A EMPLEADOS - SOLES</t>
  </si>
  <si>
    <t>14102</t>
  </si>
  <si>
    <t>PRESTAMOS A EMPLEADOS - DOLARE</t>
  </si>
  <si>
    <t>14121</t>
  </si>
  <si>
    <t>ADELANTO DE SUELDOS</t>
  </si>
  <si>
    <t>14201</t>
  </si>
  <si>
    <t>PRESTAMO A ACC.Y/O SOCIOS - SOLES</t>
  </si>
  <si>
    <t>14202</t>
  </si>
  <si>
    <t>PRESTAMOS A ACC.Y/O SOCIOS - DOLARES</t>
  </si>
  <si>
    <t>14204</t>
  </si>
  <si>
    <t>PRESTAMO A ACC.Y/O SOCIOS - DOLARES</t>
  </si>
  <si>
    <t>14208</t>
  </si>
  <si>
    <t>CUENTAS POR COBRAR A SOCIOS O ACCIONISTAS MN</t>
  </si>
  <si>
    <t>14301</t>
  </si>
  <si>
    <t>PRESTAMO A DIRECTORES - SOLES</t>
  </si>
  <si>
    <t>14302</t>
  </si>
  <si>
    <t>PRESTAMO A DIRECTORES - DOLARES</t>
  </si>
  <si>
    <t>16101</t>
  </si>
  <si>
    <t>GASTOS X CUENTA DE CLIENTE - SOLES</t>
  </si>
  <si>
    <t>16102</t>
  </si>
  <si>
    <t>GASTOS X CUENTA DE CLIENTE  - DOLARES</t>
  </si>
  <si>
    <t>16109</t>
  </si>
  <si>
    <t>GASTOS OPERACION CORPORATIVA - SOLES</t>
  </si>
  <si>
    <t>16110</t>
  </si>
  <si>
    <t>GASTOS OPERACION CORPORATIVA - DOLARES</t>
  </si>
  <si>
    <t>16111</t>
  </si>
  <si>
    <t>GASTOS DE DESPACHO REEMBOLSABLES MN</t>
  </si>
  <si>
    <t>16119</t>
  </si>
  <si>
    <t>PRESTAMOS A TERCEROS</t>
  </si>
  <si>
    <t>16201</t>
  </si>
  <si>
    <t>RECLAMACIONES - SOLES</t>
  </si>
  <si>
    <t>16202</t>
  </si>
  <si>
    <t>RECLAMACIONES - DOLARES</t>
  </si>
  <si>
    <t>16203</t>
  </si>
  <si>
    <t>CHEQUES DEVUELTOS SOLES</t>
  </si>
  <si>
    <t>16204</t>
  </si>
  <si>
    <t>CHEQUES DEVUELTOS DOLARES</t>
  </si>
  <si>
    <t>16401</t>
  </si>
  <si>
    <t>DEPOSITOS EN GARANTIA - SOLES</t>
  </si>
  <si>
    <t>16402</t>
  </si>
  <si>
    <t>DEPOSITOS EN GARANTIA - DOLARES</t>
  </si>
  <si>
    <t>16502</t>
  </si>
  <si>
    <t>16511</t>
  </si>
  <si>
    <t>LINE HALL - MISCELANEOUS OUTBOUND</t>
  </si>
  <si>
    <t>16512</t>
  </si>
  <si>
    <t>MISCELANEOS INBOUND</t>
  </si>
  <si>
    <t>16606</t>
  </si>
  <si>
    <t>FLETE</t>
  </si>
  <si>
    <t>16607</t>
  </si>
  <si>
    <t>HANDLING</t>
  </si>
  <si>
    <t>16702</t>
  </si>
  <si>
    <t>SERVICIOS LOGISTICOS-DERECHOS COURIER</t>
  </si>
  <si>
    <t>16801</t>
  </si>
  <si>
    <t>OTRAS CUENTAS X COB.DIVERSAS -SOLES</t>
  </si>
  <si>
    <t>16802</t>
  </si>
  <si>
    <t>OTRAS CUENTAS X COB.DIVERSAS -DOLARES</t>
  </si>
  <si>
    <t>16803</t>
  </si>
  <si>
    <t>SUBSIDIOS</t>
  </si>
  <si>
    <t>16804</t>
  </si>
  <si>
    <t>CUENTAS POR COBRAR PERSONAS NATURALES</t>
  </si>
  <si>
    <t>16908</t>
  </si>
  <si>
    <t>COBRANZA DUDOSA, OTROS - DOLARES</t>
  </si>
  <si>
    <t>18101</t>
  </si>
  <si>
    <t>PRESTAMOS ENTRE FILIALES MN</t>
  </si>
  <si>
    <t>18102</t>
  </si>
  <si>
    <t>PRESTAMOS ENTRE FILIALES ME</t>
  </si>
  <si>
    <t>18103</t>
  </si>
  <si>
    <t>PAGOS POR FILIALES MN</t>
  </si>
  <si>
    <t>18104</t>
  </si>
  <si>
    <t>PAGOS POR FILIALES ME</t>
  </si>
  <si>
    <t>18903</t>
  </si>
  <si>
    <t>COSTOS DIFERIDOS ME</t>
  </si>
  <si>
    <t>33210</t>
  </si>
  <si>
    <t>EDIFICIOS Y OTRAS CONSTRUCCION</t>
  </si>
  <si>
    <t>33211</t>
  </si>
  <si>
    <t>33310</t>
  </si>
  <si>
    <t>33410</t>
  </si>
  <si>
    <t>33411</t>
  </si>
  <si>
    <t>33510</t>
  </si>
  <si>
    <t>33610</t>
  </si>
  <si>
    <t>33611</t>
  </si>
  <si>
    <t>33612</t>
  </si>
  <si>
    <t>33613</t>
  </si>
  <si>
    <t>33710</t>
  </si>
  <si>
    <t>33711</t>
  </si>
  <si>
    <t>34101</t>
  </si>
  <si>
    <t>34102</t>
  </si>
  <si>
    <t>34106</t>
  </si>
  <si>
    <t>38101</t>
  </si>
  <si>
    <t>38102</t>
  </si>
  <si>
    <t>38111</t>
  </si>
  <si>
    <t>38201</t>
  </si>
  <si>
    <t>38204</t>
  </si>
  <si>
    <t>38205</t>
  </si>
  <si>
    <t>38206</t>
  </si>
  <si>
    <t>38289</t>
  </si>
  <si>
    <t>38302</t>
  </si>
  <si>
    <t>38451</t>
  </si>
  <si>
    <t>38452</t>
  </si>
  <si>
    <t>38501</t>
  </si>
  <si>
    <t>38503</t>
  </si>
  <si>
    <t>38801</t>
  </si>
  <si>
    <t>38902</t>
  </si>
  <si>
    <t>38903</t>
  </si>
  <si>
    <t>38905</t>
  </si>
  <si>
    <t>38910</t>
  </si>
  <si>
    <t>IMPUESTO A LA RENTA DIFERIDO</t>
  </si>
  <si>
    <t>39201</t>
  </si>
  <si>
    <t>39301</t>
  </si>
  <si>
    <t>DEPRECIACION DE INSTALACIONES</t>
  </si>
  <si>
    <t>39402</t>
  </si>
  <si>
    <t>39501</t>
  </si>
  <si>
    <t>39601</t>
  </si>
  <si>
    <t>39608</t>
  </si>
  <si>
    <t>DEPRECIACION EQUIPOS DE COMPUTO</t>
  </si>
  <si>
    <t>39701</t>
  </si>
  <si>
    <t>AMORTIZACION DE INTANGIBLES</t>
  </si>
  <si>
    <t>39801</t>
  </si>
  <si>
    <t>40110</t>
  </si>
  <si>
    <t>40112</t>
  </si>
  <si>
    <t>40113</t>
  </si>
  <si>
    <t>40114</t>
  </si>
  <si>
    <t>40130</t>
  </si>
  <si>
    <t>40172</t>
  </si>
  <si>
    <t>40173</t>
  </si>
  <si>
    <t>40174</t>
  </si>
  <si>
    <t>40175</t>
  </si>
  <si>
    <t>40177</t>
  </si>
  <si>
    <t>40186</t>
  </si>
  <si>
    <t>40310</t>
  </si>
  <si>
    <t>40311</t>
  </si>
  <si>
    <t>40312</t>
  </si>
  <si>
    <t>40315</t>
  </si>
  <si>
    <t>40316</t>
  </si>
  <si>
    <t>40317</t>
  </si>
  <si>
    <t>40318</t>
  </si>
  <si>
    <t>41101</t>
  </si>
  <si>
    <t>41102</t>
  </si>
  <si>
    <t>41103</t>
  </si>
  <si>
    <t>PRESTACIONES ALIMENTARIAS</t>
  </si>
  <si>
    <t>41104</t>
  </si>
  <si>
    <t>AGUINALDO NAVIDEÑO</t>
  </si>
  <si>
    <t>41105</t>
  </si>
  <si>
    <t>REFRIGERIO</t>
  </si>
  <si>
    <t>41301</t>
  </si>
  <si>
    <t>41401</t>
  </si>
  <si>
    <t>41402</t>
  </si>
  <si>
    <t>41501</t>
  </si>
  <si>
    <t>41502</t>
  </si>
  <si>
    <t>41503</t>
  </si>
  <si>
    <t>41510</t>
  </si>
  <si>
    <t>41601</t>
  </si>
  <si>
    <t>41602</t>
  </si>
  <si>
    <t>PRACTICAS PRE-PROFESIONALES</t>
  </si>
  <si>
    <t>42110</t>
  </si>
  <si>
    <t>42112</t>
  </si>
  <si>
    <t>42113</t>
  </si>
  <si>
    <t>42114</t>
  </si>
  <si>
    <t>42116</t>
  </si>
  <si>
    <t>42201</t>
  </si>
  <si>
    <t>42202</t>
  </si>
  <si>
    <t>44101</t>
  </si>
  <si>
    <t>ELECTRICIDAD</t>
  </si>
  <si>
    <t>44102</t>
  </si>
  <si>
    <t>44103</t>
  </si>
  <si>
    <t>TELEFONOS</t>
  </si>
  <si>
    <t>44104</t>
  </si>
  <si>
    <t>ALQUILERES</t>
  </si>
  <si>
    <t>44105</t>
  </si>
  <si>
    <t>44109</t>
  </si>
  <si>
    <t>44110</t>
  </si>
  <si>
    <t>44508</t>
  </si>
  <si>
    <t>46101</t>
  </si>
  <si>
    <t>46102</t>
  </si>
  <si>
    <t>46201</t>
  </si>
  <si>
    <t>46202</t>
  </si>
  <si>
    <t>46301</t>
  </si>
  <si>
    <t>46302</t>
  </si>
  <si>
    <t>46401</t>
  </si>
  <si>
    <t>46601</t>
  </si>
  <si>
    <t>46602</t>
  </si>
  <si>
    <t>46702</t>
  </si>
  <si>
    <t>46802</t>
  </si>
  <si>
    <t>46901</t>
  </si>
  <si>
    <t>46902</t>
  </si>
  <si>
    <t>46904</t>
  </si>
  <si>
    <t>46908</t>
  </si>
  <si>
    <t>46911</t>
  </si>
  <si>
    <t>46912</t>
  </si>
  <si>
    <t>46915</t>
  </si>
  <si>
    <t>46917</t>
  </si>
  <si>
    <t>47110</t>
  </si>
  <si>
    <t>49101</t>
  </si>
  <si>
    <t>INGRESOS DIFERIDOS</t>
  </si>
  <si>
    <t>49302</t>
  </si>
  <si>
    <t>PRESTAMO DE ACCIONISTAS L.PLAZO</t>
  </si>
  <si>
    <t>49401</t>
  </si>
  <si>
    <t>LEASING L.PLAZO -  PARTE NO CORRIENTE</t>
  </si>
  <si>
    <t>49602</t>
  </si>
  <si>
    <t>INTERESES POR PAGAR - ME</t>
  </si>
  <si>
    <t>50101</t>
  </si>
  <si>
    <t>CAPITAL SOCIAL</t>
  </si>
  <si>
    <t>58201</t>
  </si>
  <si>
    <t>RESERVA LEGAL</t>
  </si>
  <si>
    <t>59101</t>
  </si>
  <si>
    <t>UTILIDADES DEL EJERCICIO</t>
  </si>
  <si>
    <t>59102</t>
  </si>
  <si>
    <t>UTILIDADES ACUMULADAS NO DISTR</t>
  </si>
  <si>
    <t>59201</t>
  </si>
  <si>
    <t>PERDIDAS DEL EJERCICIO</t>
  </si>
  <si>
    <t>62101</t>
  </si>
  <si>
    <t>SUELDOS</t>
  </si>
  <si>
    <t>62231</t>
  </si>
  <si>
    <t>COMISIONES</t>
  </si>
  <si>
    <t>62251</t>
  </si>
  <si>
    <t>ASIGNACION EMPLEADOS</t>
  </si>
  <si>
    <t>62252</t>
  </si>
  <si>
    <t>GRATIFICACIÓN EMPLEADOS</t>
  </si>
  <si>
    <t>62253</t>
  </si>
  <si>
    <t>62254</t>
  </si>
  <si>
    <t>BONIFICACIÓN DIVERSAS - EMPLEADOS</t>
  </si>
  <si>
    <t>62255</t>
  </si>
  <si>
    <t>COMPENSACION POR TIEMPO DE SERVICIO</t>
  </si>
  <si>
    <t>62257</t>
  </si>
  <si>
    <t>62259</t>
  </si>
  <si>
    <t>62261</t>
  </si>
  <si>
    <t>VACACIONES EMPLEADOS</t>
  </si>
  <si>
    <t>62271</t>
  </si>
  <si>
    <t>SISTEMA NACIONAL DE PREST.DE SALUD</t>
  </si>
  <si>
    <t>62273</t>
  </si>
  <si>
    <t>SEGUROS DE VIDA - LEY - SCTR</t>
  </si>
  <si>
    <t>62275</t>
  </si>
  <si>
    <t>EPS</t>
  </si>
  <si>
    <t>62277</t>
  </si>
  <si>
    <t>62281</t>
  </si>
  <si>
    <t>OTRAS REMUNERACIONES AL DIRECTORIO</t>
  </si>
  <si>
    <t>62290</t>
  </si>
  <si>
    <t>MOVILIDAD EJECUTIVOS</t>
  </si>
  <si>
    <t>62291</t>
  </si>
  <si>
    <t>MOVILIDAD ( DENTRO DE PLANILLA )</t>
  </si>
  <si>
    <t>62293</t>
  </si>
  <si>
    <t>ATENCIÓN Y AGASAJOS AL PERSONAL</t>
  </si>
  <si>
    <t>62294</t>
  </si>
  <si>
    <t>TRANSPORTE DE PERSONAL</t>
  </si>
  <si>
    <t>62295</t>
  </si>
  <si>
    <t>VESTYUARIO Y UNIFORME</t>
  </si>
  <si>
    <t>62296</t>
  </si>
  <si>
    <t>SELECCIÓN Y EVALUACIÓN DEL PERSONAL</t>
  </si>
  <si>
    <t>62297</t>
  </si>
  <si>
    <t>CAPACITACIÓN AL PERSONAL</t>
  </si>
  <si>
    <t>62298</t>
  </si>
  <si>
    <t>GASTOS DE SALUD</t>
  </si>
  <si>
    <t>62299</t>
  </si>
  <si>
    <t>OTRAS CARGAS DE PERSONAL</t>
  </si>
  <si>
    <t>62301</t>
  </si>
  <si>
    <t>GASTOS DE MUDANZAS</t>
  </si>
  <si>
    <t>63301</t>
  </si>
  <si>
    <t>ALMACENAMIENTO</t>
  </si>
  <si>
    <t>63302</t>
  </si>
  <si>
    <t>MOVILIDAD LOCAL</t>
  </si>
  <si>
    <t>63304</t>
  </si>
  <si>
    <t>COMBUSTIBLES</t>
  </si>
  <si>
    <t>63305</t>
  </si>
  <si>
    <t>FLETES Y TRANSPORTES</t>
  </si>
  <si>
    <t>63306</t>
  </si>
  <si>
    <t>ESTACIONAMIENTO</t>
  </si>
  <si>
    <t>63309</t>
  </si>
  <si>
    <t>SERVICIOS EXTRAORDINARIOS</t>
  </si>
  <si>
    <t>63310</t>
  </si>
  <si>
    <t>MENSAJER¡A INTERNACIONAL</t>
  </si>
  <si>
    <t>63311</t>
  </si>
  <si>
    <t>GASTOS OPERATIVOS</t>
  </si>
  <si>
    <t>63313</t>
  </si>
  <si>
    <t>EMBALAJE Y SUNCHAJE</t>
  </si>
  <si>
    <t>63314</t>
  </si>
  <si>
    <t>TRANSPORTE</t>
  </si>
  <si>
    <t>63315</t>
  </si>
  <si>
    <t>FOTOCOPIAS</t>
  </si>
  <si>
    <t>63320</t>
  </si>
  <si>
    <t>MENSAJERIA AGENTES NACIONALES</t>
  </si>
  <si>
    <t>63323</t>
  </si>
  <si>
    <t>MATERIAL DE EMPAQUE</t>
  </si>
  <si>
    <t>63324</t>
  </si>
  <si>
    <t>SERVICIO DE ADUANA</t>
  </si>
  <si>
    <t>63341</t>
  </si>
  <si>
    <t>ASESORIA INTERNA</t>
  </si>
  <si>
    <t>63342</t>
  </si>
  <si>
    <t>ASESORES EXTERNA</t>
  </si>
  <si>
    <t>63343</t>
  </si>
  <si>
    <t>GASTOS NOTARIALES Y DE REGISTRO</t>
  </si>
  <si>
    <t>63344</t>
  </si>
  <si>
    <t>COMISIONES Y CORRETAJES</t>
  </si>
  <si>
    <t>63345</t>
  </si>
  <si>
    <t>CONSULTA A INSTITUCIONES ESPECIALIZ</t>
  </si>
  <si>
    <t>63351</t>
  </si>
  <si>
    <t>63352</t>
  </si>
  <si>
    <t>TELEFONOS CELULARES</t>
  </si>
  <si>
    <t>63353</t>
  </si>
  <si>
    <t>TELEX,FAX,CABLES Y OTROS</t>
  </si>
  <si>
    <t>63354</t>
  </si>
  <si>
    <t>RADIO</t>
  </si>
  <si>
    <t>63356</t>
  </si>
  <si>
    <t>ACCESO A INTERNET</t>
  </si>
  <si>
    <t>63357</t>
  </si>
  <si>
    <t>ENLACE A INTERNET</t>
  </si>
  <si>
    <t>63358</t>
  </si>
  <si>
    <t>ENLACE A EXTRARNET</t>
  </si>
  <si>
    <t>63359</t>
  </si>
  <si>
    <t>CORREOS Y TELECOMUNICACIONES</t>
  </si>
  <si>
    <t>63361</t>
  </si>
  <si>
    <t>MANTENIMIENTO Y REPARACIÓN EDIFICIO</t>
  </si>
  <si>
    <t>63362</t>
  </si>
  <si>
    <t>MANTENIMIENTO Y REPARACIÓN VEH¡CULO</t>
  </si>
  <si>
    <t>63363</t>
  </si>
  <si>
    <t>MANTENIMIENTO Y REPARACIÓN MAQ.Y EQ</t>
  </si>
  <si>
    <t>63364</t>
  </si>
  <si>
    <t>MANTENIMIENTO Y REPARACIÓN EQ.OFICI</t>
  </si>
  <si>
    <t>63365</t>
  </si>
  <si>
    <t>MEJORAS EN LOCAL ARRENDADO</t>
  </si>
  <si>
    <t>63366</t>
  </si>
  <si>
    <t>MANT.DE SOFWARE</t>
  </si>
  <si>
    <t>63367</t>
  </si>
  <si>
    <t>63371</t>
  </si>
  <si>
    <t>ALQUILER DE LOCAL</t>
  </si>
  <si>
    <t>63372</t>
  </si>
  <si>
    <t>ALQUILER DE VEH¡CULO</t>
  </si>
  <si>
    <t>63374</t>
  </si>
  <si>
    <t>OTROS ALQUILERES</t>
  </si>
  <si>
    <t>63381</t>
  </si>
  <si>
    <t>63382</t>
  </si>
  <si>
    <t>AGUA POTABLE</t>
  </si>
  <si>
    <t>63383</t>
  </si>
  <si>
    <t>SERVICIO DE PERSONAL Y VIGILANCIA</t>
  </si>
  <si>
    <t>63384</t>
  </si>
  <si>
    <t>SERVICIO DE LIMPIEZA</t>
  </si>
  <si>
    <t>63385</t>
  </si>
  <si>
    <t>SERVICIO DE LAVANDERIA</t>
  </si>
  <si>
    <t>63387</t>
  </si>
  <si>
    <t>SERVICIO DE ARCHIVO</t>
  </si>
  <si>
    <t>63390</t>
  </si>
  <si>
    <t>ATENCION ALIMNOS Y ENTRENADORES</t>
  </si>
  <si>
    <t>63391</t>
  </si>
  <si>
    <t>PUBLICIDAD Y PROPAGANDA</t>
  </si>
  <si>
    <t>63392</t>
  </si>
  <si>
    <t>GASTOS DE VIAJE - EXTERIOR</t>
  </si>
  <si>
    <t>63393</t>
  </si>
  <si>
    <t>GASTOS DE VIAJE - NACIONAL</t>
  </si>
  <si>
    <t>63394</t>
  </si>
  <si>
    <t>MEMBRESIAS OPERADORES LOGISTICOS</t>
  </si>
  <si>
    <t>63395</t>
  </si>
  <si>
    <t>GASTOS DE REPRESENTACIÓN</t>
  </si>
  <si>
    <t>63396</t>
  </si>
  <si>
    <t>CLUBES Y ASOCIACIONES</t>
  </si>
  <si>
    <t>63397</t>
  </si>
  <si>
    <t>SUSCRIPCIÓN EN DIARIOS Y REVISTAS</t>
  </si>
  <si>
    <t>63399</t>
  </si>
  <si>
    <t>VIATICOS</t>
  </si>
  <si>
    <t>63400</t>
  </si>
  <si>
    <t>63401</t>
  </si>
  <si>
    <t>ATENCION AL CLIENTE</t>
  </si>
  <si>
    <t>64412</t>
  </si>
  <si>
    <t>IMPUESTO AL PATRIMONIO PREDIAL</t>
  </si>
  <si>
    <t>64413</t>
  </si>
  <si>
    <t>ALUMBRADO Y LIMPIEZA P£BLICA</t>
  </si>
  <si>
    <t>64415</t>
  </si>
  <si>
    <t>LICENCIA DE FUNCIONAMIENTO</t>
  </si>
  <si>
    <t>64416</t>
  </si>
  <si>
    <t>IMPUESTO VEHICULAR</t>
  </si>
  <si>
    <t>64419</t>
  </si>
  <si>
    <t>DERECHOS DE USO DE SOFWARE</t>
  </si>
  <si>
    <t>64420</t>
  </si>
  <si>
    <t>ITF</t>
  </si>
  <si>
    <t>64429</t>
  </si>
  <si>
    <t>OTROS TRIBUTOS</t>
  </si>
  <si>
    <t>65511</t>
  </si>
  <si>
    <t>SEGUROS CONTRA ROBO Y ASALTO</t>
  </si>
  <si>
    <t>65512</t>
  </si>
  <si>
    <t>SEGURO DE RESPONSABILIDAD</t>
  </si>
  <si>
    <t>65513</t>
  </si>
  <si>
    <t>SEGURO CONTRA INCENDIO</t>
  </si>
  <si>
    <t>65514</t>
  </si>
  <si>
    <t>SEGURO VEH¡CULOS</t>
  </si>
  <si>
    <t>65516</t>
  </si>
  <si>
    <t>SEGURO TRANSPORTE</t>
  </si>
  <si>
    <t>65517</t>
  </si>
  <si>
    <t>SEGURO DE CAUTION</t>
  </si>
  <si>
    <t>65518</t>
  </si>
  <si>
    <t>65520</t>
  </si>
  <si>
    <t>SEGURO DE DESHONESTIDAD</t>
  </si>
  <si>
    <t>65521</t>
  </si>
  <si>
    <t>SEGURO MULTIRIESGO</t>
  </si>
  <si>
    <t>65541</t>
  </si>
  <si>
    <t>DONACIONES A INSTITUCIONES REGISTRA</t>
  </si>
  <si>
    <t>65590</t>
  </si>
  <si>
    <t>INSUMO DE COMPUTO</t>
  </si>
  <si>
    <t>65591</t>
  </si>
  <si>
    <t>FORMULARIOS Y UTILES DE OFICINA</t>
  </si>
  <si>
    <t>65592</t>
  </si>
  <si>
    <t>TEXTOS MATER. DE CONSULTA</t>
  </si>
  <si>
    <t>65593</t>
  </si>
  <si>
    <t>UTILES DE LIMPIEZA</t>
  </si>
  <si>
    <t>65594</t>
  </si>
  <si>
    <t>IMPRESIONES DE DOCUMENTOS OFICIALES</t>
  </si>
  <si>
    <t>65595</t>
  </si>
  <si>
    <t>IMPRESIONES DE DOCUMENTOS NO-OFICIALES</t>
  </si>
  <si>
    <t>65596</t>
  </si>
  <si>
    <t>ACCESORIOS DE VEHICULOS</t>
  </si>
  <si>
    <t>65597</t>
  </si>
  <si>
    <t>MATERIAL DE FERRETERIA</t>
  </si>
  <si>
    <t>65598</t>
  </si>
  <si>
    <t>ACTIVOS MENORES</t>
  </si>
  <si>
    <t>66210</t>
  </si>
  <si>
    <t>COSTO NETO DE ENAJ.DE INM.MAQ.</t>
  </si>
  <si>
    <t>66510</t>
  </si>
  <si>
    <t>CARGAS DE EJERCICIOS ANTERIORE</t>
  </si>
  <si>
    <t>66610</t>
  </si>
  <si>
    <t>INTERESES MORATORIOS - RECARGO</t>
  </si>
  <si>
    <t>66620</t>
  </si>
  <si>
    <t>MULTAS Y SANCIONES</t>
  </si>
  <si>
    <t>66630</t>
  </si>
  <si>
    <t>INTERESES DE FRACCIONAMIENTO</t>
  </si>
  <si>
    <t>66802</t>
  </si>
  <si>
    <t>GASTOS NO RECONOCIDOS POR SUNA</t>
  </si>
  <si>
    <t>66901</t>
  </si>
  <si>
    <t>REPAROS TRIBUTARIOS</t>
  </si>
  <si>
    <t>66902</t>
  </si>
  <si>
    <t>INDEMNIZACIONES A CLIENTES</t>
  </si>
  <si>
    <t>66910</t>
  </si>
  <si>
    <t>OTRAS CARGAS EXCEPCIONALES</t>
  </si>
  <si>
    <t>67102</t>
  </si>
  <si>
    <t>INTERESES Y GASTOS POR PRESTAMO - BANCOS</t>
  </si>
  <si>
    <t>67103</t>
  </si>
  <si>
    <t>INTERESES POR LEASING</t>
  </si>
  <si>
    <t>67120</t>
  </si>
  <si>
    <t>INT.Y GASTOS DE DOCUMENTOS DESCONTA</t>
  </si>
  <si>
    <t>67301</t>
  </si>
  <si>
    <t>INTERESES POR OBLIGACIONES A PLAZOS</t>
  </si>
  <si>
    <t>67402</t>
  </si>
  <si>
    <t>INTERES DE FRACCIONAMIENTO TRIBUTARIO</t>
  </si>
  <si>
    <t>67502</t>
  </si>
  <si>
    <t>GASTOS FINANCIEROS</t>
  </si>
  <si>
    <t>67505</t>
  </si>
  <si>
    <t>GASTOS DE CHEQUES DEL EXTERIOR</t>
  </si>
  <si>
    <t>67510</t>
  </si>
  <si>
    <t>INTERESES POR CARTA FIANZA</t>
  </si>
  <si>
    <t>67601</t>
  </si>
  <si>
    <t>PERDIDA POR DIFERENCIA DE CAMBIO</t>
  </si>
  <si>
    <t>67901</t>
  </si>
  <si>
    <t>TALONARIO DE CHEQUES</t>
  </si>
  <si>
    <t>67902</t>
  </si>
  <si>
    <t>MANTENIMIENTO, PORTES U OTROS</t>
  </si>
  <si>
    <t>67998</t>
  </si>
  <si>
    <t>AJUSTE POR REDONDEO</t>
  </si>
  <si>
    <t>68812</t>
  </si>
  <si>
    <t>DEPREC.EDIFICIOS  OTRAS COSTRUCCION</t>
  </si>
  <si>
    <t>68813</t>
  </si>
  <si>
    <t>DEPREC.MAQ.EQUIP.Y OTRAS UNID.DE EX</t>
  </si>
  <si>
    <t>68814</t>
  </si>
  <si>
    <t>DEPRECIACIÓN UNIDADES DE TRANSPORTE</t>
  </si>
  <si>
    <t>68817</t>
  </si>
  <si>
    <t>DEPRECIACION EQUIPO DE COMPUTO</t>
  </si>
  <si>
    <t>68821</t>
  </si>
  <si>
    <t>AMORTIZACIÓN DE INTANGIBLES</t>
  </si>
  <si>
    <t>68841</t>
  </si>
  <si>
    <t>CUENTAS DE COBRANZA DUDOSA</t>
  </si>
  <si>
    <t>70703</t>
  </si>
  <si>
    <t>SERVICIOS CAMBIO DE REGIMEN</t>
  </si>
  <si>
    <t>70704</t>
  </si>
  <si>
    <t>GASTOS OPERATIVOS (AGENTES)</t>
  </si>
  <si>
    <t>70709</t>
  </si>
  <si>
    <t>ALMACENAJE DE TERCEROS DTEER</t>
  </si>
  <si>
    <t>70711</t>
  </si>
  <si>
    <t>GASTOS ADMINISTRATIVOS</t>
  </si>
  <si>
    <t>70720</t>
  </si>
  <si>
    <t>SERVICIO DE COURIER ESER</t>
  </si>
  <si>
    <t>70723</t>
  </si>
  <si>
    <t>SERVICIO DE ENTREGA RAPIDA ( ESER)</t>
  </si>
  <si>
    <t>70724</t>
  </si>
  <si>
    <t>DELIVERY COURIER ESER</t>
  </si>
  <si>
    <t>70725</t>
  </si>
  <si>
    <t>PICKUP COURIER ESER</t>
  </si>
  <si>
    <t>70726</t>
  </si>
  <si>
    <t>FLETES (INBOUND COURIER)</t>
  </si>
  <si>
    <t>70727</t>
  </si>
  <si>
    <t>ALMACENAJE POSTAL DTEER</t>
  </si>
  <si>
    <t>70728</t>
  </si>
  <si>
    <t>SERVICIO DE DESADUANAJE COURIER ESER</t>
  </si>
  <si>
    <t>70730</t>
  </si>
  <si>
    <t>DECLARACION SIMPLIFICADA DE (COURIER)</t>
  </si>
  <si>
    <t>70732</t>
  </si>
  <si>
    <t>AFORO DE COURIER ESER</t>
  </si>
  <si>
    <t>70733</t>
  </si>
  <si>
    <t>SERVICIO EXTRAORDINARIO DTEER</t>
  </si>
  <si>
    <t>70734</t>
  </si>
  <si>
    <t>SERVICIOS DE AFORO A CLIENTES DTEER</t>
  </si>
  <si>
    <t>70735</t>
  </si>
  <si>
    <t>RETENCION POSTAL ESER</t>
  </si>
  <si>
    <t>70740</t>
  </si>
  <si>
    <t>70742</t>
  </si>
  <si>
    <t>COMISION  DE SERVICIO IATA (CARGA)</t>
  </si>
  <si>
    <t>70745</t>
  </si>
  <si>
    <t>FLETE LOCAL ( CON IGV)  (CARGA)</t>
  </si>
  <si>
    <t>70766</t>
  </si>
  <si>
    <t>SERVICIO DE ALMACENAJE ( TAC )</t>
  </si>
  <si>
    <t>70767</t>
  </si>
  <si>
    <t>CONTROL Y MANEJO DE CARGA</t>
  </si>
  <si>
    <t>70768</t>
  </si>
  <si>
    <t>ESTIBA</t>
  </si>
  <si>
    <t>70769</t>
  </si>
  <si>
    <t>MANIPULEO DE CARGA</t>
  </si>
  <si>
    <t>70770</t>
  </si>
  <si>
    <t>RECONOCIMIENTO PREVIO</t>
  </si>
  <si>
    <t>70771</t>
  </si>
  <si>
    <t>AFORO FISICO DE TERCEROS DTEER</t>
  </si>
  <si>
    <t>75102</t>
  </si>
  <si>
    <t>FOTOCOPIAS ( ADUANAS)</t>
  </si>
  <si>
    <t>75120</t>
  </si>
  <si>
    <t>TRAMITE DE EXPORTACION COURIER ESER</t>
  </si>
  <si>
    <t>75121</t>
  </si>
  <si>
    <t>EMISION DE COPIAS COURIER ESER</t>
  </si>
  <si>
    <t>75122</t>
  </si>
  <si>
    <t>ENDOSE DE DOCUMENTOS ESER</t>
  </si>
  <si>
    <t>75162</t>
  </si>
  <si>
    <t>75741</t>
  </si>
  <si>
    <t>GASTOS OPERATIVOS  (CARGA)</t>
  </si>
  <si>
    <t>75901</t>
  </si>
  <si>
    <t>OTROS INGRESOS OPERATIVOS</t>
  </si>
  <si>
    <t>75902</t>
  </si>
  <si>
    <t>OTROS INGRESOS NO OPERATIVOS</t>
  </si>
  <si>
    <t>75904</t>
  </si>
  <si>
    <t>DERECHOS DEL EXTERIOR ESER</t>
  </si>
  <si>
    <t>76201</t>
  </si>
  <si>
    <t>ENAJENACI¢N DE INM.MAQ.Y EQUIP</t>
  </si>
  <si>
    <t>76310</t>
  </si>
  <si>
    <t>RECUPERACI¢N DE CUENTAS INCOBR</t>
  </si>
  <si>
    <t>76410</t>
  </si>
  <si>
    <t>INGRESOS EXCEPCIONALES</t>
  </si>
  <si>
    <t>76501</t>
  </si>
  <si>
    <t>DEVOLUC.DE PROV.DE EJERC.ANTER</t>
  </si>
  <si>
    <t>76801</t>
  </si>
  <si>
    <t>INGRESOS EXTRAORDINARIOS</t>
  </si>
  <si>
    <t>76901</t>
  </si>
  <si>
    <t>OTROS INGRESOS EXTRAORDINARIOS</t>
  </si>
  <si>
    <t>76910</t>
  </si>
  <si>
    <t>OTROS INGRESOS EXCEPCIONALES</t>
  </si>
  <si>
    <t>77101</t>
  </si>
  <si>
    <t>INTERESES SOBRE PR?STAMOS OTOR</t>
  </si>
  <si>
    <t>77209</t>
  </si>
  <si>
    <t>GASTOS FINANCIEROS POR TRANSFERENCIA</t>
  </si>
  <si>
    <t>77403</t>
  </si>
  <si>
    <t>INTERESES SOBRE CTAS.A PLAZO</t>
  </si>
  <si>
    <t>77601</t>
  </si>
  <si>
    <t>GANANCIA POR DIFERENCIA DE CAMBIO</t>
  </si>
  <si>
    <t>77802</t>
  </si>
  <si>
    <t>79101</t>
  </si>
  <si>
    <t>CARGAS IMPUTABLES A CUENTA DE COSTO</t>
  </si>
  <si>
    <t>92211</t>
  </si>
  <si>
    <t>92231</t>
  </si>
  <si>
    <t>92241</t>
  </si>
  <si>
    <t>SERVICIO DE PERSONAL</t>
  </si>
  <si>
    <t>92251</t>
  </si>
  <si>
    <t>ASIGNACIÓN FAMILIAR</t>
  </si>
  <si>
    <t>92252</t>
  </si>
  <si>
    <t>92253</t>
  </si>
  <si>
    <t>GRATIFICACION - JUL/DIC</t>
  </si>
  <si>
    <t>92254</t>
  </si>
  <si>
    <t>BONIFICACIONES EXTRAORDINARIAS - EMPLEADOS</t>
  </si>
  <si>
    <t>92255</t>
  </si>
  <si>
    <t>COMPENSAC.X TIEMPO DE SERVICIOS</t>
  </si>
  <si>
    <t>92257</t>
  </si>
  <si>
    <t>BONIFICACIONES DIVERSAS</t>
  </si>
  <si>
    <t>92259</t>
  </si>
  <si>
    <t>92261</t>
  </si>
  <si>
    <t>VACACIONES REGULARES</t>
  </si>
  <si>
    <t>92271</t>
  </si>
  <si>
    <t>ESSALUD</t>
  </si>
  <si>
    <t>92273</t>
  </si>
  <si>
    <t>SEGUROS VIDA LEY - SCTR</t>
  </si>
  <si>
    <t>92275</t>
  </si>
  <si>
    <t>E. P. S. -  APORTE LEGAL 2.25%</t>
  </si>
  <si>
    <t>92276</t>
  </si>
  <si>
    <t>E. P. S. -  APORTE EMPLEADOR</t>
  </si>
  <si>
    <t>92277</t>
  </si>
  <si>
    <t>92281</t>
  </si>
  <si>
    <t>DIETAS Y REMUNERACIONES AL DIRECTORIO</t>
  </si>
  <si>
    <t>92289</t>
  </si>
  <si>
    <t>92290</t>
  </si>
  <si>
    <t>92291</t>
  </si>
  <si>
    <t>MOVILIDAD ( DENTRO DE PLANILLA)</t>
  </si>
  <si>
    <t>92293</t>
  </si>
  <si>
    <t>AGASAJOS Y EVENTOS DIRIGIDOS AL PERSONAL</t>
  </si>
  <si>
    <t>92294</t>
  </si>
  <si>
    <t>92295</t>
  </si>
  <si>
    <t>VESTUARIO Y UNIFORME</t>
  </si>
  <si>
    <t>92296</t>
  </si>
  <si>
    <t>SELECCION Y EVALUACION DEL PERSONAL</t>
  </si>
  <si>
    <t>92297</t>
  </si>
  <si>
    <t>92298</t>
  </si>
  <si>
    <t>GASTOS DE SALUD ( BOTIQUIN)</t>
  </si>
  <si>
    <t>92299</t>
  </si>
  <si>
    <t>CARGAS DE PERSONAL DIVERSAS</t>
  </si>
  <si>
    <t>92301</t>
  </si>
  <si>
    <t>92302</t>
  </si>
  <si>
    <t>MOVILIDAD  LOCAL</t>
  </si>
  <si>
    <t>92304</t>
  </si>
  <si>
    <t>92305</t>
  </si>
  <si>
    <t>FLETE NACIONAL</t>
  </si>
  <si>
    <t>92306</t>
  </si>
  <si>
    <t>92309</t>
  </si>
  <si>
    <t>92310</t>
  </si>
  <si>
    <t>92311</t>
  </si>
  <si>
    <t>92313</t>
  </si>
  <si>
    <t>92314</t>
  </si>
  <si>
    <t>92315</t>
  </si>
  <si>
    <t>92320</t>
  </si>
  <si>
    <t>92323</t>
  </si>
  <si>
    <t>92324</t>
  </si>
  <si>
    <t>SERVICIO DE ADUANAS</t>
  </si>
  <si>
    <t>92341</t>
  </si>
  <si>
    <t>ASESORÍA PROFESIONAL INTERNA</t>
  </si>
  <si>
    <t>92342</t>
  </si>
  <si>
    <t>ASESORÍA PROFESIONAL EXTERNA</t>
  </si>
  <si>
    <t>92343</t>
  </si>
  <si>
    <t>GASTOS NOTARIALES Y  REGISTRALES</t>
  </si>
  <si>
    <t>92344</t>
  </si>
  <si>
    <t>92345</t>
  </si>
  <si>
    <t>CONSULTAS A INSTITUCIONES  ESPECIALIZADAS</t>
  </si>
  <si>
    <t>92351</t>
  </si>
  <si>
    <t>TELEFONÍA FIJA</t>
  </si>
  <si>
    <t>92352</t>
  </si>
  <si>
    <t>TELEFONÍA CELULAR</t>
  </si>
  <si>
    <t>92353</t>
  </si>
  <si>
    <t>FAX</t>
  </si>
  <si>
    <t>92354</t>
  </si>
  <si>
    <t>92356</t>
  </si>
  <si>
    <t>92357</t>
  </si>
  <si>
    <t>ENLACES INTRANET</t>
  </si>
  <si>
    <t>92358</t>
  </si>
  <si>
    <t>ENLACES EXTRANET</t>
  </si>
  <si>
    <t>92359</t>
  </si>
  <si>
    <t>CORREOS Y TELECOMUNICAIONES</t>
  </si>
  <si>
    <t>92361</t>
  </si>
  <si>
    <t>MANTENIMIENTO Y REPARACIÓN LOCAL</t>
  </si>
  <si>
    <t>92362</t>
  </si>
  <si>
    <t>MANTENIMIENTO Y REPARACIÓN VEHÍCULOS</t>
  </si>
  <si>
    <t>92363</t>
  </si>
  <si>
    <t>MANTENIMIENTO Y REPARACIÓN EQUIPO DE CÓMPUTO</t>
  </si>
  <si>
    <t>92364</t>
  </si>
  <si>
    <t>MANTENIMIENTO Y REPARACIÓN EQUIPO DIVERSOS</t>
  </si>
  <si>
    <t>92365</t>
  </si>
  <si>
    <t>92366</t>
  </si>
  <si>
    <t>MANTENIMIENTO DE MUEBLES Y ENSERES</t>
  </si>
  <si>
    <t>92367</t>
  </si>
  <si>
    <t>MANTENIMIENTO DE SOFTWARE</t>
  </si>
  <si>
    <t>92369</t>
  </si>
  <si>
    <t>GASTOS DE MUDANZA</t>
  </si>
  <si>
    <t>92371</t>
  </si>
  <si>
    <t>92372</t>
  </si>
  <si>
    <t>ALQUILER DE VEHÍCULOS</t>
  </si>
  <si>
    <t>92374</t>
  </si>
  <si>
    <t>92381</t>
  </si>
  <si>
    <t>92382</t>
  </si>
  <si>
    <t>92383</t>
  </si>
  <si>
    <t>SERVICIO DE VIGILANCIA</t>
  </si>
  <si>
    <t>92384</t>
  </si>
  <si>
    <t>92385</t>
  </si>
  <si>
    <t>92387</t>
  </si>
  <si>
    <t>92391</t>
  </si>
  <si>
    <t>PUBLICIDAD Y MERCHANDISING</t>
  </si>
  <si>
    <t>92392</t>
  </si>
  <si>
    <t>92393</t>
  </si>
  <si>
    <t>92394</t>
  </si>
  <si>
    <t>92395</t>
  </si>
  <si>
    <t>92396</t>
  </si>
  <si>
    <t>SUSCRIPCIÓN A CLUBES Y ASOCIACIONES</t>
  </si>
  <si>
    <t>92397</t>
  </si>
  <si>
    <t>SUSCRIP.Y PUBLICACIONES EN DIARIOS Y REVISTAS</t>
  </si>
  <si>
    <t>92399</t>
  </si>
  <si>
    <t>92400</t>
  </si>
  <si>
    <t>AUSPICIO DE EVENTOS</t>
  </si>
  <si>
    <t>92401</t>
  </si>
  <si>
    <t>ATENCIONES A CLIENTES</t>
  </si>
  <si>
    <t>92412</t>
  </si>
  <si>
    <t>IMPUESTO PREDIAL</t>
  </si>
  <si>
    <t>92413</t>
  </si>
  <si>
    <t>ARBITRIOS MUNICIPALES</t>
  </si>
  <si>
    <t>92415</t>
  </si>
  <si>
    <t>92416</t>
  </si>
  <si>
    <t>92419</t>
  </si>
  <si>
    <t>DERECHO DE USO DE SOFTWARE</t>
  </si>
  <si>
    <t>92420</t>
  </si>
  <si>
    <t>92429</t>
  </si>
  <si>
    <t>92511</t>
  </si>
  <si>
    <t>SEGURO CONTRA ROBO Y ASALTO</t>
  </si>
  <si>
    <t>92512</t>
  </si>
  <si>
    <t>SEGURO SOAT</t>
  </si>
  <si>
    <t>92513</t>
  </si>
  <si>
    <t>SEGURO 3D</t>
  </si>
  <si>
    <t>92514</t>
  </si>
  <si>
    <t>92516</t>
  </si>
  <si>
    <t>92517</t>
  </si>
  <si>
    <t>SEGURO DE CAUCION</t>
  </si>
  <si>
    <t>92518</t>
  </si>
  <si>
    <t>SEGURO RESPONSABILIDAD CIVIL</t>
  </si>
  <si>
    <t>92519</t>
  </si>
  <si>
    <t>92520</t>
  </si>
  <si>
    <t>92521</t>
  </si>
  <si>
    <t>92541</t>
  </si>
  <si>
    <t>DONACIONES A INSTITUCIONES REGISTRADAS</t>
  </si>
  <si>
    <t>92544</t>
  </si>
  <si>
    <t>GASTOS PROMOCIONALES</t>
  </si>
  <si>
    <t>92590</t>
  </si>
  <si>
    <t>INSUMOS DE COMPUTO</t>
  </si>
  <si>
    <t>92591</t>
  </si>
  <si>
    <t>UTILES DE OFICINA</t>
  </si>
  <si>
    <t>92592</t>
  </si>
  <si>
    <t>TEXTOS Y MATERIAL DE CONSULTA</t>
  </si>
  <si>
    <t>92593</t>
  </si>
  <si>
    <t>92594</t>
  </si>
  <si>
    <t>IMPRESION DE DOCUMENTOS OFICIALES</t>
  </si>
  <si>
    <t>92595</t>
  </si>
  <si>
    <t>IMPRESION DE DOCUMENTOS NO -OFICIALES</t>
  </si>
  <si>
    <t>92596</t>
  </si>
  <si>
    <t>92597</t>
  </si>
  <si>
    <t>92598</t>
  </si>
  <si>
    <t>OTROS ACTIVOS MENORES</t>
  </si>
  <si>
    <t>92812</t>
  </si>
  <si>
    <t>DEPREC.EDIFICIOS Y OTRAS CONSTRUCCIONES</t>
  </si>
  <si>
    <t>92813</t>
  </si>
  <si>
    <t>92814</t>
  </si>
  <si>
    <t>DEPRECIACI¢N UNIDADES DE TRANSPORTE</t>
  </si>
  <si>
    <t>92815</t>
  </si>
  <si>
    <t>DEPRECIACION MUEBLES Y ENSERES</t>
  </si>
  <si>
    <t>92816</t>
  </si>
  <si>
    <t>DEPRECIACION EQUIPOS DIVERSOS</t>
  </si>
  <si>
    <t>92817</t>
  </si>
  <si>
    <t>92821</t>
  </si>
  <si>
    <t>92841</t>
  </si>
  <si>
    <t>PROVISIONES POR COBRANZA DUDOSA</t>
  </si>
  <si>
    <t>97102</t>
  </si>
  <si>
    <t>INTERESES Y  GASTOS X PRESTAMOS ENTIDADES BANCARIA</t>
  </si>
  <si>
    <t>97103</t>
  </si>
  <si>
    <t>INTERESES Y GASTOS DE LEASING</t>
  </si>
  <si>
    <t>97120</t>
  </si>
  <si>
    <t>INTERESES Y PORTES  LETRAS EN DESCUENTO</t>
  </si>
  <si>
    <t>97301</t>
  </si>
  <si>
    <t>INTERESES POR OBLIGACIONES A PLAZO</t>
  </si>
  <si>
    <t>97402</t>
  </si>
  <si>
    <t>INTERESES POR FRACCIONAMIENTO TRIBUTARIO</t>
  </si>
  <si>
    <t>97501</t>
  </si>
  <si>
    <t>INTERESES Y GASTOS POR CARTA FIANZA</t>
  </si>
  <si>
    <t>97502</t>
  </si>
  <si>
    <t>97505</t>
  </si>
  <si>
    <t>GASTOS DE TRANSF/CHEQUE AL EXTERIOR</t>
  </si>
  <si>
    <t>97601</t>
  </si>
  <si>
    <t>97901</t>
  </si>
  <si>
    <t>97902</t>
  </si>
  <si>
    <t>MANTENIMIENTO, PORTES Y OTROS</t>
  </si>
  <si>
    <t>97998</t>
  </si>
  <si>
    <t>AJUSTES POR REDONDEO</t>
  </si>
  <si>
    <t>19111</t>
  </si>
  <si>
    <t>19112</t>
  </si>
  <si>
    <t>DETERIORO ACEPTADO TRIBUTARIAMENTE</t>
  </si>
  <si>
    <t>DETERIORO SEGÚN NIC 39</t>
  </si>
  <si>
    <t>20111</t>
  </si>
  <si>
    <t>29111</t>
  </si>
  <si>
    <t>33111</t>
  </si>
  <si>
    <t>33112</t>
  </si>
  <si>
    <t>REVALUACION</t>
  </si>
  <si>
    <t>482</t>
  </si>
  <si>
    <t>486</t>
  </si>
  <si>
    <t>PROVISON PARA GARANTIAS</t>
  </si>
  <si>
    <t>41151</t>
  </si>
  <si>
    <t>45111</t>
  </si>
  <si>
    <t>Saldo</t>
  </si>
  <si>
    <t>Inicial</t>
  </si>
  <si>
    <t>Final</t>
  </si>
  <si>
    <t>Adiciones</t>
  </si>
  <si>
    <t>Deducciones</t>
  </si>
  <si>
    <t>Trampo S.A.</t>
  </si>
  <si>
    <t>Golo S.A.</t>
  </si>
  <si>
    <t>Mentiro S.A.</t>
  </si>
  <si>
    <t>Cta.68411</t>
  </si>
  <si>
    <t>Cta.7551</t>
  </si>
  <si>
    <t>Cta.6951</t>
  </si>
  <si>
    <t>Item 1</t>
  </si>
  <si>
    <t>Item 2</t>
  </si>
  <si>
    <t>Item 3</t>
  </si>
  <si>
    <t>Detalle</t>
  </si>
  <si>
    <t>Costo</t>
  </si>
  <si>
    <t>Tasa</t>
  </si>
  <si>
    <t>Depreciaciòn anual</t>
  </si>
  <si>
    <t>Años</t>
  </si>
  <si>
    <t>Neto</t>
  </si>
  <si>
    <t>Diferencia temporaria</t>
  </si>
  <si>
    <t>Gasto en Libros</t>
  </si>
  <si>
    <t>Deducciòn en DDJJ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</si>
  <si>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</si>
  <si>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</si>
  <si>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</si>
  <si>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</si>
  <si>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</si>
  <si>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</si>
  <si>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</si>
  <si>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</si>
  <si>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</si>
  <si>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</si>
  <si>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</si>
  <si>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</si>
  <si>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Pagos</t>
  </si>
  <si>
    <t>2014</t>
  </si>
  <si>
    <t>Aplicación Garantias</t>
  </si>
  <si>
    <t>S/</t>
  </si>
  <si>
    <t>PRESTAMO</t>
  </si>
  <si>
    <t>COMISION</t>
  </si>
  <si>
    <t>NETO</t>
  </si>
  <si>
    <t>TASA</t>
  </si>
  <si>
    <t>Cronograma</t>
  </si>
  <si>
    <t>Cuota</t>
  </si>
  <si>
    <t>Principal</t>
  </si>
  <si>
    <t>Interés</t>
  </si>
  <si>
    <t>Tasa Efectiva</t>
  </si>
  <si>
    <t>Costo amortizado</t>
  </si>
  <si>
    <t>S.I.</t>
  </si>
  <si>
    <t>S.F.</t>
  </si>
  <si>
    <t>Gasto Fin.</t>
  </si>
  <si>
    <t>B.T.</t>
  </si>
  <si>
    <t>D.T.</t>
  </si>
  <si>
    <t>VAR.</t>
  </si>
  <si>
    <t>DIFERENCIAS TEMPORARIAS</t>
  </si>
  <si>
    <t>Ajustes</t>
  </si>
  <si>
    <t>al</t>
  </si>
  <si>
    <t>Imp. Dif.</t>
  </si>
  <si>
    <t>3712</t>
  </si>
  <si>
    <t xml:space="preserve"> Impuesto a la renta diferido – Resultados</t>
  </si>
  <si>
    <t>882</t>
  </si>
  <si>
    <t>Impuesto a la renta – Diferido</t>
  </si>
  <si>
    <t>Debe</t>
  </si>
  <si>
    <t>Haber</t>
  </si>
  <si>
    <t>4912</t>
  </si>
  <si>
    <t>5712</t>
  </si>
  <si>
    <t xml:space="preserve">ER - Inmuebles, maquinaria y equipos </t>
  </si>
  <si>
    <t>Al 31.12.2014</t>
  </si>
  <si>
    <t>Saldo final</t>
  </si>
  <si>
    <t>Movimiento 2015</t>
  </si>
  <si>
    <t>Movimiento 2016</t>
  </si>
  <si>
    <t>Movimiento 2017</t>
  </si>
  <si>
    <t>Movimiento 2018</t>
  </si>
  <si>
    <t>Movimiento 2019</t>
  </si>
  <si>
    <t>Movimiento 2020</t>
  </si>
  <si>
    <t>Movimiento 2021</t>
  </si>
  <si>
    <t>Movimiento 2022</t>
  </si>
  <si>
    <t>Movimiento 2023</t>
  </si>
  <si>
    <t>Movimiento 2024</t>
  </si>
  <si>
    <t>Movimiento 2025</t>
  </si>
  <si>
    <t>Movimiento 2026</t>
  </si>
  <si>
    <t>%</t>
  </si>
  <si>
    <t>Diferido</t>
  </si>
  <si>
    <t>Movimiento</t>
  </si>
  <si>
    <t>ARRENDAMIENTO FINANCIERO</t>
  </si>
  <si>
    <t>Año</t>
  </si>
  <si>
    <t>I.D.</t>
  </si>
  <si>
    <t>Registro contable 1</t>
  </si>
  <si>
    <t>Registro contable 2</t>
  </si>
  <si>
    <t>Registro contable 3</t>
  </si>
  <si>
    <t>DETERMINACION DEL IMPUESTO A LA RENTA CORRIENTE</t>
  </si>
  <si>
    <t>Utilidad antes de impuestos</t>
  </si>
  <si>
    <t>Adiciones / Deducciones Temporales</t>
  </si>
  <si>
    <t>Adiciones / Deducciones Permanentes</t>
  </si>
  <si>
    <t>(-) Participaciones</t>
  </si>
  <si>
    <t>Base Imponible-1</t>
  </si>
  <si>
    <t>Base Imponible-2</t>
  </si>
  <si>
    <t>Impuesto a la renta corriente</t>
  </si>
  <si>
    <t>Impuesto a la renta diferido</t>
  </si>
  <si>
    <t>Total efecto impuesto a la renta</t>
  </si>
  <si>
    <t>Càlculo</t>
  </si>
  <si>
    <t>Prueba</t>
  </si>
  <si>
    <t>GASTOS POR CUENTA DE FEDERER</t>
  </si>
  <si>
    <t>COSTOS FEDERER</t>
  </si>
  <si>
    <t>4911</t>
  </si>
  <si>
    <t>Planificaciòn Tributaria:</t>
  </si>
  <si>
    <t>Corresponsales</t>
  </si>
  <si>
    <t>Equipos Diversos</t>
  </si>
  <si>
    <t>Gasto Fin.  Cta.6792</t>
  </si>
  <si>
    <t>Tasas</t>
  </si>
  <si>
    <t>Reversión de Dif.Temp.</t>
  </si>
  <si>
    <t>CALCULOS DEL IMPUESTO DIFERIDO</t>
  </si>
  <si>
    <t>REGISTROS CONTABLES</t>
  </si>
  <si>
    <t>DETERIORIO DE EXISTENCIAS</t>
  </si>
  <si>
    <t xml:space="preserve">VACACIONES POR PAGAR </t>
  </si>
  <si>
    <t>PROVISION POR RETIRO DE ACTIVOS</t>
  </si>
  <si>
    <t>DEPRECIACION VEHICULOS - LEASING</t>
  </si>
  <si>
    <t>PRESTAMOS ENTIDADES BANCARIAS</t>
  </si>
  <si>
    <t>DEDUCIBLE CON EFECTO EN RESULTADOS</t>
  </si>
  <si>
    <t>GRAVABLE  CON EFECTO EN RESULTADOS</t>
  </si>
  <si>
    <t>GRAVABLE  CON EFECTO EN PATRIMONIO</t>
  </si>
  <si>
    <t>Variación</t>
  </si>
  <si>
    <t>Diferencia</t>
  </si>
  <si>
    <t>ANALISIS DE LAS DIFERENCIAS TEMPORARIAS</t>
  </si>
  <si>
    <t>Efecto</t>
  </si>
  <si>
    <t>Cambio</t>
  </si>
  <si>
    <t>de Tasa</t>
  </si>
  <si>
    <t>Efecto por cambio de tasa</t>
  </si>
  <si>
    <t>Reconciliac</t>
  </si>
  <si>
    <t>Impuesto a la renta teòrico</t>
  </si>
  <si>
    <t xml:space="preserve">DIFERENCIA TEMPORARIA GENERADA POR EL COSTO AMORTIZADO </t>
  </si>
  <si>
    <t>DEL PASIVO FINANCIERO</t>
  </si>
  <si>
    <t>Vacaciones por pagar</t>
  </si>
  <si>
    <t>Provisiones por retiro de activos</t>
  </si>
  <si>
    <t>BASE CONTABLE</t>
  </si>
  <si>
    <t>NIIF</t>
  </si>
  <si>
    <t>BASE TRIBUTARIA</t>
  </si>
  <si>
    <t>NIC 39</t>
  </si>
  <si>
    <t>DDJJ IMP RENTA</t>
  </si>
  <si>
    <t>CTA 12</t>
  </si>
  <si>
    <t>U.A.I.</t>
  </si>
  <si>
    <t>CTA 19 (NIC39)</t>
  </si>
  <si>
    <t>REPAROS TRIBUT.</t>
  </si>
  <si>
    <t>COBR. DUDOSA</t>
  </si>
  <si>
    <t>MOV CTA 19</t>
  </si>
  <si>
    <t>NO DEDUCIBLE PERM.</t>
  </si>
  <si>
    <t>S.INICIAL</t>
  </si>
  <si>
    <t>ADICIONES Cta 68</t>
  </si>
  <si>
    <t>BASE IMPON.</t>
  </si>
  <si>
    <t>RECUPERACION</t>
  </si>
  <si>
    <t>IMP. RTA CTE (SUNAT)</t>
  </si>
  <si>
    <t>S.FINAL</t>
  </si>
  <si>
    <t>Cargo</t>
  </si>
  <si>
    <t>(Abono)</t>
  </si>
  <si>
    <t>DIF TEMPORARIA</t>
  </si>
  <si>
    <t>IMP DIFERIDO</t>
  </si>
  <si>
    <t>REG. CONT.</t>
  </si>
  <si>
    <t>Por el periodo terminado el</t>
  </si>
  <si>
    <t xml:space="preserve">31 de diciembre de </t>
  </si>
  <si>
    <t>Ventas, netas</t>
  </si>
  <si>
    <t>Costo de ventas</t>
  </si>
  <si>
    <t>Utilidad bruta</t>
  </si>
  <si>
    <t>Gastos de administración</t>
  </si>
  <si>
    <t>Gastos de ventas</t>
  </si>
  <si>
    <t>Utilidad operativa</t>
  </si>
  <si>
    <t>Gastos financieros</t>
  </si>
  <si>
    <t>Diferencia en cambio</t>
  </si>
  <si>
    <t>Impuesto a la renta</t>
  </si>
  <si>
    <t>Utilidad neta</t>
  </si>
  <si>
    <t>ESTADO DE RESULTADOS INTEGRALES</t>
  </si>
  <si>
    <t>Por el periodo terminado al 31 de diciembre de 2014 y 2013</t>
  </si>
  <si>
    <t>Nota</t>
  </si>
  <si>
    <t>ESTADO DE SITUACION FINANCIERA</t>
  </si>
  <si>
    <t>Al 31 de diciembre de 2014 y 2013</t>
  </si>
  <si>
    <t>Pasivos corrientes</t>
  </si>
  <si>
    <t>Total pasivos corrientes</t>
  </si>
  <si>
    <t>Total pasivos</t>
  </si>
  <si>
    <t>Pasivos no corrientes</t>
  </si>
  <si>
    <t>Capital social</t>
  </si>
  <si>
    <t>Resultados acumulados</t>
  </si>
  <si>
    <t>Total patrimonio</t>
  </si>
  <si>
    <t>Total pasivo y patrimonio</t>
  </si>
  <si>
    <t>Pasivo por impuesto diferido</t>
  </si>
  <si>
    <t>Prestamos por pagar</t>
  </si>
  <si>
    <t>Cuentas por pagar comerciales</t>
  </si>
  <si>
    <t>Cuentas por pagar diversas</t>
  </si>
  <si>
    <t>contable y la base imponible de los activos y pasivos.  A continuación se presenta la composiciòn del</t>
  </si>
  <si>
    <t>rubro, según las partidas que las originaron:</t>
  </si>
  <si>
    <t>Activo diferido por impuesto a la renta</t>
  </si>
  <si>
    <t>Desvalorizaciòn de cuentas por cobrar</t>
  </si>
  <si>
    <t>Desvalorizaciòn de existencias</t>
  </si>
  <si>
    <t>Provisiòn por retiro de activos</t>
  </si>
  <si>
    <t>Provisiòn por garantìas</t>
  </si>
  <si>
    <t>Al</t>
  </si>
  <si>
    <t>31 Dic 14</t>
  </si>
  <si>
    <t>Pasivo diferido por impuesto a la renta</t>
  </si>
  <si>
    <t>Diferencia en tasas de depreciación de edificaciones</t>
  </si>
  <si>
    <t>Diferencia en tasas de depreciación de arrendamientos</t>
  </si>
  <si>
    <t>Costo amortizado de préstamos por pagar</t>
  </si>
  <si>
    <t>Pasivo diferido con efecto en Patrimonio</t>
  </si>
  <si>
    <t>Excedente de revaluación de terrenos</t>
  </si>
  <si>
    <t>Pasivo neto por impuesto a la renta diferido</t>
  </si>
  <si>
    <t>Efecto neto en Estado de Resultados Integrales</t>
  </si>
  <si>
    <t>(a)</t>
  </si>
  <si>
    <t>La Compañía reconoce los efectos tributarios futuros de las diferencias temporarias entre la base</t>
  </si>
  <si>
    <t>(b)</t>
  </si>
  <si>
    <t>en el estado separado de resultados por los años 2014 y 2013:</t>
  </si>
  <si>
    <t>31 Dic 13</t>
  </si>
  <si>
    <t>Corriente</t>
  </si>
  <si>
    <t>2013</t>
  </si>
  <si>
    <t>(c)</t>
  </si>
  <si>
    <t>A continuación presentamos la reconciliacion del impuesto a la renta efectivo con el impuesto a la renta</t>
  </si>
  <si>
    <t>teòrico:</t>
  </si>
  <si>
    <t>Utilidad antes de impuesto a la renta</t>
  </si>
  <si>
    <t>Mas:</t>
  </si>
  <si>
    <t>Efectos de diferencias permanentes</t>
  </si>
  <si>
    <t xml:space="preserve">Efectos por cambio de tasa </t>
  </si>
  <si>
    <t>FLLANTO@FASPERU.COM.PE</t>
  </si>
  <si>
    <t>Actualiz</t>
  </si>
  <si>
    <t>A continuación presentamos la composición del impuesto a la renta mostrado</t>
  </si>
  <si>
    <t>CTA 20</t>
  </si>
  <si>
    <t>CTA 29 (NIC2)</t>
  </si>
  <si>
    <t>DETERIORO EXISTENCIAS</t>
  </si>
  <si>
    <t>CTA 41XXX</t>
  </si>
  <si>
    <t>nic 19</t>
  </si>
  <si>
    <t>ADICIONES Cta 62</t>
  </si>
  <si>
    <t>PAGOS</t>
  </si>
  <si>
    <t>VACACIONES</t>
  </si>
  <si>
    <t>Variaciòn</t>
  </si>
  <si>
    <t>Deterioro de cuentas por cobrar</t>
  </si>
  <si>
    <t>Deterioro de existencias</t>
  </si>
  <si>
    <t>Mov 2012</t>
  </si>
  <si>
    <t>Mov 2011</t>
  </si>
  <si>
    <t>Impuesto diferido</t>
  </si>
  <si>
    <t>2011</t>
  </si>
  <si>
    <t>881</t>
  </si>
  <si>
    <t>IMPUESTO A LA RENTA -CORRIENTE</t>
  </si>
  <si>
    <t>IMPUESTO A LA RENTA -DIFERIDO</t>
  </si>
  <si>
    <t>DT1</t>
  </si>
  <si>
    <t>DT2</t>
  </si>
  <si>
    <t>DT3</t>
  </si>
  <si>
    <t>DT4</t>
  </si>
  <si>
    <t>DT5</t>
  </si>
  <si>
    <t>DT6</t>
  </si>
  <si>
    <t>DT7</t>
  </si>
  <si>
    <t>DT8</t>
  </si>
  <si>
    <t>DT9</t>
  </si>
  <si>
    <t>21. Impuesto a la renta</t>
  </si>
  <si>
    <t>REVELACIONES</t>
  </si>
  <si>
    <t>NIC 16</t>
  </si>
  <si>
    <t>37 AIRD</t>
  </si>
  <si>
    <t>882 IMP DIF</t>
  </si>
  <si>
    <t>881 IMP RENTA</t>
  </si>
  <si>
    <t>401 IMP X PAGAR</t>
  </si>
  <si>
    <t>88 IMP RENTA</t>
  </si>
  <si>
    <t>UT. NETA</t>
  </si>
  <si>
    <t>MOV CTA 29</t>
  </si>
  <si>
    <t>37 ACTIVO IRD</t>
  </si>
  <si>
    <t>882 IMP RENTA DIF</t>
  </si>
  <si>
    <t>40 IMP X PAGAR</t>
  </si>
  <si>
    <t>PRUEBA</t>
  </si>
  <si>
    <t>37 ACTIVO POR IRD</t>
  </si>
  <si>
    <t>882 IMP DIFERIDO</t>
  </si>
  <si>
    <t>881 IMP RTA</t>
  </si>
  <si>
    <t>19 Deterioro de cuentas por cobrar</t>
  </si>
  <si>
    <t>29 Deterioro de existencias</t>
  </si>
  <si>
    <t>41 Vacaciones por pagar</t>
  </si>
  <si>
    <t>PERMANENTES</t>
  </si>
  <si>
    <t>IMPUESTO DIFERIDO</t>
  </si>
  <si>
    <t>IMPUESTO CORRIENTE</t>
  </si>
  <si>
    <t>MOVIMIENTO DE LAS DIFERENCIAS TEMPORARIAS</t>
  </si>
  <si>
    <t>CUOTA</t>
  </si>
  <si>
    <t>N PAGOS</t>
  </si>
  <si>
    <t>PRINCIPAL</t>
  </si>
  <si>
    <t>SI</t>
  </si>
  <si>
    <t>ADIC</t>
  </si>
  <si>
    <t>SF</t>
  </si>
  <si>
    <t>COB DUD</t>
  </si>
  <si>
    <t>PTA</t>
  </si>
  <si>
    <t>ACTIVO DIFERIDO</t>
  </si>
  <si>
    <t>ACTIVO X IRD</t>
  </si>
  <si>
    <t>IMP RTA</t>
  </si>
  <si>
    <t>D</t>
  </si>
  <si>
    <t>H</t>
  </si>
  <si>
    <t>COB DUD.</t>
  </si>
  <si>
    <t>VENTAS</t>
  </si>
  <si>
    <t>COSTO DE VENTAS</t>
  </si>
  <si>
    <t>UTILIDAD BRUTA</t>
  </si>
  <si>
    <t>UTILIDAD ANTES DE IMPUESTOS</t>
  </si>
  <si>
    <t>IMPUESTO A LA RENTA</t>
  </si>
  <si>
    <t>UTILIDAD NETA</t>
  </si>
  <si>
    <t>CTA</t>
  </si>
  <si>
    <t>41 v x pagar</t>
  </si>
  <si>
    <t>ADICION</t>
  </si>
  <si>
    <t>IMP DIF</t>
  </si>
  <si>
    <t>Activo por IRD</t>
  </si>
  <si>
    <t>Imp renta dif</t>
  </si>
  <si>
    <t>debe</t>
  </si>
  <si>
    <t>haber</t>
  </si>
  <si>
    <t>U.TRIBUTARIA</t>
  </si>
  <si>
    <t>I. RTA</t>
  </si>
  <si>
    <t>Imp renta CTE</t>
  </si>
  <si>
    <t>Imp por pagar</t>
  </si>
  <si>
    <t>Imp renta en resultados</t>
  </si>
  <si>
    <t>:</t>
  </si>
  <si>
    <t>UTILIDAD ANTES DE IMP</t>
  </si>
  <si>
    <t>IMP RENTA</t>
  </si>
  <si>
    <t>TASA EFECTIVA</t>
  </si>
  <si>
    <t>BC</t>
  </si>
  <si>
    <t>BT</t>
  </si>
  <si>
    <t>DT</t>
  </si>
  <si>
    <t>19 Deterioro de CxC</t>
  </si>
  <si>
    <t>ADICIONES</t>
  </si>
  <si>
    <t>(+) VACACIONES</t>
  </si>
  <si>
    <t>(+) PERMAMENTES</t>
  </si>
  <si>
    <t xml:space="preserve"> Impuesto a la renta diferido – Patrimonio</t>
  </si>
  <si>
    <t>UAI</t>
  </si>
  <si>
    <t>BI</t>
  </si>
  <si>
    <t>IRTA</t>
  </si>
  <si>
    <t>I.RENTA</t>
  </si>
  <si>
    <t>U.NETA</t>
  </si>
  <si>
    <t>DP</t>
  </si>
  <si>
    <t>CUENTA 19</t>
  </si>
  <si>
    <t>DETERIORO DE LAS CUENTAS POR COBRAR</t>
  </si>
  <si>
    <t>SALDO INICIAL</t>
  </si>
  <si>
    <t>(+) DETERIOROS (NIC39)</t>
  </si>
  <si>
    <t>SALDO FINAL</t>
  </si>
  <si>
    <t>CLIENTES</t>
  </si>
  <si>
    <t>CUENTAS POR COBRAR COMERCIAL</t>
  </si>
  <si>
    <t>SALDO AL 01.01.2014</t>
  </si>
  <si>
    <t>SALDO AL 31.12.2014</t>
  </si>
  <si>
    <t>882 IMPUESTO DIFERIDO</t>
  </si>
  <si>
    <t>(+) DETERIORO NIC 39</t>
  </si>
  <si>
    <t>(+) DIF PERMANENTES</t>
  </si>
  <si>
    <t>UTILIDAD TRIBUTARIA</t>
  </si>
  <si>
    <t>4017 IMP X PAGAR</t>
  </si>
  <si>
    <t>882 IMP A LA RENTA</t>
  </si>
  <si>
    <t>(+) DIFERENCIAS TEMPORALES</t>
  </si>
  <si>
    <t>(+) DIFERENCIAS PERMANEN</t>
  </si>
  <si>
    <t>BASE IMPONIBLE</t>
  </si>
  <si>
    <t>IMP RENTA CTE</t>
  </si>
  <si>
    <t>881 IMP RENNTA</t>
  </si>
  <si>
    <t>88 IMPUESTO A LA RENTA</t>
  </si>
  <si>
    <t>ACTIVO POR IRD</t>
  </si>
  <si>
    <t>NIC 12 IMPUESTO A LA RENTA</t>
  </si>
  <si>
    <t>(+) VACACIONES DEVENGADAS</t>
  </si>
  <si>
    <t>(-) PAGOS</t>
  </si>
  <si>
    <t>41X VACACIONES POR PAGAR-NIC 19</t>
  </si>
  <si>
    <t>LIR</t>
  </si>
  <si>
    <t>DIFERENCIA TEMPORARIA</t>
  </si>
  <si>
    <t>BG</t>
  </si>
  <si>
    <t>882 IMPUESTO A LA RENTA</t>
  </si>
  <si>
    <t>TRIBUTARISTA</t>
  </si>
  <si>
    <t>(+) MULTAS</t>
  </si>
  <si>
    <t>IMPUESTO A LA RENTA CORRIENTE</t>
  </si>
  <si>
    <t>881 IMPUESTO A LA RENTA</t>
  </si>
  <si>
    <t>401X IMP POR PAGAR</t>
  </si>
  <si>
    <t>(-) VACACIONES PAGADAS</t>
  </si>
  <si>
    <t>PERDIDA TRIBUTARIA ARRASTRABLE</t>
  </si>
  <si>
    <t>AÑO 2014</t>
  </si>
  <si>
    <t>PERDIDA TRIBUTARIA</t>
  </si>
  <si>
    <t>AÑO 2017</t>
  </si>
  <si>
    <t>(-) ACTIVO POR IRD</t>
  </si>
  <si>
    <t>POR PAGAR A SUNAT</t>
  </si>
  <si>
    <t>A)</t>
  </si>
  <si>
    <t>B)</t>
  </si>
  <si>
    <t>4 AÑOS</t>
  </si>
  <si>
    <t>INDEFINIDA</t>
  </si>
  <si>
    <t>PTRIBUTARIAS</t>
  </si>
  <si>
    <t>PROYECCIONES</t>
  </si>
  <si>
    <t>CUENTAS POR COBRAR A RELACIONADAS</t>
  </si>
  <si>
    <t>CUENTAS POR COBRAR COMERCIALES</t>
  </si>
  <si>
    <t>Gasto (Cta.6215)</t>
  </si>
  <si>
    <t>Pérdida</t>
  </si>
  <si>
    <t>Recuperación</t>
  </si>
  <si>
    <t>19112 Deterioro de cuentas por cobrar</t>
  </si>
  <si>
    <t>29111 Deterioro de existencias</t>
  </si>
  <si>
    <t>41151 Vacaciones por pagar</t>
  </si>
  <si>
    <t>482 Provisión para retiro de activos</t>
  </si>
  <si>
    <t>486 Provisión por pagarantías</t>
  </si>
  <si>
    <t>Destrucción</t>
  </si>
  <si>
    <t>Garantías del periodo</t>
  </si>
  <si>
    <t>Depreciación acumulada</t>
  </si>
  <si>
    <t>….</t>
  </si>
  <si>
    <t>Vida Util en años</t>
  </si>
  <si>
    <t>Tributario</t>
  </si>
  <si>
    <t>Saldo inicial</t>
  </si>
  <si>
    <t>Vida útil en años</t>
  </si>
  <si>
    <t>…</t>
  </si>
  <si>
    <t>Depreciación anual</t>
  </si>
  <si>
    <t>Préstamo</t>
  </si>
  <si>
    <t>Comisión</t>
  </si>
  <si>
    <t>Contrato (forma)</t>
  </si>
  <si>
    <t>Sustancia</t>
  </si>
  <si>
    <t xml:space="preserve">Activo por  Impuesto a la renta diferido </t>
  </si>
  <si>
    <t>Impuesto a la renta (resultados)</t>
  </si>
  <si>
    <t xml:space="preserve">Pasivo por  Impuesto a la renta diferido </t>
  </si>
  <si>
    <t>Vacaciones devengadas por pagar</t>
  </si>
  <si>
    <t>Provisiones por garantías</t>
  </si>
  <si>
    <t>Diferencia en depreciación de edificación</t>
  </si>
  <si>
    <t>Diferencia en depreciación de vehículos en leasing</t>
  </si>
  <si>
    <t>Base Imponible</t>
  </si>
  <si>
    <t>4017</t>
  </si>
  <si>
    <t>Impuesto a la renta por pagar</t>
  </si>
  <si>
    <t>Provisión por retiro de activos</t>
  </si>
  <si>
    <t>Provisión por garantías</t>
  </si>
  <si>
    <t>Préstamos por pagar</t>
  </si>
  <si>
    <t>-1-</t>
  </si>
  <si>
    <t>-2-</t>
  </si>
  <si>
    <t>-3-</t>
  </si>
  <si>
    <t>Ingreso</t>
  </si>
  <si>
    <t>Gasto</t>
  </si>
  <si>
    <t>Adiciones Permanentes</t>
  </si>
  <si>
    <t>Base de prueba ácida</t>
  </si>
  <si>
    <t>Efecto combinado del impuesto a la renta</t>
  </si>
  <si>
    <t>Equipos informáticos</t>
  </si>
  <si>
    <t>Equipos mineros</t>
  </si>
  <si>
    <t xml:space="preserve">Plataforma </t>
  </si>
  <si>
    <t>Contrato</t>
  </si>
  <si>
    <t>(forma)</t>
  </si>
  <si>
    <t>(sustancia)</t>
  </si>
  <si>
    <t>de</t>
  </si>
  <si>
    <t>intereses</t>
  </si>
  <si>
    <t>Saldo incicial</t>
  </si>
  <si>
    <t>(-) Devengamiento</t>
  </si>
  <si>
    <t>Ajuste del activo por impuesto a la renta diferido</t>
  </si>
  <si>
    <t>Ajuste del pasivo por impuesto a la renta diferido</t>
  </si>
  <si>
    <t xml:space="preserve">Deterioro de existencias </t>
  </si>
  <si>
    <t xml:space="preserve">Deterioro de cuentas por cobrar </t>
  </si>
  <si>
    <t>Depreciación de edificaciones</t>
  </si>
  <si>
    <t>Depreciación de vehículos</t>
  </si>
  <si>
    <t>Impuestos diferidos al 30%</t>
  </si>
  <si>
    <t>Ajuste del activo por Impuesto a la renta diferido</t>
  </si>
  <si>
    <t>Ajuste del pasivo por Impuesto a la renta diferido</t>
  </si>
  <si>
    <t>Saldos iniciales</t>
  </si>
  <si>
    <t>Saldos finales</t>
  </si>
  <si>
    <t>Deterioro de cuentas por cobrar (nic 39)</t>
  </si>
  <si>
    <t>Deterioro de mercaderia (nic 2)</t>
  </si>
  <si>
    <t>Excedente de revaluacion (nic 16)</t>
  </si>
  <si>
    <t>Depreciacion acumulada de edificios (nic 16)</t>
  </si>
  <si>
    <t>Depreciacion acumulada vehiculos - leasing</t>
  </si>
  <si>
    <t>Vacaciones por pagar - (nic 19)</t>
  </si>
  <si>
    <t>Prestamos entidades bancarias (nic 39)</t>
  </si>
  <si>
    <t>Provision para retiro de activos (nic 37)</t>
  </si>
  <si>
    <t>Provison para garantias (nic 37)</t>
  </si>
  <si>
    <t>Depreciación de vehpiculos</t>
  </si>
  <si>
    <t>Movimiento de DT</t>
  </si>
  <si>
    <t>Diferencias temporales</t>
  </si>
  <si>
    <t>Temporaria</t>
  </si>
  <si>
    <t>al Inicio</t>
  </si>
  <si>
    <t>al Final</t>
  </si>
  <si>
    <t>Base contable [BC]</t>
  </si>
  <si>
    <t>Base tributaria [BT]</t>
  </si>
  <si>
    <t>Saldo final [BC-BT]</t>
  </si>
  <si>
    <t xml:space="preserve">Diferencias gravables </t>
  </si>
  <si>
    <t xml:space="preserve">Diferencias deducibles </t>
  </si>
  <si>
    <t>Activo por impuesto a la renta diferido</t>
  </si>
  <si>
    <t>Pasivo por impuesto a la renta diferido</t>
  </si>
  <si>
    <t>Cuenta</t>
  </si>
  <si>
    <t>Saldo al inicio</t>
  </si>
  <si>
    <t>Saldo al final</t>
  </si>
  <si>
    <t>12 XX</t>
  </si>
  <si>
    <t>Cuentas por cobrar comercial</t>
  </si>
  <si>
    <t>19XX</t>
  </si>
  <si>
    <t>Deeterioro de cuentas por cobrar</t>
  </si>
  <si>
    <t>Base</t>
  </si>
  <si>
    <t>Contable</t>
  </si>
  <si>
    <t>Tributaria</t>
  </si>
  <si>
    <t>Activo</t>
  </si>
  <si>
    <t>IRD</t>
  </si>
  <si>
    <t>20XX</t>
  </si>
  <si>
    <t>29XX</t>
  </si>
  <si>
    <t>Existencias</t>
  </si>
  <si>
    <t>x 30%</t>
  </si>
  <si>
    <t>Provisión para retiro de activos</t>
  </si>
  <si>
    <t>Cronograma del Banco</t>
  </si>
  <si>
    <t>BC - BT</t>
  </si>
  <si>
    <t>BT = S/30,000,000 al inicio</t>
  </si>
  <si>
    <t>BT = S/30,000,000 -S/3,466,597 al final del primer periodo</t>
  </si>
  <si>
    <t>BC = S/27,000,000 al inicio</t>
  </si>
  <si>
    <t>BT = S/27,000,000 -S/2,836,089 al final del primer periodo</t>
  </si>
  <si>
    <t>(ver cronograma financiero)</t>
  </si>
  <si>
    <t>(ver cronograma tributario)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</si>
</sst>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#,###\ ;[Black]\(#,###\);"/>
    <numFmt numFmtId="169" formatCode="0.000%"/>
    <numFmt numFmtId="170" formatCode="#,##0\ ;[Black]\(#,##0\);\-\ 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color theme="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26"/>
      <color theme="10"/>
      <name val="Calibri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0" fillId="0" borderId="0"/>
    <xf numFmtId="167" fontId="10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588">
    <xf numFmtId="0" fontId="0" fillId="0" borderId="0" xfId="0"/>
    <xf numFmtId="0" fontId="5" fillId="0" borderId="0" xfId="3" applyNumberFormat="1" applyFont="1" applyFill="1" applyBorder="1" applyAlignment="1" applyProtection="1"/>
    <xf numFmtId="0" fontId="6" fillId="0" borderId="0" xfId="3" applyNumberFormat="1" applyFont="1" applyFill="1" applyBorder="1" applyAlignment="1" applyProtection="1"/>
    <xf numFmtId="0" fontId="7" fillId="8" borderId="0" xfId="3" applyFont="1" applyFill="1" applyAlignment="1">
      <alignment vertical="center"/>
    </xf>
    <xf numFmtId="0" fontId="0" fillId="8" borderId="0" xfId="0" applyFill="1"/>
    <xf numFmtId="0" fontId="2" fillId="10" borderId="0" xfId="0" applyFont="1" applyFill="1"/>
    <xf numFmtId="0" fontId="0" fillId="12" borderId="0" xfId="0" applyFill="1"/>
    <xf numFmtId="0" fontId="5" fillId="12" borderId="0" xfId="3" applyFont="1" applyFill="1" applyAlignment="1">
      <alignment horizontal="center" vertical="center"/>
    </xf>
    <xf numFmtId="0" fontId="5" fillId="12" borderId="0" xfId="3" quotePrefix="1" applyFont="1" applyFill="1" applyAlignment="1">
      <alignment vertical="center"/>
    </xf>
    <xf numFmtId="0" fontId="5" fillId="12" borderId="0" xfId="3" applyFont="1" applyFill="1" applyAlignment="1">
      <alignment vertical="center"/>
    </xf>
    <xf numFmtId="164" fontId="5" fillId="12" borderId="0" xfId="1" applyNumberFormat="1" applyFont="1" applyFill="1" applyAlignment="1">
      <alignment horizontal="right" vertical="center"/>
    </xf>
    <xf numFmtId="0" fontId="8" fillId="0" borderId="0" xfId="4" applyFont="1"/>
    <xf numFmtId="39" fontId="13" fillId="0" borderId="0" xfId="4" applyNumberFormat="1" applyFont="1"/>
    <xf numFmtId="0" fontId="13" fillId="0" borderId="0" xfId="4" applyFont="1"/>
    <xf numFmtId="0" fontId="8" fillId="0" borderId="0" xfId="4" applyFont="1" applyAlignment="1">
      <alignment horizontal="right"/>
    </xf>
    <xf numFmtId="4" fontId="8" fillId="0" borderId="0" xfId="4" applyNumberFormat="1" applyFont="1"/>
    <xf numFmtId="4" fontId="14" fillId="0" borderId="0" xfId="5" applyNumberFormat="1" applyFont="1" applyBorder="1"/>
    <xf numFmtId="164" fontId="8" fillId="0" borderId="0" xfId="1" applyNumberFormat="1" applyFont="1"/>
    <xf numFmtId="166" fontId="8" fillId="12" borderId="0" xfId="5" applyNumberFormat="1" applyFont="1" applyFill="1" applyBorder="1"/>
    <xf numFmtId="166" fontId="13" fillId="12" borderId="16" xfId="5" applyNumberFormat="1" applyFont="1" applyFill="1" applyBorder="1"/>
    <xf numFmtId="43" fontId="8" fillId="0" borderId="0" xfId="4" applyNumberFormat="1" applyFont="1"/>
    <xf numFmtId="0" fontId="11" fillId="0" borderId="0" xfId="11" applyFont="1"/>
    <xf numFmtId="0" fontId="10" fillId="0" borderId="0" xfId="11"/>
    <xf numFmtId="43" fontId="10" fillId="0" borderId="0" xfId="11" applyNumberFormat="1"/>
    <xf numFmtId="164" fontId="11" fillId="0" borderId="0" xfId="1" applyNumberFormat="1" applyFont="1"/>
    <xf numFmtId="0" fontId="6" fillId="12" borderId="0" xfId="3" applyFont="1" applyFill="1" applyAlignment="1">
      <alignment horizontal="center" vertical="center"/>
    </xf>
    <xf numFmtId="0" fontId="8" fillId="0" borderId="0" xfId="11" applyFont="1"/>
    <xf numFmtId="0" fontId="13" fillId="0" borderId="0" xfId="11" applyFont="1"/>
    <xf numFmtId="0" fontId="9" fillId="14" borderId="22" xfId="11" applyFont="1" applyFill="1" applyBorder="1"/>
    <xf numFmtId="10" fontId="9" fillId="14" borderId="19" xfId="11" applyNumberFormat="1" applyFont="1" applyFill="1" applyBorder="1" applyAlignment="1">
      <alignment horizontal="center"/>
    </xf>
    <xf numFmtId="166" fontId="13" fillId="12" borderId="19" xfId="5" applyNumberFormat="1" applyFont="1" applyFill="1" applyBorder="1"/>
    <xf numFmtId="0" fontId="3" fillId="12" borderId="0" xfId="0" applyFont="1" applyFill="1"/>
    <xf numFmtId="164" fontId="6" fillId="12" borderId="0" xfId="1" applyNumberFormat="1" applyFont="1" applyFill="1" applyAlignment="1">
      <alignment horizontal="right" vertical="center"/>
    </xf>
    <xf numFmtId="164" fontId="6" fillId="12" borderId="19" xfId="1" applyNumberFormat="1" applyFont="1" applyFill="1" applyBorder="1" applyAlignment="1">
      <alignment horizontal="right" vertical="center"/>
    </xf>
    <xf numFmtId="164" fontId="5" fillId="12" borderId="0" xfId="1" quotePrefix="1" applyNumberFormat="1" applyFont="1" applyFill="1" applyAlignment="1">
      <alignment horizontal="left" vertical="center"/>
    </xf>
    <xf numFmtId="164" fontId="5" fillId="12" borderId="0" xfId="1" applyNumberFormat="1" applyFont="1" applyFill="1" applyAlignment="1">
      <alignment horizontal="left" vertical="center"/>
    </xf>
    <xf numFmtId="164" fontId="6" fillId="12" borderId="0" xfId="1" applyNumberFormat="1" applyFont="1" applyFill="1" applyAlignment="1">
      <alignment horizontal="center" vertical="center"/>
    </xf>
    <xf numFmtId="0" fontId="8" fillId="0" borderId="26" xfId="11" applyNumberFormat="1" applyFont="1" applyBorder="1" applyAlignment="1">
      <alignment horizontal="center"/>
    </xf>
    <xf numFmtId="0" fontId="8" fillId="0" borderId="27" xfId="11" applyNumberFormat="1" applyFont="1" applyBorder="1" applyAlignment="1">
      <alignment horizontal="center"/>
    </xf>
    <xf numFmtId="164" fontId="6" fillId="12" borderId="0" xfId="1" applyNumberFormat="1" applyFont="1" applyFill="1" applyAlignment="1">
      <alignment horizontal="left" vertical="center"/>
    </xf>
    <xf numFmtId="0" fontId="15" fillId="12" borderId="0" xfId="0" applyFont="1" applyFill="1"/>
    <xf numFmtId="0" fontId="16" fillId="12" borderId="0" xfId="0" applyFont="1" applyFill="1"/>
    <xf numFmtId="3" fontId="15" fillId="12" borderId="0" xfId="0" applyNumberFormat="1" applyFont="1" applyFill="1"/>
    <xf numFmtId="9" fontId="15" fillId="12" borderId="0" xfId="0" applyNumberFormat="1" applyFont="1" applyFill="1"/>
    <xf numFmtId="0" fontId="16" fillId="12" borderId="0" xfId="0" applyFont="1" applyFill="1" applyAlignment="1">
      <alignment horizontal="center"/>
    </xf>
    <xf numFmtId="0" fontId="9" fillId="10" borderId="0" xfId="3" applyFont="1" applyFill="1" applyAlignment="1">
      <alignment horizontal="center" vertical="center"/>
    </xf>
    <xf numFmtId="10" fontId="6" fillId="12" borderId="0" xfId="3" applyNumberFormat="1" applyFont="1" applyFill="1" applyAlignment="1">
      <alignment horizontal="center" vertical="center"/>
    </xf>
    <xf numFmtId="0" fontId="8" fillId="10" borderId="0" xfId="4" applyFont="1" applyFill="1"/>
    <xf numFmtId="0" fontId="13" fillId="10" borderId="0" xfId="4" applyFont="1" applyFill="1"/>
    <xf numFmtId="0" fontId="5" fillId="5" borderId="0" xfId="3" applyNumberFormat="1" applyFont="1" applyFill="1" applyBorder="1" applyAlignment="1" applyProtection="1"/>
    <xf numFmtId="0" fontId="6" fillId="5" borderId="0" xfId="3" applyNumberFormat="1" applyFont="1" applyFill="1" applyBorder="1" applyAlignment="1" applyProtection="1"/>
    <xf numFmtId="3" fontId="5" fillId="0" borderId="0" xfId="3" applyNumberFormat="1" applyFont="1" applyFill="1" applyBorder="1" applyAlignment="1" applyProtection="1"/>
    <xf numFmtId="166" fontId="8" fillId="12" borderId="23" xfId="5" applyNumberFormat="1" applyFont="1" applyFill="1" applyBorder="1"/>
    <xf numFmtId="164" fontId="13" fillId="0" borderId="19" xfId="1" applyNumberFormat="1" applyFont="1" applyBorder="1" applyAlignment="1">
      <alignment horizontal="center"/>
    </xf>
    <xf numFmtId="0" fontId="13" fillId="0" borderId="19" xfId="11" applyFont="1" applyBorder="1" applyAlignment="1">
      <alignment horizontal="center"/>
    </xf>
    <xf numFmtId="0" fontId="13" fillId="0" borderId="29" xfId="11" applyFont="1" applyBorder="1" applyAlignment="1">
      <alignment horizontal="center"/>
    </xf>
    <xf numFmtId="0" fontId="8" fillId="0" borderId="26" xfId="11" applyFont="1" applyBorder="1" applyAlignment="1">
      <alignment horizontal="center"/>
    </xf>
    <xf numFmtId="0" fontId="8" fillId="0" borderId="27" xfId="11" applyFont="1" applyBorder="1" applyAlignment="1">
      <alignment horizontal="center"/>
    </xf>
    <xf numFmtId="0" fontId="8" fillId="0" borderId="25" xfId="11" applyFont="1" applyBorder="1" applyAlignment="1">
      <alignment horizontal="center"/>
    </xf>
    <xf numFmtId="0" fontId="8" fillId="0" borderId="0" xfId="11" applyFont="1" applyBorder="1" applyAlignment="1">
      <alignment horizontal="center"/>
    </xf>
    <xf numFmtId="0" fontId="9" fillId="14" borderId="0" xfId="11" applyFont="1" applyFill="1" applyBorder="1"/>
    <xf numFmtId="3" fontId="9" fillId="14" borderId="26" xfId="11" applyNumberFormat="1" applyFont="1" applyFill="1" applyBorder="1"/>
    <xf numFmtId="0" fontId="13" fillId="16" borderId="19" xfId="11" applyFont="1" applyFill="1" applyBorder="1" applyAlignment="1">
      <alignment horizontal="center"/>
    </xf>
    <xf numFmtId="9" fontId="13" fillId="0" borderId="26" xfId="11" applyNumberFormat="1" applyFont="1" applyBorder="1" applyAlignment="1">
      <alignment horizontal="center"/>
    </xf>
    <xf numFmtId="9" fontId="13" fillId="0" borderId="27" xfId="11" applyNumberFormat="1" applyFont="1" applyBorder="1" applyAlignment="1">
      <alignment horizontal="center"/>
    </xf>
    <xf numFmtId="0" fontId="8" fillId="12" borderId="20" xfId="11" applyFont="1" applyFill="1" applyBorder="1"/>
    <xf numFmtId="0" fontId="8" fillId="12" borderId="24" xfId="11" applyFont="1" applyFill="1" applyBorder="1"/>
    <xf numFmtId="0" fontId="13" fillId="12" borderId="19" xfId="11" applyFont="1" applyFill="1" applyBorder="1" applyAlignment="1">
      <alignment horizontal="center"/>
    </xf>
    <xf numFmtId="0" fontId="13" fillId="12" borderId="12" xfId="11" applyFont="1" applyFill="1" applyBorder="1"/>
    <xf numFmtId="0" fontId="13" fillId="12" borderId="13" xfId="11" applyFont="1" applyFill="1" applyBorder="1"/>
    <xf numFmtId="9" fontId="13" fillId="12" borderId="27" xfId="2" applyFont="1" applyFill="1" applyBorder="1" applyAlignment="1">
      <alignment horizontal="center"/>
    </xf>
    <xf numFmtId="41" fontId="8" fillId="0" borderId="26" xfId="11" applyNumberFormat="1" applyFont="1" applyBorder="1"/>
    <xf numFmtId="41" fontId="8" fillId="0" borderId="23" xfId="11" applyNumberFormat="1" applyFont="1" applyBorder="1"/>
    <xf numFmtId="41" fontId="13" fillId="0" borderId="19" xfId="11" applyNumberFormat="1" applyFont="1" applyBorder="1"/>
    <xf numFmtId="41" fontId="13" fillId="0" borderId="29" xfId="11" applyNumberFormat="1" applyFont="1" applyBorder="1"/>
    <xf numFmtId="41" fontId="8" fillId="0" borderId="27" xfId="11" applyNumberFormat="1" applyFont="1" applyBorder="1"/>
    <xf numFmtId="41" fontId="8" fillId="0" borderId="14" xfId="11" applyNumberFormat="1" applyFont="1" applyBorder="1"/>
    <xf numFmtId="164" fontId="8" fillId="0" borderId="26" xfId="11" applyNumberFormat="1" applyFont="1" applyBorder="1"/>
    <xf numFmtId="164" fontId="8" fillId="0" borderId="27" xfId="11" applyNumberFormat="1" applyFont="1" applyBorder="1"/>
    <xf numFmtId="164" fontId="13" fillId="0" borderId="27" xfId="11" applyNumberFormat="1" applyFont="1" applyBorder="1"/>
    <xf numFmtId="41" fontId="13" fillId="0" borderId="27" xfId="11" applyNumberFormat="1" applyFont="1" applyBorder="1"/>
    <xf numFmtId="14" fontId="8" fillId="0" borderId="0" xfId="11" applyNumberFormat="1" applyFont="1" applyAlignment="1">
      <alignment horizontal="center"/>
    </xf>
    <xf numFmtId="0" fontId="19" fillId="13" borderId="0" xfId="11" applyFont="1" applyFill="1"/>
    <xf numFmtId="0" fontId="2" fillId="19" borderId="0" xfId="0" applyFont="1" applyFill="1"/>
    <xf numFmtId="0" fontId="17" fillId="19" borderId="0" xfId="0" applyFont="1" applyFill="1"/>
    <xf numFmtId="0" fontId="10" fillId="19" borderId="0" xfId="11" applyFill="1"/>
    <xf numFmtId="0" fontId="0" fillId="0" borderId="0" xfId="0" applyFill="1"/>
    <xf numFmtId="0" fontId="15" fillId="0" borderId="0" xfId="0" applyFont="1" applyFill="1"/>
    <xf numFmtId="164" fontId="5" fillId="0" borderId="0" xfId="1" applyNumberFormat="1" applyFont="1" applyFill="1" applyAlignment="1">
      <alignment horizontal="right" vertical="center"/>
    </xf>
    <xf numFmtId="0" fontId="16" fillId="17" borderId="0" xfId="0" applyFont="1" applyFill="1"/>
    <xf numFmtId="164" fontId="6" fillId="17" borderId="0" xfId="1" applyNumberFormat="1" applyFont="1" applyFill="1" applyAlignment="1">
      <alignment horizontal="right" vertical="center"/>
    </xf>
    <xf numFmtId="0" fontId="0" fillId="5" borderId="0" xfId="0" applyFill="1"/>
    <xf numFmtId="0" fontId="20" fillId="10" borderId="0" xfId="0" applyFont="1" applyFill="1"/>
    <xf numFmtId="0" fontId="9" fillId="10" borderId="0" xfId="0" applyFont="1" applyFill="1"/>
    <xf numFmtId="0" fontId="15" fillId="5" borderId="0" xfId="0" applyFont="1" applyFill="1"/>
    <xf numFmtId="164" fontId="5" fillId="12" borderId="25" xfId="1" applyNumberFormat="1" applyFont="1" applyFill="1" applyBorder="1" applyAlignment="1">
      <alignment horizontal="right" vertical="center"/>
    </xf>
    <xf numFmtId="164" fontId="5" fillId="12" borderId="26" xfId="1" applyNumberFormat="1" applyFont="1" applyFill="1" applyBorder="1" applyAlignment="1">
      <alignment horizontal="right" vertical="center"/>
    </xf>
    <xf numFmtId="0" fontId="0" fillId="12" borderId="26" xfId="0" applyFill="1" applyBorder="1"/>
    <xf numFmtId="166" fontId="8" fillId="12" borderId="26" xfId="5" applyNumberFormat="1" applyFont="1" applyFill="1" applyBorder="1"/>
    <xf numFmtId="166" fontId="8" fillId="12" borderId="27" xfId="5" applyNumberFormat="1" applyFont="1" applyFill="1" applyBorder="1"/>
    <xf numFmtId="164" fontId="5" fillId="12" borderId="20" xfId="1" applyNumberFormat="1" applyFont="1" applyFill="1" applyBorder="1" applyAlignment="1">
      <alignment horizontal="right" vertical="center"/>
    </xf>
    <xf numFmtId="166" fontId="8" fillId="12" borderId="21" xfId="5" applyNumberFormat="1" applyFont="1" applyFill="1" applyBorder="1"/>
    <xf numFmtId="164" fontId="5" fillId="12" borderId="22" xfId="1" applyNumberFormat="1" applyFont="1" applyFill="1" applyBorder="1" applyAlignment="1">
      <alignment horizontal="right" vertical="center"/>
    </xf>
    <xf numFmtId="0" fontId="0" fillId="12" borderId="22" xfId="0" applyFill="1" applyBorder="1"/>
    <xf numFmtId="164" fontId="5" fillId="12" borderId="12" xfId="1" applyNumberFormat="1" applyFont="1" applyFill="1" applyBorder="1" applyAlignment="1">
      <alignment horizontal="right" vertical="center"/>
    </xf>
    <xf numFmtId="166" fontId="8" fillId="12" borderId="14" xfId="5" applyNumberFormat="1" applyFont="1" applyFill="1" applyBorder="1"/>
    <xf numFmtId="166" fontId="13" fillId="17" borderId="19" xfId="5" applyNumberFormat="1" applyFont="1" applyFill="1" applyBorder="1"/>
    <xf numFmtId="166" fontId="8" fillId="12" borderId="25" xfId="5" applyNumberFormat="1" applyFont="1" applyFill="1" applyBorder="1"/>
    <xf numFmtId="0" fontId="21" fillId="0" borderId="0" xfId="3" applyNumberFormat="1" applyFont="1" applyFill="1" applyBorder="1" applyAlignment="1" applyProtection="1"/>
    <xf numFmtId="0" fontId="21" fillId="5" borderId="0" xfId="3" applyNumberFormat="1" applyFont="1" applyFill="1" applyBorder="1" applyAlignment="1" applyProtection="1"/>
    <xf numFmtId="3" fontId="21" fillId="0" borderId="0" xfId="3" applyNumberFormat="1" applyFont="1" applyFill="1" applyBorder="1" applyAlignment="1" applyProtection="1"/>
    <xf numFmtId="0" fontId="22" fillId="0" borderId="0" xfId="3" applyNumberFormat="1" applyFont="1" applyFill="1" applyBorder="1" applyAlignment="1" applyProtection="1"/>
    <xf numFmtId="0" fontId="22" fillId="5" borderId="0" xfId="3" applyNumberFormat="1" applyFont="1" applyFill="1" applyBorder="1" applyAlignment="1" applyProtection="1"/>
    <xf numFmtId="164" fontId="21" fillId="5" borderId="0" xfId="1" applyNumberFormat="1" applyFont="1" applyFill="1" applyBorder="1" applyAlignment="1" applyProtection="1"/>
    <xf numFmtId="164" fontId="0" fillId="0" borderId="0" xfId="1" applyNumberFormat="1" applyFont="1"/>
    <xf numFmtId="0" fontId="25" fillId="0" borderId="0" xfId="0" applyFont="1"/>
    <xf numFmtId="164" fontId="23" fillId="12" borderId="16" xfId="1" applyNumberFormat="1" applyFont="1" applyFill="1" applyBorder="1"/>
    <xf numFmtId="164" fontId="23" fillId="12" borderId="0" xfId="1" applyNumberFormat="1" applyFont="1" applyFill="1" applyBorder="1"/>
    <xf numFmtId="168" fontId="23" fillId="12" borderId="0" xfId="0" applyNumberFormat="1" applyFont="1" applyFill="1" applyBorder="1"/>
    <xf numFmtId="164" fontId="23" fillId="12" borderId="13" xfId="1" applyNumberFormat="1" applyFont="1" applyFill="1" applyBorder="1"/>
    <xf numFmtId="164" fontId="25" fillId="12" borderId="0" xfId="1" applyNumberFormat="1" applyFont="1" applyFill="1" applyBorder="1"/>
    <xf numFmtId="168" fontId="25" fillId="12" borderId="0" xfId="0" applyNumberFormat="1" applyFont="1" applyFill="1" applyBorder="1"/>
    <xf numFmtId="0" fontId="24" fillId="14" borderId="0" xfId="1" applyNumberFormat="1" applyFont="1" applyFill="1" applyBorder="1" applyAlignment="1">
      <alignment horizontal="center"/>
    </xf>
    <xf numFmtId="164" fontId="24" fillId="14" borderId="0" xfId="1" applyNumberFormat="1" applyFont="1" applyFill="1" applyBorder="1"/>
    <xf numFmtId="164" fontId="27" fillId="12" borderId="0" xfId="1" applyNumberFormat="1" applyFont="1" applyFill="1" applyBorder="1"/>
    <xf numFmtId="164" fontId="23" fillId="12" borderId="0" xfId="1" applyNumberFormat="1" applyFont="1" applyFill="1" applyBorder="1" applyAlignment="1">
      <alignment horizontal="center"/>
    </xf>
    <xf numFmtId="164" fontId="24" fillId="20" borderId="0" xfId="1" applyNumberFormat="1" applyFont="1" applyFill="1" applyBorder="1"/>
    <xf numFmtId="168" fontId="23" fillId="12" borderId="13" xfId="0" applyNumberFormat="1" applyFont="1" applyFill="1" applyBorder="1"/>
    <xf numFmtId="168" fontId="25" fillId="12" borderId="13" xfId="0" applyNumberFormat="1" applyFont="1" applyFill="1" applyBorder="1"/>
    <xf numFmtId="164" fontId="0" fillId="12" borderId="13" xfId="1" applyNumberFormat="1" applyFont="1" applyFill="1" applyBorder="1"/>
    <xf numFmtId="164" fontId="23" fillId="12" borderId="13" xfId="1" applyNumberFormat="1" applyFont="1" applyFill="1" applyBorder="1" applyAlignment="1">
      <alignment horizontal="center"/>
    </xf>
    <xf numFmtId="164" fontId="21" fillId="0" borderId="0" xfId="3" applyNumberFormat="1" applyFont="1" applyFill="1" applyBorder="1" applyAlignment="1" applyProtection="1"/>
    <xf numFmtId="164" fontId="23" fillId="12" borderId="24" xfId="1" applyNumberFormat="1" applyFont="1" applyFill="1" applyBorder="1"/>
    <xf numFmtId="168" fontId="25" fillId="12" borderId="24" xfId="0" applyNumberFormat="1" applyFont="1" applyFill="1" applyBorder="1"/>
    <xf numFmtId="164" fontId="26" fillId="12" borderId="0" xfId="1" applyNumberFormat="1" applyFont="1" applyFill="1" applyBorder="1" applyAlignment="1">
      <alignment horizontal="left" indent="1"/>
    </xf>
    <xf numFmtId="168" fontId="25" fillId="11" borderId="0" xfId="0" applyNumberFormat="1" applyFont="1" applyFill="1" applyBorder="1"/>
    <xf numFmtId="168" fontId="23" fillId="11" borderId="0" xfId="0" applyNumberFormat="1" applyFont="1" applyFill="1" applyBorder="1"/>
    <xf numFmtId="0" fontId="25" fillId="12" borderId="0" xfId="0" applyFont="1" applyFill="1"/>
    <xf numFmtId="164" fontId="23" fillId="17" borderId="0" xfId="1" applyNumberFormat="1" applyFont="1" applyFill="1" applyBorder="1"/>
    <xf numFmtId="168" fontId="23" fillId="17" borderId="0" xfId="0" applyNumberFormat="1" applyFont="1" applyFill="1" applyBorder="1"/>
    <xf numFmtId="0" fontId="30" fillId="12" borderId="0" xfId="0" applyFont="1" applyFill="1" applyBorder="1" applyAlignment="1">
      <alignment vertical="center"/>
    </xf>
    <xf numFmtId="0" fontId="30" fillId="12" borderId="0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vertical="center"/>
    </xf>
    <xf numFmtId="0" fontId="31" fillId="12" borderId="0" xfId="0" applyFont="1" applyFill="1" applyBorder="1" applyAlignment="1">
      <alignment horizontal="left" vertical="center" indent="1"/>
    </xf>
    <xf numFmtId="0" fontId="32" fillId="12" borderId="4" xfId="0" applyFont="1" applyFill="1" applyBorder="1" applyAlignment="1">
      <alignment horizontal="center" vertical="center"/>
    </xf>
    <xf numFmtId="3" fontId="33" fillId="12" borderId="0" xfId="0" applyNumberFormat="1" applyFont="1" applyFill="1" applyBorder="1" applyAlignment="1">
      <alignment horizontal="right" vertical="top" wrapText="1"/>
    </xf>
    <xf numFmtId="0" fontId="32" fillId="12" borderId="0" xfId="0" applyFont="1" applyFill="1" applyBorder="1" applyAlignment="1">
      <alignment horizontal="center" vertical="center"/>
    </xf>
    <xf numFmtId="43" fontId="33" fillId="12" borderId="0" xfId="1" applyFont="1" applyFill="1" applyBorder="1" applyAlignment="1">
      <alignment horizontal="right" vertical="top" wrapText="1"/>
    </xf>
    <xf numFmtId="3" fontId="32" fillId="12" borderId="0" xfId="0" applyNumberFormat="1" applyFont="1" applyFill="1" applyBorder="1" applyAlignment="1">
      <alignment horizontal="right" vertical="top" wrapText="1"/>
    </xf>
    <xf numFmtId="166" fontId="10" fillId="12" borderId="0" xfId="5" applyNumberFormat="1" applyFont="1" applyFill="1" applyBorder="1"/>
    <xf numFmtId="164" fontId="32" fillId="12" borderId="4" xfId="1" applyNumberFormat="1" applyFont="1" applyFill="1" applyBorder="1" applyAlignment="1">
      <alignment horizontal="right" vertical="top" wrapText="1"/>
    </xf>
    <xf numFmtId="164" fontId="32" fillId="12" borderId="16" xfId="1" applyNumberFormat="1" applyFont="1" applyFill="1" applyBorder="1" applyAlignment="1">
      <alignment horizontal="right" vertical="top" wrapText="1"/>
    </xf>
    <xf numFmtId="166" fontId="10" fillId="12" borderId="6" xfId="5" applyNumberFormat="1" applyFont="1" applyFill="1" applyBorder="1"/>
    <xf numFmtId="164" fontId="33" fillId="12" borderId="6" xfId="1" applyNumberFormat="1" applyFont="1" applyFill="1" applyBorder="1" applyAlignment="1">
      <alignment horizontal="right" vertical="top" wrapText="1"/>
    </xf>
    <xf numFmtId="164" fontId="32" fillId="12" borderId="6" xfId="1" applyNumberFormat="1" applyFont="1" applyFill="1" applyBorder="1" applyAlignment="1">
      <alignment horizontal="right" vertical="top" wrapText="1"/>
    </xf>
    <xf numFmtId="0" fontId="31" fillId="12" borderId="0" xfId="0" applyFont="1" applyFill="1" applyBorder="1" applyAlignment="1">
      <alignment horizontal="center" vertical="center"/>
    </xf>
    <xf numFmtId="164" fontId="32" fillId="12" borderId="0" xfId="1" applyNumberFormat="1" applyFont="1" applyFill="1" applyBorder="1" applyAlignment="1">
      <alignment horizontal="right" vertical="top" wrapText="1"/>
    </xf>
    <xf numFmtId="164" fontId="33" fillId="12" borderId="0" xfId="1" applyNumberFormat="1" applyFont="1" applyFill="1" applyBorder="1" applyAlignment="1">
      <alignment horizontal="right" vertical="top" wrapText="1"/>
    </xf>
    <xf numFmtId="43" fontId="32" fillId="12" borderId="0" xfId="1" applyFont="1" applyFill="1" applyBorder="1" applyAlignment="1">
      <alignment horizontal="right" vertical="top" wrapText="1"/>
    </xf>
    <xf numFmtId="0" fontId="30" fillId="11" borderId="0" xfId="0" applyFont="1" applyFill="1" applyBorder="1" applyAlignment="1">
      <alignment horizontal="center" vertical="center"/>
    </xf>
    <xf numFmtId="0" fontId="30" fillId="12" borderId="0" xfId="0" applyFont="1" applyFill="1" applyBorder="1" applyAlignment="1">
      <alignment horizontal="left" vertical="center"/>
    </xf>
    <xf numFmtId="0" fontId="33" fillId="12" borderId="0" xfId="0" applyFont="1" applyFill="1" applyBorder="1" applyAlignment="1">
      <alignment horizontal="left" vertical="center"/>
    </xf>
    <xf numFmtId="0" fontId="32" fillId="12" borderId="0" xfId="0" applyFont="1" applyFill="1" applyBorder="1" applyAlignment="1">
      <alignment horizontal="left" vertical="center"/>
    </xf>
    <xf numFmtId="0" fontId="33" fillId="0" borderId="0" xfId="0" applyFont="1"/>
    <xf numFmtId="0" fontId="33" fillId="12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0" fontId="33" fillId="12" borderId="0" xfId="0" applyFont="1" applyFill="1"/>
    <xf numFmtId="0" fontId="34" fillId="12" borderId="0" xfId="3" applyFont="1" applyFill="1" applyAlignment="1">
      <alignment horizontal="center" vertical="center"/>
    </xf>
    <xf numFmtId="0" fontId="35" fillId="12" borderId="0" xfId="3" quotePrefix="1" applyFont="1" applyFill="1" applyAlignment="1">
      <alignment vertical="center"/>
    </xf>
    <xf numFmtId="0" fontId="35" fillId="12" borderId="0" xfId="3" applyFont="1" applyFill="1" applyAlignment="1">
      <alignment vertical="center"/>
    </xf>
    <xf numFmtId="164" fontId="35" fillId="12" borderId="0" xfId="1" applyNumberFormat="1" applyFont="1" applyFill="1" applyAlignment="1">
      <alignment horizontal="right" vertical="center"/>
    </xf>
    <xf numFmtId="0" fontId="32" fillId="12" borderId="0" xfId="0" applyFont="1" applyFill="1"/>
    <xf numFmtId="15" fontId="34" fillId="12" borderId="0" xfId="3" quotePrefix="1" applyNumberFormat="1" applyFont="1" applyFill="1" applyAlignment="1">
      <alignment horizontal="center" vertical="center"/>
    </xf>
    <xf numFmtId="164" fontId="33" fillId="12" borderId="0" xfId="1" applyNumberFormat="1" applyFont="1" applyFill="1"/>
    <xf numFmtId="164" fontId="33" fillId="12" borderId="19" xfId="1" applyNumberFormat="1" applyFont="1" applyFill="1" applyBorder="1"/>
    <xf numFmtId="166" fontId="10" fillId="12" borderId="19" xfId="5" applyNumberFormat="1" applyFont="1" applyFill="1" applyBorder="1"/>
    <xf numFmtId="0" fontId="33" fillId="12" borderId="0" xfId="0" applyFont="1" applyFill="1" applyBorder="1" applyAlignment="1">
      <alignment horizontal="center" vertical="center"/>
    </xf>
    <xf numFmtId="0" fontId="32" fillId="12" borderId="0" xfId="0" quotePrefix="1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166" fontId="33" fillId="12" borderId="0" xfId="0" applyNumberFormat="1" applyFont="1" applyFill="1" applyBorder="1" applyAlignment="1">
      <alignment horizontal="center" vertical="center"/>
    </xf>
    <xf numFmtId="9" fontId="33" fillId="12" borderId="0" xfId="0" applyNumberFormat="1" applyFont="1" applyFill="1" applyBorder="1" applyAlignment="1">
      <alignment horizontal="center" vertical="center"/>
    </xf>
    <xf numFmtId="164" fontId="22" fillId="0" borderId="0" xfId="3" applyNumberFormat="1" applyFont="1" applyFill="1" applyBorder="1" applyAlignment="1" applyProtection="1"/>
    <xf numFmtId="164" fontId="22" fillId="5" borderId="0" xfId="1" applyNumberFormat="1" applyFont="1" applyFill="1" applyBorder="1" applyAlignment="1" applyProtection="1"/>
    <xf numFmtId="43" fontId="0" fillId="12" borderId="0" xfId="0" applyNumberFormat="1" applyFill="1"/>
    <xf numFmtId="10" fontId="32" fillId="12" borderId="0" xfId="2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/>
    </xf>
    <xf numFmtId="10" fontId="33" fillId="12" borderId="0" xfId="0" applyNumberFormat="1" applyFont="1" applyFill="1" applyBorder="1" applyAlignment="1">
      <alignment vertical="center"/>
    </xf>
    <xf numFmtId="166" fontId="18" fillId="12" borderId="19" xfId="5" applyNumberFormat="1" applyFont="1" applyFill="1" applyBorder="1"/>
    <xf numFmtId="0" fontId="37" fillId="0" borderId="0" xfId="15" applyFont="1" applyAlignment="1" applyProtection="1"/>
    <xf numFmtId="0" fontId="34" fillId="12" borderId="0" xfId="3" applyFont="1" applyFill="1" applyAlignment="1">
      <alignment vertical="center"/>
    </xf>
    <xf numFmtId="0" fontId="11" fillId="12" borderId="0" xfId="4" applyFont="1" applyFill="1"/>
    <xf numFmtId="0" fontId="39" fillId="11" borderId="3" xfId="4" applyFont="1" applyFill="1" applyBorder="1" applyAlignment="1">
      <alignment horizontal="left" vertical="center"/>
    </xf>
    <xf numFmtId="43" fontId="40" fillId="11" borderId="4" xfId="5" applyNumberFormat="1" applyFont="1" applyFill="1" applyBorder="1"/>
    <xf numFmtId="166" fontId="11" fillId="12" borderId="0" xfId="5" applyNumberFormat="1" applyFont="1" applyFill="1" applyBorder="1"/>
    <xf numFmtId="0" fontId="38" fillId="12" borderId="0" xfId="4" applyFont="1" applyFill="1"/>
    <xf numFmtId="166" fontId="11" fillId="12" borderId="0" xfId="4" applyNumberFormat="1" applyFont="1" applyFill="1"/>
    <xf numFmtId="0" fontId="38" fillId="12" borderId="0" xfId="4" applyFont="1" applyFill="1" applyBorder="1"/>
    <xf numFmtId="0" fontId="11" fillId="12" borderId="0" xfId="4" applyFont="1" applyFill="1" applyBorder="1"/>
    <xf numFmtId="0" fontId="38" fillId="12" borderId="0" xfId="4" applyFont="1" applyFill="1" applyBorder="1" applyAlignment="1">
      <alignment horizontal="center"/>
    </xf>
    <xf numFmtId="0" fontId="11" fillId="12" borderId="0" xfId="4" applyFont="1" applyFill="1" applyBorder="1" applyAlignment="1">
      <alignment horizontal="left"/>
    </xf>
    <xf numFmtId="166" fontId="11" fillId="12" borderId="16" xfId="5" applyNumberFormat="1" applyFont="1" applyFill="1" applyBorder="1"/>
    <xf numFmtId="0" fontId="38" fillId="12" borderId="0" xfId="4" applyFont="1" applyFill="1" applyAlignment="1">
      <alignment horizontal="center"/>
    </xf>
    <xf numFmtId="166" fontId="38" fillId="12" borderId="0" xfId="5" applyNumberFormat="1" applyFont="1" applyFill="1" applyBorder="1"/>
    <xf numFmtId="166" fontId="11" fillId="16" borderId="16" xfId="5" applyNumberFormat="1" applyFont="1" applyFill="1" applyBorder="1"/>
    <xf numFmtId="164" fontId="0" fillId="5" borderId="0" xfId="1" applyNumberFormat="1" applyFont="1" applyFill="1"/>
    <xf numFmtId="164" fontId="26" fillId="21" borderId="0" xfId="1" applyNumberFormat="1" applyFont="1" applyFill="1" applyBorder="1" applyAlignment="1">
      <alignment horizontal="left" indent="1"/>
    </xf>
    <xf numFmtId="164" fontId="27" fillId="21" borderId="0" xfId="1" applyNumberFormat="1" applyFont="1" applyFill="1" applyBorder="1"/>
    <xf numFmtId="168" fontId="25" fillId="21" borderId="0" xfId="0" applyNumberFormat="1" applyFont="1" applyFill="1" applyBorder="1"/>
    <xf numFmtId="164" fontId="41" fillId="21" borderId="0" xfId="1" applyNumberFormat="1" applyFont="1" applyFill="1" applyBorder="1"/>
    <xf numFmtId="168" fontId="42" fillId="21" borderId="0" xfId="0" applyNumberFormat="1" applyFont="1" applyFill="1" applyBorder="1"/>
    <xf numFmtId="41" fontId="13" fillId="0" borderId="0" xfId="11" applyNumberFormat="1" applyFont="1" applyBorder="1"/>
    <xf numFmtId="41" fontId="18" fillId="0" borderId="0" xfId="11" applyNumberFormat="1" applyFont="1"/>
    <xf numFmtId="164" fontId="13" fillId="0" borderId="26" xfId="11" applyNumberFormat="1" applyFont="1" applyBorder="1"/>
    <xf numFmtId="164" fontId="32" fillId="12" borderId="19" xfId="1" applyNumberFormat="1" applyFont="1" applyFill="1" applyBorder="1"/>
    <xf numFmtId="166" fontId="32" fillId="12" borderId="16" xfId="0" applyNumberFormat="1" applyFont="1" applyFill="1" applyBorder="1" applyAlignment="1">
      <alignment horizontal="center" vertical="center"/>
    </xf>
    <xf numFmtId="3" fontId="16" fillId="12" borderId="0" xfId="0" applyNumberFormat="1" applyFont="1" applyFill="1"/>
    <xf numFmtId="164" fontId="25" fillId="12" borderId="20" xfId="1" applyNumberFormat="1" applyFont="1" applyFill="1" applyBorder="1"/>
    <xf numFmtId="164" fontId="23" fillId="12" borderId="24" xfId="1" applyNumberFormat="1" applyFont="1" applyFill="1" applyBorder="1" applyAlignment="1">
      <alignment horizontal="center"/>
    </xf>
    <xf numFmtId="164" fontId="0" fillId="12" borderId="24" xfId="1" applyNumberFormat="1" applyFont="1" applyFill="1" applyBorder="1"/>
    <xf numFmtId="168" fontId="25" fillId="11" borderId="24" xfId="0" applyNumberFormat="1" applyFont="1" applyFill="1" applyBorder="1"/>
    <xf numFmtId="164" fontId="25" fillId="12" borderId="24" xfId="1" applyNumberFormat="1" applyFont="1" applyFill="1" applyBorder="1"/>
    <xf numFmtId="164" fontId="23" fillId="12" borderId="21" xfId="1" applyNumberFormat="1" applyFont="1" applyFill="1" applyBorder="1" applyAlignment="1">
      <alignment horizontal="center"/>
    </xf>
    <xf numFmtId="164" fontId="23" fillId="12" borderId="12" xfId="1" applyNumberFormat="1" applyFont="1" applyFill="1" applyBorder="1"/>
    <xf numFmtId="164" fontId="23" fillId="12" borderId="14" xfId="1" applyNumberFormat="1" applyFont="1" applyFill="1" applyBorder="1" applyAlignment="1">
      <alignment horizontal="center"/>
    </xf>
    <xf numFmtId="164" fontId="23" fillId="12" borderId="22" xfId="1" applyNumberFormat="1" applyFont="1" applyFill="1" applyBorder="1"/>
    <xf numFmtId="168" fontId="25" fillId="11" borderId="13" xfId="0" applyNumberFormat="1" applyFont="1" applyFill="1" applyBorder="1"/>
    <xf numFmtId="164" fontId="25" fillId="12" borderId="19" xfId="1" applyNumberFormat="1" applyFont="1" applyFill="1" applyBorder="1"/>
    <xf numFmtId="164" fontId="23" fillId="6" borderId="0" xfId="1" applyNumberFormat="1" applyFont="1" applyFill="1" applyBorder="1" applyAlignment="1">
      <alignment horizontal="center"/>
    </xf>
    <xf numFmtId="164" fontId="25" fillId="6" borderId="0" xfId="1" applyNumberFormat="1" applyFont="1" applyFill="1" applyBorder="1"/>
    <xf numFmtId="164" fontId="25" fillId="6" borderId="19" xfId="1" applyNumberFormat="1" applyFont="1" applyFill="1" applyBorder="1"/>
    <xf numFmtId="164" fontId="23" fillId="12" borderId="0" xfId="1" applyNumberFormat="1" applyFont="1" applyFill="1" applyBorder="1" applyAlignment="1">
      <alignment horizontal="left" indent="1"/>
    </xf>
    <xf numFmtId="164" fontId="23" fillId="12" borderId="0" xfId="1" quotePrefix="1" applyNumberFormat="1" applyFont="1" applyFill="1" applyBorder="1" applyAlignment="1">
      <alignment horizontal="center"/>
    </xf>
    <xf numFmtId="0" fontId="2" fillId="11" borderId="0" xfId="0" applyFont="1" applyFill="1"/>
    <xf numFmtId="0" fontId="43" fillId="11" borderId="0" xfId="0" applyFont="1" applyFill="1"/>
    <xf numFmtId="168" fontId="25" fillId="12" borderId="0" xfId="0" applyNumberFormat="1" applyFont="1" applyFill="1"/>
    <xf numFmtId="164" fontId="25" fillId="12" borderId="0" xfId="0" applyNumberFormat="1" applyFont="1" applyFill="1"/>
    <xf numFmtId="164" fontId="23" fillId="12" borderId="0" xfId="0" applyNumberFormat="1" applyFont="1" applyFill="1"/>
    <xf numFmtId="164" fontId="25" fillId="12" borderId="0" xfId="1" applyNumberFormat="1" applyFont="1" applyFill="1" applyBorder="1" applyAlignment="1">
      <alignment horizontal="left" indent="1"/>
    </xf>
    <xf numFmtId="164" fontId="24" fillId="5" borderId="0" xfId="1" applyNumberFormat="1" applyFont="1" applyFill="1" applyBorder="1"/>
    <xf numFmtId="164" fontId="44" fillId="5" borderId="0" xfId="1" applyNumberFormat="1" applyFont="1" applyFill="1" applyBorder="1"/>
    <xf numFmtId="41" fontId="13" fillId="0" borderId="21" xfId="11" applyNumberFormat="1" applyFont="1" applyBorder="1"/>
    <xf numFmtId="41" fontId="13" fillId="0" borderId="23" xfId="11" applyNumberFormat="1" applyFont="1" applyBorder="1"/>
    <xf numFmtId="0" fontId="0" fillId="0" borderId="0" xfId="0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23" fillId="0" borderId="0" xfId="0" applyFont="1"/>
    <xf numFmtId="0" fontId="0" fillId="21" borderId="0" xfId="0" applyFill="1" applyAlignment="1">
      <alignment horizontal="left"/>
    </xf>
    <xf numFmtId="0" fontId="0" fillId="21" borderId="0" xfId="0" applyFill="1"/>
    <xf numFmtId="9" fontId="3" fillId="0" borderId="0" xfId="2" applyFont="1"/>
    <xf numFmtId="0" fontId="0" fillId="22" borderId="0" xfId="0" applyFill="1"/>
    <xf numFmtId="0" fontId="3" fillId="22" borderId="0" xfId="0" applyFont="1" applyFill="1"/>
    <xf numFmtId="166" fontId="13" fillId="12" borderId="0" xfId="5" applyNumberFormat="1" applyFont="1" applyFill="1" applyBorder="1"/>
    <xf numFmtId="3" fontId="10" fillId="0" borderId="0" xfId="11" applyNumberFormat="1"/>
    <xf numFmtId="0" fontId="10" fillId="0" borderId="0" xfId="11" applyAlignment="1">
      <alignment horizontal="center"/>
    </xf>
    <xf numFmtId="43" fontId="16" fillId="0" borderId="0" xfId="0" applyNumberFormat="1" applyFont="1" applyFill="1"/>
    <xf numFmtId="164" fontId="25" fillId="0" borderId="0" xfId="0" applyNumberFormat="1" applyFont="1"/>
    <xf numFmtId="0" fontId="0" fillId="0" borderId="0" xfId="0" applyFont="1" applyFill="1"/>
    <xf numFmtId="0" fontId="10" fillId="8" borderId="0" xfId="11" applyFill="1"/>
    <xf numFmtId="41" fontId="10" fillId="8" borderId="0" xfId="11" applyNumberFormat="1" applyFill="1"/>
    <xf numFmtId="10" fontId="10" fillId="8" borderId="0" xfId="11" applyNumberFormat="1" applyFill="1"/>
    <xf numFmtId="10" fontId="32" fillId="12" borderId="0" xfId="0" applyNumberFormat="1" applyFont="1" applyFill="1" applyBorder="1" applyAlignment="1">
      <alignment vertical="center"/>
    </xf>
    <xf numFmtId="169" fontId="32" fillId="12" borderId="0" xfId="2" applyNumberFormat="1" applyFont="1" applyFill="1" applyBorder="1" applyAlignment="1">
      <alignment horizontal="right" vertical="top" wrapText="1"/>
    </xf>
    <xf numFmtId="0" fontId="3" fillId="5" borderId="0" xfId="0" applyFont="1" applyFill="1"/>
    <xf numFmtId="0" fontId="16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center"/>
    </xf>
    <xf numFmtId="0" fontId="0" fillId="13" borderId="0" xfId="0" applyFill="1"/>
    <xf numFmtId="0" fontId="3" fillId="13" borderId="0" xfId="0" applyFont="1" applyFill="1"/>
    <xf numFmtId="3" fontId="0" fillId="13" borderId="0" xfId="0" applyNumberFormat="1" applyFill="1"/>
    <xf numFmtId="3" fontId="3" fillId="13" borderId="0" xfId="0" applyNumberFormat="1" applyFont="1" applyFill="1"/>
    <xf numFmtId="164" fontId="23" fillId="6" borderId="19" xfId="1" applyNumberFormat="1" applyFont="1" applyFill="1" applyBorder="1"/>
    <xf numFmtId="3" fontId="25" fillId="0" borderId="0" xfId="0" applyNumberFormat="1" applyFont="1"/>
    <xf numFmtId="0" fontId="0" fillId="0" borderId="6" xfId="0" applyBorder="1"/>
    <xf numFmtId="164" fontId="0" fillId="0" borderId="0" xfId="0" applyNumberFormat="1"/>
    <xf numFmtId="164" fontId="0" fillId="0" borderId="6" xfId="0" applyNumberFormat="1" applyBorder="1"/>
    <xf numFmtId="3" fontId="23" fillId="0" borderId="0" xfId="0" applyNumberFormat="1" applyFont="1"/>
    <xf numFmtId="164" fontId="3" fillId="0" borderId="0" xfId="1" applyNumberFormat="1" applyFont="1"/>
    <xf numFmtId="164" fontId="3" fillId="21" borderId="0" xfId="1" applyNumberFormat="1" applyFont="1" applyFill="1"/>
    <xf numFmtId="3" fontId="23" fillId="21" borderId="0" xfId="0" applyNumberFormat="1" applyFont="1" applyFill="1"/>
    <xf numFmtId="0" fontId="13" fillId="12" borderId="22" xfId="11" applyFont="1" applyFill="1" applyBorder="1"/>
    <xf numFmtId="0" fontId="13" fillId="12" borderId="0" xfId="11" applyFont="1" applyFill="1" applyBorder="1"/>
    <xf numFmtId="3" fontId="13" fillId="12" borderId="26" xfId="11" applyNumberFormat="1" applyFont="1" applyFill="1" applyBorder="1"/>
    <xf numFmtId="43" fontId="8" fillId="0" borderId="26" xfId="11" applyNumberFormat="1" applyFont="1" applyBorder="1"/>
    <xf numFmtId="43" fontId="33" fillId="12" borderId="0" xfId="0" applyNumberFormat="1" applyFont="1" applyFill="1"/>
    <xf numFmtId="164" fontId="3" fillId="0" borderId="0" xfId="1" applyNumberFormat="1" applyFont="1" applyAlignment="1">
      <alignment horizontal="center"/>
    </xf>
    <xf numFmtId="164" fontId="0" fillId="16" borderId="0" xfId="1" applyNumberFormat="1" applyFont="1" applyFill="1"/>
    <xf numFmtId="164" fontId="3" fillId="16" borderId="0" xfId="1" applyNumberFormat="1" applyFont="1" applyFill="1"/>
    <xf numFmtId="164" fontId="1" fillId="0" borderId="0" xfId="1" applyNumberFormat="1" applyFont="1"/>
    <xf numFmtId="164" fontId="0" fillId="0" borderId="10" xfId="1" applyNumberFormat="1" applyFont="1" applyBorder="1"/>
    <xf numFmtId="164" fontId="3" fillId="0" borderId="10" xfId="1" applyNumberFormat="1" applyFont="1" applyBorder="1"/>
    <xf numFmtId="164" fontId="10" fillId="0" borderId="0" xfId="1" applyNumberFormat="1" applyFont="1"/>
    <xf numFmtId="9" fontId="13" fillId="12" borderId="0" xfId="2" applyFont="1" applyFill="1" applyBorder="1" applyAlignment="1">
      <alignment horizontal="center"/>
    </xf>
    <xf numFmtId="0" fontId="8" fillId="0" borderId="12" xfId="11" applyFont="1" applyBorder="1"/>
    <xf numFmtId="41" fontId="10" fillId="0" borderId="0" xfId="11" applyNumberFormat="1"/>
    <xf numFmtId="0" fontId="13" fillId="9" borderId="28" xfId="11" applyFont="1" applyFill="1" applyBorder="1" applyAlignment="1">
      <alignment horizontal="center"/>
    </xf>
    <xf numFmtId="0" fontId="13" fillId="9" borderId="19" xfId="11" applyFont="1" applyFill="1" applyBorder="1" applyAlignment="1">
      <alignment horizontal="center"/>
    </xf>
    <xf numFmtId="41" fontId="8" fillId="9" borderId="0" xfId="11" applyNumberFormat="1" applyFont="1" applyFill="1" applyBorder="1" applyAlignment="1">
      <alignment horizontal="right"/>
    </xf>
    <xf numFmtId="41" fontId="13" fillId="9" borderId="26" xfId="11" applyNumberFormat="1" applyFont="1" applyFill="1" applyBorder="1" applyAlignment="1">
      <alignment horizontal="center"/>
    </xf>
    <xf numFmtId="41" fontId="8" fillId="9" borderId="26" xfId="11" applyNumberFormat="1" applyFont="1" applyFill="1" applyBorder="1"/>
    <xf numFmtId="41" fontId="13" fillId="9" borderId="0" xfId="11" applyNumberFormat="1" applyFont="1" applyFill="1" applyBorder="1"/>
    <xf numFmtId="41" fontId="13" fillId="9" borderId="26" xfId="11" applyNumberFormat="1" applyFont="1" applyFill="1" applyBorder="1"/>
    <xf numFmtId="41" fontId="8" fillId="9" borderId="0" xfId="11" applyNumberFormat="1" applyFont="1" applyFill="1" applyBorder="1"/>
    <xf numFmtId="41" fontId="8" fillId="9" borderId="13" xfId="11" applyNumberFormat="1" applyFont="1" applyFill="1" applyBorder="1"/>
    <xf numFmtId="41" fontId="8" fillId="9" borderId="27" xfId="11" applyNumberFormat="1" applyFont="1" applyFill="1" applyBorder="1"/>
    <xf numFmtId="41" fontId="13" fillId="9" borderId="27" xfId="11" applyNumberFormat="1" applyFont="1" applyFill="1" applyBorder="1"/>
    <xf numFmtId="169" fontId="13" fillId="12" borderId="27" xfId="2" applyNumberFormat="1" applyFont="1" applyFill="1" applyBorder="1" applyAlignment="1">
      <alignment horizontal="center"/>
    </xf>
    <xf numFmtId="0" fontId="46" fillId="0" borderId="0" xfId="4" applyFont="1"/>
    <xf numFmtId="0" fontId="46" fillId="0" borderId="0" xfId="4" applyFont="1" applyAlignment="1">
      <alignment horizontal="center"/>
    </xf>
    <xf numFmtId="0" fontId="45" fillId="0" borderId="0" xfId="4" applyFont="1"/>
    <xf numFmtId="0" fontId="10" fillId="0" borderId="0" xfId="11" applyFont="1"/>
    <xf numFmtId="3" fontId="10" fillId="0" borderId="0" xfId="11" applyNumberFormat="1" applyFont="1"/>
    <xf numFmtId="0" fontId="47" fillId="4" borderId="0" xfId="3" applyNumberFormat="1" applyFont="1" applyFill="1" applyBorder="1" applyAlignment="1" applyProtection="1"/>
    <xf numFmtId="0" fontId="48" fillId="4" borderId="0" xfId="3" applyNumberFormat="1" applyFont="1" applyFill="1" applyBorder="1" applyAlignment="1" applyProtection="1"/>
    <xf numFmtId="164" fontId="47" fillId="4" borderId="0" xfId="1" applyNumberFormat="1" applyFont="1" applyFill="1" applyBorder="1" applyAlignment="1" applyProtection="1"/>
    <xf numFmtId="0" fontId="48" fillId="0" borderId="0" xfId="3" applyNumberFormat="1" applyFont="1" applyFill="1" applyBorder="1" applyAlignment="1" applyProtection="1"/>
    <xf numFmtId="0" fontId="48" fillId="12" borderId="0" xfId="3" applyNumberFormat="1" applyFont="1" applyFill="1" applyBorder="1" applyAlignment="1" applyProtection="1"/>
    <xf numFmtId="0" fontId="48" fillId="12" borderId="0" xfId="3" applyFont="1" applyFill="1" applyAlignment="1">
      <alignment vertical="center"/>
    </xf>
    <xf numFmtId="164" fontId="48" fillId="6" borderId="0" xfId="1" applyNumberFormat="1" applyFont="1" applyFill="1" applyAlignment="1">
      <alignment horizontal="right" vertical="center"/>
    </xf>
    <xf numFmtId="164" fontId="48" fillId="12" borderId="0" xfId="1" applyNumberFormat="1" applyFont="1" applyFill="1" applyAlignment="1">
      <alignment horizontal="right" vertical="center"/>
    </xf>
    <xf numFmtId="0" fontId="48" fillId="12" borderId="0" xfId="3" quotePrefix="1" applyFont="1" applyFill="1" applyAlignment="1">
      <alignment vertical="center"/>
    </xf>
    <xf numFmtId="164" fontId="50" fillId="11" borderId="0" xfId="1" applyNumberFormat="1" applyFont="1" applyFill="1" applyAlignment="1">
      <alignment horizontal="right" vertical="center"/>
    </xf>
    <xf numFmtId="0" fontId="48" fillId="0" borderId="0" xfId="3" applyFont="1" applyAlignment="1">
      <alignment vertical="center"/>
    </xf>
    <xf numFmtId="164" fontId="48" fillId="3" borderId="0" xfId="1" applyNumberFormat="1" applyFont="1" applyFill="1" applyAlignment="1">
      <alignment horizontal="right" vertical="center"/>
    </xf>
    <xf numFmtId="164" fontId="48" fillId="0" borderId="0" xfId="1" applyNumberFormat="1" applyFont="1" applyAlignment="1">
      <alignment horizontal="right" vertical="center"/>
    </xf>
    <xf numFmtId="0" fontId="50" fillId="11" borderId="0" xfId="3" applyNumberFormat="1" applyFont="1" applyFill="1" applyBorder="1" applyAlignment="1" applyProtection="1"/>
    <xf numFmtId="0" fontId="48" fillId="17" borderId="0" xfId="3" applyNumberFormat="1" applyFont="1" applyFill="1" applyBorder="1" applyAlignment="1" applyProtection="1"/>
    <xf numFmtId="164" fontId="48" fillId="17" borderId="0" xfId="1" applyNumberFormat="1" applyFont="1" applyFill="1" applyAlignment="1">
      <alignment horizontal="right" vertical="center"/>
    </xf>
    <xf numFmtId="164" fontId="48" fillId="0" borderId="0" xfId="1" applyNumberFormat="1" applyFont="1" applyFill="1" applyBorder="1" applyAlignment="1" applyProtection="1"/>
    <xf numFmtId="0" fontId="48" fillId="5" borderId="0" xfId="3" applyNumberFormat="1" applyFont="1" applyFill="1" applyBorder="1" applyAlignment="1" applyProtection="1"/>
    <xf numFmtId="164" fontId="48" fillId="5" borderId="0" xfId="3" applyNumberFormat="1" applyFont="1" applyFill="1" applyBorder="1" applyAlignment="1" applyProtection="1"/>
    <xf numFmtId="164" fontId="48" fillId="17" borderId="0" xfId="1" applyNumberFormat="1" applyFont="1" applyFill="1" applyBorder="1" applyAlignment="1" applyProtection="1"/>
    <xf numFmtId="0" fontId="48" fillId="17" borderId="0" xfId="3" applyFont="1" applyFill="1" applyAlignment="1">
      <alignment vertical="center"/>
    </xf>
    <xf numFmtId="164" fontId="51" fillId="17" borderId="0" xfId="1" applyNumberFormat="1" applyFont="1" applyFill="1" applyAlignment="1">
      <alignment horizontal="right" vertical="center"/>
    </xf>
    <xf numFmtId="0" fontId="48" fillId="12" borderId="10" xfId="3" applyFont="1" applyFill="1" applyBorder="1" applyAlignment="1">
      <alignment vertical="center"/>
    </xf>
    <xf numFmtId="0" fontId="48" fillId="12" borderId="0" xfId="3" applyFont="1" applyFill="1" applyBorder="1" applyAlignment="1">
      <alignment vertical="center"/>
    </xf>
    <xf numFmtId="164" fontId="48" fillId="6" borderId="0" xfId="1" applyNumberFormat="1" applyFont="1" applyFill="1" applyBorder="1" applyAlignment="1">
      <alignment horizontal="right" vertical="center"/>
    </xf>
    <xf numFmtId="164" fontId="48" fillId="12" borderId="0" xfId="1" applyNumberFormat="1" applyFont="1" applyFill="1" applyBorder="1" applyAlignment="1">
      <alignment horizontal="right" vertical="center"/>
    </xf>
    <xf numFmtId="0" fontId="48" fillId="12" borderId="17" xfId="3" applyNumberFormat="1" applyFont="1" applyFill="1" applyBorder="1" applyAlignment="1" applyProtection="1"/>
    <xf numFmtId="0" fontId="48" fillId="0" borderId="17" xfId="3" applyNumberFormat="1" applyFont="1" applyFill="1" applyBorder="1" applyAlignment="1" applyProtection="1"/>
    <xf numFmtId="0" fontId="48" fillId="12" borderId="10" xfId="3" quotePrefix="1" applyFont="1" applyFill="1" applyBorder="1" applyAlignment="1">
      <alignment vertical="center"/>
    </xf>
    <xf numFmtId="0" fontId="47" fillId="0" borderId="17" xfId="3" applyNumberFormat="1" applyFont="1" applyFill="1" applyBorder="1" applyAlignment="1" applyProtection="1"/>
    <xf numFmtId="0" fontId="51" fillId="0" borderId="0" xfId="4" applyFont="1"/>
    <xf numFmtId="0" fontId="51" fillId="5" borderId="0" xfId="4" applyFont="1" applyFill="1"/>
    <xf numFmtId="0" fontId="51" fillId="12" borderId="0" xfId="4" applyFont="1" applyFill="1"/>
    <xf numFmtId="0" fontId="49" fillId="11" borderId="3" xfId="4" applyFont="1" applyFill="1" applyBorder="1" applyAlignment="1">
      <alignment horizontal="left" vertical="center"/>
    </xf>
    <xf numFmtId="43" fontId="50" fillId="11" borderId="4" xfId="5" applyNumberFormat="1" applyFont="1" applyFill="1" applyBorder="1"/>
    <xf numFmtId="43" fontId="50" fillId="11" borderId="15" xfId="5" applyNumberFormat="1" applyFont="1" applyFill="1" applyBorder="1"/>
    <xf numFmtId="0" fontId="31" fillId="12" borderId="0" xfId="0" applyFont="1" applyFill="1" applyBorder="1" applyAlignment="1">
      <alignment horizontal="center"/>
    </xf>
    <xf numFmtId="39" fontId="19" fillId="17" borderId="8" xfId="4" applyNumberFormat="1" applyFont="1" applyFill="1" applyBorder="1" applyAlignment="1">
      <alignment horizontal="center" vertical="center" wrapText="1"/>
    </xf>
    <xf numFmtId="39" fontId="19" fillId="17" borderId="1" xfId="4" applyNumberFormat="1" applyFont="1" applyFill="1" applyBorder="1" applyAlignment="1">
      <alignment horizontal="center" vertical="center" wrapText="1"/>
    </xf>
    <xf numFmtId="0" fontId="19" fillId="17" borderId="5" xfId="4" applyFont="1" applyFill="1" applyBorder="1" applyAlignment="1">
      <alignment horizontal="center"/>
    </xf>
    <xf numFmtId="39" fontId="19" fillId="17" borderId="5" xfId="4" applyNumberFormat="1" applyFont="1" applyFill="1" applyBorder="1" applyAlignment="1">
      <alignment horizontal="center" vertical="center" wrapText="1"/>
    </xf>
    <xf numFmtId="0" fontId="51" fillId="12" borderId="8" xfId="4" applyFont="1" applyFill="1" applyBorder="1" applyAlignment="1">
      <alignment horizontal="left"/>
    </xf>
    <xf numFmtId="166" fontId="51" fillId="12" borderId="8" xfId="5" applyNumberFormat="1" applyFont="1" applyFill="1" applyBorder="1"/>
    <xf numFmtId="166" fontId="51" fillId="12" borderId="17" xfId="5" applyNumberFormat="1" applyFont="1" applyFill="1" applyBorder="1"/>
    <xf numFmtId="166" fontId="51" fillId="12" borderId="5" xfId="5" applyNumberFormat="1" applyFont="1" applyFill="1" applyBorder="1"/>
    <xf numFmtId="0" fontId="19" fillId="12" borderId="5" xfId="4" applyFont="1" applyFill="1" applyBorder="1"/>
    <xf numFmtId="37" fontId="19" fillId="17" borderId="11" xfId="4" applyNumberFormat="1" applyFont="1" applyFill="1" applyBorder="1"/>
    <xf numFmtId="166" fontId="19" fillId="17" borderId="11" xfId="5" applyNumberFormat="1" applyFont="1" applyFill="1" applyBorder="1"/>
    <xf numFmtId="37" fontId="19" fillId="17" borderId="15" xfId="4" applyNumberFormat="1" applyFont="1" applyFill="1" applyBorder="1"/>
    <xf numFmtId="0" fontId="19" fillId="12" borderId="0" xfId="4" applyFont="1" applyFill="1"/>
    <xf numFmtId="0" fontId="19" fillId="0" borderId="0" xfId="4" applyFont="1"/>
    <xf numFmtId="0" fontId="51" fillId="0" borderId="0" xfId="4" applyFont="1" applyAlignment="1">
      <alignment horizontal="right"/>
    </xf>
    <xf numFmtId="4" fontId="31" fillId="0" borderId="0" xfId="5" applyNumberFormat="1" applyFont="1" applyBorder="1"/>
    <xf numFmtId="4" fontId="51" fillId="0" borderId="0" xfId="4" applyNumberFormat="1" applyFont="1"/>
    <xf numFmtId="0" fontId="51" fillId="12" borderId="0" xfId="4" applyFont="1" applyFill="1" applyBorder="1" applyAlignment="1">
      <alignment horizontal="left"/>
    </xf>
    <xf numFmtId="0" fontId="19" fillId="17" borderId="1" xfId="4" applyFont="1" applyFill="1" applyBorder="1" applyAlignment="1"/>
    <xf numFmtId="39" fontId="19" fillId="17" borderId="30" xfId="4" applyNumberFormat="1" applyFont="1" applyFill="1" applyBorder="1" applyAlignment="1">
      <alignment horizontal="center" vertical="center" wrapText="1"/>
    </xf>
    <xf numFmtId="39" fontId="19" fillId="17" borderId="18" xfId="4" applyNumberFormat="1" applyFont="1" applyFill="1" applyBorder="1" applyAlignment="1">
      <alignment horizontal="center" vertical="center" wrapText="1"/>
    </xf>
    <xf numFmtId="0" fontId="51" fillId="12" borderId="1" xfId="4" applyFont="1" applyFill="1" applyBorder="1" applyAlignment="1">
      <alignment horizontal="left"/>
    </xf>
    <xf numFmtId="0" fontId="19" fillId="12" borderId="0" xfId="4" applyFont="1" applyFill="1" applyBorder="1"/>
    <xf numFmtId="3" fontId="51" fillId="12" borderId="1" xfId="6" applyNumberFormat="1" applyFont="1" applyFill="1" applyBorder="1"/>
    <xf numFmtId="3" fontId="19" fillId="17" borderId="8" xfId="8" applyNumberFormat="1" applyFont="1" applyFill="1" applyBorder="1"/>
    <xf numFmtId="3" fontId="19" fillId="17" borderId="10" xfId="8" applyNumberFormat="1" applyFont="1" applyFill="1" applyBorder="1"/>
    <xf numFmtId="0" fontId="51" fillId="12" borderId="8" xfId="0" applyFont="1" applyFill="1" applyBorder="1" applyAlignment="1">
      <alignment horizontal="left"/>
    </xf>
    <xf numFmtId="3" fontId="51" fillId="12" borderId="8" xfId="8" applyNumberFormat="1" applyFont="1" applyFill="1" applyBorder="1"/>
    <xf numFmtId="166" fontId="51" fillId="12" borderId="0" xfId="4" applyNumberFormat="1" applyFont="1" applyFill="1"/>
    <xf numFmtId="0" fontId="51" fillId="12" borderId="5" xfId="0" applyFont="1" applyFill="1" applyBorder="1" applyAlignment="1">
      <alignment horizontal="left"/>
    </xf>
    <xf numFmtId="3" fontId="19" fillId="17" borderId="3" xfId="0" applyNumberFormat="1" applyFont="1" applyFill="1" applyBorder="1"/>
    <xf numFmtId="3" fontId="19" fillId="17" borderId="11" xfId="0" applyNumberFormat="1" applyFont="1" applyFill="1" applyBorder="1"/>
    <xf numFmtId="0" fontId="50" fillId="11" borderId="15" xfId="4" applyFont="1" applyFill="1" applyBorder="1"/>
    <xf numFmtId="0" fontId="49" fillId="18" borderId="9" xfId="4" applyFont="1" applyFill="1" applyBorder="1"/>
    <xf numFmtId="9" fontId="49" fillId="18" borderId="1" xfId="2" applyFont="1" applyFill="1" applyBorder="1" applyAlignment="1">
      <alignment horizontal="center"/>
    </xf>
    <xf numFmtId="39" fontId="30" fillId="17" borderId="1" xfId="0" applyNumberFormat="1" applyFont="1" applyFill="1" applyBorder="1" applyAlignment="1">
      <alignment horizontal="center" vertical="center"/>
    </xf>
    <xf numFmtId="0" fontId="19" fillId="17" borderId="11" xfId="4" applyFont="1" applyFill="1" applyBorder="1"/>
    <xf numFmtId="0" fontId="51" fillId="17" borderId="11" xfId="4" applyFont="1" applyFill="1" applyBorder="1"/>
    <xf numFmtId="0" fontId="19" fillId="17" borderId="11" xfId="4" applyFont="1" applyFill="1" applyBorder="1" applyAlignment="1">
      <alignment horizontal="center"/>
    </xf>
    <xf numFmtId="39" fontId="19" fillId="17" borderId="5" xfId="0" quotePrefix="1" applyNumberFormat="1" applyFont="1" applyFill="1" applyBorder="1" applyAlignment="1">
      <alignment horizontal="center" vertical="center"/>
    </xf>
    <xf numFmtId="0" fontId="51" fillId="7" borderId="9" xfId="4" applyFont="1" applyFill="1" applyBorder="1"/>
    <xf numFmtId="0" fontId="19" fillId="7" borderId="2" xfId="4" applyFont="1" applyFill="1" applyBorder="1" applyAlignment="1">
      <alignment horizontal="center"/>
    </xf>
    <xf numFmtId="3" fontId="51" fillId="7" borderId="2" xfId="4" applyNumberFormat="1" applyFont="1" applyFill="1" applyBorder="1"/>
    <xf numFmtId="0" fontId="51" fillId="7" borderId="2" xfId="4" applyFont="1" applyFill="1" applyBorder="1"/>
    <xf numFmtId="3" fontId="51" fillId="7" borderId="1" xfId="4" applyNumberFormat="1" applyFont="1" applyFill="1" applyBorder="1"/>
    <xf numFmtId="3" fontId="19" fillId="12" borderId="1" xfId="6" applyNumberFormat="1" applyFont="1" applyFill="1" applyBorder="1"/>
    <xf numFmtId="3" fontId="51" fillId="12" borderId="10" xfId="8" applyNumberFormat="1" applyFont="1" applyFill="1" applyBorder="1"/>
    <xf numFmtId="0" fontId="51" fillId="12" borderId="9" xfId="4" applyFont="1" applyFill="1" applyBorder="1"/>
    <xf numFmtId="9" fontId="51" fillId="12" borderId="2" xfId="4" applyNumberFormat="1" applyFont="1" applyFill="1" applyBorder="1" applyAlignment="1">
      <alignment horizontal="center"/>
    </xf>
    <xf numFmtId="3" fontId="51" fillId="12" borderId="2" xfId="4" applyNumberFormat="1" applyFont="1" applyFill="1" applyBorder="1"/>
    <xf numFmtId="3" fontId="51" fillId="17" borderId="2" xfId="4" applyNumberFormat="1" applyFont="1" applyFill="1" applyBorder="1"/>
    <xf numFmtId="166" fontId="51" fillId="17" borderId="2" xfId="5" applyNumberFormat="1" applyFont="1" applyFill="1" applyBorder="1"/>
    <xf numFmtId="3" fontId="51" fillId="12" borderId="1" xfId="4" applyNumberFormat="1" applyFont="1" applyFill="1" applyBorder="1"/>
    <xf numFmtId="166" fontId="51" fillId="12" borderId="0" xfId="5" applyNumberFormat="1" applyFont="1" applyFill="1" applyBorder="1"/>
    <xf numFmtId="0" fontId="51" fillId="12" borderId="7" xfId="4" applyFont="1" applyFill="1" applyBorder="1"/>
    <xf numFmtId="9" fontId="51" fillId="17" borderId="6" xfId="4" applyNumberFormat="1" applyFont="1" applyFill="1" applyBorder="1" applyAlignment="1">
      <alignment horizontal="center"/>
    </xf>
    <xf numFmtId="3" fontId="51" fillId="12" borderId="6" xfId="4" applyNumberFormat="1" applyFont="1" applyFill="1" applyBorder="1"/>
    <xf numFmtId="3" fontId="51" fillId="17" borderId="6" xfId="4" applyNumberFormat="1" applyFont="1" applyFill="1" applyBorder="1"/>
    <xf numFmtId="166" fontId="51" fillId="17" borderId="6" xfId="5" applyNumberFormat="1" applyFont="1" applyFill="1" applyBorder="1"/>
    <xf numFmtId="166" fontId="51" fillId="17" borderId="5" xfId="5" applyNumberFormat="1" applyFont="1" applyFill="1" applyBorder="1"/>
    <xf numFmtId="166" fontId="51" fillId="12" borderId="1" xfId="5" applyNumberFormat="1" applyFont="1" applyFill="1" applyBorder="1"/>
    <xf numFmtId="0" fontId="51" fillId="12" borderId="10" xfId="4" applyFont="1" applyFill="1" applyBorder="1"/>
    <xf numFmtId="9" fontId="51" fillId="12" borderId="0" xfId="4" applyNumberFormat="1" applyFont="1" applyFill="1" applyBorder="1" applyAlignment="1">
      <alignment horizontal="center"/>
    </xf>
    <xf numFmtId="3" fontId="51" fillId="12" borderId="0" xfId="4" applyNumberFormat="1" applyFont="1" applyFill="1" applyBorder="1"/>
    <xf numFmtId="3" fontId="51" fillId="17" borderId="0" xfId="4" applyNumberFormat="1" applyFont="1" applyFill="1" applyBorder="1"/>
    <xf numFmtId="166" fontId="51" fillId="17" borderId="0" xfId="5" applyNumberFormat="1" applyFont="1" applyFill="1" applyBorder="1"/>
    <xf numFmtId="3" fontId="51" fillId="12" borderId="8" xfId="4" applyNumberFormat="1" applyFont="1" applyFill="1" applyBorder="1"/>
    <xf numFmtId="166" fontId="19" fillId="12" borderId="11" xfId="5" applyNumberFormat="1" applyFont="1" applyFill="1" applyBorder="1"/>
    <xf numFmtId="166" fontId="19" fillId="17" borderId="3" xfId="5" applyNumberFormat="1" applyFont="1" applyFill="1" applyBorder="1"/>
    <xf numFmtId="0" fontId="49" fillId="11" borderId="3" xfId="11" applyFont="1" applyFill="1" applyBorder="1" applyAlignment="1">
      <alignment horizontal="left" vertical="center"/>
    </xf>
    <xf numFmtId="43" fontId="50" fillId="11" borderId="4" xfId="8" applyNumberFormat="1" applyFont="1" applyFill="1" applyBorder="1"/>
    <xf numFmtId="0" fontId="50" fillId="11" borderId="4" xfId="11" applyFont="1" applyFill="1" applyBorder="1"/>
    <xf numFmtId="0" fontId="50" fillId="11" borderId="15" xfId="11" applyFont="1" applyFill="1" applyBorder="1"/>
    <xf numFmtId="0" fontId="31" fillId="12" borderId="1" xfId="11" applyFont="1" applyFill="1" applyBorder="1" applyAlignment="1"/>
    <xf numFmtId="166" fontId="31" fillId="12" borderId="1" xfId="8" applyNumberFormat="1" applyFont="1" applyFill="1" applyBorder="1" applyAlignment="1"/>
    <xf numFmtId="0" fontId="31" fillId="12" borderId="8" xfId="11" applyFont="1" applyFill="1" applyBorder="1" applyAlignment="1"/>
    <xf numFmtId="166" fontId="31" fillId="12" borderId="8" xfId="8" applyNumberFormat="1" applyFont="1" applyFill="1" applyBorder="1" applyAlignment="1"/>
    <xf numFmtId="0" fontId="31" fillId="12" borderId="5" xfId="11" applyFont="1" applyFill="1" applyBorder="1" applyAlignment="1"/>
    <xf numFmtId="166" fontId="31" fillId="12" borderId="5" xfId="8" applyNumberFormat="1" applyFont="1" applyFill="1" applyBorder="1" applyAlignment="1"/>
    <xf numFmtId="0" fontId="31" fillId="12" borderId="0" xfId="11" applyFont="1" applyFill="1" applyBorder="1"/>
    <xf numFmtId="166" fontId="19" fillId="17" borderId="5" xfId="8" applyNumberFormat="1" applyFont="1" applyFill="1" applyBorder="1"/>
    <xf numFmtId="3" fontId="51" fillId="0" borderId="0" xfId="4" applyNumberFormat="1" applyFont="1"/>
    <xf numFmtId="10" fontId="51" fillId="0" borderId="0" xfId="2" applyNumberFormat="1" applyFont="1"/>
    <xf numFmtId="0" fontId="19" fillId="12" borderId="0" xfId="4" applyFont="1" applyFill="1" applyAlignment="1">
      <alignment horizontal="center"/>
    </xf>
    <xf numFmtId="0" fontId="51" fillId="17" borderId="0" xfId="4" applyFont="1" applyFill="1"/>
    <xf numFmtId="0" fontId="51" fillId="12" borderId="30" xfId="4" applyFont="1" applyFill="1" applyBorder="1"/>
    <xf numFmtId="0" fontId="51" fillId="12" borderId="0" xfId="4" applyFont="1" applyFill="1" applyBorder="1"/>
    <xf numFmtId="0" fontId="19" fillId="12" borderId="0" xfId="4" applyFont="1" applyFill="1" applyBorder="1" applyAlignment="1">
      <alignment horizontal="center"/>
    </xf>
    <xf numFmtId="0" fontId="19" fillId="12" borderId="10" xfId="4" applyFont="1" applyFill="1" applyBorder="1" applyAlignment="1">
      <alignment horizontal="center"/>
    </xf>
    <xf numFmtId="0" fontId="19" fillId="12" borderId="17" xfId="4" applyFont="1" applyFill="1" applyBorder="1" applyAlignment="1">
      <alignment horizontal="center"/>
    </xf>
    <xf numFmtId="0" fontId="51" fillId="12" borderId="0" xfId="4" applyFont="1" applyFill="1" applyAlignment="1">
      <alignment horizontal="center"/>
    </xf>
    <xf numFmtId="166" fontId="51" fillId="12" borderId="10" xfId="5" applyNumberFormat="1" applyFont="1" applyFill="1" applyBorder="1"/>
    <xf numFmtId="0" fontId="19" fillId="12" borderId="3" xfId="4" applyFont="1" applyFill="1" applyBorder="1"/>
    <xf numFmtId="166" fontId="51" fillId="12" borderId="4" xfId="5" applyNumberFormat="1" applyFont="1" applyFill="1" applyBorder="1"/>
    <xf numFmtId="0" fontId="19" fillId="12" borderId="4" xfId="4" applyFont="1" applyFill="1" applyBorder="1" applyAlignment="1">
      <alignment horizontal="center"/>
    </xf>
    <xf numFmtId="166" fontId="51" fillId="12" borderId="3" xfId="5" applyNumberFormat="1" applyFont="1" applyFill="1" applyBorder="1"/>
    <xf numFmtId="166" fontId="19" fillId="12" borderId="15" xfId="5" applyNumberFormat="1" applyFont="1" applyFill="1" applyBorder="1"/>
    <xf numFmtId="166" fontId="51" fillId="12" borderId="16" xfId="5" applyNumberFormat="1" applyFont="1" applyFill="1" applyBorder="1"/>
    <xf numFmtId="0" fontId="51" fillId="12" borderId="17" xfId="4" applyFont="1" applyFill="1" applyBorder="1"/>
    <xf numFmtId="0" fontId="19" fillId="12" borderId="9" xfId="4" applyFont="1" applyFill="1" applyBorder="1"/>
    <xf numFmtId="166" fontId="51" fillId="12" borderId="2" xfId="5" applyNumberFormat="1" applyFont="1" applyFill="1" applyBorder="1"/>
    <xf numFmtId="0" fontId="19" fillId="12" borderId="2" xfId="4" applyFont="1" applyFill="1" applyBorder="1" applyAlignment="1">
      <alignment horizontal="center"/>
    </xf>
    <xf numFmtId="166" fontId="51" fillId="12" borderId="9" xfId="5" applyNumberFormat="1" applyFont="1" applyFill="1" applyBorder="1"/>
    <xf numFmtId="166" fontId="19" fillId="17" borderId="30" xfId="5" applyNumberFormat="1" applyFont="1" applyFill="1" applyBorder="1"/>
    <xf numFmtId="166" fontId="51" fillId="17" borderId="17" xfId="5" applyNumberFormat="1" applyFont="1" applyFill="1" applyBorder="1"/>
    <xf numFmtId="166" fontId="51" fillId="15" borderId="16" xfId="5" applyNumberFormat="1" applyFont="1" applyFill="1" applyBorder="1"/>
    <xf numFmtId="0" fontId="19" fillId="12" borderId="7" xfId="4" applyFont="1" applyFill="1" applyBorder="1"/>
    <xf numFmtId="166" fontId="51" fillId="12" borderId="6" xfId="5" applyNumberFormat="1" applyFont="1" applyFill="1" applyBorder="1"/>
    <xf numFmtId="0" fontId="19" fillId="12" borderId="6" xfId="4" applyFont="1" applyFill="1" applyBorder="1" applyAlignment="1">
      <alignment horizontal="center"/>
    </xf>
    <xf numFmtId="166" fontId="51" fillId="12" borderId="7" xfId="5" applyNumberFormat="1" applyFont="1" applyFill="1" applyBorder="1"/>
    <xf numFmtId="166" fontId="19" fillId="17" borderId="18" xfId="5" applyNumberFormat="1" applyFont="1" applyFill="1" applyBorder="1"/>
    <xf numFmtId="166" fontId="19" fillId="12" borderId="16" xfId="5" applyNumberFormat="1" applyFont="1" applyFill="1" applyBorder="1"/>
    <xf numFmtId="0" fontId="51" fillId="17" borderId="0" xfId="4" applyFont="1" applyFill="1" applyBorder="1"/>
    <xf numFmtId="0" fontId="51" fillId="12" borderId="20" xfId="4" applyFont="1" applyFill="1" applyBorder="1"/>
    <xf numFmtId="0" fontId="51" fillId="12" borderId="21" xfId="4" applyFont="1" applyFill="1" applyBorder="1"/>
    <xf numFmtId="0" fontId="19" fillId="12" borderId="22" xfId="4" applyFont="1" applyFill="1" applyBorder="1" applyAlignment="1">
      <alignment horizontal="center"/>
    </xf>
    <xf numFmtId="0" fontId="19" fillId="12" borderId="23" xfId="4" applyFont="1" applyFill="1" applyBorder="1" applyAlignment="1">
      <alignment horizontal="center"/>
    </xf>
    <xf numFmtId="166" fontId="51" fillId="12" borderId="15" xfId="5" applyNumberFormat="1" applyFont="1" applyFill="1" applyBorder="1"/>
    <xf numFmtId="0" fontId="51" fillId="12" borderId="0" xfId="4" applyFont="1" applyFill="1" applyBorder="1" applyAlignment="1">
      <alignment horizontal="center"/>
    </xf>
    <xf numFmtId="166" fontId="19" fillId="12" borderId="2" xfId="5" applyNumberFormat="1" applyFont="1" applyFill="1" applyBorder="1"/>
    <xf numFmtId="166" fontId="19" fillId="12" borderId="30" xfId="5" applyNumberFormat="1" applyFont="1" applyFill="1" applyBorder="1"/>
    <xf numFmtId="166" fontId="19" fillId="12" borderId="6" xfId="5" applyNumberFormat="1" applyFont="1" applyFill="1" applyBorder="1"/>
    <xf numFmtId="166" fontId="19" fillId="12" borderId="18" xfId="5" applyNumberFormat="1" applyFont="1" applyFill="1" applyBorder="1"/>
    <xf numFmtId="0" fontId="51" fillId="12" borderId="0" xfId="11" applyFont="1" applyFill="1"/>
    <xf numFmtId="0" fontId="19" fillId="12" borderId="0" xfId="11" applyFont="1" applyFill="1" applyBorder="1"/>
    <xf numFmtId="0" fontId="19" fillId="12" borderId="0" xfId="11" applyFont="1" applyFill="1" applyBorder="1" applyAlignment="1">
      <alignment horizontal="center"/>
    </xf>
    <xf numFmtId="164" fontId="19" fillId="12" borderId="19" xfId="1" applyNumberFormat="1" applyFont="1" applyFill="1" applyBorder="1" applyAlignment="1">
      <alignment horizontal="center"/>
    </xf>
    <xf numFmtId="0" fontId="19" fillId="12" borderId="19" xfId="11" applyFont="1" applyFill="1" applyBorder="1" applyAlignment="1">
      <alignment horizontal="center"/>
    </xf>
    <xf numFmtId="0" fontId="19" fillId="12" borderId="29" xfId="11" applyFont="1" applyFill="1" applyBorder="1" applyAlignment="1">
      <alignment horizontal="center"/>
    </xf>
    <xf numFmtId="0" fontId="51" fillId="12" borderId="0" xfId="11" applyFont="1" applyFill="1" applyBorder="1"/>
    <xf numFmtId="0" fontId="51" fillId="12" borderId="25" xfId="11" applyFont="1" applyFill="1" applyBorder="1" applyAlignment="1">
      <alignment horizontal="center"/>
    </xf>
    <xf numFmtId="164" fontId="51" fillId="12" borderId="26" xfId="1" applyNumberFormat="1" applyFont="1" applyFill="1" applyBorder="1"/>
    <xf numFmtId="164" fontId="51" fillId="12" borderId="23" xfId="1" applyNumberFormat="1" applyFont="1" applyFill="1" applyBorder="1"/>
    <xf numFmtId="0" fontId="51" fillId="12" borderId="26" xfId="11" applyFont="1" applyFill="1" applyBorder="1" applyAlignment="1">
      <alignment horizontal="center"/>
    </xf>
    <xf numFmtId="3" fontId="51" fillId="12" borderId="0" xfId="11" applyNumberFormat="1" applyFont="1" applyFill="1" applyBorder="1"/>
    <xf numFmtId="9" fontId="51" fillId="12" borderId="0" xfId="2" applyFont="1" applyFill="1" applyBorder="1" applyAlignment="1">
      <alignment horizontal="right"/>
    </xf>
    <xf numFmtId="0" fontId="51" fillId="12" borderId="27" xfId="11" applyFont="1" applyFill="1" applyBorder="1" applyAlignment="1">
      <alignment horizontal="center"/>
    </xf>
    <xf numFmtId="0" fontId="19" fillId="12" borderId="0" xfId="11" applyFont="1" applyFill="1"/>
    <xf numFmtId="164" fontId="19" fillId="12" borderId="19" xfId="1" applyNumberFormat="1" applyFont="1" applyFill="1" applyBorder="1"/>
    <xf numFmtId="164" fontId="19" fillId="12" borderId="29" xfId="1" applyNumberFormat="1" applyFont="1" applyFill="1" applyBorder="1"/>
    <xf numFmtId="10" fontId="49" fillId="14" borderId="19" xfId="11" applyNumberFormat="1" applyFont="1" applyFill="1" applyBorder="1" applyAlignment="1">
      <alignment horizontal="center"/>
    </xf>
    <xf numFmtId="0" fontId="51" fillId="0" borderId="0" xfId="11" applyFont="1"/>
    <xf numFmtId="164" fontId="51" fillId="0" borderId="0" xfId="1" applyNumberFormat="1" applyFont="1"/>
    <xf numFmtId="0" fontId="19" fillId="12" borderId="27" xfId="11" applyFont="1" applyFill="1" applyBorder="1" applyAlignment="1">
      <alignment horizontal="center"/>
    </xf>
    <xf numFmtId="0" fontId="19" fillId="12" borderId="25" xfId="11" applyFont="1" applyFill="1" applyBorder="1" applyAlignment="1">
      <alignment horizontal="center"/>
    </xf>
    <xf numFmtId="0" fontId="19" fillId="12" borderId="26" xfId="11" applyFont="1" applyFill="1" applyBorder="1" applyAlignment="1">
      <alignment horizontal="center"/>
    </xf>
    <xf numFmtId="41" fontId="51" fillId="12" borderId="25" xfId="11" applyNumberFormat="1" applyFont="1" applyFill="1" applyBorder="1"/>
    <xf numFmtId="170" fontId="31" fillId="12" borderId="26" xfId="0" applyNumberFormat="1" applyFont="1" applyFill="1" applyBorder="1" applyAlignment="1">
      <alignment horizontal="right" vertical="center" wrapText="1"/>
    </xf>
    <xf numFmtId="170" fontId="31" fillId="12" borderId="27" xfId="0" applyNumberFormat="1" applyFont="1" applyFill="1" applyBorder="1" applyAlignment="1">
      <alignment horizontal="right" vertical="center" wrapText="1"/>
    </xf>
    <xf numFmtId="164" fontId="51" fillId="12" borderId="0" xfId="11" applyNumberFormat="1" applyFont="1" applyFill="1"/>
    <xf numFmtId="0" fontId="31" fillId="12" borderId="0" xfId="0" applyFont="1" applyFill="1"/>
    <xf numFmtId="0" fontId="50" fillId="19" borderId="0" xfId="0" applyFont="1" applyFill="1"/>
    <xf numFmtId="0" fontId="31" fillId="17" borderId="0" xfId="0" applyFont="1" applyFill="1"/>
    <xf numFmtId="0" fontId="31" fillId="0" borderId="0" xfId="0" applyFont="1"/>
    <xf numFmtId="0" fontId="51" fillId="2" borderId="0" xfId="3" applyFont="1" applyFill="1" applyAlignment="1">
      <alignment horizontal="center" vertical="center"/>
    </xf>
    <xf numFmtId="0" fontId="50" fillId="10" borderId="0" xfId="3" applyFont="1" applyFill="1" applyAlignment="1">
      <alignment horizontal="center" vertical="center"/>
    </xf>
    <xf numFmtId="0" fontId="50" fillId="10" borderId="0" xfId="0" applyFont="1" applyFill="1"/>
    <xf numFmtId="0" fontId="48" fillId="12" borderId="0" xfId="3" applyFont="1" applyFill="1" applyAlignment="1">
      <alignment horizontal="center" vertical="center"/>
    </xf>
    <xf numFmtId="164" fontId="48" fillId="12" borderId="11" xfId="1" applyNumberFormat="1" applyFont="1" applyFill="1" applyBorder="1" applyAlignment="1">
      <alignment horizontal="right" vertical="center"/>
    </xf>
    <xf numFmtId="166" fontId="51" fillId="12" borderId="11" xfId="5" applyNumberFormat="1" applyFont="1" applyFill="1" applyBorder="1"/>
    <xf numFmtId="0" fontId="31" fillId="12" borderId="0" xfId="0" applyFont="1" applyFill="1" applyAlignment="1">
      <alignment horizontal="right"/>
    </xf>
    <xf numFmtId="0" fontId="51" fillId="12" borderId="0" xfId="3" quotePrefix="1" applyFont="1" applyFill="1" applyAlignment="1">
      <alignment vertical="center"/>
    </xf>
    <xf numFmtId="0" fontId="51" fillId="12" borderId="0" xfId="3" applyFont="1" applyFill="1" applyAlignment="1">
      <alignment vertical="center"/>
    </xf>
    <xf numFmtId="164" fontId="51" fillId="12" borderId="0" xfId="1" applyNumberFormat="1" applyFont="1" applyFill="1" applyAlignment="1">
      <alignment horizontal="right" vertical="center"/>
    </xf>
    <xf numFmtId="164" fontId="51" fillId="12" borderId="0" xfId="1" applyNumberFormat="1" applyFont="1" applyFill="1" applyAlignment="1">
      <alignment horizontal="left" vertical="center"/>
    </xf>
    <xf numFmtId="164" fontId="51" fillId="12" borderId="0" xfId="1" applyNumberFormat="1" applyFont="1" applyFill="1" applyAlignment="1">
      <alignment horizontal="center" vertical="center"/>
    </xf>
    <xf numFmtId="164" fontId="51" fillId="12" borderId="0" xfId="1" quotePrefix="1" applyNumberFormat="1" applyFont="1" applyFill="1" applyAlignment="1">
      <alignment horizontal="left" vertical="center"/>
    </xf>
    <xf numFmtId="0" fontId="51" fillId="12" borderId="0" xfId="0" applyFont="1" applyFill="1"/>
    <xf numFmtId="0" fontId="51" fillId="12" borderId="0" xfId="0" applyFont="1" applyFill="1" applyAlignment="1">
      <alignment horizontal="center"/>
    </xf>
    <xf numFmtId="0" fontId="51" fillId="12" borderId="0" xfId="3" applyFont="1" applyFill="1" applyAlignment="1">
      <alignment horizontal="left" vertical="center" indent="2"/>
    </xf>
    <xf numFmtId="0" fontId="51" fillId="17" borderId="0" xfId="0" applyFont="1" applyFill="1"/>
    <xf numFmtId="9" fontId="51" fillId="12" borderId="0" xfId="0" applyNumberFormat="1" applyFont="1" applyFill="1"/>
    <xf numFmtId="164" fontId="51" fillId="12" borderId="0" xfId="1" quotePrefix="1" applyNumberFormat="1" applyFont="1" applyFill="1" applyAlignment="1">
      <alignment horizontal="center" vertical="center"/>
    </xf>
    <xf numFmtId="164" fontId="51" fillId="12" borderId="6" xfId="1" applyNumberFormat="1" applyFont="1" applyFill="1" applyBorder="1" applyAlignment="1">
      <alignment horizontal="right" vertical="center"/>
    </xf>
    <xf numFmtId="164" fontId="51" fillId="12" borderId="4" xfId="1" applyNumberFormat="1" applyFont="1" applyFill="1" applyBorder="1" applyAlignment="1">
      <alignment horizontal="right" vertical="center"/>
    </xf>
    <xf numFmtId="164" fontId="51" fillId="17" borderId="0" xfId="1" applyNumberFormat="1" applyFont="1" applyFill="1" applyAlignment="1">
      <alignment horizontal="left" vertical="center"/>
    </xf>
    <xf numFmtId="164" fontId="51" fillId="17" borderId="0" xfId="1" applyNumberFormat="1" applyFont="1" applyFill="1" applyAlignment="1">
      <alignment horizontal="center" vertical="center"/>
    </xf>
    <xf numFmtId="0" fontId="51" fillId="17" borderId="0" xfId="0" applyFont="1" applyFill="1" applyAlignment="1">
      <alignment horizontal="center"/>
    </xf>
    <xf numFmtId="3" fontId="51" fillId="17" borderId="0" xfId="0" applyNumberFormat="1" applyFont="1" applyFill="1"/>
    <xf numFmtId="164" fontId="51" fillId="17" borderId="0" xfId="1" quotePrefix="1" applyNumberFormat="1" applyFont="1" applyFill="1" applyAlignment="1">
      <alignment horizontal="center" vertical="center"/>
    </xf>
    <xf numFmtId="164" fontId="51" fillId="17" borderId="4" xfId="1" applyNumberFormat="1" applyFont="1" applyFill="1" applyBorder="1" applyAlignment="1">
      <alignment horizontal="right" vertical="center"/>
    </xf>
    <xf numFmtId="0" fontId="51" fillId="12" borderId="0" xfId="3" applyFont="1" applyFill="1" applyBorder="1" applyAlignment="1">
      <alignment vertical="center"/>
    </xf>
    <xf numFmtId="164" fontId="51" fillId="12" borderId="0" xfId="1" applyNumberFormat="1" applyFont="1" applyFill="1" applyBorder="1" applyAlignment="1">
      <alignment horizontal="right" vertical="center"/>
    </xf>
    <xf numFmtId="0" fontId="51" fillId="12" borderId="17" xfId="3" applyNumberFormat="1" applyFont="1" applyFill="1" applyBorder="1" applyAlignment="1" applyProtection="1"/>
    <xf numFmtId="0" fontId="51" fillId="12" borderId="6" xfId="3" applyFont="1" applyFill="1" applyBorder="1" applyAlignment="1">
      <alignment vertical="center"/>
    </xf>
    <xf numFmtId="0" fontId="51" fillId="12" borderId="18" xfId="3" applyNumberFormat="1" applyFont="1" applyFill="1" applyBorder="1" applyAlignment="1" applyProtection="1"/>
    <xf numFmtId="0" fontId="31" fillId="13" borderId="9" xfId="3" applyFont="1" applyFill="1" applyBorder="1" applyAlignment="1">
      <alignment horizontal="left" vertical="center"/>
    </xf>
    <xf numFmtId="0" fontId="31" fillId="13" borderId="2" xfId="3" applyFont="1" applyFill="1" applyBorder="1" applyAlignment="1">
      <alignment horizontal="left" vertical="center"/>
    </xf>
    <xf numFmtId="164" fontId="31" fillId="13" borderId="30" xfId="1" applyNumberFormat="1" applyFont="1" applyFill="1" applyBorder="1" applyAlignment="1">
      <alignment horizontal="center" vertical="center"/>
    </xf>
    <xf numFmtId="0" fontId="31" fillId="13" borderId="10" xfId="3" applyFont="1" applyFill="1" applyBorder="1" applyAlignment="1">
      <alignment horizontal="left" vertical="center"/>
    </xf>
    <xf numFmtId="0" fontId="31" fillId="13" borderId="0" xfId="3" applyFont="1" applyFill="1" applyBorder="1" applyAlignment="1">
      <alignment horizontal="left" vertical="center"/>
    </xf>
    <xf numFmtId="164" fontId="31" fillId="13" borderId="0" xfId="1" applyNumberFormat="1" applyFont="1" applyFill="1" applyBorder="1" applyAlignment="1">
      <alignment horizontal="center" vertical="center"/>
    </xf>
    <xf numFmtId="164" fontId="31" fillId="13" borderId="17" xfId="1" applyNumberFormat="1" applyFont="1" applyFill="1" applyBorder="1" applyAlignment="1">
      <alignment horizontal="center" vertical="center"/>
    </xf>
    <xf numFmtId="0" fontId="10" fillId="12" borderId="10" xfId="3" quotePrefix="1" applyFont="1" applyFill="1" applyBorder="1" applyAlignment="1">
      <alignment vertical="center"/>
    </xf>
    <xf numFmtId="0" fontId="10" fillId="12" borderId="10" xfId="3" applyFont="1" applyFill="1" applyBorder="1" applyAlignment="1">
      <alignment vertical="center"/>
    </xf>
    <xf numFmtId="0" fontId="10" fillId="12" borderId="7" xfId="3" applyFont="1" applyFill="1" applyBorder="1" applyAlignment="1">
      <alignment vertical="center"/>
    </xf>
    <xf numFmtId="0" fontId="19" fillId="12" borderId="0" xfId="4" applyFont="1" applyFill="1" applyAlignment="1">
      <alignment horizontal="right"/>
    </xf>
    <xf numFmtId="9" fontId="51" fillId="17" borderId="0" xfId="0" applyNumberFormat="1" applyFont="1" applyFill="1"/>
    <xf numFmtId="9" fontId="51" fillId="17" borderId="0" xfId="2" applyFont="1" applyFill="1" applyAlignment="1">
      <alignment horizontal="center" vertical="center"/>
    </xf>
    <xf numFmtId="0" fontId="51" fillId="17" borderId="0" xfId="4" applyFont="1" applyFill="1" applyAlignment="1">
      <alignment horizontal="center"/>
    </xf>
    <xf numFmtId="10" fontId="51" fillId="17" borderId="0" xfId="2" applyNumberFormat="1" applyFont="1" applyFill="1" applyAlignment="1">
      <alignment horizontal="center"/>
    </xf>
    <xf numFmtId="164" fontId="51" fillId="17" borderId="0" xfId="1" applyNumberFormat="1" applyFont="1" applyFill="1" applyAlignment="1">
      <alignment horizontal="center"/>
    </xf>
    <xf numFmtId="0" fontId="51" fillId="17" borderId="0" xfId="4" applyFont="1" applyFill="1" applyBorder="1" applyAlignment="1">
      <alignment horizontal="center"/>
    </xf>
    <xf numFmtId="10" fontId="51" fillId="17" borderId="0" xfId="2" applyNumberFormat="1" applyFont="1" applyFill="1" applyBorder="1" applyAlignment="1">
      <alignment horizontal="center"/>
    </xf>
    <xf numFmtId="164" fontId="51" fillId="17" borderId="0" xfId="1" applyNumberFormat="1" applyFont="1" applyFill="1" applyBorder="1" applyAlignment="1">
      <alignment horizontal="center"/>
    </xf>
    <xf numFmtId="164" fontId="51" fillId="12" borderId="0" xfId="1" applyNumberFormat="1" applyFont="1" applyFill="1"/>
    <xf numFmtId="164" fontId="19" fillId="12" borderId="0" xfId="1" applyNumberFormat="1" applyFont="1" applyFill="1" applyBorder="1" applyAlignment="1">
      <alignment horizontal="center"/>
    </xf>
    <xf numFmtId="170" fontId="31" fillId="0" borderId="0" xfId="0" applyNumberFormat="1" applyFont="1" applyBorder="1" applyAlignment="1">
      <alignment horizontal="right" vertical="center" wrapText="1"/>
    </xf>
    <xf numFmtId="170" fontId="30" fillId="17" borderId="0" xfId="0" applyNumberFormat="1" applyFont="1" applyFill="1" applyBorder="1" applyAlignment="1">
      <alignment horizontal="right" vertical="center" wrapText="1"/>
    </xf>
    <xf numFmtId="0" fontId="30" fillId="12" borderId="0" xfId="0" applyFont="1" applyFill="1"/>
    <xf numFmtId="0" fontId="30" fillId="17" borderId="0" xfId="0" applyFont="1" applyFill="1"/>
    <xf numFmtId="170" fontId="30" fillId="17" borderId="0" xfId="0" applyNumberFormat="1" applyFont="1" applyFill="1"/>
    <xf numFmtId="0" fontId="30" fillId="17" borderId="0" xfId="0" applyFont="1" applyFill="1" applyAlignment="1">
      <alignment horizontal="center"/>
    </xf>
    <xf numFmtId="164" fontId="9" fillId="14" borderId="28" xfId="1" applyNumberFormat="1" applyFont="1" applyFill="1" applyBorder="1" applyAlignment="1">
      <alignment horizontal="left"/>
    </xf>
    <xf numFmtId="164" fontId="9" fillId="14" borderId="29" xfId="1" applyNumberFormat="1" applyFont="1" applyFill="1" applyBorder="1" applyAlignment="1">
      <alignment horizontal="left"/>
    </xf>
    <xf numFmtId="164" fontId="31" fillId="13" borderId="2" xfId="1" applyNumberFormat="1" applyFont="1" applyFill="1" applyBorder="1" applyAlignment="1">
      <alignment horizontal="center" vertical="center"/>
    </xf>
    <xf numFmtId="0" fontId="51" fillId="12" borderId="3" xfId="4" applyFont="1" applyFill="1" applyBorder="1" applyAlignment="1">
      <alignment horizontal="center"/>
    </xf>
    <xf numFmtId="0" fontId="51" fillId="12" borderId="15" xfId="4" applyFont="1" applyFill="1" applyBorder="1" applyAlignment="1">
      <alignment horizontal="center"/>
    </xf>
    <xf numFmtId="0" fontId="19" fillId="17" borderId="1" xfId="11" applyFont="1" applyFill="1" applyBorder="1" applyAlignment="1">
      <alignment horizontal="center" vertical="center" wrapText="1"/>
    </xf>
    <xf numFmtId="0" fontId="19" fillId="17" borderId="5" xfId="11" applyFont="1" applyFill="1" applyBorder="1" applyAlignment="1">
      <alignment horizontal="center" vertical="center" wrapText="1"/>
    </xf>
    <xf numFmtId="39" fontId="19" fillId="17" borderId="9" xfId="0" applyNumberFormat="1" applyFont="1" applyFill="1" applyBorder="1" applyAlignment="1">
      <alignment horizontal="center" vertical="center" wrapText="1"/>
    </xf>
    <xf numFmtId="39" fontId="19" fillId="17" borderId="7" xfId="0" applyNumberFormat="1" applyFont="1" applyFill="1" applyBorder="1" applyAlignment="1">
      <alignment horizontal="center" vertical="center" wrapText="1"/>
    </xf>
    <xf numFmtId="39" fontId="19" fillId="17" borderId="8" xfId="0" applyNumberFormat="1" applyFont="1" applyFill="1" applyBorder="1" applyAlignment="1">
      <alignment horizontal="center" vertical="center" wrapText="1"/>
    </xf>
    <xf numFmtId="39" fontId="19" fillId="17" borderId="5" xfId="0" applyNumberFormat="1" applyFont="1" applyFill="1" applyBorder="1" applyAlignment="1">
      <alignment horizontal="center" vertical="center" wrapText="1"/>
    </xf>
    <xf numFmtId="39" fontId="19" fillId="17" borderId="17" xfId="0" applyNumberFormat="1" applyFont="1" applyFill="1" applyBorder="1" applyAlignment="1">
      <alignment horizontal="center" vertical="center" wrapText="1"/>
    </xf>
    <xf numFmtId="39" fontId="19" fillId="17" borderId="18" xfId="0" applyNumberFormat="1" applyFont="1" applyFill="1" applyBorder="1" applyAlignment="1">
      <alignment horizontal="center" vertical="center" wrapText="1"/>
    </xf>
    <xf numFmtId="164" fontId="49" fillId="14" borderId="28" xfId="1" applyNumberFormat="1" applyFont="1" applyFill="1" applyBorder="1" applyAlignment="1">
      <alignment horizontal="left"/>
    </xf>
    <xf numFmtId="164" fontId="49" fillId="14" borderId="29" xfId="1" applyNumberFormat="1" applyFont="1" applyFill="1" applyBorder="1" applyAlignment="1">
      <alignment horizontal="left"/>
    </xf>
    <xf numFmtId="164" fontId="9" fillId="14" borderId="0" xfId="1" applyNumberFormat="1" applyFont="1" applyFill="1" applyAlignment="1">
      <alignment horizontal="left"/>
    </xf>
    <xf numFmtId="164" fontId="9" fillId="14" borderId="23" xfId="1" applyNumberFormat="1" applyFont="1" applyFill="1" applyBorder="1" applyAlignment="1">
      <alignment horizontal="left"/>
    </xf>
    <xf numFmtId="0" fontId="51" fillId="2" borderId="0" xfId="3" applyFont="1" applyFill="1" applyAlignment="1">
      <alignment horizontal="center" vertical="center"/>
    </xf>
    <xf numFmtId="0" fontId="51" fillId="17" borderId="0" xfId="3" applyFont="1" applyFill="1" applyAlignment="1">
      <alignment horizontal="center" vertical="center"/>
    </xf>
    <xf numFmtId="0" fontId="50" fillId="10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0" fontId="19" fillId="12" borderId="28" xfId="11" applyFont="1" applyFill="1" applyBorder="1" applyAlignment="1">
      <alignment horizontal="center"/>
    </xf>
    <xf numFmtId="0" fontId="19" fillId="12" borderId="31" xfId="11" applyFont="1" applyFill="1" applyBorder="1" applyAlignment="1">
      <alignment horizontal="center"/>
    </xf>
    <xf numFmtId="0" fontId="19" fillId="12" borderId="29" xfId="11" applyFont="1" applyFill="1" applyBorder="1" applyAlignment="1">
      <alignment horizontal="center"/>
    </xf>
    <xf numFmtId="0" fontId="52" fillId="12" borderId="0" xfId="11" applyFont="1" applyFill="1"/>
  </cellXfs>
  <cellStyles count="16">
    <cellStyle name="Comma 2" xfId="7"/>
    <cellStyle name="Hipervínculo" xfId="15" builtinId="8"/>
    <cellStyle name="Millares" xfId="1" builtinId="3"/>
    <cellStyle name="Millares 2" xfId="5"/>
    <cellStyle name="Millares 3" xfId="8"/>
    <cellStyle name="Millares 4" xfId="9"/>
    <cellStyle name="Millares 5" xfId="10"/>
    <cellStyle name="Normal" xfId="0" builtinId="0"/>
    <cellStyle name="Normal 100" xfId="11"/>
    <cellStyle name="Normal 2" xfId="3"/>
    <cellStyle name="Normal 3" xfId="4"/>
    <cellStyle name="Normal_Max - Finished Product Inventory 31.07.03" xfId="6"/>
    <cellStyle name="Percent 2" xfId="12"/>
    <cellStyle name="Porcentaje" xfId="2" builtinId="5"/>
    <cellStyle name="Porcentaje 2" xfId="13"/>
    <cellStyle name="Porcentual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4</xdr:row>
      <xdr:rowOff>15875</xdr:rowOff>
    </xdr:from>
    <xdr:to>
      <xdr:col>2</xdr:col>
      <xdr:colOff>682625</xdr:colOff>
      <xdr:row>5</xdr:row>
      <xdr:rowOff>0</xdr:rowOff>
    </xdr:to>
    <xdr:sp macro="" textlink="">
      <xdr:nvSpPr>
        <xdr:cNvPr id="2" name="Flecha abajo 1"/>
        <xdr:cNvSpPr/>
      </xdr:nvSpPr>
      <xdr:spPr>
        <a:xfrm>
          <a:off x="1936750" y="1539875"/>
          <a:ext cx="301625" cy="174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381000</xdr:colOff>
      <xdr:row>4</xdr:row>
      <xdr:rowOff>15875</xdr:rowOff>
    </xdr:from>
    <xdr:to>
      <xdr:col>5</xdr:col>
      <xdr:colOff>682625</xdr:colOff>
      <xdr:row>5</xdr:row>
      <xdr:rowOff>0</xdr:rowOff>
    </xdr:to>
    <xdr:sp macro="" textlink="">
      <xdr:nvSpPr>
        <xdr:cNvPr id="3" name="Flecha abajo 2"/>
        <xdr:cNvSpPr/>
      </xdr:nvSpPr>
      <xdr:spPr>
        <a:xfrm>
          <a:off x="1936750" y="1539875"/>
          <a:ext cx="301625" cy="2222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381000</xdr:colOff>
      <xdr:row>4</xdr:row>
      <xdr:rowOff>15875</xdr:rowOff>
    </xdr:from>
    <xdr:to>
      <xdr:col>3</xdr:col>
      <xdr:colOff>682625</xdr:colOff>
      <xdr:row>5</xdr:row>
      <xdr:rowOff>0</xdr:rowOff>
    </xdr:to>
    <xdr:sp macro="" textlink="">
      <xdr:nvSpPr>
        <xdr:cNvPr id="4" name="Flecha abajo 3"/>
        <xdr:cNvSpPr/>
      </xdr:nvSpPr>
      <xdr:spPr>
        <a:xfrm>
          <a:off x="4889500" y="1539875"/>
          <a:ext cx="301625" cy="2222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381000</xdr:colOff>
      <xdr:row>4</xdr:row>
      <xdr:rowOff>15875</xdr:rowOff>
    </xdr:from>
    <xdr:to>
      <xdr:col>4</xdr:col>
      <xdr:colOff>682625</xdr:colOff>
      <xdr:row>5</xdr:row>
      <xdr:rowOff>0</xdr:rowOff>
    </xdr:to>
    <xdr:sp macro="" textlink="">
      <xdr:nvSpPr>
        <xdr:cNvPr id="5" name="Flecha abajo 4"/>
        <xdr:cNvSpPr/>
      </xdr:nvSpPr>
      <xdr:spPr>
        <a:xfrm>
          <a:off x="2921000" y="1539875"/>
          <a:ext cx="301625" cy="2222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27</xdr:row>
      <xdr:rowOff>66675</xdr:rowOff>
    </xdr:from>
    <xdr:to>
      <xdr:col>9</xdr:col>
      <xdr:colOff>561975</xdr:colOff>
      <xdr:row>28</xdr:row>
      <xdr:rowOff>161925</xdr:rowOff>
    </xdr:to>
    <xdr:sp macro="" textlink="">
      <xdr:nvSpPr>
        <xdr:cNvPr id="2" name="1 Flecha abajo"/>
        <xdr:cNvSpPr/>
      </xdr:nvSpPr>
      <xdr:spPr>
        <a:xfrm>
          <a:off x="5676900" y="5267325"/>
          <a:ext cx="342900" cy="285750"/>
        </a:xfrm>
        <a:prstGeom prst="down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mailto:FLLANTO@FASPERU.COM.PE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J30"/>
  <sheetViews>
    <sheetView zoomScaleNormal="100" workbookViewId="0">
      <selection activeCell="J18" sqref="J18"/>
    </sheetView>
  </sheetViews>
  <sheetFormatPr baseColWidth="10" defaultRowHeight="15.95" customHeight="1" x14ac:dyDescent="0.2"/>
  <cols>
    <col min="1" max="1" width="5.5703125" style="26" customWidth="1"/>
    <col min="2" max="2" width="3.5703125" style="26" customWidth="1"/>
    <col min="3" max="3" width="12.28515625" style="26" bestFit="1" customWidth="1"/>
    <col min="4" max="4" width="11.28515625" style="22" bestFit="1" customWidth="1"/>
    <col min="5" max="5" width="12.28515625" style="22" bestFit="1" customWidth="1"/>
    <col min="6" max="6" width="2.7109375" style="22" customWidth="1"/>
    <col min="7" max="7" width="11.42578125" style="22"/>
    <col min="8" max="8" width="9.5703125" style="22" bestFit="1" customWidth="1"/>
    <col min="9" max="9" width="11.85546875" style="22" bestFit="1" customWidth="1"/>
    <col min="10" max="230" width="11.42578125" style="22"/>
    <col min="231" max="231" width="40.5703125" style="22" bestFit="1" customWidth="1"/>
    <col min="232" max="232" width="16.85546875" style="22" customWidth="1"/>
    <col min="233" max="233" width="15.42578125" style="22" bestFit="1" customWidth="1"/>
    <col min="234" max="234" width="16.140625" style="22" bestFit="1" customWidth="1"/>
    <col min="235" max="235" width="13.5703125" style="22" customWidth="1"/>
    <col min="236" max="236" width="16.5703125" style="22" customWidth="1"/>
    <col min="237" max="486" width="11.42578125" style="22"/>
    <col min="487" max="487" width="40.5703125" style="22" bestFit="1" customWidth="1"/>
    <col min="488" max="488" width="16.85546875" style="22" customWidth="1"/>
    <col min="489" max="489" width="15.42578125" style="22" bestFit="1" customWidth="1"/>
    <col min="490" max="490" width="16.140625" style="22" bestFit="1" customWidth="1"/>
    <col min="491" max="491" width="13.5703125" style="22" customWidth="1"/>
    <col min="492" max="492" width="16.5703125" style="22" customWidth="1"/>
    <col min="493" max="742" width="11.42578125" style="22"/>
    <col min="743" max="743" width="40.5703125" style="22" bestFit="1" customWidth="1"/>
    <col min="744" max="744" width="16.85546875" style="22" customWidth="1"/>
    <col min="745" max="745" width="15.42578125" style="22" bestFit="1" customWidth="1"/>
    <col min="746" max="746" width="16.140625" style="22" bestFit="1" customWidth="1"/>
    <col min="747" max="747" width="13.5703125" style="22" customWidth="1"/>
    <col min="748" max="748" width="16.5703125" style="22" customWidth="1"/>
    <col min="749" max="998" width="11.42578125" style="22"/>
    <col min="999" max="999" width="40.5703125" style="22" bestFit="1" customWidth="1"/>
    <col min="1000" max="1000" width="16.85546875" style="22" customWidth="1"/>
    <col min="1001" max="1001" width="15.42578125" style="22" bestFit="1" customWidth="1"/>
    <col min="1002" max="1002" width="16.140625" style="22" bestFit="1" customWidth="1"/>
    <col min="1003" max="1003" width="13.5703125" style="22" customWidth="1"/>
    <col min="1004" max="1004" width="16.5703125" style="22" customWidth="1"/>
    <col min="1005" max="1254" width="11.42578125" style="22"/>
    <col min="1255" max="1255" width="40.5703125" style="22" bestFit="1" customWidth="1"/>
    <col min="1256" max="1256" width="16.85546875" style="22" customWidth="1"/>
    <col min="1257" max="1257" width="15.42578125" style="22" bestFit="1" customWidth="1"/>
    <col min="1258" max="1258" width="16.140625" style="22" bestFit="1" customWidth="1"/>
    <col min="1259" max="1259" width="13.5703125" style="22" customWidth="1"/>
    <col min="1260" max="1260" width="16.5703125" style="22" customWidth="1"/>
    <col min="1261" max="1510" width="11.42578125" style="22"/>
    <col min="1511" max="1511" width="40.5703125" style="22" bestFit="1" customWidth="1"/>
    <col min="1512" max="1512" width="16.85546875" style="22" customWidth="1"/>
    <col min="1513" max="1513" width="15.42578125" style="22" bestFit="1" customWidth="1"/>
    <col min="1514" max="1514" width="16.140625" style="22" bestFit="1" customWidth="1"/>
    <col min="1515" max="1515" width="13.5703125" style="22" customWidth="1"/>
    <col min="1516" max="1516" width="16.5703125" style="22" customWidth="1"/>
    <col min="1517" max="1766" width="11.42578125" style="22"/>
    <col min="1767" max="1767" width="40.5703125" style="22" bestFit="1" customWidth="1"/>
    <col min="1768" max="1768" width="16.85546875" style="22" customWidth="1"/>
    <col min="1769" max="1769" width="15.42578125" style="22" bestFit="1" customWidth="1"/>
    <col min="1770" max="1770" width="16.140625" style="22" bestFit="1" customWidth="1"/>
    <col min="1771" max="1771" width="13.5703125" style="22" customWidth="1"/>
    <col min="1772" max="1772" width="16.5703125" style="22" customWidth="1"/>
    <col min="1773" max="2022" width="11.42578125" style="22"/>
    <col min="2023" max="2023" width="40.5703125" style="22" bestFit="1" customWidth="1"/>
    <col min="2024" max="2024" width="16.85546875" style="22" customWidth="1"/>
    <col min="2025" max="2025" width="15.42578125" style="22" bestFit="1" customWidth="1"/>
    <col min="2026" max="2026" width="16.140625" style="22" bestFit="1" customWidth="1"/>
    <col min="2027" max="2027" width="13.5703125" style="22" customWidth="1"/>
    <col min="2028" max="2028" width="16.5703125" style="22" customWidth="1"/>
    <col min="2029" max="2278" width="11.42578125" style="22"/>
    <col min="2279" max="2279" width="40.5703125" style="22" bestFit="1" customWidth="1"/>
    <col min="2280" max="2280" width="16.85546875" style="22" customWidth="1"/>
    <col min="2281" max="2281" width="15.42578125" style="22" bestFit="1" customWidth="1"/>
    <col min="2282" max="2282" width="16.140625" style="22" bestFit="1" customWidth="1"/>
    <col min="2283" max="2283" width="13.5703125" style="22" customWidth="1"/>
    <col min="2284" max="2284" width="16.5703125" style="22" customWidth="1"/>
    <col min="2285" max="2534" width="11.42578125" style="22"/>
    <col min="2535" max="2535" width="40.5703125" style="22" bestFit="1" customWidth="1"/>
    <col min="2536" max="2536" width="16.85546875" style="22" customWidth="1"/>
    <col min="2537" max="2537" width="15.42578125" style="22" bestFit="1" customWidth="1"/>
    <col min="2538" max="2538" width="16.140625" style="22" bestFit="1" customWidth="1"/>
    <col min="2539" max="2539" width="13.5703125" style="22" customWidth="1"/>
    <col min="2540" max="2540" width="16.5703125" style="22" customWidth="1"/>
    <col min="2541" max="2790" width="11.42578125" style="22"/>
    <col min="2791" max="2791" width="40.5703125" style="22" bestFit="1" customWidth="1"/>
    <col min="2792" max="2792" width="16.85546875" style="22" customWidth="1"/>
    <col min="2793" max="2793" width="15.42578125" style="22" bestFit="1" customWidth="1"/>
    <col min="2794" max="2794" width="16.140625" style="22" bestFit="1" customWidth="1"/>
    <col min="2795" max="2795" width="13.5703125" style="22" customWidth="1"/>
    <col min="2796" max="2796" width="16.5703125" style="22" customWidth="1"/>
    <col min="2797" max="3046" width="11.42578125" style="22"/>
    <col min="3047" max="3047" width="40.5703125" style="22" bestFit="1" customWidth="1"/>
    <col min="3048" max="3048" width="16.85546875" style="22" customWidth="1"/>
    <col min="3049" max="3049" width="15.42578125" style="22" bestFit="1" customWidth="1"/>
    <col min="3050" max="3050" width="16.140625" style="22" bestFit="1" customWidth="1"/>
    <col min="3051" max="3051" width="13.5703125" style="22" customWidth="1"/>
    <col min="3052" max="3052" width="16.5703125" style="22" customWidth="1"/>
    <col min="3053" max="3302" width="11.42578125" style="22"/>
    <col min="3303" max="3303" width="40.5703125" style="22" bestFit="1" customWidth="1"/>
    <col min="3304" max="3304" width="16.85546875" style="22" customWidth="1"/>
    <col min="3305" max="3305" width="15.42578125" style="22" bestFit="1" customWidth="1"/>
    <col min="3306" max="3306" width="16.140625" style="22" bestFit="1" customWidth="1"/>
    <col min="3307" max="3307" width="13.5703125" style="22" customWidth="1"/>
    <col min="3308" max="3308" width="16.5703125" style="22" customWidth="1"/>
    <col min="3309" max="3558" width="11.42578125" style="22"/>
    <col min="3559" max="3559" width="40.5703125" style="22" bestFit="1" customWidth="1"/>
    <col min="3560" max="3560" width="16.85546875" style="22" customWidth="1"/>
    <col min="3561" max="3561" width="15.42578125" style="22" bestFit="1" customWidth="1"/>
    <col min="3562" max="3562" width="16.140625" style="22" bestFit="1" customWidth="1"/>
    <col min="3563" max="3563" width="13.5703125" style="22" customWidth="1"/>
    <col min="3564" max="3564" width="16.5703125" style="22" customWidth="1"/>
    <col min="3565" max="3814" width="11.42578125" style="22"/>
    <col min="3815" max="3815" width="40.5703125" style="22" bestFit="1" customWidth="1"/>
    <col min="3816" max="3816" width="16.85546875" style="22" customWidth="1"/>
    <col min="3817" max="3817" width="15.42578125" style="22" bestFit="1" customWidth="1"/>
    <col min="3818" max="3818" width="16.140625" style="22" bestFit="1" customWidth="1"/>
    <col min="3819" max="3819" width="13.5703125" style="22" customWidth="1"/>
    <col min="3820" max="3820" width="16.5703125" style="22" customWidth="1"/>
    <col min="3821" max="4070" width="11.42578125" style="22"/>
    <col min="4071" max="4071" width="40.5703125" style="22" bestFit="1" customWidth="1"/>
    <col min="4072" max="4072" width="16.85546875" style="22" customWidth="1"/>
    <col min="4073" max="4073" width="15.42578125" style="22" bestFit="1" customWidth="1"/>
    <col min="4074" max="4074" width="16.140625" style="22" bestFit="1" customWidth="1"/>
    <col min="4075" max="4075" width="13.5703125" style="22" customWidth="1"/>
    <col min="4076" max="4076" width="16.5703125" style="22" customWidth="1"/>
    <col min="4077" max="4326" width="11.42578125" style="22"/>
    <col min="4327" max="4327" width="40.5703125" style="22" bestFit="1" customWidth="1"/>
    <col min="4328" max="4328" width="16.85546875" style="22" customWidth="1"/>
    <col min="4329" max="4329" width="15.42578125" style="22" bestFit="1" customWidth="1"/>
    <col min="4330" max="4330" width="16.140625" style="22" bestFit="1" customWidth="1"/>
    <col min="4331" max="4331" width="13.5703125" style="22" customWidth="1"/>
    <col min="4332" max="4332" width="16.5703125" style="22" customWidth="1"/>
    <col min="4333" max="4582" width="11.42578125" style="22"/>
    <col min="4583" max="4583" width="40.5703125" style="22" bestFit="1" customWidth="1"/>
    <col min="4584" max="4584" width="16.85546875" style="22" customWidth="1"/>
    <col min="4585" max="4585" width="15.42578125" style="22" bestFit="1" customWidth="1"/>
    <col min="4586" max="4586" width="16.140625" style="22" bestFit="1" customWidth="1"/>
    <col min="4587" max="4587" width="13.5703125" style="22" customWidth="1"/>
    <col min="4588" max="4588" width="16.5703125" style="22" customWidth="1"/>
    <col min="4589" max="4838" width="11.42578125" style="22"/>
    <col min="4839" max="4839" width="40.5703125" style="22" bestFit="1" customWidth="1"/>
    <col min="4840" max="4840" width="16.85546875" style="22" customWidth="1"/>
    <col min="4841" max="4841" width="15.42578125" style="22" bestFit="1" customWidth="1"/>
    <col min="4842" max="4842" width="16.140625" style="22" bestFit="1" customWidth="1"/>
    <col min="4843" max="4843" width="13.5703125" style="22" customWidth="1"/>
    <col min="4844" max="4844" width="16.5703125" style="22" customWidth="1"/>
    <col min="4845" max="5094" width="11.42578125" style="22"/>
    <col min="5095" max="5095" width="40.5703125" style="22" bestFit="1" customWidth="1"/>
    <col min="5096" max="5096" width="16.85546875" style="22" customWidth="1"/>
    <col min="5097" max="5097" width="15.42578125" style="22" bestFit="1" customWidth="1"/>
    <col min="5098" max="5098" width="16.140625" style="22" bestFit="1" customWidth="1"/>
    <col min="5099" max="5099" width="13.5703125" style="22" customWidth="1"/>
    <col min="5100" max="5100" width="16.5703125" style="22" customWidth="1"/>
    <col min="5101" max="5350" width="11.42578125" style="22"/>
    <col min="5351" max="5351" width="40.5703125" style="22" bestFit="1" customWidth="1"/>
    <col min="5352" max="5352" width="16.85546875" style="22" customWidth="1"/>
    <col min="5353" max="5353" width="15.42578125" style="22" bestFit="1" customWidth="1"/>
    <col min="5354" max="5354" width="16.140625" style="22" bestFit="1" customWidth="1"/>
    <col min="5355" max="5355" width="13.5703125" style="22" customWidth="1"/>
    <col min="5356" max="5356" width="16.5703125" style="22" customWidth="1"/>
    <col min="5357" max="5606" width="11.42578125" style="22"/>
    <col min="5607" max="5607" width="40.5703125" style="22" bestFit="1" customWidth="1"/>
    <col min="5608" max="5608" width="16.85546875" style="22" customWidth="1"/>
    <col min="5609" max="5609" width="15.42578125" style="22" bestFit="1" customWidth="1"/>
    <col min="5610" max="5610" width="16.140625" style="22" bestFit="1" customWidth="1"/>
    <col min="5611" max="5611" width="13.5703125" style="22" customWidth="1"/>
    <col min="5612" max="5612" width="16.5703125" style="22" customWidth="1"/>
    <col min="5613" max="5862" width="11.42578125" style="22"/>
    <col min="5863" max="5863" width="40.5703125" style="22" bestFit="1" customWidth="1"/>
    <col min="5864" max="5864" width="16.85546875" style="22" customWidth="1"/>
    <col min="5865" max="5865" width="15.42578125" style="22" bestFit="1" customWidth="1"/>
    <col min="5866" max="5866" width="16.140625" style="22" bestFit="1" customWidth="1"/>
    <col min="5867" max="5867" width="13.5703125" style="22" customWidth="1"/>
    <col min="5868" max="5868" width="16.5703125" style="22" customWidth="1"/>
    <col min="5869" max="6118" width="11.42578125" style="22"/>
    <col min="6119" max="6119" width="40.5703125" style="22" bestFit="1" customWidth="1"/>
    <col min="6120" max="6120" width="16.85546875" style="22" customWidth="1"/>
    <col min="6121" max="6121" width="15.42578125" style="22" bestFit="1" customWidth="1"/>
    <col min="6122" max="6122" width="16.140625" style="22" bestFit="1" customWidth="1"/>
    <col min="6123" max="6123" width="13.5703125" style="22" customWidth="1"/>
    <col min="6124" max="6124" width="16.5703125" style="22" customWidth="1"/>
    <col min="6125" max="6374" width="11.42578125" style="22"/>
    <col min="6375" max="6375" width="40.5703125" style="22" bestFit="1" customWidth="1"/>
    <col min="6376" max="6376" width="16.85546875" style="22" customWidth="1"/>
    <col min="6377" max="6377" width="15.42578125" style="22" bestFit="1" customWidth="1"/>
    <col min="6378" max="6378" width="16.140625" style="22" bestFit="1" customWidth="1"/>
    <col min="6379" max="6379" width="13.5703125" style="22" customWidth="1"/>
    <col min="6380" max="6380" width="16.5703125" style="22" customWidth="1"/>
    <col min="6381" max="6630" width="11.42578125" style="22"/>
    <col min="6631" max="6631" width="40.5703125" style="22" bestFit="1" customWidth="1"/>
    <col min="6632" max="6632" width="16.85546875" style="22" customWidth="1"/>
    <col min="6633" max="6633" width="15.42578125" style="22" bestFit="1" customWidth="1"/>
    <col min="6634" max="6634" width="16.140625" style="22" bestFit="1" customWidth="1"/>
    <col min="6635" max="6635" width="13.5703125" style="22" customWidth="1"/>
    <col min="6636" max="6636" width="16.5703125" style="22" customWidth="1"/>
    <col min="6637" max="6886" width="11.42578125" style="22"/>
    <col min="6887" max="6887" width="40.5703125" style="22" bestFit="1" customWidth="1"/>
    <col min="6888" max="6888" width="16.85546875" style="22" customWidth="1"/>
    <col min="6889" max="6889" width="15.42578125" style="22" bestFit="1" customWidth="1"/>
    <col min="6890" max="6890" width="16.140625" style="22" bestFit="1" customWidth="1"/>
    <col min="6891" max="6891" width="13.5703125" style="22" customWidth="1"/>
    <col min="6892" max="6892" width="16.5703125" style="22" customWidth="1"/>
    <col min="6893" max="7142" width="11.42578125" style="22"/>
    <col min="7143" max="7143" width="40.5703125" style="22" bestFit="1" customWidth="1"/>
    <col min="7144" max="7144" width="16.85546875" style="22" customWidth="1"/>
    <col min="7145" max="7145" width="15.42578125" style="22" bestFit="1" customWidth="1"/>
    <col min="7146" max="7146" width="16.140625" style="22" bestFit="1" customWidth="1"/>
    <col min="7147" max="7147" width="13.5703125" style="22" customWidth="1"/>
    <col min="7148" max="7148" width="16.5703125" style="22" customWidth="1"/>
    <col min="7149" max="7398" width="11.42578125" style="22"/>
    <col min="7399" max="7399" width="40.5703125" style="22" bestFit="1" customWidth="1"/>
    <col min="7400" max="7400" width="16.85546875" style="22" customWidth="1"/>
    <col min="7401" max="7401" width="15.42578125" style="22" bestFit="1" customWidth="1"/>
    <col min="7402" max="7402" width="16.140625" style="22" bestFit="1" customWidth="1"/>
    <col min="7403" max="7403" width="13.5703125" style="22" customWidth="1"/>
    <col min="7404" max="7404" width="16.5703125" style="22" customWidth="1"/>
    <col min="7405" max="7654" width="11.42578125" style="22"/>
    <col min="7655" max="7655" width="40.5703125" style="22" bestFit="1" customWidth="1"/>
    <col min="7656" max="7656" width="16.85546875" style="22" customWidth="1"/>
    <col min="7657" max="7657" width="15.42578125" style="22" bestFit="1" customWidth="1"/>
    <col min="7658" max="7658" width="16.140625" style="22" bestFit="1" customWidth="1"/>
    <col min="7659" max="7659" width="13.5703125" style="22" customWidth="1"/>
    <col min="7660" max="7660" width="16.5703125" style="22" customWidth="1"/>
    <col min="7661" max="7910" width="11.42578125" style="22"/>
    <col min="7911" max="7911" width="40.5703125" style="22" bestFit="1" customWidth="1"/>
    <col min="7912" max="7912" width="16.85546875" style="22" customWidth="1"/>
    <col min="7913" max="7913" width="15.42578125" style="22" bestFit="1" customWidth="1"/>
    <col min="7914" max="7914" width="16.140625" style="22" bestFit="1" customWidth="1"/>
    <col min="7915" max="7915" width="13.5703125" style="22" customWidth="1"/>
    <col min="7916" max="7916" width="16.5703125" style="22" customWidth="1"/>
    <col min="7917" max="8166" width="11.42578125" style="22"/>
    <col min="8167" max="8167" width="40.5703125" style="22" bestFit="1" customWidth="1"/>
    <col min="8168" max="8168" width="16.85546875" style="22" customWidth="1"/>
    <col min="8169" max="8169" width="15.42578125" style="22" bestFit="1" customWidth="1"/>
    <col min="8170" max="8170" width="16.140625" style="22" bestFit="1" customWidth="1"/>
    <col min="8171" max="8171" width="13.5703125" style="22" customWidth="1"/>
    <col min="8172" max="8172" width="16.5703125" style="22" customWidth="1"/>
    <col min="8173" max="8422" width="11.42578125" style="22"/>
    <col min="8423" max="8423" width="40.5703125" style="22" bestFit="1" customWidth="1"/>
    <col min="8424" max="8424" width="16.85546875" style="22" customWidth="1"/>
    <col min="8425" max="8425" width="15.42578125" style="22" bestFit="1" customWidth="1"/>
    <col min="8426" max="8426" width="16.140625" style="22" bestFit="1" customWidth="1"/>
    <col min="8427" max="8427" width="13.5703125" style="22" customWidth="1"/>
    <col min="8428" max="8428" width="16.5703125" style="22" customWidth="1"/>
    <col min="8429" max="8678" width="11.42578125" style="22"/>
    <col min="8679" max="8679" width="40.5703125" style="22" bestFit="1" customWidth="1"/>
    <col min="8680" max="8680" width="16.85546875" style="22" customWidth="1"/>
    <col min="8681" max="8681" width="15.42578125" style="22" bestFit="1" customWidth="1"/>
    <col min="8682" max="8682" width="16.140625" style="22" bestFit="1" customWidth="1"/>
    <col min="8683" max="8683" width="13.5703125" style="22" customWidth="1"/>
    <col min="8684" max="8684" width="16.5703125" style="22" customWidth="1"/>
    <col min="8685" max="8934" width="11.42578125" style="22"/>
    <col min="8935" max="8935" width="40.5703125" style="22" bestFit="1" customWidth="1"/>
    <col min="8936" max="8936" width="16.85546875" style="22" customWidth="1"/>
    <col min="8937" max="8937" width="15.42578125" style="22" bestFit="1" customWidth="1"/>
    <col min="8938" max="8938" width="16.140625" style="22" bestFit="1" customWidth="1"/>
    <col min="8939" max="8939" width="13.5703125" style="22" customWidth="1"/>
    <col min="8940" max="8940" width="16.5703125" style="22" customWidth="1"/>
    <col min="8941" max="9190" width="11.42578125" style="22"/>
    <col min="9191" max="9191" width="40.5703125" style="22" bestFit="1" customWidth="1"/>
    <col min="9192" max="9192" width="16.85546875" style="22" customWidth="1"/>
    <col min="9193" max="9193" width="15.42578125" style="22" bestFit="1" customWidth="1"/>
    <col min="9194" max="9194" width="16.140625" style="22" bestFit="1" customWidth="1"/>
    <col min="9195" max="9195" width="13.5703125" style="22" customWidth="1"/>
    <col min="9196" max="9196" width="16.5703125" style="22" customWidth="1"/>
    <col min="9197" max="9446" width="11.42578125" style="22"/>
    <col min="9447" max="9447" width="40.5703125" style="22" bestFit="1" customWidth="1"/>
    <col min="9448" max="9448" width="16.85546875" style="22" customWidth="1"/>
    <col min="9449" max="9449" width="15.42578125" style="22" bestFit="1" customWidth="1"/>
    <col min="9450" max="9450" width="16.140625" style="22" bestFit="1" customWidth="1"/>
    <col min="9451" max="9451" width="13.5703125" style="22" customWidth="1"/>
    <col min="9452" max="9452" width="16.5703125" style="22" customWidth="1"/>
    <col min="9453" max="9702" width="11.42578125" style="22"/>
    <col min="9703" max="9703" width="40.5703125" style="22" bestFit="1" customWidth="1"/>
    <col min="9704" max="9704" width="16.85546875" style="22" customWidth="1"/>
    <col min="9705" max="9705" width="15.42578125" style="22" bestFit="1" customWidth="1"/>
    <col min="9706" max="9706" width="16.140625" style="22" bestFit="1" customWidth="1"/>
    <col min="9707" max="9707" width="13.5703125" style="22" customWidth="1"/>
    <col min="9708" max="9708" width="16.5703125" style="22" customWidth="1"/>
    <col min="9709" max="9958" width="11.42578125" style="22"/>
    <col min="9959" max="9959" width="40.5703125" style="22" bestFit="1" customWidth="1"/>
    <col min="9960" max="9960" width="16.85546875" style="22" customWidth="1"/>
    <col min="9961" max="9961" width="15.42578125" style="22" bestFit="1" customWidth="1"/>
    <col min="9962" max="9962" width="16.140625" style="22" bestFit="1" customWidth="1"/>
    <col min="9963" max="9963" width="13.5703125" style="22" customWidth="1"/>
    <col min="9964" max="9964" width="16.5703125" style="22" customWidth="1"/>
    <col min="9965" max="10214" width="11.42578125" style="22"/>
    <col min="10215" max="10215" width="40.5703125" style="22" bestFit="1" customWidth="1"/>
    <col min="10216" max="10216" width="16.85546875" style="22" customWidth="1"/>
    <col min="10217" max="10217" width="15.42578125" style="22" bestFit="1" customWidth="1"/>
    <col min="10218" max="10218" width="16.140625" style="22" bestFit="1" customWidth="1"/>
    <col min="10219" max="10219" width="13.5703125" style="22" customWidth="1"/>
    <col min="10220" max="10220" width="16.5703125" style="22" customWidth="1"/>
    <col min="10221" max="10470" width="11.42578125" style="22"/>
    <col min="10471" max="10471" width="40.5703125" style="22" bestFit="1" customWidth="1"/>
    <col min="10472" max="10472" width="16.85546875" style="22" customWidth="1"/>
    <col min="10473" max="10473" width="15.42578125" style="22" bestFit="1" customWidth="1"/>
    <col min="10474" max="10474" width="16.140625" style="22" bestFit="1" customWidth="1"/>
    <col min="10475" max="10475" width="13.5703125" style="22" customWidth="1"/>
    <col min="10476" max="10476" width="16.5703125" style="22" customWidth="1"/>
    <col min="10477" max="10726" width="11.42578125" style="22"/>
    <col min="10727" max="10727" width="40.5703125" style="22" bestFit="1" customWidth="1"/>
    <col min="10728" max="10728" width="16.85546875" style="22" customWidth="1"/>
    <col min="10729" max="10729" width="15.42578125" style="22" bestFit="1" customWidth="1"/>
    <col min="10730" max="10730" width="16.140625" style="22" bestFit="1" customWidth="1"/>
    <col min="10731" max="10731" width="13.5703125" style="22" customWidth="1"/>
    <col min="10732" max="10732" width="16.5703125" style="22" customWidth="1"/>
    <col min="10733" max="10982" width="11.42578125" style="22"/>
    <col min="10983" max="10983" width="40.5703125" style="22" bestFit="1" customWidth="1"/>
    <col min="10984" max="10984" width="16.85546875" style="22" customWidth="1"/>
    <col min="10985" max="10985" width="15.42578125" style="22" bestFit="1" customWidth="1"/>
    <col min="10986" max="10986" width="16.140625" style="22" bestFit="1" customWidth="1"/>
    <col min="10987" max="10987" width="13.5703125" style="22" customWidth="1"/>
    <col min="10988" max="10988" width="16.5703125" style="22" customWidth="1"/>
    <col min="10989" max="11238" width="11.42578125" style="22"/>
    <col min="11239" max="11239" width="40.5703125" style="22" bestFit="1" customWidth="1"/>
    <col min="11240" max="11240" width="16.85546875" style="22" customWidth="1"/>
    <col min="11241" max="11241" width="15.42578125" style="22" bestFit="1" customWidth="1"/>
    <col min="11242" max="11242" width="16.140625" style="22" bestFit="1" customWidth="1"/>
    <col min="11243" max="11243" width="13.5703125" style="22" customWidth="1"/>
    <col min="11244" max="11244" width="16.5703125" style="22" customWidth="1"/>
    <col min="11245" max="11494" width="11.42578125" style="22"/>
    <col min="11495" max="11495" width="40.5703125" style="22" bestFit="1" customWidth="1"/>
    <col min="11496" max="11496" width="16.85546875" style="22" customWidth="1"/>
    <col min="11497" max="11497" width="15.42578125" style="22" bestFit="1" customWidth="1"/>
    <col min="11498" max="11498" width="16.140625" style="22" bestFit="1" customWidth="1"/>
    <col min="11499" max="11499" width="13.5703125" style="22" customWidth="1"/>
    <col min="11500" max="11500" width="16.5703125" style="22" customWidth="1"/>
    <col min="11501" max="11750" width="11.42578125" style="22"/>
    <col min="11751" max="11751" width="40.5703125" style="22" bestFit="1" customWidth="1"/>
    <col min="11752" max="11752" width="16.85546875" style="22" customWidth="1"/>
    <col min="11753" max="11753" width="15.42578125" style="22" bestFit="1" customWidth="1"/>
    <col min="11754" max="11754" width="16.140625" style="22" bestFit="1" customWidth="1"/>
    <col min="11755" max="11755" width="13.5703125" style="22" customWidth="1"/>
    <col min="11756" max="11756" width="16.5703125" style="22" customWidth="1"/>
    <col min="11757" max="12006" width="11.42578125" style="22"/>
    <col min="12007" max="12007" width="40.5703125" style="22" bestFit="1" customWidth="1"/>
    <col min="12008" max="12008" width="16.85546875" style="22" customWidth="1"/>
    <col min="12009" max="12009" width="15.42578125" style="22" bestFit="1" customWidth="1"/>
    <col min="12010" max="12010" width="16.140625" style="22" bestFit="1" customWidth="1"/>
    <col min="12011" max="12011" width="13.5703125" style="22" customWidth="1"/>
    <col min="12012" max="12012" width="16.5703125" style="22" customWidth="1"/>
    <col min="12013" max="12262" width="11.42578125" style="22"/>
    <col min="12263" max="12263" width="40.5703125" style="22" bestFit="1" customWidth="1"/>
    <col min="12264" max="12264" width="16.85546875" style="22" customWidth="1"/>
    <col min="12265" max="12265" width="15.42578125" style="22" bestFit="1" customWidth="1"/>
    <col min="12266" max="12266" width="16.140625" style="22" bestFit="1" customWidth="1"/>
    <col min="12267" max="12267" width="13.5703125" style="22" customWidth="1"/>
    <col min="12268" max="12268" width="16.5703125" style="22" customWidth="1"/>
    <col min="12269" max="12518" width="11.42578125" style="22"/>
    <col min="12519" max="12519" width="40.5703125" style="22" bestFit="1" customWidth="1"/>
    <col min="12520" max="12520" width="16.85546875" style="22" customWidth="1"/>
    <col min="12521" max="12521" width="15.42578125" style="22" bestFit="1" customWidth="1"/>
    <col min="12522" max="12522" width="16.140625" style="22" bestFit="1" customWidth="1"/>
    <col min="12523" max="12523" width="13.5703125" style="22" customWidth="1"/>
    <col min="12524" max="12524" width="16.5703125" style="22" customWidth="1"/>
    <col min="12525" max="12774" width="11.42578125" style="22"/>
    <col min="12775" max="12775" width="40.5703125" style="22" bestFit="1" customWidth="1"/>
    <col min="12776" max="12776" width="16.85546875" style="22" customWidth="1"/>
    <col min="12777" max="12777" width="15.42578125" style="22" bestFit="1" customWidth="1"/>
    <col min="12778" max="12778" width="16.140625" style="22" bestFit="1" customWidth="1"/>
    <col min="12779" max="12779" width="13.5703125" style="22" customWidth="1"/>
    <col min="12780" max="12780" width="16.5703125" style="22" customWidth="1"/>
    <col min="12781" max="13030" width="11.42578125" style="22"/>
    <col min="13031" max="13031" width="40.5703125" style="22" bestFit="1" customWidth="1"/>
    <col min="13032" max="13032" width="16.85546875" style="22" customWidth="1"/>
    <col min="13033" max="13033" width="15.42578125" style="22" bestFit="1" customWidth="1"/>
    <col min="13034" max="13034" width="16.140625" style="22" bestFit="1" customWidth="1"/>
    <col min="13035" max="13035" width="13.5703125" style="22" customWidth="1"/>
    <col min="13036" max="13036" width="16.5703125" style="22" customWidth="1"/>
    <col min="13037" max="13286" width="11.42578125" style="22"/>
    <col min="13287" max="13287" width="40.5703125" style="22" bestFit="1" customWidth="1"/>
    <col min="13288" max="13288" width="16.85546875" style="22" customWidth="1"/>
    <col min="13289" max="13289" width="15.42578125" style="22" bestFit="1" customWidth="1"/>
    <col min="13290" max="13290" width="16.140625" style="22" bestFit="1" customWidth="1"/>
    <col min="13291" max="13291" width="13.5703125" style="22" customWidth="1"/>
    <col min="13292" max="13292" width="16.5703125" style="22" customWidth="1"/>
    <col min="13293" max="13542" width="11.42578125" style="22"/>
    <col min="13543" max="13543" width="40.5703125" style="22" bestFit="1" customWidth="1"/>
    <col min="13544" max="13544" width="16.85546875" style="22" customWidth="1"/>
    <col min="13545" max="13545" width="15.42578125" style="22" bestFit="1" customWidth="1"/>
    <col min="13546" max="13546" width="16.140625" style="22" bestFit="1" customWidth="1"/>
    <col min="13547" max="13547" width="13.5703125" style="22" customWidth="1"/>
    <col min="13548" max="13548" width="16.5703125" style="22" customWidth="1"/>
    <col min="13549" max="13798" width="11.42578125" style="22"/>
    <col min="13799" max="13799" width="40.5703125" style="22" bestFit="1" customWidth="1"/>
    <col min="13800" max="13800" width="16.85546875" style="22" customWidth="1"/>
    <col min="13801" max="13801" width="15.42578125" style="22" bestFit="1" customWidth="1"/>
    <col min="13802" max="13802" width="16.140625" style="22" bestFit="1" customWidth="1"/>
    <col min="13803" max="13803" width="13.5703125" style="22" customWidth="1"/>
    <col min="13804" max="13804" width="16.5703125" style="22" customWidth="1"/>
    <col min="13805" max="14054" width="11.42578125" style="22"/>
    <col min="14055" max="14055" width="40.5703125" style="22" bestFit="1" customWidth="1"/>
    <col min="14056" max="14056" width="16.85546875" style="22" customWidth="1"/>
    <col min="14057" max="14057" width="15.42578125" style="22" bestFit="1" customWidth="1"/>
    <col min="14058" max="14058" width="16.140625" style="22" bestFit="1" customWidth="1"/>
    <col min="14059" max="14059" width="13.5703125" style="22" customWidth="1"/>
    <col min="14060" max="14060" width="16.5703125" style="22" customWidth="1"/>
    <col min="14061" max="14310" width="11.42578125" style="22"/>
    <col min="14311" max="14311" width="40.5703125" style="22" bestFit="1" customWidth="1"/>
    <col min="14312" max="14312" width="16.85546875" style="22" customWidth="1"/>
    <col min="14313" max="14313" width="15.42578125" style="22" bestFit="1" customWidth="1"/>
    <col min="14314" max="14314" width="16.140625" style="22" bestFit="1" customWidth="1"/>
    <col min="14315" max="14315" width="13.5703125" style="22" customWidth="1"/>
    <col min="14316" max="14316" width="16.5703125" style="22" customWidth="1"/>
    <col min="14317" max="14566" width="11.42578125" style="22"/>
    <col min="14567" max="14567" width="40.5703125" style="22" bestFit="1" customWidth="1"/>
    <col min="14568" max="14568" width="16.85546875" style="22" customWidth="1"/>
    <col min="14569" max="14569" width="15.42578125" style="22" bestFit="1" customWidth="1"/>
    <col min="14570" max="14570" width="16.140625" style="22" bestFit="1" customWidth="1"/>
    <col min="14571" max="14571" width="13.5703125" style="22" customWidth="1"/>
    <col min="14572" max="14572" width="16.5703125" style="22" customWidth="1"/>
    <col min="14573" max="14822" width="11.42578125" style="22"/>
    <col min="14823" max="14823" width="40.5703125" style="22" bestFit="1" customWidth="1"/>
    <col min="14824" max="14824" width="16.85546875" style="22" customWidth="1"/>
    <col min="14825" max="14825" width="15.42578125" style="22" bestFit="1" customWidth="1"/>
    <col min="14826" max="14826" width="16.140625" style="22" bestFit="1" customWidth="1"/>
    <col min="14827" max="14827" width="13.5703125" style="22" customWidth="1"/>
    <col min="14828" max="14828" width="16.5703125" style="22" customWidth="1"/>
    <col min="14829" max="15078" width="11.42578125" style="22"/>
    <col min="15079" max="15079" width="40.5703125" style="22" bestFit="1" customWidth="1"/>
    <col min="15080" max="15080" width="16.85546875" style="22" customWidth="1"/>
    <col min="15081" max="15081" width="15.42578125" style="22" bestFit="1" customWidth="1"/>
    <col min="15082" max="15082" width="16.140625" style="22" bestFit="1" customWidth="1"/>
    <col min="15083" max="15083" width="13.5703125" style="22" customWidth="1"/>
    <col min="15084" max="15084" width="16.5703125" style="22" customWidth="1"/>
    <col min="15085" max="15334" width="11.42578125" style="22"/>
    <col min="15335" max="15335" width="40.5703125" style="22" bestFit="1" customWidth="1"/>
    <col min="15336" max="15336" width="16.85546875" style="22" customWidth="1"/>
    <col min="15337" max="15337" width="15.42578125" style="22" bestFit="1" customWidth="1"/>
    <col min="15338" max="15338" width="16.140625" style="22" bestFit="1" customWidth="1"/>
    <col min="15339" max="15339" width="13.5703125" style="22" customWidth="1"/>
    <col min="15340" max="15340" width="16.5703125" style="22" customWidth="1"/>
    <col min="15341" max="15590" width="11.42578125" style="22"/>
    <col min="15591" max="15591" width="40.5703125" style="22" bestFit="1" customWidth="1"/>
    <col min="15592" max="15592" width="16.85546875" style="22" customWidth="1"/>
    <col min="15593" max="15593" width="15.42578125" style="22" bestFit="1" customWidth="1"/>
    <col min="15594" max="15594" width="16.140625" style="22" bestFit="1" customWidth="1"/>
    <col min="15595" max="15595" width="13.5703125" style="22" customWidth="1"/>
    <col min="15596" max="15596" width="16.5703125" style="22" customWidth="1"/>
    <col min="15597" max="15846" width="11.42578125" style="22"/>
    <col min="15847" max="15847" width="40.5703125" style="22" bestFit="1" customWidth="1"/>
    <col min="15848" max="15848" width="16.85546875" style="22" customWidth="1"/>
    <col min="15849" max="15849" width="15.42578125" style="22" bestFit="1" customWidth="1"/>
    <col min="15850" max="15850" width="16.140625" style="22" bestFit="1" customWidth="1"/>
    <col min="15851" max="15851" width="13.5703125" style="22" customWidth="1"/>
    <col min="15852" max="15852" width="16.5703125" style="22" customWidth="1"/>
    <col min="15853" max="16102" width="11.42578125" style="22"/>
    <col min="16103" max="16103" width="40.5703125" style="22" bestFit="1" customWidth="1"/>
    <col min="16104" max="16104" width="16.85546875" style="22" customWidth="1"/>
    <col min="16105" max="16105" width="15.42578125" style="22" bestFit="1" customWidth="1"/>
    <col min="16106" max="16106" width="16.140625" style="22" bestFit="1" customWidth="1"/>
    <col min="16107" max="16107" width="13.5703125" style="22" customWidth="1"/>
    <col min="16108" max="16108" width="16.5703125" style="22" customWidth="1"/>
    <col min="16109" max="16384" width="11.42578125" style="22"/>
  </cols>
  <sheetData>
    <row r="1" spans="1:10" ht="15.95" customHeight="1" x14ac:dyDescent="0.25">
      <c r="A1" s="82" t="s">
        <v>1039</v>
      </c>
      <c r="B1" s="82"/>
      <c r="C1" s="82"/>
      <c r="D1" s="82"/>
      <c r="E1" s="82"/>
    </row>
    <row r="2" spans="1:10" ht="15.95" customHeight="1" x14ac:dyDescent="0.25">
      <c r="A2" s="82" t="s">
        <v>1040</v>
      </c>
      <c r="B2" s="82"/>
      <c r="C2" s="82"/>
      <c r="D2" s="82"/>
      <c r="E2" s="82"/>
    </row>
    <row r="3" spans="1:10" ht="15.95" customHeight="1" thickBot="1" x14ac:dyDescent="0.25"/>
    <row r="4" spans="1:10" ht="15.95" customHeight="1" thickBot="1" x14ac:dyDescent="0.25">
      <c r="C4" s="65"/>
      <c r="D4" s="66"/>
      <c r="E4" s="67" t="s">
        <v>946</v>
      </c>
    </row>
    <row r="5" spans="1:10" ht="15.95" customHeight="1" x14ac:dyDescent="0.2">
      <c r="C5" s="280" t="s">
        <v>947</v>
      </c>
      <c r="D5" s="281"/>
      <c r="E5" s="282">
        <f>+E6/10%</f>
        <v>30000000</v>
      </c>
    </row>
    <row r="6" spans="1:10" ht="15.95" customHeight="1" x14ac:dyDescent="0.2">
      <c r="C6" s="280" t="s">
        <v>948</v>
      </c>
      <c r="D6" s="281"/>
      <c r="E6" s="282">
        <v>3000000</v>
      </c>
    </row>
    <row r="7" spans="1:10" ht="15.95" customHeight="1" x14ac:dyDescent="0.2">
      <c r="C7" s="28" t="s">
        <v>949</v>
      </c>
      <c r="D7" s="60"/>
      <c r="E7" s="61">
        <f>+E5-E6</f>
        <v>27000000</v>
      </c>
    </row>
    <row r="8" spans="1:10" ht="15.95" customHeight="1" thickBot="1" x14ac:dyDescent="0.25">
      <c r="B8" s="22"/>
      <c r="C8" s="68" t="s">
        <v>950</v>
      </c>
      <c r="D8" s="69"/>
      <c r="E8" s="70">
        <v>7.0000000000000007E-2</v>
      </c>
    </row>
    <row r="9" spans="1:10" ht="15.95" customHeight="1" thickBot="1" x14ac:dyDescent="0.25">
      <c r="C9" s="292"/>
      <c r="G9" s="562" t="s">
        <v>955</v>
      </c>
      <c r="H9" s="563"/>
      <c r="I9" s="240"/>
    </row>
    <row r="10" spans="1:10" ht="15.95" customHeight="1" thickBot="1" x14ac:dyDescent="0.25">
      <c r="C10" s="53" t="s">
        <v>953</v>
      </c>
      <c r="D10" s="54" t="s">
        <v>954</v>
      </c>
      <c r="E10" s="55" t="s">
        <v>952</v>
      </c>
      <c r="G10" s="56">
        <v>0</v>
      </c>
      <c r="H10" s="240">
        <f>+E7</f>
        <v>27000000</v>
      </c>
      <c r="I10" s="241"/>
      <c r="J10" s="294">
        <f t="shared" ref="J10:J17" si="0">+H10+I10</f>
        <v>27000000</v>
      </c>
    </row>
    <row r="11" spans="1:10" ht="15.95" customHeight="1" x14ac:dyDescent="0.2">
      <c r="B11" s="58">
        <v>1</v>
      </c>
      <c r="C11" s="71">
        <f t="shared" ref="C11:C17" si="1">PPMT($E$8,B11,$B$17,$E$5,0,0)</f>
        <v>-3466596.5889347801</v>
      </c>
      <c r="D11" s="71">
        <f t="shared" ref="D11:D17" si="2">IPMT($E$8,B11,$B$17,$E$5,0,0)</f>
        <v>-2100000</v>
      </c>
      <c r="E11" s="72">
        <f>+C11+D11</f>
        <v>-5566596.5889347801</v>
      </c>
      <c r="G11" s="56">
        <v>1</v>
      </c>
      <c r="H11" s="241">
        <f t="shared" ref="H11:H17" si="3">+E11</f>
        <v>-5566596.5889347801</v>
      </c>
      <c r="I11" s="241">
        <f>SUM(C11:C17)*1%</f>
        <v>-300000</v>
      </c>
      <c r="J11" s="294">
        <f t="shared" si="0"/>
        <v>-5866596.5889347801</v>
      </c>
    </row>
    <row r="12" spans="1:10" ht="15.95" customHeight="1" x14ac:dyDescent="0.2">
      <c r="B12" s="56">
        <f>+B11+1</f>
        <v>2</v>
      </c>
      <c r="C12" s="71">
        <f t="shared" si="1"/>
        <v>-3709258.3501602146</v>
      </c>
      <c r="D12" s="71">
        <f t="shared" si="2"/>
        <v>-1857338.238774566</v>
      </c>
      <c r="E12" s="72">
        <f t="shared" ref="E12:E17" si="4">+C12+D12</f>
        <v>-5566596.588934781</v>
      </c>
      <c r="G12" s="56">
        <f>+G11+1</f>
        <v>2</v>
      </c>
      <c r="H12" s="241">
        <f t="shared" si="3"/>
        <v>-5566596.588934781</v>
      </c>
      <c r="I12" s="241">
        <f>+SUM(C12:C17)*1%</f>
        <v>-265334.03411065222</v>
      </c>
      <c r="J12" s="294">
        <f t="shared" si="0"/>
        <v>-5831930.6230454333</v>
      </c>
    </row>
    <row r="13" spans="1:10" ht="15.95" customHeight="1" x14ac:dyDescent="0.2">
      <c r="B13" s="56">
        <f t="shared" ref="B13:B17" si="5">+B12+1</f>
        <v>3</v>
      </c>
      <c r="C13" s="71">
        <f t="shared" si="1"/>
        <v>-3968906.4346714295</v>
      </c>
      <c r="D13" s="71">
        <f t="shared" si="2"/>
        <v>-1597690.1542633506</v>
      </c>
      <c r="E13" s="72">
        <f t="shared" si="4"/>
        <v>-5566596.5889347801</v>
      </c>
      <c r="G13" s="56">
        <f t="shared" ref="G13:G17" si="6">+G12+1</f>
        <v>3</v>
      </c>
      <c r="H13" s="241">
        <f t="shared" si="3"/>
        <v>-5566596.5889347801</v>
      </c>
      <c r="I13" s="241">
        <f>+SUM(C13:C17)*1%</f>
        <v>-228241.45060905005</v>
      </c>
      <c r="J13" s="294">
        <f t="shared" si="0"/>
        <v>-5794838.0395438299</v>
      </c>
    </row>
    <row r="14" spans="1:10" ht="15.95" customHeight="1" x14ac:dyDescent="0.2">
      <c r="B14" s="56">
        <f t="shared" si="5"/>
        <v>4</v>
      </c>
      <c r="C14" s="71">
        <f t="shared" si="1"/>
        <v>-4246729.8850984294</v>
      </c>
      <c r="D14" s="71">
        <f t="shared" si="2"/>
        <v>-1319866.7038363505</v>
      </c>
      <c r="E14" s="72">
        <f t="shared" si="4"/>
        <v>-5566596.5889347801</v>
      </c>
      <c r="G14" s="56">
        <f t="shared" si="6"/>
        <v>4</v>
      </c>
      <c r="H14" s="241">
        <f t="shared" si="3"/>
        <v>-5566596.5889347801</v>
      </c>
      <c r="I14" s="241">
        <f>+SUM(C14:C17)*1%</f>
        <v>-188552.38626233579</v>
      </c>
      <c r="J14" s="294">
        <f t="shared" si="0"/>
        <v>-5755148.9751971159</v>
      </c>
    </row>
    <row r="15" spans="1:10" ht="15.95" customHeight="1" x14ac:dyDescent="0.2">
      <c r="B15" s="56">
        <f t="shared" si="5"/>
        <v>5</v>
      </c>
      <c r="C15" s="71">
        <f t="shared" si="1"/>
        <v>-4544000.9770553196</v>
      </c>
      <c r="D15" s="71">
        <f t="shared" si="2"/>
        <v>-1022595.6118794604</v>
      </c>
      <c r="E15" s="72">
        <f t="shared" si="4"/>
        <v>-5566596.5889347801</v>
      </c>
      <c r="G15" s="56">
        <f t="shared" si="6"/>
        <v>5</v>
      </c>
      <c r="H15" s="241">
        <f t="shared" si="3"/>
        <v>-5566596.5889347801</v>
      </c>
      <c r="I15" s="241">
        <f>+SUM(C15:C17)*1%</f>
        <v>-146085.08741135147</v>
      </c>
      <c r="J15" s="294">
        <f t="shared" si="0"/>
        <v>-5712681.6763461316</v>
      </c>
    </row>
    <row r="16" spans="1:10" ht="15.95" customHeight="1" thickBot="1" x14ac:dyDescent="0.25">
      <c r="B16" s="56">
        <f t="shared" si="5"/>
        <v>6</v>
      </c>
      <c r="C16" s="71">
        <f t="shared" si="1"/>
        <v>-4862081.0454491926</v>
      </c>
      <c r="D16" s="71">
        <f t="shared" si="2"/>
        <v>-704515.54348558804</v>
      </c>
      <c r="E16" s="72">
        <f t="shared" si="4"/>
        <v>-5566596.588934781</v>
      </c>
      <c r="G16" s="56">
        <f t="shared" si="6"/>
        <v>6</v>
      </c>
      <c r="H16" s="241">
        <f t="shared" si="3"/>
        <v>-5566596.588934781</v>
      </c>
      <c r="I16" s="241">
        <f>+SUM(C16:C17)*1%</f>
        <v>-100645.07764079828</v>
      </c>
      <c r="J16" s="294">
        <f t="shared" si="0"/>
        <v>-5667241.666575579</v>
      </c>
    </row>
    <row r="17" spans="2:10" ht="15.95" customHeight="1" thickBot="1" x14ac:dyDescent="0.25">
      <c r="B17" s="57">
        <f t="shared" si="5"/>
        <v>7</v>
      </c>
      <c r="C17" s="71">
        <f t="shared" si="1"/>
        <v>-5202426.7186306352</v>
      </c>
      <c r="D17" s="71">
        <f t="shared" si="2"/>
        <v>-364169.87030414457</v>
      </c>
      <c r="E17" s="72">
        <f t="shared" si="4"/>
        <v>-5566596.5889347801</v>
      </c>
      <c r="G17" s="57">
        <f t="shared" si="6"/>
        <v>7</v>
      </c>
      <c r="H17" s="241">
        <f t="shared" si="3"/>
        <v>-5566596.5889347801</v>
      </c>
      <c r="I17" s="240">
        <f>+SUM(C17:C17)*1%</f>
        <v>-52024.267186306352</v>
      </c>
      <c r="J17" s="294">
        <f t="shared" si="0"/>
        <v>-5618620.8561210865</v>
      </c>
    </row>
    <row r="18" spans="2:10" ht="15.95" customHeight="1" thickBot="1" x14ac:dyDescent="0.25">
      <c r="C18" s="73">
        <f>SUM(C11:C17)</f>
        <v>-30000000</v>
      </c>
      <c r="D18" s="73">
        <f>SUM(D11:D17)</f>
        <v>-8966176.1225434616</v>
      </c>
      <c r="E18" s="74">
        <f>SUM(E11:E17)</f>
        <v>-38966176.122543462</v>
      </c>
      <c r="G18" s="293"/>
      <c r="H18" s="29">
        <f>IRR(H10:H17)</f>
        <v>0.10112992891146866</v>
      </c>
      <c r="I18" s="241"/>
      <c r="J18" s="29">
        <f>IRR(J10:J17)</f>
        <v>0.11199787178366405</v>
      </c>
    </row>
    <row r="19" spans="2:10" ht="15.95" customHeight="1" x14ac:dyDescent="0.2">
      <c r="D19" s="211"/>
    </row>
    <row r="30" spans="2:10" ht="15.95" customHeight="1" x14ac:dyDescent="0.2">
      <c r="B30" s="59"/>
      <c r="C30" s="22"/>
    </row>
  </sheetData>
  <mergeCells count="1">
    <mergeCell ref="G9:H9"/>
  </mergeCells>
  <pageMargins left="0.42" right="0.48" top="0.74803149606299213" bottom="0.39" header="0.31496062992125984" footer="0.31496062992125984"/>
  <pageSetup scale="92" fitToWidth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29"/>
  <sheetViews>
    <sheetView zoomScale="80" zoomScaleNormal="80" workbookViewId="0">
      <selection activeCell="B20" sqref="B20"/>
    </sheetView>
  </sheetViews>
  <sheetFormatPr baseColWidth="10" defaultRowHeight="15" x14ac:dyDescent="0.25"/>
  <cols>
    <col min="1" max="1" width="11.42578125" style="499"/>
    <col min="2" max="2" width="8.140625" style="499" customWidth="1"/>
    <col min="3" max="3" width="34.28515625" style="499" bestFit="1" customWidth="1"/>
    <col min="4" max="4" width="12.140625" style="499" bestFit="1" customWidth="1"/>
    <col min="5" max="5" width="10.5703125" style="499" bestFit="1" customWidth="1"/>
    <col min="6" max="6" width="12.7109375" style="499" bestFit="1" customWidth="1"/>
    <col min="7" max="11" width="11.42578125" style="499"/>
  </cols>
  <sheetData>
    <row r="2" spans="1:11" s="244" customFormat="1" x14ac:dyDescent="0.25">
      <c r="A2" s="558"/>
      <c r="B2" s="558"/>
      <c r="C2" s="558"/>
      <c r="D2" s="561" t="s">
        <v>1374</v>
      </c>
      <c r="E2" s="561" t="s">
        <v>1374</v>
      </c>
      <c r="F2" s="561" t="s">
        <v>1031</v>
      </c>
      <c r="G2" s="561" t="s">
        <v>1377</v>
      </c>
      <c r="H2" s="558"/>
      <c r="I2" s="558"/>
      <c r="J2" s="558"/>
      <c r="K2" s="558"/>
    </row>
    <row r="3" spans="1:11" s="244" customFormat="1" x14ac:dyDescent="0.25">
      <c r="A3" s="558"/>
      <c r="B3" s="558"/>
      <c r="C3" s="558"/>
      <c r="D3" s="561" t="s">
        <v>1375</v>
      </c>
      <c r="E3" s="561" t="s">
        <v>1376</v>
      </c>
      <c r="F3" s="561" t="s">
        <v>1357</v>
      </c>
      <c r="G3" s="561" t="s">
        <v>1378</v>
      </c>
      <c r="H3" s="558"/>
      <c r="I3" s="558"/>
      <c r="J3" s="558"/>
      <c r="K3" s="558"/>
    </row>
    <row r="4" spans="1:11" x14ac:dyDescent="0.25">
      <c r="B4" s="499" t="s">
        <v>1370</v>
      </c>
      <c r="C4" s="499" t="s">
        <v>1371</v>
      </c>
      <c r="D4" s="531">
        <v>100000</v>
      </c>
      <c r="E4" s="531">
        <v>100000</v>
      </c>
      <c r="F4" s="531"/>
      <c r="G4" s="531"/>
    </row>
    <row r="5" spans="1:11" x14ac:dyDescent="0.25">
      <c r="B5" s="499" t="s">
        <v>1372</v>
      </c>
      <c r="C5" s="499" t="s">
        <v>1138</v>
      </c>
      <c r="D5" s="556">
        <v>-70908</v>
      </c>
      <c r="E5" s="531">
        <v>0</v>
      </c>
      <c r="F5" s="531"/>
      <c r="G5" s="531"/>
    </row>
    <row r="6" spans="1:11" s="244" customFormat="1" x14ac:dyDescent="0.25">
      <c r="A6" s="558"/>
      <c r="B6" s="558"/>
      <c r="C6" s="558"/>
      <c r="D6" s="557">
        <f>+D4+D5</f>
        <v>29092</v>
      </c>
      <c r="E6" s="557">
        <f>+E4+E5</f>
        <v>100000</v>
      </c>
      <c r="F6" s="557">
        <f>+E6-D6</f>
        <v>70908</v>
      </c>
      <c r="G6" s="557">
        <f>+F6*30%</f>
        <v>21272.399999999998</v>
      </c>
      <c r="H6" s="558"/>
      <c r="I6" s="558"/>
      <c r="J6" s="558"/>
      <c r="K6" s="558"/>
    </row>
    <row r="7" spans="1:11" s="244" customFormat="1" x14ac:dyDescent="0.25">
      <c r="A7" s="558"/>
      <c r="B7" s="559" t="s">
        <v>1372</v>
      </c>
      <c r="C7" s="559" t="s">
        <v>1373</v>
      </c>
      <c r="D7" s="560">
        <f>-D5</f>
        <v>70908</v>
      </c>
      <c r="E7" s="559" t="s">
        <v>1382</v>
      </c>
      <c r="F7" s="559"/>
      <c r="G7" s="557">
        <f>+D7*30%</f>
        <v>21272.399999999998</v>
      </c>
      <c r="H7" s="558"/>
      <c r="I7" s="558"/>
      <c r="J7" s="558"/>
      <c r="K7" s="558"/>
    </row>
    <row r="9" spans="1:11" s="244" customFormat="1" x14ac:dyDescent="0.25">
      <c r="A9" s="558"/>
      <c r="B9" s="558"/>
      <c r="C9" s="558"/>
      <c r="D9" s="561" t="s">
        <v>1374</v>
      </c>
      <c r="E9" s="561" t="s">
        <v>1374</v>
      </c>
      <c r="F9" s="561" t="s">
        <v>1031</v>
      </c>
      <c r="G9" s="561" t="s">
        <v>1377</v>
      </c>
      <c r="H9" s="558"/>
      <c r="I9" s="558"/>
      <c r="J9" s="558"/>
      <c r="K9" s="558"/>
    </row>
    <row r="10" spans="1:11" s="244" customFormat="1" x14ac:dyDescent="0.25">
      <c r="A10" s="558"/>
      <c r="B10" s="558"/>
      <c r="C10" s="558"/>
      <c r="D10" s="561" t="s">
        <v>1375</v>
      </c>
      <c r="E10" s="561" t="s">
        <v>1376</v>
      </c>
      <c r="F10" s="561" t="s">
        <v>1357</v>
      </c>
      <c r="G10" s="561" t="s">
        <v>1378</v>
      </c>
      <c r="H10" s="558"/>
      <c r="I10" s="558"/>
      <c r="J10" s="558"/>
      <c r="K10" s="558"/>
    </row>
    <row r="11" spans="1:11" x14ac:dyDescent="0.25">
      <c r="B11" s="499" t="s">
        <v>1379</v>
      </c>
      <c r="C11" s="499" t="s">
        <v>1381</v>
      </c>
      <c r="D11" s="531">
        <v>200000</v>
      </c>
      <c r="E11" s="531">
        <v>200000</v>
      </c>
      <c r="F11" s="531"/>
      <c r="G11" s="531"/>
    </row>
    <row r="12" spans="1:11" x14ac:dyDescent="0.25">
      <c r="B12" s="499" t="s">
        <v>1380</v>
      </c>
      <c r="C12" s="499" t="s">
        <v>1139</v>
      </c>
      <c r="D12" s="556">
        <v>-50000</v>
      </c>
      <c r="E12" s="531">
        <v>0</v>
      </c>
      <c r="F12" s="531"/>
      <c r="G12" s="531"/>
    </row>
    <row r="13" spans="1:11" s="244" customFormat="1" x14ac:dyDescent="0.25">
      <c r="A13" s="558"/>
      <c r="B13" s="558"/>
      <c r="C13" s="558"/>
      <c r="D13" s="557">
        <f>+D11+D12</f>
        <v>150000</v>
      </c>
      <c r="E13" s="557">
        <f>+E11+E12</f>
        <v>200000</v>
      </c>
      <c r="F13" s="557">
        <f>+E13-D13</f>
        <v>50000</v>
      </c>
      <c r="G13" s="557">
        <f>+F13*30%</f>
        <v>15000</v>
      </c>
      <c r="H13" s="558"/>
      <c r="I13" s="558"/>
      <c r="J13" s="558"/>
      <c r="K13" s="558"/>
    </row>
    <row r="14" spans="1:11" s="244" customFormat="1" x14ac:dyDescent="0.25">
      <c r="A14" s="558"/>
      <c r="B14" s="559" t="s">
        <v>1380</v>
      </c>
      <c r="C14" s="559" t="s">
        <v>1373</v>
      </c>
      <c r="D14" s="560">
        <f>-D12</f>
        <v>50000</v>
      </c>
      <c r="E14" s="559" t="s">
        <v>1382</v>
      </c>
      <c r="F14" s="559"/>
      <c r="G14" s="557">
        <f>+D14*30%</f>
        <v>15000</v>
      </c>
      <c r="H14" s="558"/>
      <c r="I14" s="558"/>
      <c r="J14" s="558"/>
      <c r="K14" s="558"/>
    </row>
    <row r="16" spans="1:11" s="244" customFormat="1" x14ac:dyDescent="0.25">
      <c r="A16" s="558"/>
      <c r="B16" s="558"/>
      <c r="C16" s="558"/>
      <c r="D16" s="561" t="s">
        <v>1374</v>
      </c>
      <c r="E16" s="561" t="s">
        <v>1374</v>
      </c>
      <c r="F16" s="561" t="s">
        <v>1031</v>
      </c>
      <c r="G16" s="561" t="s">
        <v>1377</v>
      </c>
      <c r="H16" s="558"/>
      <c r="I16" s="558"/>
      <c r="J16" s="558"/>
      <c r="K16" s="558"/>
    </row>
    <row r="17" spans="1:11" s="244" customFormat="1" x14ac:dyDescent="0.25">
      <c r="A17" s="558"/>
      <c r="B17" s="558"/>
      <c r="C17" s="558"/>
      <c r="D17" s="561" t="s">
        <v>1375</v>
      </c>
      <c r="E17" s="561" t="s">
        <v>1376</v>
      </c>
      <c r="F17" s="561" t="s">
        <v>1357</v>
      </c>
      <c r="G17" s="561" t="s">
        <v>1378</v>
      </c>
      <c r="H17" s="558"/>
      <c r="I17" s="558"/>
      <c r="J17" s="558"/>
      <c r="K17" s="558"/>
    </row>
    <row r="18" spans="1:11" x14ac:dyDescent="0.25">
      <c r="B18" s="558">
        <v>41151</v>
      </c>
      <c r="C18" s="558" t="s">
        <v>1041</v>
      </c>
      <c r="D18" s="531">
        <v>1096000</v>
      </c>
      <c r="E18" s="531">
        <v>0</v>
      </c>
      <c r="F18" s="531"/>
      <c r="G18" s="531"/>
    </row>
    <row r="19" spans="1:11" s="244" customFormat="1" x14ac:dyDescent="0.25">
      <c r="A19" s="558"/>
      <c r="B19" s="558"/>
      <c r="C19" s="558"/>
      <c r="D19" s="557">
        <f>+D18</f>
        <v>1096000</v>
      </c>
      <c r="E19" s="557">
        <f>+E18</f>
        <v>0</v>
      </c>
      <c r="F19" s="557">
        <f>+D19-E19</f>
        <v>1096000</v>
      </c>
      <c r="G19" s="557">
        <f>+F19*30%</f>
        <v>328800</v>
      </c>
      <c r="H19" s="558"/>
      <c r="I19" s="558"/>
      <c r="J19" s="558"/>
      <c r="K19" s="558"/>
    </row>
    <row r="20" spans="1:11" x14ac:dyDescent="0.25">
      <c r="B20" s="558"/>
      <c r="C20" s="558"/>
    </row>
    <row r="21" spans="1:11" s="244" customFormat="1" x14ac:dyDescent="0.25">
      <c r="A21" s="558"/>
      <c r="B21" s="558"/>
      <c r="C21" s="558"/>
      <c r="D21" s="561" t="s">
        <v>1374</v>
      </c>
      <c r="E21" s="561" t="s">
        <v>1374</v>
      </c>
      <c r="F21" s="561" t="s">
        <v>1031</v>
      </c>
      <c r="G21" s="561" t="s">
        <v>1377</v>
      </c>
      <c r="H21" s="558"/>
      <c r="I21" s="558"/>
      <c r="J21" s="558"/>
      <c r="K21" s="558"/>
    </row>
    <row r="22" spans="1:11" s="244" customFormat="1" x14ac:dyDescent="0.25">
      <c r="A22" s="558"/>
      <c r="B22" s="558"/>
      <c r="C22" s="558"/>
      <c r="D22" s="561" t="s">
        <v>1375</v>
      </c>
      <c r="E22" s="561" t="s">
        <v>1376</v>
      </c>
      <c r="F22" s="561" t="s">
        <v>1357</v>
      </c>
      <c r="G22" s="561" t="s">
        <v>1378</v>
      </c>
      <c r="H22" s="558"/>
      <c r="I22" s="558"/>
      <c r="J22" s="558"/>
      <c r="K22" s="558"/>
    </row>
    <row r="23" spans="1:11" x14ac:dyDescent="0.25">
      <c r="B23" s="558">
        <v>482</v>
      </c>
      <c r="C23" s="558" t="s">
        <v>1383</v>
      </c>
      <c r="D23" s="531">
        <v>1430000</v>
      </c>
      <c r="E23" s="531">
        <v>0</v>
      </c>
      <c r="F23" s="531"/>
      <c r="G23" s="531"/>
    </row>
    <row r="24" spans="1:11" s="244" customFormat="1" x14ac:dyDescent="0.25">
      <c r="A24" s="558"/>
      <c r="B24" s="558"/>
      <c r="C24" s="558"/>
      <c r="D24" s="557">
        <f>+D23</f>
        <v>1430000</v>
      </c>
      <c r="E24" s="557">
        <f>+E23</f>
        <v>0</v>
      </c>
      <c r="F24" s="557">
        <f>+D24-E24</f>
        <v>1430000</v>
      </c>
      <c r="G24" s="557">
        <f>+F24*30%</f>
        <v>429000</v>
      </c>
      <c r="H24" s="558"/>
      <c r="I24" s="558"/>
      <c r="J24" s="558"/>
      <c r="K24" s="558"/>
    </row>
    <row r="25" spans="1:11" x14ac:dyDescent="0.25">
      <c r="B25" s="558"/>
      <c r="C25" s="558"/>
    </row>
    <row r="26" spans="1:11" s="244" customFormat="1" x14ac:dyDescent="0.25">
      <c r="A26" s="558"/>
      <c r="B26" s="558"/>
      <c r="C26" s="558"/>
      <c r="D26" s="561" t="s">
        <v>1374</v>
      </c>
      <c r="E26" s="561" t="s">
        <v>1374</v>
      </c>
      <c r="F26" s="561" t="s">
        <v>1031</v>
      </c>
      <c r="G26" s="561" t="s">
        <v>1377</v>
      </c>
      <c r="H26" s="558"/>
      <c r="I26" s="558"/>
      <c r="J26" s="558"/>
      <c r="K26" s="558"/>
    </row>
    <row r="27" spans="1:11" s="244" customFormat="1" x14ac:dyDescent="0.25">
      <c r="A27" s="558"/>
      <c r="B27" s="558"/>
      <c r="C27" s="558"/>
      <c r="D27" s="561" t="s">
        <v>1375</v>
      </c>
      <c r="E27" s="561" t="s">
        <v>1376</v>
      </c>
      <c r="F27" s="561" t="s">
        <v>1357</v>
      </c>
      <c r="G27" s="561" t="s">
        <v>1378</v>
      </c>
      <c r="H27" s="558"/>
      <c r="I27" s="558"/>
      <c r="J27" s="558"/>
      <c r="K27" s="558"/>
    </row>
    <row r="28" spans="1:11" x14ac:dyDescent="0.25">
      <c r="B28" s="558">
        <v>486</v>
      </c>
      <c r="C28" s="558" t="s">
        <v>1314</v>
      </c>
      <c r="D28" s="531">
        <v>243157</v>
      </c>
      <c r="E28" s="531">
        <v>0</v>
      </c>
      <c r="F28" s="531"/>
      <c r="G28" s="531"/>
    </row>
    <row r="29" spans="1:11" s="244" customFormat="1" x14ac:dyDescent="0.25">
      <c r="A29" s="558"/>
      <c r="B29" s="558"/>
      <c r="C29" s="558"/>
      <c r="D29" s="557">
        <f>+D28</f>
        <v>243157</v>
      </c>
      <c r="E29" s="557">
        <f>+E28</f>
        <v>0</v>
      </c>
      <c r="F29" s="557">
        <f>+D29-E29</f>
        <v>243157</v>
      </c>
      <c r="G29" s="557">
        <f>+F29*30%</f>
        <v>72947.099999999991</v>
      </c>
      <c r="H29" s="558"/>
      <c r="I29" s="558"/>
      <c r="J29" s="558"/>
      <c r="K29" s="55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L552"/>
  <sheetViews>
    <sheetView topLeftCell="A2" zoomScale="80" zoomScaleNormal="80" zoomScaleSheetLayoutView="110" workbookViewId="0">
      <pane ySplit="5" topLeftCell="A7" activePane="bottomLeft" state="frozen"/>
      <selection activeCell="I30" sqref="I30"/>
      <selection pane="bottomLeft" activeCell="H205" sqref="H205"/>
    </sheetView>
  </sheetViews>
  <sheetFormatPr baseColWidth="10" defaultRowHeight="14.25" x14ac:dyDescent="0.2"/>
  <cols>
    <col min="1" max="1" width="7.28515625" style="315" customWidth="1"/>
    <col min="2" max="2" width="45" style="315" customWidth="1"/>
    <col min="3" max="4" width="13.42578125" style="328" bestFit="1" customWidth="1"/>
    <col min="5" max="6" width="14.5703125" style="328" hidden="1" customWidth="1"/>
    <col min="7" max="7" width="12" style="328" customWidth="1"/>
    <col min="8" max="8" width="13.140625" style="328" customWidth="1"/>
    <col min="9" max="9" width="5.140625" style="315" bestFit="1" customWidth="1"/>
    <col min="10" max="10" width="3.42578125" style="1" customWidth="1"/>
    <col min="11" max="252" width="11.42578125" style="1"/>
    <col min="253" max="254" width="11.5703125" style="1" bestFit="1" customWidth="1"/>
    <col min="255" max="258" width="12.28515625" style="1" bestFit="1" customWidth="1"/>
    <col min="259" max="264" width="11.5703125" style="1" bestFit="1" customWidth="1"/>
    <col min="265" max="508" width="11.42578125" style="1"/>
    <col min="509" max="510" width="11.5703125" style="1" bestFit="1" customWidth="1"/>
    <col min="511" max="514" width="12.28515625" style="1" bestFit="1" customWidth="1"/>
    <col min="515" max="520" width="11.5703125" style="1" bestFit="1" customWidth="1"/>
    <col min="521" max="764" width="11.42578125" style="1"/>
    <col min="765" max="766" width="11.5703125" style="1" bestFit="1" customWidth="1"/>
    <col min="767" max="770" width="12.28515625" style="1" bestFit="1" customWidth="1"/>
    <col min="771" max="776" width="11.5703125" style="1" bestFit="1" customWidth="1"/>
    <col min="777" max="1020" width="11.42578125" style="1"/>
    <col min="1021" max="1022" width="11.5703125" style="1" bestFit="1" customWidth="1"/>
    <col min="1023" max="1026" width="12.28515625" style="1" bestFit="1" customWidth="1"/>
    <col min="1027" max="1032" width="11.5703125" style="1" bestFit="1" customWidth="1"/>
    <col min="1033" max="1276" width="11.42578125" style="1"/>
    <col min="1277" max="1278" width="11.5703125" style="1" bestFit="1" customWidth="1"/>
    <col min="1279" max="1282" width="12.28515625" style="1" bestFit="1" customWidth="1"/>
    <col min="1283" max="1288" width="11.5703125" style="1" bestFit="1" customWidth="1"/>
    <col min="1289" max="1532" width="11.42578125" style="1"/>
    <col min="1533" max="1534" width="11.5703125" style="1" bestFit="1" customWidth="1"/>
    <col min="1535" max="1538" width="12.28515625" style="1" bestFit="1" customWidth="1"/>
    <col min="1539" max="1544" width="11.5703125" style="1" bestFit="1" customWidth="1"/>
    <col min="1545" max="1788" width="11.42578125" style="1"/>
    <col min="1789" max="1790" width="11.5703125" style="1" bestFit="1" customWidth="1"/>
    <col min="1791" max="1794" width="12.28515625" style="1" bestFit="1" customWidth="1"/>
    <col min="1795" max="1800" width="11.5703125" style="1" bestFit="1" customWidth="1"/>
    <col min="1801" max="2044" width="11.42578125" style="1"/>
    <col min="2045" max="2046" width="11.5703125" style="1" bestFit="1" customWidth="1"/>
    <col min="2047" max="2050" width="12.28515625" style="1" bestFit="1" customWidth="1"/>
    <col min="2051" max="2056" width="11.5703125" style="1" bestFit="1" customWidth="1"/>
    <col min="2057" max="2300" width="11.42578125" style="1"/>
    <col min="2301" max="2302" width="11.5703125" style="1" bestFit="1" customWidth="1"/>
    <col min="2303" max="2306" width="12.28515625" style="1" bestFit="1" customWidth="1"/>
    <col min="2307" max="2312" width="11.5703125" style="1" bestFit="1" customWidth="1"/>
    <col min="2313" max="2556" width="11.42578125" style="1"/>
    <col min="2557" max="2558" width="11.5703125" style="1" bestFit="1" customWidth="1"/>
    <col min="2559" max="2562" width="12.28515625" style="1" bestFit="1" customWidth="1"/>
    <col min="2563" max="2568" width="11.5703125" style="1" bestFit="1" customWidth="1"/>
    <col min="2569" max="2812" width="11.42578125" style="1"/>
    <col min="2813" max="2814" width="11.5703125" style="1" bestFit="1" customWidth="1"/>
    <col min="2815" max="2818" width="12.28515625" style="1" bestFit="1" customWidth="1"/>
    <col min="2819" max="2824" width="11.5703125" style="1" bestFit="1" customWidth="1"/>
    <col min="2825" max="3068" width="11.42578125" style="1"/>
    <col min="3069" max="3070" width="11.5703125" style="1" bestFit="1" customWidth="1"/>
    <col min="3071" max="3074" width="12.28515625" style="1" bestFit="1" customWidth="1"/>
    <col min="3075" max="3080" width="11.5703125" style="1" bestFit="1" customWidth="1"/>
    <col min="3081" max="3324" width="11.42578125" style="1"/>
    <col min="3325" max="3326" width="11.5703125" style="1" bestFit="1" customWidth="1"/>
    <col min="3327" max="3330" width="12.28515625" style="1" bestFit="1" customWidth="1"/>
    <col min="3331" max="3336" width="11.5703125" style="1" bestFit="1" customWidth="1"/>
    <col min="3337" max="3580" width="11.42578125" style="1"/>
    <col min="3581" max="3582" width="11.5703125" style="1" bestFit="1" customWidth="1"/>
    <col min="3583" max="3586" width="12.28515625" style="1" bestFit="1" customWidth="1"/>
    <col min="3587" max="3592" width="11.5703125" style="1" bestFit="1" customWidth="1"/>
    <col min="3593" max="3836" width="11.42578125" style="1"/>
    <col min="3837" max="3838" width="11.5703125" style="1" bestFit="1" customWidth="1"/>
    <col min="3839" max="3842" width="12.28515625" style="1" bestFit="1" customWidth="1"/>
    <col min="3843" max="3848" width="11.5703125" style="1" bestFit="1" customWidth="1"/>
    <col min="3849" max="4092" width="11.42578125" style="1"/>
    <col min="4093" max="4094" width="11.5703125" style="1" bestFit="1" customWidth="1"/>
    <col min="4095" max="4098" width="12.28515625" style="1" bestFit="1" customWidth="1"/>
    <col min="4099" max="4104" width="11.5703125" style="1" bestFit="1" customWidth="1"/>
    <col min="4105" max="4348" width="11.42578125" style="1"/>
    <col min="4349" max="4350" width="11.5703125" style="1" bestFit="1" customWidth="1"/>
    <col min="4351" max="4354" width="12.28515625" style="1" bestFit="1" customWidth="1"/>
    <col min="4355" max="4360" width="11.5703125" style="1" bestFit="1" customWidth="1"/>
    <col min="4361" max="4604" width="11.42578125" style="1"/>
    <col min="4605" max="4606" width="11.5703125" style="1" bestFit="1" customWidth="1"/>
    <col min="4607" max="4610" width="12.28515625" style="1" bestFit="1" customWidth="1"/>
    <col min="4611" max="4616" width="11.5703125" style="1" bestFit="1" customWidth="1"/>
    <col min="4617" max="4860" width="11.42578125" style="1"/>
    <col min="4861" max="4862" width="11.5703125" style="1" bestFit="1" customWidth="1"/>
    <col min="4863" max="4866" width="12.28515625" style="1" bestFit="1" customWidth="1"/>
    <col min="4867" max="4872" width="11.5703125" style="1" bestFit="1" customWidth="1"/>
    <col min="4873" max="5116" width="11.42578125" style="1"/>
    <col min="5117" max="5118" width="11.5703125" style="1" bestFit="1" customWidth="1"/>
    <col min="5119" max="5122" width="12.28515625" style="1" bestFit="1" customWidth="1"/>
    <col min="5123" max="5128" width="11.5703125" style="1" bestFit="1" customWidth="1"/>
    <col min="5129" max="5372" width="11.42578125" style="1"/>
    <col min="5373" max="5374" width="11.5703125" style="1" bestFit="1" customWidth="1"/>
    <col min="5375" max="5378" width="12.28515625" style="1" bestFit="1" customWidth="1"/>
    <col min="5379" max="5384" width="11.5703125" style="1" bestFit="1" customWidth="1"/>
    <col min="5385" max="5628" width="11.42578125" style="1"/>
    <col min="5629" max="5630" width="11.5703125" style="1" bestFit="1" customWidth="1"/>
    <col min="5631" max="5634" width="12.28515625" style="1" bestFit="1" customWidth="1"/>
    <col min="5635" max="5640" width="11.5703125" style="1" bestFit="1" customWidth="1"/>
    <col min="5641" max="5884" width="11.42578125" style="1"/>
    <col min="5885" max="5886" width="11.5703125" style="1" bestFit="1" customWidth="1"/>
    <col min="5887" max="5890" width="12.28515625" style="1" bestFit="1" customWidth="1"/>
    <col min="5891" max="5896" width="11.5703125" style="1" bestFit="1" customWidth="1"/>
    <col min="5897" max="6140" width="11.42578125" style="1"/>
    <col min="6141" max="6142" width="11.5703125" style="1" bestFit="1" customWidth="1"/>
    <col min="6143" max="6146" width="12.28515625" style="1" bestFit="1" customWidth="1"/>
    <col min="6147" max="6152" width="11.5703125" style="1" bestFit="1" customWidth="1"/>
    <col min="6153" max="6396" width="11.42578125" style="1"/>
    <col min="6397" max="6398" width="11.5703125" style="1" bestFit="1" customWidth="1"/>
    <col min="6399" max="6402" width="12.28515625" style="1" bestFit="1" customWidth="1"/>
    <col min="6403" max="6408" width="11.5703125" style="1" bestFit="1" customWidth="1"/>
    <col min="6409" max="6652" width="11.42578125" style="1"/>
    <col min="6653" max="6654" width="11.5703125" style="1" bestFit="1" customWidth="1"/>
    <col min="6655" max="6658" width="12.28515625" style="1" bestFit="1" customWidth="1"/>
    <col min="6659" max="6664" width="11.5703125" style="1" bestFit="1" customWidth="1"/>
    <col min="6665" max="6908" width="11.42578125" style="1"/>
    <col min="6909" max="6910" width="11.5703125" style="1" bestFit="1" customWidth="1"/>
    <col min="6911" max="6914" width="12.28515625" style="1" bestFit="1" customWidth="1"/>
    <col min="6915" max="6920" width="11.5703125" style="1" bestFit="1" customWidth="1"/>
    <col min="6921" max="7164" width="11.42578125" style="1"/>
    <col min="7165" max="7166" width="11.5703125" style="1" bestFit="1" customWidth="1"/>
    <col min="7167" max="7170" width="12.28515625" style="1" bestFit="1" customWidth="1"/>
    <col min="7171" max="7176" width="11.5703125" style="1" bestFit="1" customWidth="1"/>
    <col min="7177" max="7420" width="11.42578125" style="1"/>
    <col min="7421" max="7422" width="11.5703125" style="1" bestFit="1" customWidth="1"/>
    <col min="7423" max="7426" width="12.28515625" style="1" bestFit="1" customWidth="1"/>
    <col min="7427" max="7432" width="11.5703125" style="1" bestFit="1" customWidth="1"/>
    <col min="7433" max="7676" width="11.42578125" style="1"/>
    <col min="7677" max="7678" width="11.5703125" style="1" bestFit="1" customWidth="1"/>
    <col min="7679" max="7682" width="12.28515625" style="1" bestFit="1" customWidth="1"/>
    <col min="7683" max="7688" width="11.5703125" style="1" bestFit="1" customWidth="1"/>
    <col min="7689" max="7932" width="11.42578125" style="1"/>
    <col min="7933" max="7934" width="11.5703125" style="1" bestFit="1" customWidth="1"/>
    <col min="7935" max="7938" width="12.28515625" style="1" bestFit="1" customWidth="1"/>
    <col min="7939" max="7944" width="11.5703125" style="1" bestFit="1" customWidth="1"/>
    <col min="7945" max="8188" width="11.42578125" style="1"/>
    <col min="8189" max="8190" width="11.5703125" style="1" bestFit="1" customWidth="1"/>
    <col min="8191" max="8194" width="12.28515625" style="1" bestFit="1" customWidth="1"/>
    <col min="8195" max="8200" width="11.5703125" style="1" bestFit="1" customWidth="1"/>
    <col min="8201" max="8444" width="11.42578125" style="1"/>
    <col min="8445" max="8446" width="11.5703125" style="1" bestFit="1" customWidth="1"/>
    <col min="8447" max="8450" width="12.28515625" style="1" bestFit="1" customWidth="1"/>
    <col min="8451" max="8456" width="11.5703125" style="1" bestFit="1" customWidth="1"/>
    <col min="8457" max="8700" width="11.42578125" style="1"/>
    <col min="8701" max="8702" width="11.5703125" style="1" bestFit="1" customWidth="1"/>
    <col min="8703" max="8706" width="12.28515625" style="1" bestFit="1" customWidth="1"/>
    <col min="8707" max="8712" width="11.5703125" style="1" bestFit="1" customWidth="1"/>
    <col min="8713" max="8956" width="11.42578125" style="1"/>
    <col min="8957" max="8958" width="11.5703125" style="1" bestFit="1" customWidth="1"/>
    <col min="8959" max="8962" width="12.28515625" style="1" bestFit="1" customWidth="1"/>
    <col min="8963" max="8968" width="11.5703125" style="1" bestFit="1" customWidth="1"/>
    <col min="8969" max="9212" width="11.42578125" style="1"/>
    <col min="9213" max="9214" width="11.5703125" style="1" bestFit="1" customWidth="1"/>
    <col min="9215" max="9218" width="12.28515625" style="1" bestFit="1" customWidth="1"/>
    <col min="9219" max="9224" width="11.5703125" style="1" bestFit="1" customWidth="1"/>
    <col min="9225" max="9468" width="11.42578125" style="1"/>
    <col min="9469" max="9470" width="11.5703125" style="1" bestFit="1" customWidth="1"/>
    <col min="9471" max="9474" width="12.28515625" style="1" bestFit="1" customWidth="1"/>
    <col min="9475" max="9480" width="11.5703125" style="1" bestFit="1" customWidth="1"/>
    <col min="9481" max="9724" width="11.42578125" style="1"/>
    <col min="9725" max="9726" width="11.5703125" style="1" bestFit="1" customWidth="1"/>
    <col min="9727" max="9730" width="12.28515625" style="1" bestFit="1" customWidth="1"/>
    <col min="9731" max="9736" width="11.5703125" style="1" bestFit="1" customWidth="1"/>
    <col min="9737" max="9980" width="11.42578125" style="1"/>
    <col min="9981" max="9982" width="11.5703125" style="1" bestFit="1" customWidth="1"/>
    <col min="9983" max="9986" width="12.28515625" style="1" bestFit="1" customWidth="1"/>
    <col min="9987" max="9992" width="11.5703125" style="1" bestFit="1" customWidth="1"/>
    <col min="9993" max="10236" width="11.42578125" style="1"/>
    <col min="10237" max="10238" width="11.5703125" style="1" bestFit="1" customWidth="1"/>
    <col min="10239" max="10242" width="12.28515625" style="1" bestFit="1" customWidth="1"/>
    <col min="10243" max="10248" width="11.5703125" style="1" bestFit="1" customWidth="1"/>
    <col min="10249" max="10492" width="11.42578125" style="1"/>
    <col min="10493" max="10494" width="11.5703125" style="1" bestFit="1" customWidth="1"/>
    <col min="10495" max="10498" width="12.28515625" style="1" bestFit="1" customWidth="1"/>
    <col min="10499" max="10504" width="11.5703125" style="1" bestFit="1" customWidth="1"/>
    <col min="10505" max="10748" width="11.42578125" style="1"/>
    <col min="10749" max="10750" width="11.5703125" style="1" bestFit="1" customWidth="1"/>
    <col min="10751" max="10754" width="12.28515625" style="1" bestFit="1" customWidth="1"/>
    <col min="10755" max="10760" width="11.5703125" style="1" bestFit="1" customWidth="1"/>
    <col min="10761" max="11004" width="11.42578125" style="1"/>
    <col min="11005" max="11006" width="11.5703125" style="1" bestFit="1" customWidth="1"/>
    <col min="11007" max="11010" width="12.28515625" style="1" bestFit="1" customWidth="1"/>
    <col min="11011" max="11016" width="11.5703125" style="1" bestFit="1" customWidth="1"/>
    <col min="11017" max="11260" width="11.42578125" style="1"/>
    <col min="11261" max="11262" width="11.5703125" style="1" bestFit="1" customWidth="1"/>
    <col min="11263" max="11266" width="12.28515625" style="1" bestFit="1" customWidth="1"/>
    <col min="11267" max="11272" width="11.5703125" style="1" bestFit="1" customWidth="1"/>
    <col min="11273" max="11516" width="11.42578125" style="1"/>
    <col min="11517" max="11518" width="11.5703125" style="1" bestFit="1" customWidth="1"/>
    <col min="11519" max="11522" width="12.28515625" style="1" bestFit="1" customWidth="1"/>
    <col min="11523" max="11528" width="11.5703125" style="1" bestFit="1" customWidth="1"/>
    <col min="11529" max="11772" width="11.42578125" style="1"/>
    <col min="11773" max="11774" width="11.5703125" style="1" bestFit="1" customWidth="1"/>
    <col min="11775" max="11778" width="12.28515625" style="1" bestFit="1" customWidth="1"/>
    <col min="11779" max="11784" width="11.5703125" style="1" bestFit="1" customWidth="1"/>
    <col min="11785" max="12028" width="11.42578125" style="1"/>
    <col min="12029" max="12030" width="11.5703125" style="1" bestFit="1" customWidth="1"/>
    <col min="12031" max="12034" width="12.28515625" style="1" bestFit="1" customWidth="1"/>
    <col min="12035" max="12040" width="11.5703125" style="1" bestFit="1" customWidth="1"/>
    <col min="12041" max="12284" width="11.42578125" style="1"/>
    <col min="12285" max="12286" width="11.5703125" style="1" bestFit="1" customWidth="1"/>
    <col min="12287" max="12290" width="12.28515625" style="1" bestFit="1" customWidth="1"/>
    <col min="12291" max="12296" width="11.5703125" style="1" bestFit="1" customWidth="1"/>
    <col min="12297" max="12540" width="11.42578125" style="1"/>
    <col min="12541" max="12542" width="11.5703125" style="1" bestFit="1" customWidth="1"/>
    <col min="12543" max="12546" width="12.28515625" style="1" bestFit="1" customWidth="1"/>
    <col min="12547" max="12552" width="11.5703125" style="1" bestFit="1" customWidth="1"/>
    <col min="12553" max="12796" width="11.42578125" style="1"/>
    <col min="12797" max="12798" width="11.5703125" style="1" bestFit="1" customWidth="1"/>
    <col min="12799" max="12802" width="12.28515625" style="1" bestFit="1" customWidth="1"/>
    <col min="12803" max="12808" width="11.5703125" style="1" bestFit="1" customWidth="1"/>
    <col min="12809" max="13052" width="11.42578125" style="1"/>
    <col min="13053" max="13054" width="11.5703125" style="1" bestFit="1" customWidth="1"/>
    <col min="13055" max="13058" width="12.28515625" style="1" bestFit="1" customWidth="1"/>
    <col min="13059" max="13064" width="11.5703125" style="1" bestFit="1" customWidth="1"/>
    <col min="13065" max="13308" width="11.42578125" style="1"/>
    <col min="13309" max="13310" width="11.5703125" style="1" bestFit="1" customWidth="1"/>
    <col min="13311" max="13314" width="12.28515625" style="1" bestFit="1" customWidth="1"/>
    <col min="13315" max="13320" width="11.5703125" style="1" bestFit="1" customWidth="1"/>
    <col min="13321" max="13564" width="11.42578125" style="1"/>
    <col min="13565" max="13566" width="11.5703125" style="1" bestFit="1" customWidth="1"/>
    <col min="13567" max="13570" width="12.28515625" style="1" bestFit="1" customWidth="1"/>
    <col min="13571" max="13576" width="11.5703125" style="1" bestFit="1" customWidth="1"/>
    <col min="13577" max="13820" width="11.42578125" style="1"/>
    <col min="13821" max="13822" width="11.5703125" style="1" bestFit="1" customWidth="1"/>
    <col min="13823" max="13826" width="12.28515625" style="1" bestFit="1" customWidth="1"/>
    <col min="13827" max="13832" width="11.5703125" style="1" bestFit="1" customWidth="1"/>
    <col min="13833" max="14076" width="11.42578125" style="1"/>
    <col min="14077" max="14078" width="11.5703125" style="1" bestFit="1" customWidth="1"/>
    <col min="14079" max="14082" width="12.28515625" style="1" bestFit="1" customWidth="1"/>
    <col min="14083" max="14088" width="11.5703125" style="1" bestFit="1" customWidth="1"/>
    <col min="14089" max="14332" width="11.42578125" style="1"/>
    <col min="14333" max="14334" width="11.5703125" style="1" bestFit="1" customWidth="1"/>
    <col min="14335" max="14338" width="12.28515625" style="1" bestFit="1" customWidth="1"/>
    <col min="14339" max="14344" width="11.5703125" style="1" bestFit="1" customWidth="1"/>
    <col min="14345" max="14588" width="11.42578125" style="1"/>
    <col min="14589" max="14590" width="11.5703125" style="1" bestFit="1" customWidth="1"/>
    <col min="14591" max="14594" width="12.28515625" style="1" bestFit="1" customWidth="1"/>
    <col min="14595" max="14600" width="11.5703125" style="1" bestFit="1" customWidth="1"/>
    <col min="14601" max="14844" width="11.42578125" style="1"/>
    <col min="14845" max="14846" width="11.5703125" style="1" bestFit="1" customWidth="1"/>
    <col min="14847" max="14850" width="12.28515625" style="1" bestFit="1" customWidth="1"/>
    <col min="14851" max="14856" width="11.5703125" style="1" bestFit="1" customWidth="1"/>
    <col min="14857" max="15100" width="11.42578125" style="1"/>
    <col min="15101" max="15102" width="11.5703125" style="1" bestFit="1" customWidth="1"/>
    <col min="15103" max="15106" width="12.28515625" style="1" bestFit="1" customWidth="1"/>
    <col min="15107" max="15112" width="11.5703125" style="1" bestFit="1" customWidth="1"/>
    <col min="15113" max="15356" width="11.42578125" style="1"/>
    <col min="15357" max="15358" width="11.5703125" style="1" bestFit="1" customWidth="1"/>
    <col min="15359" max="15362" width="12.28515625" style="1" bestFit="1" customWidth="1"/>
    <col min="15363" max="15368" width="11.5703125" style="1" bestFit="1" customWidth="1"/>
    <col min="15369" max="15612" width="11.42578125" style="1"/>
    <col min="15613" max="15614" width="11.5703125" style="1" bestFit="1" customWidth="1"/>
    <col min="15615" max="15618" width="12.28515625" style="1" bestFit="1" customWidth="1"/>
    <col min="15619" max="15624" width="11.5703125" style="1" bestFit="1" customWidth="1"/>
    <col min="15625" max="15868" width="11.42578125" style="1"/>
    <col min="15869" max="15870" width="11.5703125" style="1" bestFit="1" customWidth="1"/>
    <col min="15871" max="15874" width="12.28515625" style="1" bestFit="1" customWidth="1"/>
    <col min="15875" max="15880" width="11.5703125" style="1" bestFit="1" customWidth="1"/>
    <col min="15881" max="16124" width="11.42578125" style="1"/>
    <col min="16125" max="16126" width="11.5703125" style="1" bestFit="1" customWidth="1"/>
    <col min="16127" max="16130" width="12.28515625" style="1" bestFit="1" customWidth="1"/>
    <col min="16131" max="16136" width="11.5703125" style="1" bestFit="1" customWidth="1"/>
    <col min="16137" max="16384" width="11.42578125" style="1"/>
  </cols>
  <sheetData>
    <row r="1" spans="1:11" ht="15" hidden="1" x14ac:dyDescent="0.25">
      <c r="A1" s="312">
        <v>1</v>
      </c>
      <c r="B1" s="313">
        <f>+A1+1</f>
        <v>2</v>
      </c>
      <c r="C1" s="314">
        <f t="shared" ref="C1:H1" si="0">+B1+1</f>
        <v>3</v>
      </c>
      <c r="D1" s="314">
        <f t="shared" si="0"/>
        <v>4</v>
      </c>
      <c r="E1" s="314">
        <f t="shared" si="0"/>
        <v>5</v>
      </c>
      <c r="F1" s="314">
        <f t="shared" si="0"/>
        <v>6</v>
      </c>
      <c r="G1" s="314">
        <f t="shared" si="0"/>
        <v>7</v>
      </c>
      <c r="H1" s="314">
        <f t="shared" si="0"/>
        <v>8</v>
      </c>
      <c r="J1" s="49"/>
    </row>
    <row r="2" spans="1:11" ht="15" hidden="1" x14ac:dyDescent="0.25">
      <c r="A2" s="312"/>
      <c r="B2" s="313"/>
      <c r="C2" s="314"/>
      <c r="D2" s="314"/>
      <c r="E2" s="314"/>
      <c r="F2" s="314"/>
      <c r="G2" s="314"/>
      <c r="H2" s="314"/>
      <c r="J2" s="49"/>
    </row>
    <row r="3" spans="1:11" ht="15" hidden="1" x14ac:dyDescent="0.25">
      <c r="A3" s="312"/>
      <c r="B3" s="313"/>
      <c r="C3" s="314"/>
      <c r="D3" s="314"/>
      <c r="E3" s="314"/>
      <c r="F3" s="314"/>
      <c r="G3" s="314"/>
      <c r="H3" s="314"/>
      <c r="J3" s="49"/>
    </row>
    <row r="4" spans="1:11" ht="15" hidden="1" x14ac:dyDescent="0.25">
      <c r="A4" s="312"/>
      <c r="B4" s="313"/>
      <c r="C4" s="314"/>
      <c r="D4" s="314"/>
      <c r="E4" s="314"/>
      <c r="F4" s="314"/>
      <c r="G4" s="314"/>
      <c r="H4" s="314"/>
      <c r="J4" s="49"/>
    </row>
    <row r="5" spans="1:11" s="2" customFormat="1" ht="18.95" customHeight="1" x14ac:dyDescent="0.2">
      <c r="A5" s="535"/>
      <c r="B5" s="536"/>
      <c r="C5" s="564" t="s">
        <v>1343</v>
      </c>
      <c r="D5" s="564"/>
      <c r="E5" s="564" t="s">
        <v>0</v>
      </c>
      <c r="F5" s="564"/>
      <c r="G5" s="564" t="s">
        <v>1344</v>
      </c>
      <c r="H5" s="564"/>
      <c r="I5" s="537"/>
      <c r="J5" s="50"/>
    </row>
    <row r="6" spans="1:11" ht="18.95" customHeight="1" x14ac:dyDescent="0.2">
      <c r="A6" s="538" t="s">
        <v>1200</v>
      </c>
      <c r="B6" s="539" t="s">
        <v>1</v>
      </c>
      <c r="C6" s="540" t="s">
        <v>971</v>
      </c>
      <c r="D6" s="540" t="s">
        <v>972</v>
      </c>
      <c r="E6" s="540" t="s">
        <v>2</v>
      </c>
      <c r="F6" s="540" t="s">
        <v>3</v>
      </c>
      <c r="G6" s="540" t="s">
        <v>971</v>
      </c>
      <c r="H6" s="540" t="s">
        <v>972</v>
      </c>
      <c r="I6" s="541"/>
      <c r="J6" s="49"/>
      <c r="K6" s="51"/>
    </row>
    <row r="7" spans="1:11" s="108" customFormat="1" hidden="1" x14ac:dyDescent="0.2">
      <c r="A7" s="334" t="s">
        <v>5</v>
      </c>
      <c r="B7" s="335" t="s">
        <v>6</v>
      </c>
      <c r="C7" s="336">
        <v>3850</v>
      </c>
      <c r="D7" s="336">
        <v>0</v>
      </c>
      <c r="E7" s="337">
        <v>184957.14</v>
      </c>
      <c r="F7" s="337">
        <v>182207.15</v>
      </c>
      <c r="G7" s="336">
        <f>+C7+E7</f>
        <v>188807.14</v>
      </c>
      <c r="H7" s="336">
        <f>+D7+F7</f>
        <v>182207.15</v>
      </c>
      <c r="I7" s="338"/>
      <c r="J7" s="109"/>
    </row>
    <row r="8" spans="1:11" s="108" customFormat="1" hidden="1" x14ac:dyDescent="0.2">
      <c r="A8" s="334" t="s">
        <v>7</v>
      </c>
      <c r="B8" s="335" t="s">
        <v>8</v>
      </c>
      <c r="C8" s="336">
        <v>1250</v>
      </c>
      <c r="D8" s="336">
        <v>0</v>
      </c>
      <c r="E8" s="337">
        <v>7220.84</v>
      </c>
      <c r="F8" s="337">
        <v>8470.84</v>
      </c>
      <c r="G8" s="336">
        <f t="shared" ref="G8:G71" si="1">+C8+E8</f>
        <v>8470.84</v>
      </c>
      <c r="H8" s="336">
        <f t="shared" ref="H8:H71" si="2">+D8+F8</f>
        <v>8470.84</v>
      </c>
      <c r="I8" s="338"/>
      <c r="J8" s="109"/>
    </row>
    <row r="9" spans="1:11" s="108" customFormat="1" hidden="1" x14ac:dyDescent="0.2">
      <c r="A9" s="334" t="s">
        <v>9</v>
      </c>
      <c r="B9" s="335" t="s">
        <v>10</v>
      </c>
      <c r="C9" s="336">
        <v>1500</v>
      </c>
      <c r="D9" s="336">
        <v>0</v>
      </c>
      <c r="E9" s="337">
        <v>8961.4</v>
      </c>
      <c r="F9" s="337">
        <v>10461.4</v>
      </c>
      <c r="G9" s="336">
        <f t="shared" si="1"/>
        <v>10461.4</v>
      </c>
      <c r="H9" s="336">
        <f t="shared" si="2"/>
        <v>10461.4</v>
      </c>
      <c r="I9" s="338"/>
      <c r="J9" s="109"/>
    </row>
    <row r="10" spans="1:11" s="108" customFormat="1" hidden="1" x14ac:dyDescent="0.2">
      <c r="A10" s="334" t="s">
        <v>11</v>
      </c>
      <c r="B10" s="335" t="s">
        <v>12</v>
      </c>
      <c r="C10" s="336">
        <v>2000</v>
      </c>
      <c r="D10" s="336">
        <v>0</v>
      </c>
      <c r="E10" s="337">
        <v>19558.7</v>
      </c>
      <c r="F10" s="337">
        <v>19558.7</v>
      </c>
      <c r="G10" s="336">
        <f t="shared" si="1"/>
        <v>21558.7</v>
      </c>
      <c r="H10" s="336">
        <f t="shared" si="2"/>
        <v>19558.7</v>
      </c>
      <c r="I10" s="338"/>
      <c r="J10" s="109"/>
    </row>
    <row r="11" spans="1:11" s="108" customFormat="1" hidden="1" x14ac:dyDescent="0.2">
      <c r="A11" s="334" t="s">
        <v>13</v>
      </c>
      <c r="B11" s="335" t="s">
        <v>14</v>
      </c>
      <c r="C11" s="336">
        <v>0</v>
      </c>
      <c r="D11" s="336">
        <v>0</v>
      </c>
      <c r="E11" s="337">
        <v>1652101.33</v>
      </c>
      <c r="F11" s="337">
        <v>1652101.33</v>
      </c>
      <c r="G11" s="336">
        <f t="shared" si="1"/>
        <v>1652101.33</v>
      </c>
      <c r="H11" s="336">
        <f t="shared" si="2"/>
        <v>1652101.33</v>
      </c>
      <c r="I11" s="338"/>
      <c r="J11" s="109"/>
    </row>
    <row r="12" spans="1:11" s="108" customFormat="1" hidden="1" x14ac:dyDescent="0.2">
      <c r="A12" s="334" t="s">
        <v>15</v>
      </c>
      <c r="B12" s="335" t="s">
        <v>16</v>
      </c>
      <c r="C12" s="336">
        <v>0</v>
      </c>
      <c r="D12" s="336">
        <v>0</v>
      </c>
      <c r="E12" s="337">
        <v>20519119.59</v>
      </c>
      <c r="F12" s="337">
        <v>20542633.539999999</v>
      </c>
      <c r="G12" s="336">
        <f t="shared" si="1"/>
        <v>20519119.59</v>
      </c>
      <c r="H12" s="336">
        <f t="shared" si="2"/>
        <v>20542633.539999999</v>
      </c>
      <c r="I12" s="338"/>
      <c r="J12" s="109"/>
    </row>
    <row r="13" spans="1:11" s="108" customFormat="1" hidden="1" x14ac:dyDescent="0.2">
      <c r="A13" s="334" t="s">
        <v>17</v>
      </c>
      <c r="B13" s="335" t="s">
        <v>18</v>
      </c>
      <c r="C13" s="336">
        <v>254.9</v>
      </c>
      <c r="D13" s="336">
        <v>0</v>
      </c>
      <c r="E13" s="337">
        <v>2093.15</v>
      </c>
      <c r="F13" s="337">
        <v>2068.65</v>
      </c>
      <c r="G13" s="336">
        <f t="shared" si="1"/>
        <v>2348.0500000000002</v>
      </c>
      <c r="H13" s="336">
        <f t="shared" si="2"/>
        <v>2068.65</v>
      </c>
      <c r="I13" s="338"/>
      <c r="J13" s="109"/>
    </row>
    <row r="14" spans="1:11" s="108" customFormat="1" hidden="1" x14ac:dyDescent="0.2">
      <c r="A14" s="334" t="s">
        <v>19</v>
      </c>
      <c r="B14" s="335" t="s">
        <v>20</v>
      </c>
      <c r="C14" s="336">
        <v>300</v>
      </c>
      <c r="D14" s="336">
        <v>0</v>
      </c>
      <c r="E14" s="337">
        <v>0</v>
      </c>
      <c r="F14" s="337">
        <v>0</v>
      </c>
      <c r="G14" s="336">
        <f t="shared" si="1"/>
        <v>300</v>
      </c>
      <c r="H14" s="336">
        <f t="shared" si="2"/>
        <v>0</v>
      </c>
      <c r="I14" s="338"/>
      <c r="J14" s="109"/>
    </row>
    <row r="15" spans="1:11" s="108" customFormat="1" hidden="1" x14ac:dyDescent="0.2">
      <c r="A15" s="334" t="s">
        <v>21</v>
      </c>
      <c r="B15" s="335" t="s">
        <v>22</v>
      </c>
      <c r="C15" s="336">
        <v>382.35</v>
      </c>
      <c r="D15" s="336">
        <v>0</v>
      </c>
      <c r="E15" s="337">
        <v>45.15</v>
      </c>
      <c r="F15" s="337">
        <v>8.4</v>
      </c>
      <c r="G15" s="336">
        <f t="shared" si="1"/>
        <v>427.5</v>
      </c>
      <c r="H15" s="336">
        <f t="shared" si="2"/>
        <v>8.4</v>
      </c>
      <c r="I15" s="338"/>
      <c r="J15" s="109"/>
    </row>
    <row r="16" spans="1:11" s="108" customFormat="1" hidden="1" x14ac:dyDescent="0.2">
      <c r="A16" s="334" t="s">
        <v>23</v>
      </c>
      <c r="B16" s="335" t="s">
        <v>24</v>
      </c>
      <c r="C16" s="336">
        <v>1000</v>
      </c>
      <c r="D16" s="336">
        <v>0</v>
      </c>
      <c r="E16" s="337">
        <v>1235.9000000000001</v>
      </c>
      <c r="F16" s="337">
        <v>2235.9</v>
      </c>
      <c r="G16" s="336">
        <f t="shared" si="1"/>
        <v>2235.9</v>
      </c>
      <c r="H16" s="336">
        <f t="shared" si="2"/>
        <v>2235.9</v>
      </c>
      <c r="I16" s="338"/>
      <c r="J16" s="109"/>
    </row>
    <row r="17" spans="1:10" s="108" customFormat="1" hidden="1" x14ac:dyDescent="0.2">
      <c r="A17" s="334" t="s">
        <v>25</v>
      </c>
      <c r="B17" s="335" t="s">
        <v>26</v>
      </c>
      <c r="C17" s="336">
        <v>200</v>
      </c>
      <c r="D17" s="336">
        <v>0</v>
      </c>
      <c r="E17" s="337">
        <v>0</v>
      </c>
      <c r="F17" s="337">
        <v>0</v>
      </c>
      <c r="G17" s="336">
        <f t="shared" si="1"/>
        <v>200</v>
      </c>
      <c r="H17" s="336">
        <f t="shared" si="2"/>
        <v>0</v>
      </c>
      <c r="I17" s="338"/>
      <c r="J17" s="109"/>
    </row>
    <row r="18" spans="1:10" s="108" customFormat="1" hidden="1" x14ac:dyDescent="0.2">
      <c r="A18" s="334" t="s">
        <v>27</v>
      </c>
      <c r="B18" s="335" t="s">
        <v>28</v>
      </c>
      <c r="C18" s="336">
        <v>254.9</v>
      </c>
      <c r="D18" s="336">
        <v>0</v>
      </c>
      <c r="E18" s="337">
        <v>30.1</v>
      </c>
      <c r="F18" s="337">
        <v>5.6</v>
      </c>
      <c r="G18" s="336">
        <f t="shared" si="1"/>
        <v>285</v>
      </c>
      <c r="H18" s="336">
        <f t="shared" si="2"/>
        <v>5.6</v>
      </c>
      <c r="I18" s="338"/>
      <c r="J18" s="109"/>
    </row>
    <row r="19" spans="1:10" s="108" customFormat="1" hidden="1" x14ac:dyDescent="0.2">
      <c r="A19" s="334" t="s">
        <v>29</v>
      </c>
      <c r="B19" s="335" t="s">
        <v>30</v>
      </c>
      <c r="C19" s="336">
        <v>2500.04</v>
      </c>
      <c r="D19" s="336">
        <v>0</v>
      </c>
      <c r="E19" s="337">
        <v>84476.85</v>
      </c>
      <c r="F19" s="337">
        <v>82842.86</v>
      </c>
      <c r="G19" s="336">
        <f t="shared" si="1"/>
        <v>86976.89</v>
      </c>
      <c r="H19" s="336">
        <f t="shared" si="2"/>
        <v>82842.86</v>
      </c>
      <c r="I19" s="338"/>
      <c r="J19" s="109"/>
    </row>
    <row r="20" spans="1:10" s="108" customFormat="1" hidden="1" x14ac:dyDescent="0.2">
      <c r="A20" s="334" t="s">
        <v>31</v>
      </c>
      <c r="B20" s="335" t="s">
        <v>32</v>
      </c>
      <c r="C20" s="336">
        <v>1900</v>
      </c>
      <c r="D20" s="336">
        <v>0</v>
      </c>
      <c r="E20" s="337">
        <v>22310.9</v>
      </c>
      <c r="F20" s="337">
        <v>22310.9</v>
      </c>
      <c r="G20" s="336">
        <f t="shared" si="1"/>
        <v>24210.9</v>
      </c>
      <c r="H20" s="336">
        <f t="shared" si="2"/>
        <v>22310.9</v>
      </c>
      <c r="I20" s="338"/>
      <c r="J20" s="109"/>
    </row>
    <row r="21" spans="1:10" s="108" customFormat="1" hidden="1" x14ac:dyDescent="0.2">
      <c r="A21" s="334" t="s">
        <v>33</v>
      </c>
      <c r="B21" s="335" t="s">
        <v>34</v>
      </c>
      <c r="C21" s="336">
        <v>254.9</v>
      </c>
      <c r="D21" s="336">
        <v>0</v>
      </c>
      <c r="E21" s="337">
        <v>50.71</v>
      </c>
      <c r="F21" s="337">
        <v>26.21</v>
      </c>
      <c r="G21" s="336">
        <f t="shared" si="1"/>
        <v>305.61</v>
      </c>
      <c r="H21" s="336">
        <f t="shared" si="2"/>
        <v>26.21</v>
      </c>
      <c r="I21" s="338"/>
      <c r="J21" s="109"/>
    </row>
    <row r="22" spans="1:10" s="108" customFormat="1" hidden="1" x14ac:dyDescent="0.2">
      <c r="A22" s="334" t="s">
        <v>35</v>
      </c>
      <c r="B22" s="335" t="s">
        <v>36</v>
      </c>
      <c r="C22" s="336">
        <v>1500</v>
      </c>
      <c r="D22" s="336">
        <v>0</v>
      </c>
      <c r="E22" s="337">
        <v>19062.86</v>
      </c>
      <c r="F22" s="337">
        <v>19062.86</v>
      </c>
      <c r="G22" s="336">
        <f t="shared" si="1"/>
        <v>20562.86</v>
      </c>
      <c r="H22" s="336">
        <f t="shared" si="2"/>
        <v>19062.86</v>
      </c>
      <c r="I22" s="338"/>
      <c r="J22" s="109"/>
    </row>
    <row r="23" spans="1:10" s="108" customFormat="1" hidden="1" x14ac:dyDescent="0.2">
      <c r="A23" s="334" t="s">
        <v>37</v>
      </c>
      <c r="B23" s="335" t="s">
        <v>38</v>
      </c>
      <c r="C23" s="336">
        <v>0</v>
      </c>
      <c r="D23" s="336">
        <v>0</v>
      </c>
      <c r="E23" s="337">
        <v>130031.91</v>
      </c>
      <c r="F23" s="337">
        <v>130031.91</v>
      </c>
      <c r="G23" s="336">
        <f t="shared" si="1"/>
        <v>130031.91</v>
      </c>
      <c r="H23" s="336">
        <f t="shared" si="2"/>
        <v>130031.91</v>
      </c>
      <c r="I23" s="338"/>
      <c r="J23" s="109"/>
    </row>
    <row r="24" spans="1:10" s="108" customFormat="1" hidden="1" x14ac:dyDescent="0.2">
      <c r="A24" s="334" t="s">
        <v>39</v>
      </c>
      <c r="B24" s="335" t="s">
        <v>40</v>
      </c>
      <c r="C24" s="336">
        <v>0</v>
      </c>
      <c r="D24" s="336">
        <v>0</v>
      </c>
      <c r="E24" s="337">
        <v>452.39</v>
      </c>
      <c r="F24" s="337">
        <v>452.39</v>
      </c>
      <c r="G24" s="336">
        <f t="shared" si="1"/>
        <v>452.39</v>
      </c>
      <c r="H24" s="336">
        <f t="shared" si="2"/>
        <v>452.39</v>
      </c>
      <c r="I24" s="338"/>
      <c r="J24" s="109"/>
    </row>
    <row r="25" spans="1:10" s="108" customFormat="1" hidden="1" x14ac:dyDescent="0.2">
      <c r="A25" s="334" t="s">
        <v>41</v>
      </c>
      <c r="B25" s="335" t="s">
        <v>42</v>
      </c>
      <c r="C25" s="336">
        <v>100</v>
      </c>
      <c r="D25" s="336">
        <v>0</v>
      </c>
      <c r="E25" s="337">
        <v>0</v>
      </c>
      <c r="F25" s="337">
        <v>0</v>
      </c>
      <c r="G25" s="336">
        <f t="shared" si="1"/>
        <v>100</v>
      </c>
      <c r="H25" s="336">
        <f t="shared" si="2"/>
        <v>0</v>
      </c>
      <c r="I25" s="338"/>
      <c r="J25" s="109"/>
    </row>
    <row r="26" spans="1:10" s="108" customFormat="1" hidden="1" x14ac:dyDescent="0.2">
      <c r="A26" s="334" t="s">
        <v>43</v>
      </c>
      <c r="B26" s="335" t="s">
        <v>44</v>
      </c>
      <c r="C26" s="336">
        <v>254.9</v>
      </c>
      <c r="D26" s="336">
        <v>0</v>
      </c>
      <c r="E26" s="337">
        <v>30.1</v>
      </c>
      <c r="F26" s="337">
        <v>5.6</v>
      </c>
      <c r="G26" s="336">
        <f t="shared" si="1"/>
        <v>285</v>
      </c>
      <c r="H26" s="336">
        <f t="shared" si="2"/>
        <v>5.6</v>
      </c>
      <c r="I26" s="338"/>
      <c r="J26" s="109"/>
    </row>
    <row r="27" spans="1:10" s="108" customFormat="1" hidden="1" x14ac:dyDescent="0.2">
      <c r="A27" s="334" t="s">
        <v>45</v>
      </c>
      <c r="B27" s="335" t="s">
        <v>46</v>
      </c>
      <c r="C27" s="336">
        <v>0</v>
      </c>
      <c r="D27" s="336">
        <v>0</v>
      </c>
      <c r="E27" s="337">
        <v>127994.72</v>
      </c>
      <c r="F27" s="337">
        <v>113442.76</v>
      </c>
      <c r="G27" s="336">
        <f t="shared" si="1"/>
        <v>127994.72</v>
      </c>
      <c r="H27" s="336">
        <f t="shared" si="2"/>
        <v>113442.76</v>
      </c>
      <c r="I27" s="338"/>
      <c r="J27" s="109"/>
    </row>
    <row r="28" spans="1:10" s="108" customFormat="1" hidden="1" x14ac:dyDescent="0.2">
      <c r="A28" s="334" t="s">
        <v>47</v>
      </c>
      <c r="B28" s="335" t="s">
        <v>48</v>
      </c>
      <c r="C28" s="336">
        <v>0</v>
      </c>
      <c r="D28" s="336">
        <v>0</v>
      </c>
      <c r="E28" s="337">
        <v>269606.02</v>
      </c>
      <c r="F28" s="337">
        <v>269606.02</v>
      </c>
      <c r="G28" s="336">
        <f t="shared" si="1"/>
        <v>269606.02</v>
      </c>
      <c r="H28" s="336">
        <f t="shared" si="2"/>
        <v>269606.02</v>
      </c>
      <c r="I28" s="338"/>
      <c r="J28" s="109"/>
    </row>
    <row r="29" spans="1:10" s="108" customFormat="1" hidden="1" x14ac:dyDescent="0.2">
      <c r="A29" s="334" t="s">
        <v>49</v>
      </c>
      <c r="B29" s="335" t="s">
        <v>50</v>
      </c>
      <c r="C29" s="336">
        <v>69894.739999999991</v>
      </c>
      <c r="D29" s="336">
        <v>0</v>
      </c>
      <c r="E29" s="337">
        <v>58352182.32</v>
      </c>
      <c r="F29" s="337">
        <v>58384192.090000004</v>
      </c>
      <c r="G29" s="336">
        <f t="shared" si="1"/>
        <v>58422077.060000002</v>
      </c>
      <c r="H29" s="336">
        <f t="shared" si="2"/>
        <v>58384192.090000004</v>
      </c>
      <c r="I29" s="338"/>
      <c r="J29" s="109"/>
    </row>
    <row r="30" spans="1:10" s="108" customFormat="1" hidden="1" x14ac:dyDescent="0.2">
      <c r="A30" s="334" t="s">
        <v>51</v>
      </c>
      <c r="B30" s="335" t="s">
        <v>52</v>
      </c>
      <c r="C30" s="336">
        <v>0</v>
      </c>
      <c r="D30" s="336">
        <v>0</v>
      </c>
      <c r="E30" s="337">
        <v>111.59</v>
      </c>
      <c r="F30" s="337">
        <v>111.59</v>
      </c>
      <c r="G30" s="336">
        <f t="shared" si="1"/>
        <v>111.59</v>
      </c>
      <c r="H30" s="336">
        <f t="shared" si="2"/>
        <v>111.59</v>
      </c>
      <c r="I30" s="338"/>
      <c r="J30" s="109"/>
    </row>
    <row r="31" spans="1:10" s="108" customFormat="1" hidden="1" x14ac:dyDescent="0.2">
      <c r="A31" s="334" t="s">
        <v>53</v>
      </c>
      <c r="B31" s="335" t="s">
        <v>54</v>
      </c>
      <c r="C31" s="336">
        <v>0</v>
      </c>
      <c r="D31" s="336">
        <v>0</v>
      </c>
      <c r="E31" s="337">
        <v>33761.78</v>
      </c>
      <c r="F31" s="337">
        <v>33863.07</v>
      </c>
      <c r="G31" s="336">
        <f t="shared" si="1"/>
        <v>33761.78</v>
      </c>
      <c r="H31" s="336">
        <f t="shared" si="2"/>
        <v>33863.07</v>
      </c>
      <c r="I31" s="338"/>
      <c r="J31" s="109"/>
    </row>
    <row r="32" spans="1:10" s="108" customFormat="1" hidden="1" x14ac:dyDescent="0.2">
      <c r="A32" s="334" t="s">
        <v>55</v>
      </c>
      <c r="B32" s="335" t="s">
        <v>56</v>
      </c>
      <c r="C32" s="336">
        <v>0</v>
      </c>
      <c r="D32" s="336">
        <v>0</v>
      </c>
      <c r="E32" s="337">
        <v>38298.94</v>
      </c>
      <c r="F32" s="337">
        <v>38095.86</v>
      </c>
      <c r="G32" s="336">
        <f t="shared" si="1"/>
        <v>38298.94</v>
      </c>
      <c r="H32" s="336">
        <f t="shared" si="2"/>
        <v>38095.86</v>
      </c>
      <c r="I32" s="338"/>
      <c r="J32" s="109"/>
    </row>
    <row r="33" spans="1:11" s="108" customFormat="1" hidden="1" x14ac:dyDescent="0.2">
      <c r="A33" s="334" t="s">
        <v>57</v>
      </c>
      <c r="B33" s="335" t="s">
        <v>58</v>
      </c>
      <c r="C33" s="336">
        <v>0</v>
      </c>
      <c r="D33" s="336">
        <v>0</v>
      </c>
      <c r="E33" s="337">
        <v>4670.9399999999996</v>
      </c>
      <c r="F33" s="337">
        <v>4670.9399999999996</v>
      </c>
      <c r="G33" s="336">
        <f t="shared" si="1"/>
        <v>4670.9399999999996</v>
      </c>
      <c r="H33" s="336">
        <f t="shared" si="2"/>
        <v>4670.9399999999996</v>
      </c>
      <c r="I33" s="338"/>
      <c r="J33" s="109"/>
    </row>
    <row r="34" spans="1:11" s="108" customFormat="1" hidden="1" x14ac:dyDescent="0.2">
      <c r="A34" s="334" t="s">
        <v>59</v>
      </c>
      <c r="B34" s="335" t="s">
        <v>60</v>
      </c>
      <c r="C34" s="336">
        <v>0</v>
      </c>
      <c r="D34" s="336">
        <v>0</v>
      </c>
      <c r="E34" s="337">
        <v>6720.95</v>
      </c>
      <c r="F34" s="337">
        <v>6720.95</v>
      </c>
      <c r="G34" s="336">
        <f t="shared" si="1"/>
        <v>6720.95</v>
      </c>
      <c r="H34" s="336">
        <f t="shared" si="2"/>
        <v>6720.95</v>
      </c>
      <c r="I34" s="338"/>
      <c r="J34" s="109"/>
    </row>
    <row r="35" spans="1:11" s="108" customFormat="1" hidden="1" x14ac:dyDescent="0.2">
      <c r="A35" s="334" t="s">
        <v>61</v>
      </c>
      <c r="B35" s="335" t="s">
        <v>62</v>
      </c>
      <c r="C35" s="336">
        <v>0</v>
      </c>
      <c r="D35" s="336">
        <v>0</v>
      </c>
      <c r="E35" s="337">
        <v>751.38</v>
      </c>
      <c r="F35" s="337">
        <v>751.38</v>
      </c>
      <c r="G35" s="336">
        <f t="shared" si="1"/>
        <v>751.38</v>
      </c>
      <c r="H35" s="336">
        <f t="shared" si="2"/>
        <v>751.38</v>
      </c>
      <c r="I35" s="338"/>
      <c r="J35" s="109"/>
    </row>
    <row r="36" spans="1:11" s="108" customFormat="1" hidden="1" x14ac:dyDescent="0.2">
      <c r="A36" s="334" t="s">
        <v>63</v>
      </c>
      <c r="B36" s="335" t="s">
        <v>64</v>
      </c>
      <c r="C36" s="336">
        <v>0</v>
      </c>
      <c r="D36" s="336">
        <v>0</v>
      </c>
      <c r="E36" s="337">
        <v>4371.09</v>
      </c>
      <c r="F36" s="337">
        <v>4371.09</v>
      </c>
      <c r="G36" s="336">
        <f t="shared" si="1"/>
        <v>4371.09</v>
      </c>
      <c r="H36" s="336">
        <f t="shared" si="2"/>
        <v>4371.09</v>
      </c>
      <c r="I36" s="338"/>
      <c r="J36" s="109"/>
    </row>
    <row r="37" spans="1:11" s="108" customFormat="1" hidden="1" x14ac:dyDescent="0.2">
      <c r="A37" s="334" t="s">
        <v>65</v>
      </c>
      <c r="B37" s="335" t="s">
        <v>66</v>
      </c>
      <c r="C37" s="336">
        <v>0</v>
      </c>
      <c r="D37" s="336">
        <v>0</v>
      </c>
      <c r="E37" s="337">
        <v>73911.460000000006</v>
      </c>
      <c r="F37" s="337">
        <v>73911.460000000006</v>
      </c>
      <c r="G37" s="336">
        <f t="shared" si="1"/>
        <v>73911.460000000006</v>
      </c>
      <c r="H37" s="336">
        <f t="shared" si="2"/>
        <v>73911.460000000006</v>
      </c>
      <c r="I37" s="338"/>
      <c r="J37" s="109"/>
    </row>
    <row r="38" spans="1:11" s="108" customFormat="1" hidden="1" x14ac:dyDescent="0.2">
      <c r="A38" s="334" t="s">
        <v>67</v>
      </c>
      <c r="B38" s="335" t="s">
        <v>68</v>
      </c>
      <c r="C38" s="336">
        <v>913.6</v>
      </c>
      <c r="D38" s="336">
        <v>0</v>
      </c>
      <c r="E38" s="337">
        <v>4122592.73</v>
      </c>
      <c r="F38" s="337">
        <v>4107303.25</v>
      </c>
      <c r="G38" s="336">
        <f t="shared" si="1"/>
        <v>4123506.33</v>
      </c>
      <c r="H38" s="336">
        <f t="shared" si="2"/>
        <v>4107303.25</v>
      </c>
      <c r="I38" s="338"/>
      <c r="J38" s="109"/>
      <c r="K38" s="110"/>
    </row>
    <row r="39" spans="1:11" s="108" customFormat="1" hidden="1" x14ac:dyDescent="0.2">
      <c r="A39" s="334" t="s">
        <v>69</v>
      </c>
      <c r="B39" s="335" t="s">
        <v>70</v>
      </c>
      <c r="C39" s="336">
        <v>0</v>
      </c>
      <c r="D39" s="336">
        <v>24994.37</v>
      </c>
      <c r="E39" s="337">
        <v>35982716.369999997</v>
      </c>
      <c r="F39" s="337">
        <v>35982627.049999997</v>
      </c>
      <c r="G39" s="336">
        <f t="shared" si="1"/>
        <v>35982716.369999997</v>
      </c>
      <c r="H39" s="336">
        <f t="shared" si="2"/>
        <v>36007621.419999994</v>
      </c>
      <c r="I39" s="338"/>
      <c r="J39" s="109"/>
    </row>
    <row r="40" spans="1:11" s="108" customFormat="1" hidden="1" x14ac:dyDescent="0.2">
      <c r="A40" s="334" t="s">
        <v>71</v>
      </c>
      <c r="B40" s="335" t="s">
        <v>72</v>
      </c>
      <c r="C40" s="336">
        <v>2773.47</v>
      </c>
      <c r="D40" s="336">
        <v>0</v>
      </c>
      <c r="E40" s="337">
        <v>847853.37</v>
      </c>
      <c r="F40" s="337">
        <v>841993.24</v>
      </c>
      <c r="G40" s="336">
        <f t="shared" si="1"/>
        <v>850626.84</v>
      </c>
      <c r="H40" s="336">
        <f t="shared" si="2"/>
        <v>841993.24</v>
      </c>
      <c r="I40" s="338"/>
      <c r="J40" s="109"/>
    </row>
    <row r="41" spans="1:11" s="108" customFormat="1" hidden="1" x14ac:dyDescent="0.2">
      <c r="A41" s="334" t="s">
        <v>73</v>
      </c>
      <c r="B41" s="335" t="s">
        <v>74</v>
      </c>
      <c r="C41" s="336">
        <v>10377.36</v>
      </c>
      <c r="D41" s="336">
        <v>0</v>
      </c>
      <c r="E41" s="337">
        <v>13020513</v>
      </c>
      <c r="F41" s="337">
        <v>13017267.07</v>
      </c>
      <c r="G41" s="336">
        <f t="shared" si="1"/>
        <v>13030890.359999999</v>
      </c>
      <c r="H41" s="336">
        <f t="shared" si="2"/>
        <v>13017267.07</v>
      </c>
      <c r="I41" s="338"/>
      <c r="J41" s="109"/>
    </row>
    <row r="42" spans="1:11" s="108" customFormat="1" hidden="1" x14ac:dyDescent="0.2">
      <c r="A42" s="334" t="s">
        <v>75</v>
      </c>
      <c r="B42" s="335" t="s">
        <v>76</v>
      </c>
      <c r="C42" s="336">
        <v>0</v>
      </c>
      <c r="D42" s="336">
        <v>1873.02</v>
      </c>
      <c r="E42" s="337">
        <v>43943158.890000001</v>
      </c>
      <c r="F42" s="337">
        <v>43797965.289999999</v>
      </c>
      <c r="G42" s="336">
        <f t="shared" si="1"/>
        <v>43943158.890000001</v>
      </c>
      <c r="H42" s="336">
        <f t="shared" si="2"/>
        <v>43799838.310000002</v>
      </c>
      <c r="I42" s="338"/>
      <c r="J42" s="109"/>
    </row>
    <row r="43" spans="1:11" s="108" customFormat="1" hidden="1" x14ac:dyDescent="0.2">
      <c r="A43" s="334" t="s">
        <v>77</v>
      </c>
      <c r="B43" s="335" t="s">
        <v>78</v>
      </c>
      <c r="C43" s="336">
        <v>15050.88</v>
      </c>
      <c r="D43" s="336">
        <v>0</v>
      </c>
      <c r="E43" s="337">
        <v>2919267.75</v>
      </c>
      <c r="F43" s="337">
        <v>2901976.71</v>
      </c>
      <c r="G43" s="336">
        <f t="shared" si="1"/>
        <v>2934318.63</v>
      </c>
      <c r="H43" s="336">
        <f t="shared" si="2"/>
        <v>2901976.71</v>
      </c>
      <c r="I43" s="338"/>
      <c r="J43" s="109"/>
    </row>
    <row r="44" spans="1:11" s="108" customFormat="1" hidden="1" x14ac:dyDescent="0.2">
      <c r="A44" s="334" t="s">
        <v>79</v>
      </c>
      <c r="B44" s="335" t="s">
        <v>80</v>
      </c>
      <c r="C44" s="336">
        <v>233587.35</v>
      </c>
      <c r="D44" s="336">
        <v>0</v>
      </c>
      <c r="E44" s="337">
        <v>7531853.8399999999</v>
      </c>
      <c r="F44" s="337">
        <v>7565499.0899999999</v>
      </c>
      <c r="G44" s="336">
        <f t="shared" si="1"/>
        <v>7765441.1899999995</v>
      </c>
      <c r="H44" s="336">
        <f t="shared" si="2"/>
        <v>7565499.0899999999</v>
      </c>
      <c r="I44" s="338"/>
      <c r="J44" s="109"/>
    </row>
    <row r="45" spans="1:11" s="108" customFormat="1" hidden="1" x14ac:dyDescent="0.2">
      <c r="A45" s="334" t="s">
        <v>81</v>
      </c>
      <c r="B45" s="335" t="s">
        <v>82</v>
      </c>
      <c r="C45" s="336">
        <v>4929.8100000000004</v>
      </c>
      <c r="D45" s="336">
        <v>0</v>
      </c>
      <c r="E45" s="337">
        <v>44996.99</v>
      </c>
      <c r="F45" s="337">
        <v>47912.76</v>
      </c>
      <c r="G45" s="336">
        <f t="shared" si="1"/>
        <v>49926.799999999996</v>
      </c>
      <c r="H45" s="336">
        <f t="shared" si="2"/>
        <v>47912.76</v>
      </c>
      <c r="I45" s="338"/>
      <c r="J45" s="109"/>
    </row>
    <row r="46" spans="1:11" s="108" customFormat="1" hidden="1" x14ac:dyDescent="0.2">
      <c r="A46" s="334" t="s">
        <v>83</v>
      </c>
      <c r="B46" s="335" t="s">
        <v>84</v>
      </c>
      <c r="C46" s="336">
        <v>753.33</v>
      </c>
      <c r="D46" s="336">
        <v>0</v>
      </c>
      <c r="E46" s="337">
        <v>1911461.16</v>
      </c>
      <c r="F46" s="337">
        <v>1907072.02</v>
      </c>
      <c r="G46" s="336">
        <f t="shared" si="1"/>
        <v>1912214.49</v>
      </c>
      <c r="H46" s="336">
        <f t="shared" si="2"/>
        <v>1907072.02</v>
      </c>
      <c r="I46" s="338"/>
      <c r="J46" s="109"/>
    </row>
    <row r="47" spans="1:11" s="108" customFormat="1" hidden="1" x14ac:dyDescent="0.2">
      <c r="A47" s="334" t="s">
        <v>85</v>
      </c>
      <c r="B47" s="335" t="s">
        <v>86</v>
      </c>
      <c r="C47" s="336">
        <v>0</v>
      </c>
      <c r="D47" s="336">
        <v>0</v>
      </c>
      <c r="E47" s="337">
        <v>2113.44</v>
      </c>
      <c r="F47" s="337">
        <v>45.88</v>
      </c>
      <c r="G47" s="336">
        <f t="shared" si="1"/>
        <v>2113.44</v>
      </c>
      <c r="H47" s="336">
        <f t="shared" si="2"/>
        <v>45.88</v>
      </c>
      <c r="I47" s="338"/>
      <c r="J47" s="109"/>
    </row>
    <row r="48" spans="1:11" s="108" customFormat="1" hidden="1" x14ac:dyDescent="0.2">
      <c r="A48" s="334" t="s">
        <v>87</v>
      </c>
      <c r="B48" s="335" t="s">
        <v>88</v>
      </c>
      <c r="C48" s="336">
        <v>695.39</v>
      </c>
      <c r="D48" s="336">
        <v>0</v>
      </c>
      <c r="E48" s="337">
        <v>284070.06</v>
      </c>
      <c r="F48" s="337">
        <v>282423.34999999998</v>
      </c>
      <c r="G48" s="336">
        <f t="shared" si="1"/>
        <v>284765.45</v>
      </c>
      <c r="H48" s="336">
        <f t="shared" si="2"/>
        <v>282423.34999999998</v>
      </c>
      <c r="I48" s="338"/>
      <c r="J48" s="109"/>
    </row>
    <row r="49" spans="1:10" s="108" customFormat="1" hidden="1" x14ac:dyDescent="0.2">
      <c r="A49" s="334" t="s">
        <v>89</v>
      </c>
      <c r="B49" s="335" t="s">
        <v>90</v>
      </c>
      <c r="C49" s="336">
        <v>3296.2</v>
      </c>
      <c r="D49" s="336">
        <v>0</v>
      </c>
      <c r="E49" s="337">
        <v>121025.73</v>
      </c>
      <c r="F49" s="337">
        <v>122736.85</v>
      </c>
      <c r="G49" s="336">
        <f t="shared" si="1"/>
        <v>124321.93</v>
      </c>
      <c r="H49" s="336">
        <f t="shared" si="2"/>
        <v>122736.85</v>
      </c>
      <c r="I49" s="338"/>
      <c r="J49" s="109"/>
    </row>
    <row r="50" spans="1:10" s="108" customFormat="1" hidden="1" x14ac:dyDescent="0.2">
      <c r="A50" s="334" t="s">
        <v>91</v>
      </c>
      <c r="B50" s="335" t="s">
        <v>92</v>
      </c>
      <c r="C50" s="336">
        <v>14940.35</v>
      </c>
      <c r="D50" s="336">
        <v>0</v>
      </c>
      <c r="E50" s="337">
        <v>265863.89</v>
      </c>
      <c r="F50" s="337">
        <v>265043.84000000003</v>
      </c>
      <c r="G50" s="336">
        <f t="shared" si="1"/>
        <v>280804.24</v>
      </c>
      <c r="H50" s="336">
        <f t="shared" si="2"/>
        <v>265043.84000000003</v>
      </c>
      <c r="I50" s="338"/>
      <c r="J50" s="109"/>
    </row>
    <row r="51" spans="1:10" s="108" customFormat="1" hidden="1" x14ac:dyDescent="0.2">
      <c r="A51" s="334" t="s">
        <v>93</v>
      </c>
      <c r="B51" s="335" t="s">
        <v>94</v>
      </c>
      <c r="C51" s="336">
        <v>1124.8</v>
      </c>
      <c r="D51" s="336">
        <v>0</v>
      </c>
      <c r="E51" s="337">
        <v>2888.45</v>
      </c>
      <c r="F51" s="337">
        <v>566</v>
      </c>
      <c r="G51" s="336">
        <f t="shared" si="1"/>
        <v>4013.25</v>
      </c>
      <c r="H51" s="336">
        <f t="shared" si="2"/>
        <v>566</v>
      </c>
      <c r="I51" s="338"/>
      <c r="J51" s="109"/>
    </row>
    <row r="52" spans="1:10" s="108" customFormat="1" hidden="1" x14ac:dyDescent="0.2">
      <c r="A52" s="334" t="s">
        <v>95</v>
      </c>
      <c r="B52" s="335" t="s">
        <v>96</v>
      </c>
      <c r="C52" s="336">
        <v>0</v>
      </c>
      <c r="D52" s="336">
        <v>0</v>
      </c>
      <c r="E52" s="337">
        <v>34479.74</v>
      </c>
      <c r="F52" s="337">
        <v>31659.360000000001</v>
      </c>
      <c r="G52" s="336">
        <f t="shared" si="1"/>
        <v>34479.74</v>
      </c>
      <c r="H52" s="336">
        <f t="shared" si="2"/>
        <v>31659.360000000001</v>
      </c>
      <c r="I52" s="338"/>
      <c r="J52" s="109"/>
    </row>
    <row r="53" spans="1:10" s="108" customFormat="1" hidden="1" x14ac:dyDescent="0.2">
      <c r="A53" s="334" t="s">
        <v>97</v>
      </c>
      <c r="B53" s="335" t="s">
        <v>98</v>
      </c>
      <c r="C53" s="336">
        <v>0</v>
      </c>
      <c r="D53" s="336">
        <v>0</v>
      </c>
      <c r="E53" s="337">
        <v>380000</v>
      </c>
      <c r="F53" s="337">
        <v>380000</v>
      </c>
      <c r="G53" s="336">
        <f t="shared" si="1"/>
        <v>380000</v>
      </c>
      <c r="H53" s="336">
        <f t="shared" si="2"/>
        <v>380000</v>
      </c>
      <c r="I53" s="338"/>
      <c r="J53" s="109"/>
    </row>
    <row r="54" spans="1:10" s="108" customFormat="1" hidden="1" x14ac:dyDescent="0.2">
      <c r="A54" s="334" t="s">
        <v>99</v>
      </c>
      <c r="B54" s="335" t="s">
        <v>100</v>
      </c>
      <c r="C54" s="336">
        <v>0</v>
      </c>
      <c r="D54" s="336">
        <v>0</v>
      </c>
      <c r="E54" s="337">
        <v>705368.95</v>
      </c>
      <c r="F54" s="337">
        <v>689467.86</v>
      </c>
      <c r="G54" s="336">
        <f t="shared" si="1"/>
        <v>705368.95</v>
      </c>
      <c r="H54" s="336">
        <f t="shared" si="2"/>
        <v>689467.86</v>
      </c>
      <c r="I54" s="338"/>
      <c r="J54" s="109"/>
    </row>
    <row r="55" spans="1:10" s="108" customFormat="1" hidden="1" x14ac:dyDescent="0.2">
      <c r="A55" s="334" t="s">
        <v>101</v>
      </c>
      <c r="B55" s="335" t="s">
        <v>102</v>
      </c>
      <c r="C55" s="336">
        <v>0</v>
      </c>
      <c r="D55" s="336">
        <v>0</v>
      </c>
      <c r="E55" s="337">
        <v>2332.37</v>
      </c>
      <c r="F55" s="337">
        <v>2332.37</v>
      </c>
      <c r="G55" s="336">
        <f t="shared" si="1"/>
        <v>2332.37</v>
      </c>
      <c r="H55" s="336">
        <f t="shared" si="2"/>
        <v>2332.37</v>
      </c>
      <c r="I55" s="338"/>
      <c r="J55" s="109"/>
    </row>
    <row r="56" spans="1:10" s="108" customFormat="1" hidden="1" x14ac:dyDescent="0.2">
      <c r="A56" s="334" t="s">
        <v>103</v>
      </c>
      <c r="B56" s="335" t="s">
        <v>104</v>
      </c>
      <c r="C56" s="336">
        <v>940.52</v>
      </c>
      <c r="D56" s="336">
        <v>0</v>
      </c>
      <c r="E56" s="337">
        <v>480257.84</v>
      </c>
      <c r="F56" s="337">
        <v>471231</v>
      </c>
      <c r="G56" s="336">
        <f t="shared" si="1"/>
        <v>481198.36000000004</v>
      </c>
      <c r="H56" s="336">
        <f t="shared" si="2"/>
        <v>471231</v>
      </c>
      <c r="I56" s="338"/>
      <c r="J56" s="109"/>
    </row>
    <row r="57" spans="1:10" s="108" customFormat="1" hidden="1" x14ac:dyDescent="0.2">
      <c r="A57" s="334" t="s">
        <v>105</v>
      </c>
      <c r="B57" s="335" t="s">
        <v>106</v>
      </c>
      <c r="C57" s="336">
        <v>23524.39</v>
      </c>
      <c r="D57" s="336">
        <v>0</v>
      </c>
      <c r="E57" s="337">
        <v>3087453.87</v>
      </c>
      <c r="F57" s="337">
        <v>3102801.02</v>
      </c>
      <c r="G57" s="336">
        <f t="shared" si="1"/>
        <v>3110978.2600000002</v>
      </c>
      <c r="H57" s="336">
        <f t="shared" si="2"/>
        <v>3102801.02</v>
      </c>
      <c r="I57" s="338"/>
      <c r="J57" s="109"/>
    </row>
    <row r="58" spans="1:10" s="108" customFormat="1" hidden="1" x14ac:dyDescent="0.2">
      <c r="A58" s="334" t="s">
        <v>107</v>
      </c>
      <c r="B58" s="335" t="s">
        <v>108</v>
      </c>
      <c r="C58" s="336">
        <v>29322221.07</v>
      </c>
      <c r="D58" s="336">
        <v>0</v>
      </c>
      <c r="E58" s="337">
        <v>45078703.020000003</v>
      </c>
      <c r="F58" s="337">
        <v>42842967.530000001</v>
      </c>
      <c r="G58" s="336">
        <f t="shared" si="1"/>
        <v>74400924.090000004</v>
      </c>
      <c r="H58" s="336">
        <f t="shared" si="2"/>
        <v>42842967.530000001</v>
      </c>
      <c r="I58" s="338"/>
      <c r="J58" s="109"/>
    </row>
    <row r="59" spans="1:10" s="108" customFormat="1" hidden="1" x14ac:dyDescent="0.2">
      <c r="A59" s="334" t="s">
        <v>109</v>
      </c>
      <c r="B59" s="335" t="s">
        <v>110</v>
      </c>
      <c r="C59" s="336">
        <v>17310.7</v>
      </c>
      <c r="D59" s="336">
        <v>0</v>
      </c>
      <c r="E59" s="337">
        <v>756871.4</v>
      </c>
      <c r="F59" s="337">
        <v>749980.2</v>
      </c>
      <c r="G59" s="336">
        <f t="shared" si="1"/>
        <v>774182.1</v>
      </c>
      <c r="H59" s="336">
        <f t="shared" si="2"/>
        <v>749980.2</v>
      </c>
      <c r="I59" s="338"/>
      <c r="J59" s="109"/>
    </row>
    <row r="60" spans="1:10" s="108" customFormat="1" hidden="1" x14ac:dyDescent="0.2">
      <c r="A60" s="334" t="s">
        <v>111</v>
      </c>
      <c r="B60" s="335" t="s">
        <v>112</v>
      </c>
      <c r="C60" s="336">
        <v>623598.81000000006</v>
      </c>
      <c r="D60" s="336">
        <v>0</v>
      </c>
      <c r="E60" s="337">
        <v>14037391.869999999</v>
      </c>
      <c r="F60" s="337">
        <v>13470015.140000001</v>
      </c>
      <c r="G60" s="336">
        <f t="shared" si="1"/>
        <v>14660990.68</v>
      </c>
      <c r="H60" s="336">
        <f t="shared" si="2"/>
        <v>13470015.140000001</v>
      </c>
      <c r="I60" s="338"/>
      <c r="J60" s="109"/>
    </row>
    <row r="61" spans="1:10" s="108" customFormat="1" hidden="1" x14ac:dyDescent="0.2">
      <c r="A61" s="334" t="s">
        <v>113</v>
      </c>
      <c r="B61" s="335" t="s">
        <v>1280</v>
      </c>
      <c r="C61" s="336">
        <v>0</v>
      </c>
      <c r="D61" s="336">
        <v>0</v>
      </c>
      <c r="E61" s="337">
        <v>129.61000000000001</v>
      </c>
      <c r="F61" s="337">
        <v>129.61000000000001</v>
      </c>
      <c r="G61" s="336">
        <f t="shared" si="1"/>
        <v>129.61000000000001</v>
      </c>
      <c r="H61" s="336">
        <f t="shared" si="2"/>
        <v>129.61000000000001</v>
      </c>
      <c r="I61" s="338"/>
      <c r="J61" s="109"/>
    </row>
    <row r="62" spans="1:10" s="108" customFormat="1" hidden="1" x14ac:dyDescent="0.2">
      <c r="A62" s="334" t="s">
        <v>114</v>
      </c>
      <c r="B62" s="335" t="s">
        <v>115</v>
      </c>
      <c r="C62" s="336">
        <v>0</v>
      </c>
      <c r="D62" s="336">
        <v>156175.42000000001</v>
      </c>
      <c r="E62" s="337">
        <v>1071309.74</v>
      </c>
      <c r="F62" s="337">
        <v>1497353.65</v>
      </c>
      <c r="G62" s="336">
        <f t="shared" si="1"/>
        <v>1071309.74</v>
      </c>
      <c r="H62" s="336">
        <f t="shared" si="2"/>
        <v>1653529.0699999998</v>
      </c>
      <c r="I62" s="338"/>
      <c r="J62" s="109"/>
    </row>
    <row r="63" spans="1:10" s="108" customFormat="1" hidden="1" x14ac:dyDescent="0.2">
      <c r="A63" s="334" t="s">
        <v>116</v>
      </c>
      <c r="B63" s="335" t="s">
        <v>117</v>
      </c>
      <c r="C63" s="336">
        <v>0</v>
      </c>
      <c r="D63" s="336">
        <v>1318716.06</v>
      </c>
      <c r="E63" s="337">
        <v>8950465.0800000001</v>
      </c>
      <c r="F63" s="337">
        <v>9663674.6699999999</v>
      </c>
      <c r="G63" s="336">
        <f t="shared" si="1"/>
        <v>8950465.0800000001</v>
      </c>
      <c r="H63" s="336">
        <f t="shared" si="2"/>
        <v>10982390.73</v>
      </c>
      <c r="I63" s="338"/>
      <c r="J63" s="109"/>
    </row>
    <row r="64" spans="1:10" s="108" customFormat="1" hidden="1" x14ac:dyDescent="0.2">
      <c r="A64" s="334" t="s">
        <v>118</v>
      </c>
      <c r="B64" s="335" t="s">
        <v>119</v>
      </c>
      <c r="C64" s="336">
        <v>0</v>
      </c>
      <c r="D64" s="336">
        <v>118282.07</v>
      </c>
      <c r="E64" s="337">
        <v>95658.1</v>
      </c>
      <c r="F64" s="337">
        <v>127149.94</v>
      </c>
      <c r="G64" s="336">
        <f t="shared" si="1"/>
        <v>95658.1</v>
      </c>
      <c r="H64" s="336">
        <f t="shared" si="2"/>
        <v>245432.01</v>
      </c>
      <c r="I64" s="338"/>
      <c r="J64" s="109"/>
    </row>
    <row r="65" spans="1:10" s="108" customFormat="1" hidden="1" x14ac:dyDescent="0.2">
      <c r="A65" s="334" t="s">
        <v>120</v>
      </c>
      <c r="B65" s="335" t="s">
        <v>121</v>
      </c>
      <c r="C65" s="336">
        <v>0</v>
      </c>
      <c r="D65" s="336">
        <v>571809.92000000004</v>
      </c>
      <c r="E65" s="337">
        <v>1328020.25</v>
      </c>
      <c r="F65" s="337">
        <v>1289266.71</v>
      </c>
      <c r="G65" s="336">
        <f t="shared" si="1"/>
        <v>1328020.25</v>
      </c>
      <c r="H65" s="336">
        <f t="shared" si="2"/>
        <v>1861076.63</v>
      </c>
      <c r="I65" s="338"/>
      <c r="J65" s="109"/>
    </row>
    <row r="66" spans="1:10" s="108" customFormat="1" hidden="1" x14ac:dyDescent="0.2">
      <c r="A66" s="334" t="s">
        <v>122</v>
      </c>
      <c r="B66" s="335" t="s">
        <v>123</v>
      </c>
      <c r="C66" s="336">
        <v>2989.37</v>
      </c>
      <c r="D66" s="336">
        <v>0</v>
      </c>
      <c r="E66" s="337">
        <v>1053.42</v>
      </c>
      <c r="F66" s="337">
        <v>2989.37</v>
      </c>
      <c r="G66" s="336">
        <f t="shared" si="1"/>
        <v>4042.79</v>
      </c>
      <c r="H66" s="336">
        <f t="shared" si="2"/>
        <v>2989.37</v>
      </c>
      <c r="I66" s="338"/>
      <c r="J66" s="109"/>
    </row>
    <row r="67" spans="1:10" s="108" customFormat="1" hidden="1" x14ac:dyDescent="0.2">
      <c r="A67" s="334" t="s">
        <v>124</v>
      </c>
      <c r="B67" s="335" t="s">
        <v>125</v>
      </c>
      <c r="C67" s="336">
        <v>153791.03</v>
      </c>
      <c r="D67" s="336">
        <v>0</v>
      </c>
      <c r="E67" s="337">
        <v>325205.84999999998</v>
      </c>
      <c r="F67" s="337">
        <v>408088.59</v>
      </c>
      <c r="G67" s="336">
        <f t="shared" si="1"/>
        <v>478996.88</v>
      </c>
      <c r="H67" s="336">
        <f t="shared" si="2"/>
        <v>408088.59</v>
      </c>
      <c r="I67" s="338"/>
      <c r="J67" s="109"/>
    </row>
    <row r="68" spans="1:10" s="108" customFormat="1" hidden="1" x14ac:dyDescent="0.2">
      <c r="A68" s="334" t="s">
        <v>113</v>
      </c>
      <c r="B68" s="335" t="s">
        <v>1280</v>
      </c>
      <c r="C68" s="336">
        <v>394177.47</v>
      </c>
      <c r="D68" s="336">
        <v>0</v>
      </c>
      <c r="E68" s="337">
        <v>9488101.1600000001</v>
      </c>
      <c r="F68" s="337">
        <v>9760237.7300000004</v>
      </c>
      <c r="G68" s="336">
        <f t="shared" si="1"/>
        <v>9882278.6300000008</v>
      </c>
      <c r="H68" s="336">
        <f t="shared" si="2"/>
        <v>9760237.7300000004</v>
      </c>
      <c r="I68" s="338"/>
      <c r="J68" s="109"/>
    </row>
    <row r="69" spans="1:10" s="108" customFormat="1" hidden="1" x14ac:dyDescent="0.2">
      <c r="A69" s="334" t="s">
        <v>126</v>
      </c>
      <c r="B69" s="335" t="s">
        <v>1279</v>
      </c>
      <c r="C69" s="336">
        <v>2814.33</v>
      </c>
      <c r="D69" s="336">
        <v>0</v>
      </c>
      <c r="E69" s="337">
        <v>49799.94</v>
      </c>
      <c r="F69" s="337">
        <v>61401.26</v>
      </c>
      <c r="G69" s="336">
        <f t="shared" si="1"/>
        <v>52614.270000000004</v>
      </c>
      <c r="H69" s="336">
        <f t="shared" si="2"/>
        <v>61401.26</v>
      </c>
      <c r="I69" s="338"/>
      <c r="J69" s="109"/>
    </row>
    <row r="70" spans="1:10" s="108" customFormat="1" hidden="1" x14ac:dyDescent="0.2">
      <c r="A70" s="334" t="s">
        <v>127</v>
      </c>
      <c r="B70" s="335" t="s">
        <v>128</v>
      </c>
      <c r="C70" s="336">
        <v>444705.96</v>
      </c>
      <c r="D70" s="336">
        <v>0</v>
      </c>
      <c r="E70" s="337">
        <v>7430079</v>
      </c>
      <c r="F70" s="337">
        <v>6489623.4800000004</v>
      </c>
      <c r="G70" s="336">
        <f t="shared" si="1"/>
        <v>7874784.96</v>
      </c>
      <c r="H70" s="336">
        <f t="shared" si="2"/>
        <v>6489623.4800000004</v>
      </c>
      <c r="I70" s="338"/>
      <c r="J70" s="109"/>
    </row>
    <row r="71" spans="1:10" s="108" customFormat="1" hidden="1" x14ac:dyDescent="0.2">
      <c r="A71" s="334" t="s">
        <v>129</v>
      </c>
      <c r="B71" s="335" t="s">
        <v>130</v>
      </c>
      <c r="C71" s="336">
        <v>0</v>
      </c>
      <c r="D71" s="336">
        <v>0</v>
      </c>
      <c r="E71" s="337">
        <v>12015.56</v>
      </c>
      <c r="F71" s="337">
        <v>1023301.57</v>
      </c>
      <c r="G71" s="336">
        <f t="shared" si="1"/>
        <v>12015.56</v>
      </c>
      <c r="H71" s="336">
        <f t="shared" si="2"/>
        <v>1023301.57</v>
      </c>
      <c r="I71" s="338"/>
      <c r="J71" s="109"/>
    </row>
    <row r="72" spans="1:10" s="108" customFormat="1" hidden="1" x14ac:dyDescent="0.2">
      <c r="A72" s="334" t="s">
        <v>131</v>
      </c>
      <c r="B72" s="335" t="s">
        <v>132</v>
      </c>
      <c r="C72" s="336">
        <v>0</v>
      </c>
      <c r="D72" s="336">
        <v>0</v>
      </c>
      <c r="E72" s="337">
        <v>9080488</v>
      </c>
      <c r="F72" s="337">
        <v>9059665.1999999993</v>
      </c>
      <c r="G72" s="336">
        <f t="shared" ref="G72:G134" si="3">+C72+E72</f>
        <v>9080488</v>
      </c>
      <c r="H72" s="336">
        <f t="shared" ref="H72:H134" si="4">+D72+F72</f>
        <v>9059665.1999999993</v>
      </c>
      <c r="I72" s="338"/>
      <c r="J72" s="109"/>
    </row>
    <row r="73" spans="1:10" s="108" customFormat="1" hidden="1" x14ac:dyDescent="0.2">
      <c r="A73" s="334" t="s">
        <v>133</v>
      </c>
      <c r="B73" s="335" t="s">
        <v>134</v>
      </c>
      <c r="C73" s="336">
        <v>20173.23</v>
      </c>
      <c r="D73" s="336">
        <v>0</v>
      </c>
      <c r="E73" s="337">
        <v>370183.26</v>
      </c>
      <c r="F73" s="337">
        <v>375412.29</v>
      </c>
      <c r="G73" s="336">
        <f t="shared" si="3"/>
        <v>390356.49</v>
      </c>
      <c r="H73" s="336">
        <f t="shared" si="4"/>
        <v>375412.29</v>
      </c>
      <c r="I73" s="338"/>
      <c r="J73" s="109"/>
    </row>
    <row r="74" spans="1:10" s="108" customFormat="1" hidden="1" x14ac:dyDescent="0.2">
      <c r="A74" s="334" t="s">
        <v>135</v>
      </c>
      <c r="B74" s="335" t="s">
        <v>136</v>
      </c>
      <c r="C74" s="336">
        <v>331.3</v>
      </c>
      <c r="D74" s="336">
        <v>0</v>
      </c>
      <c r="E74" s="337">
        <v>174381.04</v>
      </c>
      <c r="F74" s="337">
        <v>97542.58</v>
      </c>
      <c r="G74" s="336">
        <f t="shared" si="3"/>
        <v>174712.34</v>
      </c>
      <c r="H74" s="336">
        <f t="shared" si="4"/>
        <v>97542.58</v>
      </c>
      <c r="I74" s="339"/>
      <c r="J74" s="109"/>
    </row>
    <row r="75" spans="1:10" s="108" customFormat="1" hidden="1" x14ac:dyDescent="0.2">
      <c r="A75" s="334" t="s">
        <v>137</v>
      </c>
      <c r="B75" s="335" t="s">
        <v>138</v>
      </c>
      <c r="C75" s="336">
        <v>0</v>
      </c>
      <c r="D75" s="336">
        <v>0</v>
      </c>
      <c r="E75" s="337">
        <v>694.12</v>
      </c>
      <c r="F75" s="337">
        <v>694.12</v>
      </c>
      <c r="G75" s="336">
        <f t="shared" si="3"/>
        <v>694.12</v>
      </c>
      <c r="H75" s="336">
        <f t="shared" si="4"/>
        <v>694.12</v>
      </c>
      <c r="I75" s="339"/>
      <c r="J75" s="109"/>
    </row>
    <row r="76" spans="1:10" s="108" customFormat="1" hidden="1" x14ac:dyDescent="0.2">
      <c r="A76" s="334" t="s">
        <v>139</v>
      </c>
      <c r="B76" s="335" t="s">
        <v>140</v>
      </c>
      <c r="C76" s="336">
        <v>0</v>
      </c>
      <c r="D76" s="336">
        <v>0</v>
      </c>
      <c r="E76" s="337">
        <v>61200</v>
      </c>
      <c r="F76" s="337">
        <v>0</v>
      </c>
      <c r="G76" s="336">
        <f t="shared" si="3"/>
        <v>61200</v>
      </c>
      <c r="H76" s="336">
        <f t="shared" si="4"/>
        <v>0</v>
      </c>
      <c r="I76" s="339"/>
      <c r="J76" s="109"/>
    </row>
    <row r="77" spans="1:10" s="108" customFormat="1" hidden="1" x14ac:dyDescent="0.2">
      <c r="A77" s="334" t="s">
        <v>141</v>
      </c>
      <c r="B77" s="335" t="s">
        <v>142</v>
      </c>
      <c r="C77" s="336">
        <v>0</v>
      </c>
      <c r="D77" s="336">
        <v>0</v>
      </c>
      <c r="E77" s="337">
        <v>0</v>
      </c>
      <c r="F77" s="337">
        <v>0</v>
      </c>
      <c r="G77" s="336">
        <f t="shared" si="3"/>
        <v>0</v>
      </c>
      <c r="H77" s="336">
        <f t="shared" si="4"/>
        <v>0</v>
      </c>
      <c r="I77" s="339"/>
      <c r="J77" s="109"/>
    </row>
    <row r="78" spans="1:10" s="108" customFormat="1" hidden="1" x14ac:dyDescent="0.2">
      <c r="A78" s="334" t="s">
        <v>143</v>
      </c>
      <c r="B78" s="335" t="s">
        <v>144</v>
      </c>
      <c r="C78" s="336">
        <v>0</v>
      </c>
      <c r="D78" s="336">
        <v>0</v>
      </c>
      <c r="E78" s="337">
        <v>0</v>
      </c>
      <c r="F78" s="337">
        <v>0</v>
      </c>
      <c r="G78" s="336">
        <f t="shared" si="3"/>
        <v>0</v>
      </c>
      <c r="H78" s="336">
        <f t="shared" si="4"/>
        <v>0</v>
      </c>
      <c r="I78" s="339"/>
      <c r="J78" s="109"/>
    </row>
    <row r="79" spans="1:10" s="108" customFormat="1" hidden="1" x14ac:dyDescent="0.2">
      <c r="A79" s="334" t="s">
        <v>145</v>
      </c>
      <c r="B79" s="335" t="s">
        <v>146</v>
      </c>
      <c r="C79" s="336">
        <v>0</v>
      </c>
      <c r="D79" s="336">
        <v>0</v>
      </c>
      <c r="E79" s="337">
        <v>620465.6</v>
      </c>
      <c r="F79" s="337">
        <v>0</v>
      </c>
      <c r="G79" s="336">
        <f t="shared" si="3"/>
        <v>620465.6</v>
      </c>
      <c r="H79" s="336">
        <f t="shared" si="4"/>
        <v>0</v>
      </c>
      <c r="I79" s="339"/>
      <c r="J79" s="109"/>
    </row>
    <row r="80" spans="1:10" s="108" customFormat="1" hidden="1" x14ac:dyDescent="0.2">
      <c r="A80" s="334" t="s">
        <v>147</v>
      </c>
      <c r="B80" s="335" t="s">
        <v>148</v>
      </c>
      <c r="C80" s="336">
        <v>0</v>
      </c>
      <c r="D80" s="336">
        <v>0</v>
      </c>
      <c r="E80" s="337">
        <v>0</v>
      </c>
      <c r="F80" s="337">
        <v>0</v>
      </c>
      <c r="G80" s="336">
        <f t="shared" si="3"/>
        <v>0</v>
      </c>
      <c r="H80" s="336">
        <f t="shared" si="4"/>
        <v>0</v>
      </c>
      <c r="I80" s="339"/>
      <c r="J80" s="109"/>
    </row>
    <row r="81" spans="1:10" s="108" customFormat="1" hidden="1" x14ac:dyDescent="0.2">
      <c r="A81" s="334" t="s">
        <v>149</v>
      </c>
      <c r="B81" s="335" t="s">
        <v>150</v>
      </c>
      <c r="C81" s="336">
        <v>0</v>
      </c>
      <c r="D81" s="336">
        <v>0</v>
      </c>
      <c r="E81" s="337">
        <v>0</v>
      </c>
      <c r="F81" s="337">
        <v>0</v>
      </c>
      <c r="G81" s="336">
        <f t="shared" si="3"/>
        <v>0</v>
      </c>
      <c r="H81" s="336">
        <f t="shared" si="4"/>
        <v>0</v>
      </c>
      <c r="I81" s="339"/>
      <c r="J81" s="109"/>
    </row>
    <row r="82" spans="1:10" s="108" customFormat="1" hidden="1" x14ac:dyDescent="0.2">
      <c r="A82" s="334" t="s">
        <v>151</v>
      </c>
      <c r="B82" s="335" t="s">
        <v>152</v>
      </c>
      <c r="C82" s="336">
        <v>4466.05</v>
      </c>
      <c r="D82" s="336">
        <v>0</v>
      </c>
      <c r="E82" s="337">
        <v>136194.06</v>
      </c>
      <c r="F82" s="337">
        <v>141083.12</v>
      </c>
      <c r="G82" s="336">
        <f t="shared" si="3"/>
        <v>140660.10999999999</v>
      </c>
      <c r="H82" s="336">
        <f t="shared" si="4"/>
        <v>141083.12</v>
      </c>
      <c r="I82" s="339"/>
      <c r="J82" s="109"/>
    </row>
    <row r="83" spans="1:10" s="108" customFormat="1" hidden="1" x14ac:dyDescent="0.2">
      <c r="A83" s="334" t="s">
        <v>153</v>
      </c>
      <c r="B83" s="335" t="s">
        <v>154</v>
      </c>
      <c r="C83" s="336">
        <v>0</v>
      </c>
      <c r="D83" s="336">
        <v>147816.23000000001</v>
      </c>
      <c r="E83" s="337">
        <v>431890.54</v>
      </c>
      <c r="F83" s="337">
        <v>278751.45</v>
      </c>
      <c r="G83" s="336">
        <f t="shared" si="3"/>
        <v>431890.54</v>
      </c>
      <c r="H83" s="336">
        <f t="shared" si="4"/>
        <v>426567.68000000005</v>
      </c>
      <c r="I83" s="339"/>
      <c r="J83" s="109"/>
    </row>
    <row r="84" spans="1:10" s="108" customFormat="1" hidden="1" x14ac:dyDescent="0.2">
      <c r="A84" s="334" t="s">
        <v>155</v>
      </c>
      <c r="B84" s="335" t="s">
        <v>156</v>
      </c>
      <c r="C84" s="336">
        <v>0</v>
      </c>
      <c r="D84" s="336">
        <v>0</v>
      </c>
      <c r="E84" s="337">
        <v>0</v>
      </c>
      <c r="F84" s="337">
        <v>0</v>
      </c>
      <c r="G84" s="336">
        <f t="shared" si="3"/>
        <v>0</v>
      </c>
      <c r="H84" s="336">
        <f t="shared" si="4"/>
        <v>0</v>
      </c>
      <c r="I84" s="339"/>
      <c r="J84" s="109"/>
    </row>
    <row r="85" spans="1:10" s="108" customFormat="1" hidden="1" x14ac:dyDescent="0.2">
      <c r="A85" s="334" t="s">
        <v>157</v>
      </c>
      <c r="B85" s="335" t="s">
        <v>158</v>
      </c>
      <c r="C85" s="336">
        <v>0</v>
      </c>
      <c r="D85" s="336">
        <v>0</v>
      </c>
      <c r="E85" s="337">
        <v>1458138.85</v>
      </c>
      <c r="F85" s="337">
        <v>1458138.85</v>
      </c>
      <c r="G85" s="336">
        <f t="shared" si="3"/>
        <v>1458138.85</v>
      </c>
      <c r="H85" s="336">
        <f t="shared" si="4"/>
        <v>1458138.85</v>
      </c>
      <c r="I85" s="339"/>
      <c r="J85" s="109"/>
    </row>
    <row r="86" spans="1:10" s="108" customFormat="1" hidden="1" x14ac:dyDescent="0.2">
      <c r="A86" s="334" t="s">
        <v>159</v>
      </c>
      <c r="B86" s="335" t="s">
        <v>160</v>
      </c>
      <c r="C86" s="336">
        <v>0</v>
      </c>
      <c r="D86" s="336">
        <v>0</v>
      </c>
      <c r="E86" s="337">
        <v>1104895</v>
      </c>
      <c r="F86" s="337">
        <v>1104895</v>
      </c>
      <c r="G86" s="336">
        <f t="shared" si="3"/>
        <v>1104895</v>
      </c>
      <c r="H86" s="336">
        <f t="shared" si="4"/>
        <v>1104895</v>
      </c>
      <c r="I86" s="339"/>
      <c r="J86" s="109"/>
    </row>
    <row r="87" spans="1:10" s="108" customFormat="1" hidden="1" x14ac:dyDescent="0.2">
      <c r="A87" s="334" t="s">
        <v>161</v>
      </c>
      <c r="B87" s="335" t="s">
        <v>162</v>
      </c>
      <c r="C87" s="336">
        <v>0</v>
      </c>
      <c r="D87" s="336">
        <v>0</v>
      </c>
      <c r="E87" s="337">
        <v>18195.79</v>
      </c>
      <c r="F87" s="337">
        <v>192.23</v>
      </c>
      <c r="G87" s="336">
        <f t="shared" si="3"/>
        <v>18195.79</v>
      </c>
      <c r="H87" s="336">
        <f t="shared" si="4"/>
        <v>192.23</v>
      </c>
      <c r="I87" s="339"/>
      <c r="J87" s="109"/>
    </row>
    <row r="88" spans="1:10" s="108" customFormat="1" hidden="1" x14ac:dyDescent="0.2">
      <c r="A88" s="334" t="s">
        <v>163</v>
      </c>
      <c r="B88" s="335" t="s">
        <v>164</v>
      </c>
      <c r="C88" s="336">
        <v>4587</v>
      </c>
      <c r="D88" s="336">
        <v>0</v>
      </c>
      <c r="E88" s="337">
        <v>93922.9</v>
      </c>
      <c r="F88" s="337">
        <v>87748.94</v>
      </c>
      <c r="G88" s="336">
        <f t="shared" si="3"/>
        <v>98509.9</v>
      </c>
      <c r="H88" s="336">
        <f t="shared" si="4"/>
        <v>87748.94</v>
      </c>
      <c r="I88" s="339"/>
      <c r="J88" s="109"/>
    </row>
    <row r="89" spans="1:10" s="108" customFormat="1" hidden="1" x14ac:dyDescent="0.2">
      <c r="A89" s="334" t="s">
        <v>165</v>
      </c>
      <c r="B89" s="335" t="s">
        <v>166</v>
      </c>
      <c r="C89" s="336">
        <v>84.17</v>
      </c>
      <c r="D89" s="336">
        <v>0</v>
      </c>
      <c r="E89" s="337">
        <v>489195.59</v>
      </c>
      <c r="F89" s="337">
        <v>485379.66</v>
      </c>
      <c r="G89" s="336">
        <f t="shared" si="3"/>
        <v>489279.76</v>
      </c>
      <c r="H89" s="336">
        <f t="shared" si="4"/>
        <v>485379.66</v>
      </c>
      <c r="I89" s="339"/>
      <c r="J89" s="109"/>
    </row>
    <row r="90" spans="1:10" s="108" customFormat="1" hidden="1" x14ac:dyDescent="0.2">
      <c r="A90" s="334" t="s">
        <v>167</v>
      </c>
      <c r="B90" s="335" t="s">
        <v>168</v>
      </c>
      <c r="C90" s="336">
        <v>0</v>
      </c>
      <c r="D90" s="336">
        <v>0</v>
      </c>
      <c r="E90" s="337">
        <v>2539.3000000000002</v>
      </c>
      <c r="F90" s="337">
        <v>1825.4</v>
      </c>
      <c r="G90" s="336">
        <f t="shared" si="3"/>
        <v>2539.3000000000002</v>
      </c>
      <c r="H90" s="336">
        <f t="shared" si="4"/>
        <v>1825.4</v>
      </c>
      <c r="I90" s="339"/>
      <c r="J90" s="109"/>
    </row>
    <row r="91" spans="1:10" s="108" customFormat="1" hidden="1" x14ac:dyDescent="0.2">
      <c r="A91" s="334" t="s">
        <v>169</v>
      </c>
      <c r="B91" s="335" t="s">
        <v>170</v>
      </c>
      <c r="C91" s="336">
        <v>0</v>
      </c>
      <c r="D91" s="336">
        <v>0</v>
      </c>
      <c r="E91" s="337">
        <v>147321.85999999999</v>
      </c>
      <c r="F91" s="337">
        <v>143531.63</v>
      </c>
      <c r="G91" s="336">
        <f t="shared" si="3"/>
        <v>147321.85999999999</v>
      </c>
      <c r="H91" s="336">
        <f t="shared" si="4"/>
        <v>143531.63</v>
      </c>
      <c r="I91" s="339"/>
      <c r="J91" s="109"/>
    </row>
    <row r="92" spans="1:10" s="108" customFormat="1" hidden="1" x14ac:dyDescent="0.2">
      <c r="A92" s="334" t="s">
        <v>171</v>
      </c>
      <c r="B92" s="335" t="s">
        <v>172</v>
      </c>
      <c r="C92" s="336">
        <v>2500</v>
      </c>
      <c r="D92" s="336">
        <v>0</v>
      </c>
      <c r="E92" s="337">
        <v>0</v>
      </c>
      <c r="F92" s="337">
        <v>0</v>
      </c>
      <c r="G92" s="336">
        <f t="shared" si="3"/>
        <v>2500</v>
      </c>
      <c r="H92" s="336">
        <f t="shared" si="4"/>
        <v>0</v>
      </c>
      <c r="I92" s="339"/>
      <c r="J92" s="109"/>
    </row>
    <row r="93" spans="1:10" s="108" customFormat="1" hidden="1" x14ac:dyDescent="0.2">
      <c r="A93" s="334" t="s">
        <v>173</v>
      </c>
      <c r="B93" s="335" t="s">
        <v>174</v>
      </c>
      <c r="C93" s="336">
        <v>1911.75</v>
      </c>
      <c r="D93" s="336">
        <v>0</v>
      </c>
      <c r="E93" s="337">
        <v>14993.5</v>
      </c>
      <c r="F93" s="337">
        <v>5589.55</v>
      </c>
      <c r="G93" s="336">
        <f t="shared" si="3"/>
        <v>16905.25</v>
      </c>
      <c r="H93" s="336">
        <f t="shared" si="4"/>
        <v>5589.55</v>
      </c>
      <c r="I93" s="339"/>
      <c r="J93" s="109"/>
    </row>
    <row r="94" spans="1:10" s="108" customFormat="1" hidden="1" x14ac:dyDescent="0.2">
      <c r="A94" s="334" t="s">
        <v>175</v>
      </c>
      <c r="B94" s="335" t="s">
        <v>1011</v>
      </c>
      <c r="C94" s="336">
        <v>0</v>
      </c>
      <c r="D94" s="336">
        <v>0</v>
      </c>
      <c r="E94" s="337">
        <v>4336.7700000000004</v>
      </c>
      <c r="F94" s="337">
        <v>4058.25</v>
      </c>
      <c r="G94" s="336">
        <f t="shared" si="3"/>
        <v>4336.7700000000004</v>
      </c>
      <c r="H94" s="336">
        <f t="shared" si="4"/>
        <v>4058.25</v>
      </c>
      <c r="I94" s="339"/>
      <c r="J94" s="109"/>
    </row>
    <row r="95" spans="1:10" s="108" customFormat="1" hidden="1" x14ac:dyDescent="0.2">
      <c r="A95" s="334" t="s">
        <v>176</v>
      </c>
      <c r="B95" s="335" t="s">
        <v>177</v>
      </c>
      <c r="C95" s="336">
        <v>55293.279999999999</v>
      </c>
      <c r="D95" s="336">
        <v>0</v>
      </c>
      <c r="E95" s="337">
        <v>1853849.18</v>
      </c>
      <c r="F95" s="337">
        <v>1851813.4</v>
      </c>
      <c r="G95" s="336">
        <f t="shared" si="3"/>
        <v>1909142.46</v>
      </c>
      <c r="H95" s="336">
        <f t="shared" si="4"/>
        <v>1851813.4</v>
      </c>
      <c r="I95" s="339"/>
      <c r="J95" s="109"/>
    </row>
    <row r="96" spans="1:10" s="108" customFormat="1" hidden="1" x14ac:dyDescent="0.2">
      <c r="A96" s="334" t="s">
        <v>178</v>
      </c>
      <c r="B96" s="335" t="s">
        <v>179</v>
      </c>
      <c r="C96" s="336">
        <v>42083.26</v>
      </c>
      <c r="D96" s="336">
        <v>0</v>
      </c>
      <c r="E96" s="337">
        <v>1116874.72</v>
      </c>
      <c r="F96" s="337">
        <v>1074646.99</v>
      </c>
      <c r="G96" s="336">
        <f t="shared" si="3"/>
        <v>1158957.98</v>
      </c>
      <c r="H96" s="336">
        <f t="shared" si="4"/>
        <v>1074646.99</v>
      </c>
      <c r="I96" s="339"/>
      <c r="J96" s="109"/>
    </row>
    <row r="97" spans="1:10" s="108" customFormat="1" hidden="1" x14ac:dyDescent="0.2">
      <c r="A97" s="334" t="s">
        <v>180</v>
      </c>
      <c r="B97" s="335" t="s">
        <v>181</v>
      </c>
      <c r="C97" s="336">
        <v>0</v>
      </c>
      <c r="D97" s="336">
        <v>0</v>
      </c>
      <c r="E97" s="337">
        <v>0</v>
      </c>
      <c r="F97" s="337">
        <v>907.77</v>
      </c>
      <c r="G97" s="336">
        <f t="shared" si="3"/>
        <v>0</v>
      </c>
      <c r="H97" s="336">
        <f t="shared" si="4"/>
        <v>907.77</v>
      </c>
      <c r="I97" s="339"/>
      <c r="J97" s="109"/>
    </row>
    <row r="98" spans="1:10" s="108" customFormat="1" hidden="1" x14ac:dyDescent="0.2">
      <c r="A98" s="334" t="s">
        <v>182</v>
      </c>
      <c r="B98" s="335" t="s">
        <v>183</v>
      </c>
      <c r="C98" s="336">
        <v>0</v>
      </c>
      <c r="D98" s="336">
        <v>0</v>
      </c>
      <c r="E98" s="337">
        <v>0</v>
      </c>
      <c r="F98" s="337">
        <v>137.1</v>
      </c>
      <c r="G98" s="336">
        <f t="shared" si="3"/>
        <v>0</v>
      </c>
      <c r="H98" s="336">
        <f t="shared" si="4"/>
        <v>137.1</v>
      </c>
      <c r="I98" s="339"/>
      <c r="J98" s="109"/>
    </row>
    <row r="99" spans="1:10" s="108" customFormat="1" hidden="1" x14ac:dyDescent="0.2">
      <c r="A99" s="334" t="s">
        <v>184</v>
      </c>
      <c r="B99" s="335" t="s">
        <v>185</v>
      </c>
      <c r="C99" s="336">
        <v>0</v>
      </c>
      <c r="D99" s="336">
        <v>0</v>
      </c>
      <c r="E99" s="337">
        <v>0</v>
      </c>
      <c r="F99" s="337">
        <v>0</v>
      </c>
      <c r="G99" s="336">
        <f t="shared" si="3"/>
        <v>0</v>
      </c>
      <c r="H99" s="336">
        <f t="shared" si="4"/>
        <v>0</v>
      </c>
      <c r="I99" s="339"/>
      <c r="J99" s="109"/>
    </row>
    <row r="100" spans="1:10" s="108" customFormat="1" hidden="1" x14ac:dyDescent="0.2">
      <c r="A100" s="334" t="s">
        <v>186</v>
      </c>
      <c r="B100" s="335" t="s">
        <v>187</v>
      </c>
      <c r="C100" s="336">
        <v>4952.49</v>
      </c>
      <c r="D100" s="336">
        <v>0</v>
      </c>
      <c r="E100" s="337">
        <v>42830.75</v>
      </c>
      <c r="F100" s="337">
        <v>47657.85</v>
      </c>
      <c r="G100" s="336">
        <f t="shared" si="3"/>
        <v>47783.24</v>
      </c>
      <c r="H100" s="336">
        <f t="shared" si="4"/>
        <v>47657.85</v>
      </c>
      <c r="I100" s="339"/>
      <c r="J100" s="109"/>
    </row>
    <row r="101" spans="1:10" s="108" customFormat="1" hidden="1" x14ac:dyDescent="0.2">
      <c r="A101" s="334" t="s">
        <v>188</v>
      </c>
      <c r="B101" s="335" t="s">
        <v>189</v>
      </c>
      <c r="C101" s="336">
        <v>0</v>
      </c>
      <c r="D101" s="336">
        <v>0</v>
      </c>
      <c r="E101" s="337">
        <v>0</v>
      </c>
      <c r="F101" s="337">
        <v>0</v>
      </c>
      <c r="G101" s="336">
        <f t="shared" si="3"/>
        <v>0</v>
      </c>
      <c r="H101" s="336">
        <f t="shared" si="4"/>
        <v>0</v>
      </c>
      <c r="I101" s="339"/>
      <c r="J101" s="109"/>
    </row>
    <row r="102" spans="1:10" s="108" customFormat="1" hidden="1" x14ac:dyDescent="0.2">
      <c r="A102" s="334" t="s">
        <v>190</v>
      </c>
      <c r="B102" s="335" t="s">
        <v>191</v>
      </c>
      <c r="C102" s="336">
        <v>15473.620000000004</v>
      </c>
      <c r="D102" s="336">
        <v>0</v>
      </c>
      <c r="E102" s="337">
        <v>12749.05</v>
      </c>
      <c r="F102" s="337">
        <v>16173.03</v>
      </c>
      <c r="G102" s="336">
        <f t="shared" si="3"/>
        <v>28222.670000000006</v>
      </c>
      <c r="H102" s="336">
        <f t="shared" si="4"/>
        <v>16173.03</v>
      </c>
      <c r="I102" s="339"/>
      <c r="J102" s="109"/>
    </row>
    <row r="103" spans="1:10" s="108" customFormat="1" hidden="1" x14ac:dyDescent="0.2">
      <c r="A103" s="334" t="s">
        <v>192</v>
      </c>
      <c r="B103" s="335" t="s">
        <v>193</v>
      </c>
      <c r="C103" s="336">
        <v>0</v>
      </c>
      <c r="D103" s="336">
        <v>0</v>
      </c>
      <c r="E103" s="337">
        <v>0</v>
      </c>
      <c r="F103" s="337">
        <v>0</v>
      </c>
      <c r="G103" s="336">
        <f t="shared" si="3"/>
        <v>0</v>
      </c>
      <c r="H103" s="336">
        <f t="shared" si="4"/>
        <v>0</v>
      </c>
      <c r="I103" s="339"/>
      <c r="J103" s="109"/>
    </row>
    <row r="104" spans="1:10" s="108" customFormat="1" hidden="1" x14ac:dyDescent="0.2">
      <c r="A104" s="334" t="s">
        <v>194</v>
      </c>
      <c r="B104" s="335" t="s">
        <v>195</v>
      </c>
      <c r="C104" s="336">
        <v>0</v>
      </c>
      <c r="D104" s="336">
        <v>0</v>
      </c>
      <c r="E104" s="337">
        <v>0</v>
      </c>
      <c r="F104" s="337">
        <v>0</v>
      </c>
      <c r="G104" s="336">
        <f t="shared" si="3"/>
        <v>0</v>
      </c>
      <c r="H104" s="336">
        <f t="shared" si="4"/>
        <v>0</v>
      </c>
      <c r="I104" s="339"/>
      <c r="J104" s="109"/>
    </row>
    <row r="105" spans="1:10" s="108" customFormat="1" hidden="1" x14ac:dyDescent="0.2">
      <c r="A105" s="334" t="s">
        <v>196</v>
      </c>
      <c r="B105" s="335" t="s">
        <v>197</v>
      </c>
      <c r="C105" s="336">
        <v>41951.39</v>
      </c>
      <c r="D105" s="336">
        <v>0</v>
      </c>
      <c r="E105" s="337">
        <v>2570281.09</v>
      </c>
      <c r="F105" s="337">
        <v>2116740.3199999998</v>
      </c>
      <c r="G105" s="336">
        <f t="shared" si="3"/>
        <v>2612232.48</v>
      </c>
      <c r="H105" s="336">
        <f t="shared" si="4"/>
        <v>2116740.3199999998</v>
      </c>
      <c r="I105" s="339"/>
      <c r="J105" s="109"/>
    </row>
    <row r="106" spans="1:10" s="108" customFormat="1" hidden="1" x14ac:dyDescent="0.2">
      <c r="A106" s="334" t="s">
        <v>198</v>
      </c>
      <c r="B106" s="335" t="s">
        <v>199</v>
      </c>
      <c r="C106" s="336">
        <v>4634898.6900000004</v>
      </c>
      <c r="D106" s="336">
        <v>0</v>
      </c>
      <c r="E106" s="337">
        <v>4432141.6900000004</v>
      </c>
      <c r="F106" s="337">
        <v>4769808.78</v>
      </c>
      <c r="G106" s="336">
        <f t="shared" si="3"/>
        <v>9067040.3800000008</v>
      </c>
      <c r="H106" s="336">
        <f t="shared" si="4"/>
        <v>4769808.78</v>
      </c>
      <c r="I106" s="339"/>
      <c r="J106" s="109"/>
    </row>
    <row r="107" spans="1:10" s="108" customFormat="1" hidden="1" x14ac:dyDescent="0.2">
      <c r="A107" s="334" t="s">
        <v>200</v>
      </c>
      <c r="B107" s="335" t="s">
        <v>201</v>
      </c>
      <c r="C107" s="336">
        <v>3320.4</v>
      </c>
      <c r="D107" s="336">
        <v>0</v>
      </c>
      <c r="E107" s="337">
        <v>9566.67</v>
      </c>
      <c r="F107" s="337">
        <v>0</v>
      </c>
      <c r="G107" s="336">
        <f t="shared" si="3"/>
        <v>12887.07</v>
      </c>
      <c r="H107" s="336">
        <f t="shared" si="4"/>
        <v>0</v>
      </c>
      <c r="I107" s="339"/>
      <c r="J107" s="109"/>
    </row>
    <row r="108" spans="1:10" s="108" customFormat="1" hidden="1" x14ac:dyDescent="0.2">
      <c r="A108" s="334" t="s">
        <v>202</v>
      </c>
      <c r="B108" s="335" t="s">
        <v>203</v>
      </c>
      <c r="C108" s="336">
        <v>766.74</v>
      </c>
      <c r="D108" s="336">
        <v>0</v>
      </c>
      <c r="E108" s="337">
        <v>26662.39</v>
      </c>
      <c r="F108" s="337">
        <v>3442.86</v>
      </c>
      <c r="G108" s="336">
        <f t="shared" si="3"/>
        <v>27429.13</v>
      </c>
      <c r="H108" s="336">
        <f t="shared" si="4"/>
        <v>3442.86</v>
      </c>
      <c r="I108" s="339"/>
      <c r="J108" s="109"/>
    </row>
    <row r="109" spans="1:10" s="108" customFormat="1" hidden="1" x14ac:dyDescent="0.2">
      <c r="A109" s="334" t="s">
        <v>204</v>
      </c>
      <c r="B109" s="335" t="s">
        <v>205</v>
      </c>
      <c r="C109" s="336">
        <v>0</v>
      </c>
      <c r="D109" s="336">
        <v>0</v>
      </c>
      <c r="E109" s="337">
        <v>3071.6</v>
      </c>
      <c r="F109" s="337">
        <v>0</v>
      </c>
      <c r="G109" s="336">
        <f t="shared" si="3"/>
        <v>3071.6</v>
      </c>
      <c r="H109" s="336">
        <f t="shared" si="4"/>
        <v>0</v>
      </c>
      <c r="I109" s="339"/>
      <c r="J109" s="109"/>
    </row>
    <row r="110" spans="1:10" s="111" customFormat="1" ht="15" hidden="1" x14ac:dyDescent="0.25">
      <c r="A110" s="340" t="s">
        <v>894</v>
      </c>
      <c r="B110" s="335" t="s">
        <v>896</v>
      </c>
      <c r="C110" s="336">
        <v>0</v>
      </c>
      <c r="D110" s="336">
        <v>2506.6999999999994</v>
      </c>
      <c r="E110" s="337">
        <v>2989.37</v>
      </c>
      <c r="F110" s="337">
        <v>1536.09</v>
      </c>
      <c r="G110" s="336">
        <f t="shared" si="3"/>
        <v>2989.37</v>
      </c>
      <c r="H110" s="336">
        <f t="shared" si="4"/>
        <v>4042.7899999999991</v>
      </c>
      <c r="I110" s="341"/>
      <c r="J110" s="112"/>
    </row>
    <row r="111" spans="1:10" s="111" customFormat="1" ht="18" customHeight="1" x14ac:dyDescent="0.2">
      <c r="A111" s="542" t="s">
        <v>895</v>
      </c>
      <c r="B111" s="530" t="s">
        <v>1345</v>
      </c>
      <c r="C111" s="531">
        <v>0</v>
      </c>
      <c r="D111" s="531">
        <v>153790.06</v>
      </c>
      <c r="E111" s="531">
        <v>132882</v>
      </c>
      <c r="F111" s="531">
        <v>50000</v>
      </c>
      <c r="G111" s="531">
        <v>0</v>
      </c>
      <c r="H111" s="531">
        <f>+D111+F111-E111</f>
        <v>70908.06</v>
      </c>
      <c r="I111" s="532" t="s">
        <v>1147</v>
      </c>
      <c r="J111" s="112"/>
    </row>
    <row r="112" spans="1:10" s="108" customFormat="1" hidden="1" x14ac:dyDescent="0.2">
      <c r="A112" s="542" t="s">
        <v>898</v>
      </c>
      <c r="B112" s="530"/>
      <c r="C112" s="531">
        <f>938102.33+30000</f>
        <v>968102.33</v>
      </c>
      <c r="D112" s="531">
        <v>0</v>
      </c>
      <c r="E112" s="531">
        <v>0</v>
      </c>
      <c r="F112" s="531">
        <v>0</v>
      </c>
      <c r="G112" s="531">
        <f t="shared" si="3"/>
        <v>968102.33</v>
      </c>
      <c r="H112" s="531">
        <f t="shared" si="4"/>
        <v>0</v>
      </c>
      <c r="I112" s="532"/>
      <c r="J112" s="109"/>
    </row>
    <row r="113" spans="1:11" s="111" customFormat="1" ht="18" customHeight="1" x14ac:dyDescent="0.2">
      <c r="A113" s="542" t="s">
        <v>899</v>
      </c>
      <c r="B113" s="530" t="s">
        <v>1346</v>
      </c>
      <c r="C113" s="531">
        <v>0</v>
      </c>
      <c r="D113" s="531">
        <v>30000</v>
      </c>
      <c r="E113" s="531">
        <v>7000</v>
      </c>
      <c r="F113" s="531">
        <v>27000</v>
      </c>
      <c r="G113" s="531">
        <v>0</v>
      </c>
      <c r="H113" s="531">
        <f>+D113+F113-E113</f>
        <v>50000</v>
      </c>
      <c r="I113" s="532" t="s">
        <v>1148</v>
      </c>
      <c r="J113" s="112"/>
      <c r="K113" s="181"/>
    </row>
    <row r="114" spans="1:11" s="108" customFormat="1" hidden="1" x14ac:dyDescent="0.2">
      <c r="A114" s="542" t="s">
        <v>900</v>
      </c>
      <c r="B114" s="530"/>
      <c r="C114" s="531">
        <f>5722428.2+478808.34-2900000</f>
        <v>3301236.54</v>
      </c>
      <c r="D114" s="531">
        <v>0</v>
      </c>
      <c r="E114" s="531">
        <v>3894002.24</v>
      </c>
      <c r="F114" s="531">
        <v>0</v>
      </c>
      <c r="G114" s="531">
        <f t="shared" si="3"/>
        <v>7195238.7800000003</v>
      </c>
      <c r="H114" s="531">
        <f t="shared" si="4"/>
        <v>0</v>
      </c>
      <c r="I114" s="532"/>
      <c r="J114" s="109"/>
    </row>
    <row r="115" spans="1:11" s="111" customFormat="1" ht="18" hidden="1" customHeight="1" x14ac:dyDescent="0.2">
      <c r="A115" s="542" t="s">
        <v>901</v>
      </c>
      <c r="B115" s="530" t="s">
        <v>1347</v>
      </c>
      <c r="C115" s="531">
        <v>2900000</v>
      </c>
      <c r="D115" s="531">
        <v>0</v>
      </c>
      <c r="E115" s="531">
        <v>600000</v>
      </c>
      <c r="F115" s="531">
        <v>0</v>
      </c>
      <c r="G115" s="531">
        <f t="shared" si="3"/>
        <v>3500000</v>
      </c>
      <c r="H115" s="531">
        <f t="shared" si="4"/>
        <v>0</v>
      </c>
      <c r="I115" s="532" t="s">
        <v>1155</v>
      </c>
      <c r="J115" s="112"/>
      <c r="K115" s="181">
        <f>+G115*28%</f>
        <v>980000.00000000012</v>
      </c>
    </row>
    <row r="116" spans="1:11" s="108" customFormat="1" hidden="1" x14ac:dyDescent="0.2">
      <c r="A116" s="543" t="s">
        <v>206</v>
      </c>
      <c r="B116" s="530"/>
      <c r="C116" s="531">
        <v>1371843.32</v>
      </c>
      <c r="D116" s="531">
        <v>0</v>
      </c>
      <c r="E116" s="531">
        <v>0</v>
      </c>
      <c r="F116" s="531">
        <v>809706.26</v>
      </c>
      <c r="G116" s="531">
        <f t="shared" si="3"/>
        <v>1371843.32</v>
      </c>
      <c r="H116" s="531">
        <f t="shared" si="4"/>
        <v>809706.26</v>
      </c>
      <c r="I116" s="532"/>
      <c r="J116" s="109"/>
    </row>
    <row r="117" spans="1:11" s="108" customFormat="1" hidden="1" x14ac:dyDescent="0.2">
      <c r="A117" s="543" t="s">
        <v>208</v>
      </c>
      <c r="B117" s="530"/>
      <c r="C117" s="531">
        <v>2519154.9</v>
      </c>
      <c r="D117" s="531">
        <v>0</v>
      </c>
      <c r="E117" s="531">
        <v>0</v>
      </c>
      <c r="F117" s="531">
        <v>350349.3</v>
      </c>
      <c r="G117" s="531">
        <f t="shared" si="3"/>
        <v>2519154.9</v>
      </c>
      <c r="H117" s="531">
        <f t="shared" si="4"/>
        <v>350349.3</v>
      </c>
      <c r="I117" s="532"/>
      <c r="J117" s="109"/>
    </row>
    <row r="118" spans="1:11" s="108" customFormat="1" hidden="1" x14ac:dyDescent="0.2">
      <c r="A118" s="543" t="s">
        <v>209</v>
      </c>
      <c r="B118" s="530"/>
      <c r="C118" s="531">
        <v>515031.98</v>
      </c>
      <c r="D118" s="531">
        <v>0</v>
      </c>
      <c r="E118" s="531">
        <v>7354.77</v>
      </c>
      <c r="F118" s="531">
        <v>405244.77</v>
      </c>
      <c r="G118" s="531">
        <f t="shared" si="3"/>
        <v>522386.75</v>
      </c>
      <c r="H118" s="531">
        <f t="shared" si="4"/>
        <v>405244.77</v>
      </c>
      <c r="I118" s="532"/>
      <c r="J118" s="109"/>
    </row>
    <row r="119" spans="1:11" s="108" customFormat="1" hidden="1" x14ac:dyDescent="0.2">
      <c r="A119" s="543" t="s">
        <v>210</v>
      </c>
      <c r="B119" s="530"/>
      <c r="C119" s="531">
        <v>257969.76</v>
      </c>
      <c r="D119" s="531">
        <v>0</v>
      </c>
      <c r="E119" s="531">
        <v>58393.72</v>
      </c>
      <c r="F119" s="531">
        <v>128939.8</v>
      </c>
      <c r="G119" s="531">
        <f t="shared" si="3"/>
        <v>316363.48</v>
      </c>
      <c r="H119" s="531">
        <f t="shared" si="4"/>
        <v>128939.8</v>
      </c>
      <c r="I119" s="532"/>
      <c r="J119" s="109"/>
    </row>
    <row r="120" spans="1:11" s="108" customFormat="1" hidden="1" x14ac:dyDescent="0.2">
      <c r="A120" s="543" t="s">
        <v>211</v>
      </c>
      <c r="B120" s="530"/>
      <c r="C120" s="531">
        <v>3492595.32</v>
      </c>
      <c r="D120" s="531">
        <v>0</v>
      </c>
      <c r="E120" s="531">
        <v>234326.96</v>
      </c>
      <c r="F120" s="531">
        <v>0</v>
      </c>
      <c r="G120" s="531">
        <f t="shared" si="3"/>
        <v>3726922.28</v>
      </c>
      <c r="H120" s="531">
        <f t="shared" si="4"/>
        <v>0</v>
      </c>
      <c r="I120" s="532"/>
      <c r="J120" s="109"/>
    </row>
    <row r="121" spans="1:11" s="108" customFormat="1" hidden="1" x14ac:dyDescent="0.2">
      <c r="A121" s="543" t="s">
        <v>212</v>
      </c>
      <c r="B121" s="530"/>
      <c r="C121" s="531">
        <v>971803.41</v>
      </c>
      <c r="D121" s="531">
        <v>0</v>
      </c>
      <c r="E121" s="531">
        <v>206170.61</v>
      </c>
      <c r="F121" s="531">
        <v>0</v>
      </c>
      <c r="G121" s="531">
        <f t="shared" si="3"/>
        <v>1177974.02</v>
      </c>
      <c r="H121" s="531">
        <f t="shared" si="4"/>
        <v>0</v>
      </c>
      <c r="I121" s="532"/>
      <c r="J121" s="109"/>
    </row>
    <row r="122" spans="1:11" s="108" customFormat="1" hidden="1" x14ac:dyDescent="0.2">
      <c r="A122" s="543" t="s">
        <v>213</v>
      </c>
      <c r="B122" s="530"/>
      <c r="C122" s="531">
        <v>2762797.76</v>
      </c>
      <c r="D122" s="531">
        <v>0</v>
      </c>
      <c r="E122" s="531">
        <v>85456.01</v>
      </c>
      <c r="F122" s="531">
        <v>31252.43</v>
      </c>
      <c r="G122" s="531">
        <f t="shared" si="3"/>
        <v>2848253.7699999996</v>
      </c>
      <c r="H122" s="531">
        <f t="shared" si="4"/>
        <v>31252.43</v>
      </c>
      <c r="I122" s="532"/>
      <c r="J122" s="109"/>
    </row>
    <row r="123" spans="1:11" s="108" customFormat="1" hidden="1" x14ac:dyDescent="0.2">
      <c r="A123" s="543" t="s">
        <v>214</v>
      </c>
      <c r="B123" s="530"/>
      <c r="C123" s="531">
        <v>131688</v>
      </c>
      <c r="D123" s="531">
        <v>0</v>
      </c>
      <c r="E123" s="531">
        <v>13749.68</v>
      </c>
      <c r="F123" s="531">
        <v>0</v>
      </c>
      <c r="G123" s="531">
        <f t="shared" si="3"/>
        <v>145437.68</v>
      </c>
      <c r="H123" s="531">
        <f t="shared" si="4"/>
        <v>0</v>
      </c>
      <c r="I123" s="532"/>
      <c r="J123" s="109"/>
    </row>
    <row r="124" spans="1:11" s="108" customFormat="1" hidden="1" x14ac:dyDescent="0.2">
      <c r="A124" s="543" t="s">
        <v>215</v>
      </c>
      <c r="B124" s="530"/>
      <c r="C124" s="531">
        <v>500261.51</v>
      </c>
      <c r="D124" s="531">
        <v>0</v>
      </c>
      <c r="E124" s="531">
        <v>283231.11</v>
      </c>
      <c r="F124" s="531">
        <v>3756.21</v>
      </c>
      <c r="G124" s="531">
        <f t="shared" si="3"/>
        <v>783492.62</v>
      </c>
      <c r="H124" s="531">
        <f t="shared" si="4"/>
        <v>3756.21</v>
      </c>
      <c r="I124" s="532"/>
      <c r="J124" s="109"/>
    </row>
    <row r="125" spans="1:11" s="108" customFormat="1" hidden="1" x14ac:dyDescent="0.2">
      <c r="A125" s="543" t="s">
        <v>216</v>
      </c>
      <c r="B125" s="530"/>
      <c r="C125" s="531">
        <v>206818.18</v>
      </c>
      <c r="D125" s="531">
        <v>0</v>
      </c>
      <c r="E125" s="531">
        <v>184955.94</v>
      </c>
      <c r="F125" s="531">
        <v>0</v>
      </c>
      <c r="G125" s="531">
        <f t="shared" si="3"/>
        <v>391774.12</v>
      </c>
      <c r="H125" s="531">
        <f t="shared" si="4"/>
        <v>0</v>
      </c>
      <c r="I125" s="532"/>
      <c r="J125" s="109"/>
    </row>
    <row r="126" spans="1:11" s="108" customFormat="1" hidden="1" x14ac:dyDescent="0.2">
      <c r="A126" s="543" t="s">
        <v>217</v>
      </c>
      <c r="B126" s="530"/>
      <c r="C126" s="531">
        <v>0</v>
      </c>
      <c r="D126" s="531">
        <v>0</v>
      </c>
      <c r="E126" s="531">
        <v>7338.05</v>
      </c>
      <c r="F126" s="531">
        <v>7338.05</v>
      </c>
      <c r="G126" s="531">
        <f t="shared" si="3"/>
        <v>7338.05</v>
      </c>
      <c r="H126" s="531">
        <f t="shared" si="4"/>
        <v>7338.05</v>
      </c>
      <c r="I126" s="532"/>
      <c r="J126" s="109"/>
    </row>
    <row r="127" spans="1:11" s="108" customFormat="1" hidden="1" x14ac:dyDescent="0.2">
      <c r="A127" s="543" t="s">
        <v>218</v>
      </c>
      <c r="B127" s="530"/>
      <c r="C127" s="531">
        <v>0</v>
      </c>
      <c r="D127" s="531">
        <v>0</v>
      </c>
      <c r="E127" s="531">
        <v>181199.73</v>
      </c>
      <c r="F127" s="531">
        <v>181199.73</v>
      </c>
      <c r="G127" s="531">
        <f t="shared" si="3"/>
        <v>181199.73</v>
      </c>
      <c r="H127" s="531">
        <f t="shared" si="4"/>
        <v>181199.73</v>
      </c>
      <c r="I127" s="532"/>
      <c r="J127" s="109"/>
    </row>
    <row r="128" spans="1:11" s="108" customFormat="1" hidden="1" x14ac:dyDescent="0.2">
      <c r="A128" s="543" t="s">
        <v>219</v>
      </c>
      <c r="B128" s="530"/>
      <c r="C128" s="531">
        <v>303763.73</v>
      </c>
      <c r="D128" s="531">
        <v>0</v>
      </c>
      <c r="E128" s="531">
        <v>56655.92</v>
      </c>
      <c r="F128" s="531">
        <v>0</v>
      </c>
      <c r="G128" s="531">
        <f t="shared" si="3"/>
        <v>360419.64999999997</v>
      </c>
      <c r="H128" s="531">
        <f t="shared" si="4"/>
        <v>0</v>
      </c>
      <c r="I128" s="532"/>
      <c r="J128" s="109"/>
    </row>
    <row r="129" spans="1:10" s="108" customFormat="1" hidden="1" x14ac:dyDescent="0.2">
      <c r="A129" s="543" t="s">
        <v>220</v>
      </c>
      <c r="B129" s="530"/>
      <c r="C129" s="531">
        <v>2172.71</v>
      </c>
      <c r="D129" s="531">
        <v>0</v>
      </c>
      <c r="E129" s="531">
        <v>4880.67</v>
      </c>
      <c r="F129" s="531">
        <v>0</v>
      </c>
      <c r="G129" s="531">
        <f t="shared" si="3"/>
        <v>7053.38</v>
      </c>
      <c r="H129" s="531">
        <f t="shared" si="4"/>
        <v>0</v>
      </c>
      <c r="I129" s="532"/>
      <c r="J129" s="109"/>
    </row>
    <row r="130" spans="1:10" s="108" customFormat="1" hidden="1" x14ac:dyDescent="0.2">
      <c r="A130" s="543" t="s">
        <v>221</v>
      </c>
      <c r="B130" s="530"/>
      <c r="C130" s="531">
        <v>0</v>
      </c>
      <c r="D130" s="531">
        <v>0</v>
      </c>
      <c r="E130" s="531">
        <v>38401.93</v>
      </c>
      <c r="F130" s="531">
        <v>1868.8</v>
      </c>
      <c r="G130" s="531">
        <f t="shared" si="3"/>
        <v>38401.93</v>
      </c>
      <c r="H130" s="531">
        <f t="shared" si="4"/>
        <v>1868.8</v>
      </c>
      <c r="I130" s="532"/>
      <c r="J130" s="109"/>
    </row>
    <row r="131" spans="1:10" s="108" customFormat="1" hidden="1" x14ac:dyDescent="0.2">
      <c r="A131" s="543" t="s">
        <v>222</v>
      </c>
      <c r="B131" s="530"/>
      <c r="C131" s="531">
        <v>0</v>
      </c>
      <c r="D131" s="531">
        <v>0</v>
      </c>
      <c r="E131" s="531">
        <v>37046</v>
      </c>
      <c r="F131" s="531">
        <v>7526</v>
      </c>
      <c r="G131" s="531">
        <f t="shared" si="3"/>
        <v>37046</v>
      </c>
      <c r="H131" s="531">
        <f t="shared" si="4"/>
        <v>7526</v>
      </c>
      <c r="I131" s="532"/>
      <c r="J131" s="109"/>
    </row>
    <row r="132" spans="1:10" s="108" customFormat="1" hidden="1" x14ac:dyDescent="0.2">
      <c r="A132" s="543" t="s">
        <v>223</v>
      </c>
      <c r="B132" s="530"/>
      <c r="C132" s="531">
        <v>95867.22</v>
      </c>
      <c r="D132" s="531">
        <v>0</v>
      </c>
      <c r="E132" s="531">
        <v>22317.08</v>
      </c>
      <c r="F132" s="531">
        <v>104284.92</v>
      </c>
      <c r="G132" s="531">
        <f t="shared" si="3"/>
        <v>118184.3</v>
      </c>
      <c r="H132" s="531">
        <f t="shared" si="4"/>
        <v>104284.92</v>
      </c>
      <c r="I132" s="532"/>
      <c r="J132" s="109"/>
    </row>
    <row r="133" spans="1:10" s="108" customFormat="1" hidden="1" x14ac:dyDescent="0.2">
      <c r="A133" s="543" t="s">
        <v>224</v>
      </c>
      <c r="B133" s="530"/>
      <c r="C133" s="531">
        <v>73425</v>
      </c>
      <c r="D133" s="531">
        <v>0</v>
      </c>
      <c r="E133" s="531">
        <v>0</v>
      </c>
      <c r="F133" s="531">
        <v>0</v>
      </c>
      <c r="G133" s="531">
        <f t="shared" si="3"/>
        <v>73425</v>
      </c>
      <c r="H133" s="531">
        <f t="shared" si="4"/>
        <v>0</v>
      </c>
      <c r="I133" s="532"/>
      <c r="J133" s="109"/>
    </row>
    <row r="134" spans="1:10" s="108" customFormat="1" hidden="1" x14ac:dyDescent="0.2">
      <c r="A134" s="543" t="s">
        <v>225</v>
      </c>
      <c r="B134" s="530"/>
      <c r="C134" s="531">
        <v>0</v>
      </c>
      <c r="D134" s="531">
        <v>0</v>
      </c>
      <c r="E134" s="531">
        <v>0</v>
      </c>
      <c r="F134" s="531">
        <v>0</v>
      </c>
      <c r="G134" s="531">
        <f t="shared" si="3"/>
        <v>0</v>
      </c>
      <c r="H134" s="531">
        <f t="shared" si="4"/>
        <v>0</v>
      </c>
      <c r="I134" s="532"/>
      <c r="J134" s="109"/>
    </row>
    <row r="135" spans="1:10" s="108" customFormat="1" hidden="1" x14ac:dyDescent="0.2">
      <c r="A135" s="543" t="s">
        <v>226</v>
      </c>
      <c r="B135" s="530"/>
      <c r="C135" s="531">
        <v>213.05</v>
      </c>
      <c r="D135" s="531">
        <v>0</v>
      </c>
      <c r="E135" s="531">
        <v>0</v>
      </c>
      <c r="F135" s="531">
        <v>213.05</v>
      </c>
      <c r="G135" s="531">
        <f t="shared" ref="G135:G198" si="5">+C135+E135</f>
        <v>213.05</v>
      </c>
      <c r="H135" s="531">
        <f t="shared" ref="H135:H198" si="6">+D135+F135</f>
        <v>213.05</v>
      </c>
      <c r="I135" s="532"/>
      <c r="J135" s="109"/>
    </row>
    <row r="136" spans="1:10" s="108" customFormat="1" hidden="1" x14ac:dyDescent="0.2">
      <c r="A136" s="543" t="s">
        <v>227</v>
      </c>
      <c r="B136" s="530"/>
      <c r="C136" s="531">
        <v>0</v>
      </c>
      <c r="D136" s="531">
        <v>0</v>
      </c>
      <c r="E136" s="531">
        <v>0</v>
      </c>
      <c r="F136" s="531">
        <v>0</v>
      </c>
      <c r="G136" s="531">
        <f t="shared" si="5"/>
        <v>0</v>
      </c>
      <c r="H136" s="531">
        <f t="shared" si="6"/>
        <v>0</v>
      </c>
      <c r="I136" s="532"/>
      <c r="J136" s="109"/>
    </row>
    <row r="137" spans="1:10" s="108" customFormat="1" hidden="1" x14ac:dyDescent="0.2">
      <c r="A137" s="543" t="s">
        <v>228</v>
      </c>
      <c r="B137" s="530"/>
      <c r="C137" s="531">
        <v>0</v>
      </c>
      <c r="D137" s="531">
        <v>0</v>
      </c>
      <c r="E137" s="531">
        <v>0</v>
      </c>
      <c r="F137" s="531">
        <v>0</v>
      </c>
      <c r="G137" s="531">
        <f t="shared" si="5"/>
        <v>0</v>
      </c>
      <c r="H137" s="531">
        <f t="shared" si="6"/>
        <v>0</v>
      </c>
      <c r="I137" s="532"/>
      <c r="J137" s="109"/>
    </row>
    <row r="138" spans="1:10" s="108" customFormat="1" hidden="1" x14ac:dyDescent="0.2">
      <c r="A138" s="543" t="s">
        <v>229</v>
      </c>
      <c r="B138" s="530"/>
      <c r="C138" s="531">
        <v>0</v>
      </c>
      <c r="D138" s="531">
        <v>0</v>
      </c>
      <c r="E138" s="531">
        <v>0</v>
      </c>
      <c r="F138" s="531">
        <v>0</v>
      </c>
      <c r="G138" s="531">
        <f t="shared" si="5"/>
        <v>0</v>
      </c>
      <c r="H138" s="531">
        <f t="shared" si="6"/>
        <v>0</v>
      </c>
      <c r="I138" s="532"/>
      <c r="J138" s="109"/>
    </row>
    <row r="139" spans="1:10" s="108" customFormat="1" hidden="1" x14ac:dyDescent="0.2">
      <c r="A139" s="543" t="s">
        <v>230</v>
      </c>
      <c r="B139" s="530"/>
      <c r="C139" s="531">
        <v>0</v>
      </c>
      <c r="D139" s="531">
        <v>0</v>
      </c>
      <c r="E139" s="531">
        <v>28267.15</v>
      </c>
      <c r="F139" s="531">
        <v>28267.15</v>
      </c>
      <c r="G139" s="531">
        <f t="shared" si="5"/>
        <v>28267.15</v>
      </c>
      <c r="H139" s="531">
        <f t="shared" si="6"/>
        <v>28267.15</v>
      </c>
      <c r="I139" s="532"/>
      <c r="J139" s="109"/>
    </row>
    <row r="140" spans="1:10" s="108" customFormat="1" hidden="1" x14ac:dyDescent="0.2">
      <c r="A140" s="543" t="s">
        <v>231</v>
      </c>
      <c r="B140" s="530"/>
      <c r="C140" s="531">
        <v>1625.7</v>
      </c>
      <c r="D140" s="531">
        <v>0</v>
      </c>
      <c r="E140" s="531">
        <v>996016.4</v>
      </c>
      <c r="F140" s="531">
        <v>974426.07</v>
      </c>
      <c r="G140" s="531">
        <f t="shared" si="5"/>
        <v>997642.1</v>
      </c>
      <c r="H140" s="531">
        <f t="shared" si="6"/>
        <v>974426.07</v>
      </c>
      <c r="I140" s="532"/>
      <c r="J140" s="109"/>
    </row>
    <row r="141" spans="1:10" s="108" customFormat="1" hidden="1" x14ac:dyDescent="0.2">
      <c r="A141" s="543" t="s">
        <v>232</v>
      </c>
      <c r="B141" s="530"/>
      <c r="C141" s="531">
        <v>6372.43</v>
      </c>
      <c r="D141" s="531">
        <v>0</v>
      </c>
      <c r="E141" s="531">
        <v>309259.94</v>
      </c>
      <c r="F141" s="531">
        <v>308526.74</v>
      </c>
      <c r="G141" s="531">
        <f t="shared" si="5"/>
        <v>315632.37</v>
      </c>
      <c r="H141" s="531">
        <f t="shared" si="6"/>
        <v>308526.74</v>
      </c>
      <c r="I141" s="532"/>
      <c r="J141" s="109"/>
    </row>
    <row r="142" spans="1:10" s="108" customFormat="1" hidden="1" x14ac:dyDescent="0.2">
      <c r="A142" s="543" t="s">
        <v>233</v>
      </c>
      <c r="B142" s="530"/>
      <c r="C142" s="531">
        <v>0</v>
      </c>
      <c r="D142" s="531">
        <v>0</v>
      </c>
      <c r="E142" s="531">
        <v>0</v>
      </c>
      <c r="F142" s="531">
        <v>0</v>
      </c>
      <c r="G142" s="531">
        <f t="shared" si="5"/>
        <v>0</v>
      </c>
      <c r="H142" s="531">
        <f t="shared" si="6"/>
        <v>0</v>
      </c>
      <c r="I142" s="532"/>
      <c r="J142" s="109"/>
    </row>
    <row r="143" spans="1:10" s="108" customFormat="1" hidden="1" x14ac:dyDescent="0.2">
      <c r="A143" s="543" t="s">
        <v>234</v>
      </c>
      <c r="B143" s="530"/>
      <c r="C143" s="531">
        <v>0</v>
      </c>
      <c r="D143" s="531">
        <v>0</v>
      </c>
      <c r="E143" s="531">
        <v>0</v>
      </c>
      <c r="F143" s="531">
        <v>0</v>
      </c>
      <c r="G143" s="531">
        <f t="shared" si="5"/>
        <v>0</v>
      </c>
      <c r="H143" s="531">
        <f t="shared" si="6"/>
        <v>0</v>
      </c>
      <c r="I143" s="532"/>
      <c r="J143" s="109"/>
    </row>
    <row r="144" spans="1:10" s="108" customFormat="1" hidden="1" x14ac:dyDescent="0.2">
      <c r="A144" s="543" t="s">
        <v>235</v>
      </c>
      <c r="B144" s="530"/>
      <c r="C144" s="531">
        <v>2219.0500000000002</v>
      </c>
      <c r="D144" s="531">
        <v>0</v>
      </c>
      <c r="E144" s="531">
        <v>9262.32</v>
      </c>
      <c r="F144" s="531">
        <v>0</v>
      </c>
      <c r="G144" s="531">
        <f t="shared" si="5"/>
        <v>11481.369999999999</v>
      </c>
      <c r="H144" s="531">
        <f t="shared" si="6"/>
        <v>0</v>
      </c>
      <c r="I144" s="532"/>
      <c r="J144" s="109"/>
    </row>
    <row r="145" spans="1:12" s="108" customFormat="1" hidden="1" x14ac:dyDescent="0.2">
      <c r="A145" s="543" t="s">
        <v>236</v>
      </c>
      <c r="B145" s="530"/>
      <c r="C145" s="531">
        <v>64989.2</v>
      </c>
      <c r="D145" s="531">
        <v>0</v>
      </c>
      <c r="E145" s="531">
        <v>58211.68</v>
      </c>
      <c r="F145" s="531">
        <v>135667.47</v>
      </c>
      <c r="G145" s="531">
        <f t="shared" si="5"/>
        <v>123200.88</v>
      </c>
      <c r="H145" s="531">
        <f t="shared" si="6"/>
        <v>135667.47</v>
      </c>
      <c r="I145" s="532"/>
      <c r="J145" s="109"/>
    </row>
    <row r="146" spans="1:12" s="108" customFormat="1" hidden="1" x14ac:dyDescent="0.2">
      <c r="A146" s="543" t="s">
        <v>237</v>
      </c>
      <c r="B146" s="530"/>
      <c r="C146" s="531">
        <v>9418.4299999998511</v>
      </c>
      <c r="D146" s="531">
        <v>0</v>
      </c>
      <c r="E146" s="531">
        <v>686813.41</v>
      </c>
      <c r="F146" s="531">
        <v>285022.61</v>
      </c>
      <c r="G146" s="531">
        <f t="shared" si="5"/>
        <v>696231.83999999985</v>
      </c>
      <c r="H146" s="531">
        <f t="shared" si="6"/>
        <v>285022.61</v>
      </c>
      <c r="I146" s="532"/>
      <c r="J146" s="109"/>
    </row>
    <row r="147" spans="1:12" s="108" customFormat="1" hidden="1" x14ac:dyDescent="0.2">
      <c r="A147" s="543" t="s">
        <v>238</v>
      </c>
      <c r="B147" s="530"/>
      <c r="C147" s="531">
        <v>290088</v>
      </c>
      <c r="D147" s="531">
        <v>0</v>
      </c>
      <c r="E147" s="531">
        <v>476664</v>
      </c>
      <c r="F147" s="531">
        <v>329208</v>
      </c>
      <c r="G147" s="531">
        <f t="shared" si="5"/>
        <v>766752</v>
      </c>
      <c r="H147" s="531">
        <f t="shared" si="6"/>
        <v>329208</v>
      </c>
      <c r="I147" s="532"/>
      <c r="J147" s="109"/>
    </row>
    <row r="148" spans="1:12" s="108" customFormat="1" hidden="1" x14ac:dyDescent="0.2">
      <c r="A148" s="543" t="s">
        <v>239</v>
      </c>
      <c r="B148" s="530"/>
      <c r="C148" s="531">
        <v>51927.35</v>
      </c>
      <c r="D148" s="531">
        <v>0</v>
      </c>
      <c r="E148" s="531">
        <v>27661.06</v>
      </c>
      <c r="F148" s="531">
        <v>36334.43</v>
      </c>
      <c r="G148" s="531">
        <f t="shared" si="5"/>
        <v>79588.41</v>
      </c>
      <c r="H148" s="531">
        <f t="shared" si="6"/>
        <v>36334.43</v>
      </c>
      <c r="I148" s="532"/>
      <c r="J148" s="109"/>
    </row>
    <row r="149" spans="1:12" s="108" customFormat="1" ht="18" customHeight="1" x14ac:dyDescent="0.2">
      <c r="A149" s="543" t="s">
        <v>241</v>
      </c>
      <c r="B149" s="530" t="s">
        <v>1348</v>
      </c>
      <c r="C149" s="531">
        <v>0</v>
      </c>
      <c r="D149" s="531">
        <v>675000</v>
      </c>
      <c r="E149" s="531">
        <v>0</v>
      </c>
      <c r="F149" s="531">
        <v>75000</v>
      </c>
      <c r="G149" s="531">
        <f t="shared" si="5"/>
        <v>0</v>
      </c>
      <c r="H149" s="531">
        <f t="shared" si="6"/>
        <v>750000</v>
      </c>
      <c r="I149" s="532" t="s">
        <v>1152</v>
      </c>
      <c r="J149" s="109"/>
      <c r="K149" s="131"/>
      <c r="L149" s="111"/>
    </row>
    <row r="150" spans="1:12" s="108" customFormat="1" hidden="1" x14ac:dyDescent="0.2">
      <c r="A150" s="543" t="s">
        <v>242</v>
      </c>
      <c r="B150" s="530"/>
      <c r="C150" s="531">
        <v>0</v>
      </c>
      <c r="D150" s="531">
        <f>209031.95+91129.68</f>
        <v>300161.63</v>
      </c>
      <c r="E150" s="531">
        <v>211128.27</v>
      </c>
      <c r="F150" s="531">
        <v>18835.73</v>
      </c>
      <c r="G150" s="531">
        <f t="shared" si="5"/>
        <v>211128.27</v>
      </c>
      <c r="H150" s="531">
        <f t="shared" si="6"/>
        <v>318997.36</v>
      </c>
      <c r="I150" s="532"/>
      <c r="J150" s="109"/>
    </row>
    <row r="151" spans="1:12" s="108" customFormat="1" ht="18" customHeight="1" x14ac:dyDescent="0.2">
      <c r="A151" s="543" t="s">
        <v>244</v>
      </c>
      <c r="B151" s="530" t="s">
        <v>1349</v>
      </c>
      <c r="C151" s="531">
        <v>0</v>
      </c>
      <c r="D151" s="531">
        <v>3600000</v>
      </c>
      <c r="E151" s="531">
        <v>0</v>
      </c>
      <c r="F151" s="531">
        <v>400000</v>
      </c>
      <c r="G151" s="531">
        <f t="shared" si="5"/>
        <v>0</v>
      </c>
      <c r="H151" s="531">
        <f t="shared" si="6"/>
        <v>4000000</v>
      </c>
      <c r="I151" s="532" t="s">
        <v>1153</v>
      </c>
      <c r="J151" s="109"/>
      <c r="K151" s="131"/>
      <c r="L151" s="111"/>
    </row>
    <row r="152" spans="1:12" s="108" customFormat="1" hidden="1" x14ac:dyDescent="0.2">
      <c r="A152" s="543" t="s">
        <v>245</v>
      </c>
      <c r="B152" s="530"/>
      <c r="C152" s="531">
        <v>0</v>
      </c>
      <c r="D152" s="531">
        <v>719420.62</v>
      </c>
      <c r="E152" s="531">
        <v>0</v>
      </c>
      <c r="F152" s="531">
        <v>216635.74</v>
      </c>
      <c r="G152" s="531">
        <f t="shared" si="5"/>
        <v>0</v>
      </c>
      <c r="H152" s="531">
        <f t="shared" si="6"/>
        <v>936056.36</v>
      </c>
      <c r="I152" s="532"/>
      <c r="J152" s="109"/>
    </row>
    <row r="153" spans="1:12" s="108" customFormat="1" hidden="1" x14ac:dyDescent="0.2">
      <c r="A153" s="543" t="s">
        <v>246</v>
      </c>
      <c r="B153" s="530"/>
      <c r="C153" s="531">
        <v>0</v>
      </c>
      <c r="D153" s="531">
        <v>2599605.11</v>
      </c>
      <c r="E153" s="531">
        <v>11197.5</v>
      </c>
      <c r="F153" s="531">
        <v>127906.62</v>
      </c>
      <c r="G153" s="531">
        <f t="shared" si="5"/>
        <v>11197.5</v>
      </c>
      <c r="H153" s="531">
        <f t="shared" si="6"/>
        <v>2727511.73</v>
      </c>
      <c r="I153" s="532"/>
      <c r="J153" s="109"/>
    </row>
    <row r="154" spans="1:12" s="108" customFormat="1" hidden="1" x14ac:dyDescent="0.2">
      <c r="A154" s="543" t="s">
        <v>247</v>
      </c>
      <c r="B154" s="530"/>
      <c r="C154" s="531">
        <v>0</v>
      </c>
      <c r="D154" s="531">
        <v>360534.25</v>
      </c>
      <c r="E154" s="531">
        <v>99509.440000000002</v>
      </c>
      <c r="F154" s="531">
        <v>521301.3</v>
      </c>
      <c r="G154" s="531">
        <f t="shared" si="5"/>
        <v>99509.440000000002</v>
      </c>
      <c r="H154" s="531">
        <f t="shared" si="6"/>
        <v>881835.55</v>
      </c>
      <c r="I154" s="532"/>
      <c r="J154" s="109"/>
    </row>
    <row r="155" spans="1:12" s="108" customFormat="1" hidden="1" x14ac:dyDescent="0.2">
      <c r="A155" s="543" t="s">
        <v>249</v>
      </c>
      <c r="B155" s="530"/>
      <c r="C155" s="531">
        <v>0</v>
      </c>
      <c r="D155" s="531">
        <v>0</v>
      </c>
      <c r="E155" s="531">
        <v>8659.9500000000007</v>
      </c>
      <c r="F155" s="531">
        <v>8659.9500000000007</v>
      </c>
      <c r="G155" s="531">
        <f t="shared" si="5"/>
        <v>8659.9500000000007</v>
      </c>
      <c r="H155" s="531">
        <f t="shared" si="6"/>
        <v>8659.9500000000007</v>
      </c>
      <c r="I155" s="532"/>
      <c r="J155" s="109"/>
    </row>
    <row r="156" spans="1:12" s="108" customFormat="1" hidden="1" x14ac:dyDescent="0.2">
      <c r="A156" s="543" t="s">
        <v>251</v>
      </c>
      <c r="B156" s="530"/>
      <c r="C156" s="531">
        <v>0</v>
      </c>
      <c r="D156" s="531">
        <f>270046.79+270936-0.29</f>
        <v>540982.5</v>
      </c>
      <c r="E156" s="531">
        <v>0</v>
      </c>
      <c r="F156" s="531">
        <v>21701.57</v>
      </c>
      <c r="G156" s="531">
        <f t="shared" si="5"/>
        <v>0</v>
      </c>
      <c r="H156" s="531">
        <f t="shared" si="6"/>
        <v>562684.06999999995</v>
      </c>
      <c r="I156" s="532"/>
      <c r="J156" s="109"/>
    </row>
    <row r="157" spans="1:12" s="108" customFormat="1" hidden="1" x14ac:dyDescent="0.2">
      <c r="A157" s="543" t="s">
        <v>252</v>
      </c>
      <c r="B157" s="530"/>
      <c r="C157" s="531">
        <v>0</v>
      </c>
      <c r="D157" s="531"/>
      <c r="E157" s="531">
        <v>4948835.96</v>
      </c>
      <c r="F157" s="531">
        <v>6196156.8700000001</v>
      </c>
      <c r="G157" s="531">
        <f t="shared" si="5"/>
        <v>4948835.96</v>
      </c>
      <c r="H157" s="531">
        <f t="shared" si="6"/>
        <v>6196156.8700000001</v>
      </c>
      <c r="I157" s="532"/>
      <c r="J157" s="109"/>
    </row>
    <row r="158" spans="1:12" s="108" customFormat="1" hidden="1" x14ac:dyDescent="0.2">
      <c r="A158" s="543" t="s">
        <v>253</v>
      </c>
      <c r="B158" s="530"/>
      <c r="C158" s="531">
        <v>1509344.5</v>
      </c>
      <c r="D158" s="531">
        <v>0</v>
      </c>
      <c r="E158" s="531">
        <v>1257315.22</v>
      </c>
      <c r="F158" s="531">
        <v>4145.47</v>
      </c>
      <c r="G158" s="531">
        <f t="shared" si="5"/>
        <v>2766659.7199999997</v>
      </c>
      <c r="H158" s="531">
        <f t="shared" si="6"/>
        <v>4145.47</v>
      </c>
      <c r="I158" s="532"/>
      <c r="J158" s="109"/>
    </row>
    <row r="159" spans="1:12" s="108" customFormat="1" hidden="1" x14ac:dyDescent="0.2">
      <c r="A159" s="543" t="s">
        <v>254</v>
      </c>
      <c r="B159" s="530"/>
      <c r="C159" s="531">
        <v>0</v>
      </c>
      <c r="D159" s="531">
        <v>978.92999999999881</v>
      </c>
      <c r="E159" s="531">
        <v>24910.63</v>
      </c>
      <c r="F159" s="531">
        <v>27309.7</v>
      </c>
      <c r="G159" s="531">
        <f t="shared" si="5"/>
        <v>24910.63</v>
      </c>
      <c r="H159" s="531">
        <f t="shared" si="6"/>
        <v>28288.63</v>
      </c>
      <c r="I159" s="532"/>
      <c r="J159" s="109"/>
    </row>
    <row r="160" spans="1:12" s="108" customFormat="1" hidden="1" x14ac:dyDescent="0.2">
      <c r="A160" s="543" t="s">
        <v>255</v>
      </c>
      <c r="B160" s="530"/>
      <c r="C160" s="531">
        <v>0</v>
      </c>
      <c r="D160" s="531">
        <v>0</v>
      </c>
      <c r="E160" s="531">
        <v>134.32</v>
      </c>
      <c r="F160" s="531">
        <v>134.32</v>
      </c>
      <c r="G160" s="531">
        <f t="shared" si="5"/>
        <v>134.32</v>
      </c>
      <c r="H160" s="531">
        <f t="shared" si="6"/>
        <v>134.32</v>
      </c>
      <c r="I160" s="532"/>
      <c r="J160" s="109"/>
    </row>
    <row r="161" spans="1:10" s="108" customFormat="1" hidden="1" x14ac:dyDescent="0.2">
      <c r="A161" s="543" t="s">
        <v>256</v>
      </c>
      <c r="B161" s="530"/>
      <c r="C161" s="531">
        <v>0</v>
      </c>
      <c r="D161" s="531">
        <v>0</v>
      </c>
      <c r="E161" s="531">
        <v>37301.78</v>
      </c>
      <c r="F161" s="531">
        <v>37301.78</v>
      </c>
      <c r="G161" s="531">
        <f t="shared" si="5"/>
        <v>37301.78</v>
      </c>
      <c r="H161" s="531">
        <f t="shared" si="6"/>
        <v>37301.78</v>
      </c>
      <c r="I161" s="532"/>
      <c r="J161" s="109"/>
    </row>
    <row r="162" spans="1:10" s="108" customFormat="1" hidden="1" x14ac:dyDescent="0.2">
      <c r="A162" s="543" t="s">
        <v>257</v>
      </c>
      <c r="B162" s="530"/>
      <c r="C162" s="531">
        <v>0</v>
      </c>
      <c r="D162" s="531">
        <v>1785.52</v>
      </c>
      <c r="E162" s="531">
        <v>24758.33</v>
      </c>
      <c r="F162" s="531">
        <v>25438.81</v>
      </c>
      <c r="G162" s="531">
        <f t="shared" si="5"/>
        <v>24758.33</v>
      </c>
      <c r="H162" s="531">
        <f t="shared" si="6"/>
        <v>27224.33</v>
      </c>
      <c r="I162" s="532"/>
      <c r="J162" s="109"/>
    </row>
    <row r="163" spans="1:10" s="108" customFormat="1" hidden="1" x14ac:dyDescent="0.2">
      <c r="A163" s="543" t="s">
        <v>258</v>
      </c>
      <c r="B163" s="530"/>
      <c r="C163" s="531">
        <v>0</v>
      </c>
      <c r="D163" s="531">
        <v>586770.51</v>
      </c>
      <c r="E163" s="531">
        <v>586771</v>
      </c>
      <c r="F163" s="531">
        <v>445798.93</v>
      </c>
      <c r="G163" s="531">
        <f t="shared" si="5"/>
        <v>586771</v>
      </c>
      <c r="H163" s="531">
        <f t="shared" si="6"/>
        <v>1032569.44</v>
      </c>
      <c r="I163" s="532"/>
      <c r="J163" s="109"/>
    </row>
    <row r="164" spans="1:10" s="108" customFormat="1" hidden="1" x14ac:dyDescent="0.2">
      <c r="A164" s="543" t="s">
        <v>259</v>
      </c>
      <c r="B164" s="530"/>
      <c r="C164" s="531">
        <v>0</v>
      </c>
      <c r="D164" s="531">
        <v>12620.2</v>
      </c>
      <c r="E164" s="531">
        <v>11056.16</v>
      </c>
      <c r="F164" s="531">
        <v>4676.03</v>
      </c>
      <c r="G164" s="531">
        <f t="shared" si="5"/>
        <v>11056.16</v>
      </c>
      <c r="H164" s="531">
        <f t="shared" si="6"/>
        <v>17296.23</v>
      </c>
      <c r="I164" s="532"/>
      <c r="J164" s="109"/>
    </row>
    <row r="165" spans="1:10" s="108" customFormat="1" hidden="1" x14ac:dyDescent="0.2">
      <c r="A165" s="543" t="s">
        <v>260</v>
      </c>
      <c r="B165" s="530"/>
      <c r="C165" s="531">
        <v>0</v>
      </c>
      <c r="D165" s="531">
        <v>40524.47</v>
      </c>
      <c r="E165" s="531">
        <v>627174</v>
      </c>
      <c r="F165" s="531">
        <v>650693.81999999995</v>
      </c>
      <c r="G165" s="531">
        <f t="shared" si="5"/>
        <v>627174</v>
      </c>
      <c r="H165" s="531">
        <f t="shared" si="6"/>
        <v>691218.28999999992</v>
      </c>
      <c r="I165" s="532"/>
      <c r="J165" s="109"/>
    </row>
    <row r="166" spans="1:10" s="108" customFormat="1" hidden="1" x14ac:dyDescent="0.2">
      <c r="A166" s="543" t="s">
        <v>261</v>
      </c>
      <c r="B166" s="530"/>
      <c r="C166" s="531">
        <v>0</v>
      </c>
      <c r="D166" s="531">
        <v>0</v>
      </c>
      <c r="E166" s="531">
        <v>24820</v>
      </c>
      <c r="F166" s="531">
        <v>208256</v>
      </c>
      <c r="G166" s="531">
        <f t="shared" si="5"/>
        <v>24820</v>
      </c>
      <c r="H166" s="531">
        <f t="shared" si="6"/>
        <v>208256</v>
      </c>
      <c r="I166" s="532"/>
      <c r="J166" s="109"/>
    </row>
    <row r="167" spans="1:10" s="108" customFormat="1" hidden="1" x14ac:dyDescent="0.2">
      <c r="A167" s="543" t="s">
        <v>262</v>
      </c>
      <c r="B167" s="530"/>
      <c r="C167" s="531">
        <v>36656</v>
      </c>
      <c r="D167" s="531">
        <v>0</v>
      </c>
      <c r="E167" s="531">
        <v>96935</v>
      </c>
      <c r="F167" s="531">
        <v>36656</v>
      </c>
      <c r="G167" s="531">
        <f t="shared" si="5"/>
        <v>133591</v>
      </c>
      <c r="H167" s="531">
        <f t="shared" si="6"/>
        <v>36656</v>
      </c>
      <c r="I167" s="532"/>
      <c r="J167" s="109"/>
    </row>
    <row r="168" spans="1:10" s="108" customFormat="1" hidden="1" x14ac:dyDescent="0.2">
      <c r="A168" s="543" t="s">
        <v>263</v>
      </c>
      <c r="B168" s="530"/>
      <c r="C168" s="531">
        <v>0</v>
      </c>
      <c r="D168" s="531">
        <v>42942.44</v>
      </c>
      <c r="E168" s="531">
        <v>521626</v>
      </c>
      <c r="F168" s="531">
        <v>510750.67</v>
      </c>
      <c r="G168" s="531">
        <f t="shared" si="5"/>
        <v>521626</v>
      </c>
      <c r="H168" s="531">
        <f t="shared" si="6"/>
        <v>553693.11</v>
      </c>
      <c r="I168" s="532"/>
      <c r="J168" s="109"/>
    </row>
    <row r="169" spans="1:10" s="108" customFormat="1" hidden="1" x14ac:dyDescent="0.2">
      <c r="A169" s="543" t="s">
        <v>264</v>
      </c>
      <c r="B169" s="530"/>
      <c r="C169" s="531">
        <v>0</v>
      </c>
      <c r="D169" s="531">
        <v>7458.97</v>
      </c>
      <c r="E169" s="531">
        <v>90591.85</v>
      </c>
      <c r="F169" s="531">
        <v>89910.62</v>
      </c>
      <c r="G169" s="531">
        <f t="shared" si="5"/>
        <v>90591.85</v>
      </c>
      <c r="H169" s="531">
        <f t="shared" si="6"/>
        <v>97369.59</v>
      </c>
      <c r="I169" s="532"/>
      <c r="J169" s="109"/>
    </row>
    <row r="170" spans="1:10" s="108" customFormat="1" hidden="1" x14ac:dyDescent="0.2">
      <c r="A170" s="543" t="s">
        <v>265</v>
      </c>
      <c r="B170" s="530"/>
      <c r="C170" s="531">
        <v>0</v>
      </c>
      <c r="D170" s="531">
        <v>45</v>
      </c>
      <c r="E170" s="531">
        <v>410</v>
      </c>
      <c r="F170" s="531">
        <v>395</v>
      </c>
      <c r="G170" s="531">
        <f t="shared" si="5"/>
        <v>410</v>
      </c>
      <c r="H170" s="531">
        <f t="shared" si="6"/>
        <v>440</v>
      </c>
      <c r="I170" s="532"/>
      <c r="J170" s="109"/>
    </row>
    <row r="171" spans="1:10" s="108" customFormat="1" hidden="1" x14ac:dyDescent="0.2">
      <c r="A171" s="543" t="s">
        <v>266</v>
      </c>
      <c r="B171" s="530"/>
      <c r="C171" s="531">
        <v>0</v>
      </c>
      <c r="D171" s="531">
        <v>47094.06</v>
      </c>
      <c r="E171" s="531">
        <v>561682.13</v>
      </c>
      <c r="F171" s="531">
        <v>558871.87</v>
      </c>
      <c r="G171" s="531">
        <f t="shared" si="5"/>
        <v>561682.13</v>
      </c>
      <c r="H171" s="531">
        <f t="shared" si="6"/>
        <v>605965.92999999993</v>
      </c>
      <c r="I171" s="532"/>
      <c r="J171" s="109"/>
    </row>
    <row r="172" spans="1:10" s="108" customFormat="1" hidden="1" x14ac:dyDescent="0.2">
      <c r="A172" s="543" t="s">
        <v>267</v>
      </c>
      <c r="B172" s="530"/>
      <c r="C172" s="531">
        <v>0</v>
      </c>
      <c r="D172" s="531">
        <v>13215.82</v>
      </c>
      <c r="E172" s="531">
        <v>154164.79999999999</v>
      </c>
      <c r="F172" s="531">
        <v>152709.76999999999</v>
      </c>
      <c r="G172" s="531">
        <f t="shared" si="5"/>
        <v>154164.79999999999</v>
      </c>
      <c r="H172" s="531">
        <f t="shared" si="6"/>
        <v>165925.59</v>
      </c>
      <c r="I172" s="532"/>
      <c r="J172" s="109"/>
    </row>
    <row r="173" spans="1:10" s="108" customFormat="1" hidden="1" x14ac:dyDescent="0.2">
      <c r="A173" s="543" t="s">
        <v>268</v>
      </c>
      <c r="B173" s="530"/>
      <c r="C173" s="531">
        <v>0</v>
      </c>
      <c r="D173" s="531">
        <v>0</v>
      </c>
      <c r="E173" s="531">
        <v>56094.9</v>
      </c>
      <c r="F173" s="531">
        <v>56094.9</v>
      </c>
      <c r="G173" s="531">
        <f t="shared" si="5"/>
        <v>56094.9</v>
      </c>
      <c r="H173" s="531">
        <f t="shared" si="6"/>
        <v>56094.9</v>
      </c>
      <c r="I173" s="532"/>
      <c r="J173" s="109"/>
    </row>
    <row r="174" spans="1:10" s="108" customFormat="1" hidden="1" x14ac:dyDescent="0.2">
      <c r="A174" s="543" t="s">
        <v>269</v>
      </c>
      <c r="B174" s="530"/>
      <c r="C174" s="531">
        <v>0</v>
      </c>
      <c r="D174" s="531">
        <v>0</v>
      </c>
      <c r="E174" s="531">
        <v>36303</v>
      </c>
      <c r="F174" s="531">
        <v>36303</v>
      </c>
      <c r="G174" s="531">
        <f t="shared" si="5"/>
        <v>36303</v>
      </c>
      <c r="H174" s="531">
        <f t="shared" si="6"/>
        <v>36303</v>
      </c>
      <c r="I174" s="532"/>
      <c r="J174" s="109"/>
    </row>
    <row r="175" spans="1:10" s="108" customFormat="1" hidden="1" x14ac:dyDescent="0.2">
      <c r="A175" s="543" t="s">
        <v>270</v>
      </c>
      <c r="B175" s="530"/>
      <c r="C175" s="531">
        <v>0</v>
      </c>
      <c r="D175" s="531">
        <v>7648.08</v>
      </c>
      <c r="E175" s="531">
        <v>5038344.32</v>
      </c>
      <c r="F175" s="531">
        <v>5029557.3</v>
      </c>
      <c r="G175" s="531">
        <f t="shared" si="5"/>
        <v>5038344.32</v>
      </c>
      <c r="H175" s="531">
        <f t="shared" si="6"/>
        <v>5037205.38</v>
      </c>
      <c r="I175" s="532"/>
      <c r="J175" s="109"/>
    </row>
    <row r="176" spans="1:10" s="108" customFormat="1" hidden="1" x14ac:dyDescent="0.2">
      <c r="A176" s="543" t="s">
        <v>271</v>
      </c>
      <c r="B176" s="530"/>
      <c r="C176" s="531">
        <v>0</v>
      </c>
      <c r="D176" s="531">
        <v>0</v>
      </c>
      <c r="E176" s="531">
        <v>51228.53</v>
      </c>
      <c r="F176" s="531">
        <v>51228.53</v>
      </c>
      <c r="G176" s="531">
        <f t="shared" si="5"/>
        <v>51228.53</v>
      </c>
      <c r="H176" s="531">
        <f t="shared" si="6"/>
        <v>51228.53</v>
      </c>
      <c r="I176" s="532"/>
      <c r="J176" s="109"/>
    </row>
    <row r="177" spans="1:11" s="108" customFormat="1" hidden="1" x14ac:dyDescent="0.2">
      <c r="A177" s="543" t="s">
        <v>272</v>
      </c>
      <c r="B177" s="530"/>
      <c r="C177" s="531">
        <v>0</v>
      </c>
      <c r="D177" s="531">
        <v>320.5</v>
      </c>
      <c r="E177" s="531">
        <v>279526.02</v>
      </c>
      <c r="F177" s="531">
        <v>279205.52</v>
      </c>
      <c r="G177" s="531">
        <f t="shared" si="5"/>
        <v>279526.02</v>
      </c>
      <c r="H177" s="531">
        <f t="shared" si="6"/>
        <v>279526.02</v>
      </c>
      <c r="I177" s="532"/>
      <c r="J177" s="109"/>
    </row>
    <row r="178" spans="1:11" s="108" customFormat="1" hidden="1" x14ac:dyDescent="0.2">
      <c r="A178" s="543" t="s">
        <v>274</v>
      </c>
      <c r="B178" s="530"/>
      <c r="C178" s="531">
        <v>0</v>
      </c>
      <c r="D178" s="531">
        <v>0</v>
      </c>
      <c r="E178" s="531">
        <v>20428.07</v>
      </c>
      <c r="F178" s="531">
        <v>20428.07</v>
      </c>
      <c r="G178" s="531">
        <f t="shared" si="5"/>
        <v>20428.07</v>
      </c>
      <c r="H178" s="531">
        <f t="shared" si="6"/>
        <v>20428.07</v>
      </c>
      <c r="I178" s="532"/>
      <c r="J178" s="109"/>
    </row>
    <row r="179" spans="1:11" s="108" customFormat="1" hidden="1" x14ac:dyDescent="0.2">
      <c r="A179" s="543" t="s">
        <v>276</v>
      </c>
      <c r="B179" s="530"/>
      <c r="C179" s="531">
        <v>0</v>
      </c>
      <c r="D179" s="531">
        <f>31.8699999999814+191.1</f>
        <v>222.96999999998138</v>
      </c>
      <c r="E179" s="531">
        <v>81122.67</v>
      </c>
      <c r="F179" s="531">
        <v>81090.8</v>
      </c>
      <c r="G179" s="531">
        <f t="shared" si="5"/>
        <v>81122.67</v>
      </c>
      <c r="H179" s="531">
        <f t="shared" si="6"/>
        <v>81313.76999999999</v>
      </c>
      <c r="I179" s="532"/>
      <c r="J179" s="109"/>
    </row>
    <row r="180" spans="1:11" s="111" customFormat="1" ht="18" customHeight="1" x14ac:dyDescent="0.2">
      <c r="A180" s="542" t="s">
        <v>906</v>
      </c>
      <c r="B180" s="530" t="s">
        <v>1350</v>
      </c>
      <c r="C180" s="531">
        <v>0</v>
      </c>
      <c r="D180" s="531">
        <v>1047000</v>
      </c>
      <c r="E180" s="531">
        <v>2193302.42</v>
      </c>
      <c r="F180" s="531">
        <v>2242302.12</v>
      </c>
      <c r="G180" s="531">
        <v>0</v>
      </c>
      <c r="H180" s="531">
        <f>+D180+F180-E180</f>
        <v>1095999.7000000002</v>
      </c>
      <c r="I180" s="532" t="s">
        <v>1149</v>
      </c>
      <c r="J180" s="112"/>
      <c r="K180" s="181"/>
    </row>
    <row r="181" spans="1:11" s="108" customFormat="1" hidden="1" x14ac:dyDescent="0.2">
      <c r="A181" s="543" t="s">
        <v>278</v>
      </c>
      <c r="B181" s="530"/>
      <c r="C181" s="531">
        <v>0</v>
      </c>
      <c r="D181" s="531">
        <v>113773.85</v>
      </c>
      <c r="E181" s="531">
        <v>102942.17</v>
      </c>
      <c r="F181" s="531">
        <v>81717.100000000006</v>
      </c>
      <c r="G181" s="531">
        <f t="shared" si="5"/>
        <v>102942.17</v>
      </c>
      <c r="H181" s="531">
        <f t="shared" si="6"/>
        <v>195490.95</v>
      </c>
      <c r="I181" s="532"/>
      <c r="J181" s="109"/>
      <c r="K181" s="131"/>
    </row>
    <row r="182" spans="1:11" s="108" customFormat="1" hidden="1" x14ac:dyDescent="0.2">
      <c r="A182" s="543" t="s">
        <v>279</v>
      </c>
      <c r="B182" s="530"/>
      <c r="C182" s="531">
        <v>0</v>
      </c>
      <c r="D182" s="531">
        <v>111081.85</v>
      </c>
      <c r="E182" s="531">
        <v>12071.27</v>
      </c>
      <c r="F182" s="531">
        <v>47231.07</v>
      </c>
      <c r="G182" s="531">
        <f t="shared" si="5"/>
        <v>12071.27</v>
      </c>
      <c r="H182" s="531">
        <f t="shared" si="6"/>
        <v>158312.92000000001</v>
      </c>
      <c r="I182" s="532"/>
      <c r="J182" s="109"/>
    </row>
    <row r="183" spans="1:11" s="108" customFormat="1" hidden="1" x14ac:dyDescent="0.2">
      <c r="A183" s="543" t="s">
        <v>280</v>
      </c>
      <c r="B183" s="530"/>
      <c r="C183" s="531">
        <v>0</v>
      </c>
      <c r="D183" s="531">
        <v>12028.83</v>
      </c>
      <c r="E183" s="531">
        <v>14004.47</v>
      </c>
      <c r="F183" s="531">
        <v>1975.64</v>
      </c>
      <c r="G183" s="531">
        <f t="shared" si="5"/>
        <v>14004.47</v>
      </c>
      <c r="H183" s="531">
        <f t="shared" si="6"/>
        <v>14004.47</v>
      </c>
      <c r="I183" s="532"/>
      <c r="J183" s="109"/>
    </row>
    <row r="184" spans="1:11" s="108" customFormat="1" hidden="1" x14ac:dyDescent="0.2">
      <c r="A184" s="543" t="s">
        <v>281</v>
      </c>
      <c r="B184" s="530"/>
      <c r="C184" s="531">
        <v>0</v>
      </c>
      <c r="D184" s="531">
        <v>0</v>
      </c>
      <c r="E184" s="531">
        <v>1962418.1</v>
      </c>
      <c r="F184" s="531">
        <v>1962418.1</v>
      </c>
      <c r="G184" s="531">
        <f t="shared" si="5"/>
        <v>1962418.1</v>
      </c>
      <c r="H184" s="531">
        <f t="shared" si="6"/>
        <v>1962418.1</v>
      </c>
      <c r="I184" s="532"/>
      <c r="J184" s="109"/>
    </row>
    <row r="185" spans="1:11" s="108" customFormat="1" hidden="1" x14ac:dyDescent="0.2">
      <c r="A185" s="543" t="s">
        <v>282</v>
      </c>
      <c r="B185" s="530"/>
      <c r="C185" s="531">
        <v>0</v>
      </c>
      <c r="D185" s="531">
        <v>0</v>
      </c>
      <c r="E185" s="531">
        <v>5110.9799999999996</v>
      </c>
      <c r="F185" s="531">
        <v>5110.9799999999996</v>
      </c>
      <c r="G185" s="531">
        <f t="shared" si="5"/>
        <v>5110.9799999999996</v>
      </c>
      <c r="H185" s="531">
        <f t="shared" si="6"/>
        <v>5110.9799999999996</v>
      </c>
      <c r="I185" s="532"/>
      <c r="J185" s="109"/>
    </row>
    <row r="186" spans="1:11" s="108" customFormat="1" hidden="1" x14ac:dyDescent="0.2">
      <c r="A186" s="543" t="s">
        <v>283</v>
      </c>
      <c r="B186" s="530"/>
      <c r="C186" s="531">
        <v>0</v>
      </c>
      <c r="D186" s="531">
        <v>0</v>
      </c>
      <c r="E186" s="531">
        <v>0</v>
      </c>
      <c r="F186" s="531">
        <v>0</v>
      </c>
      <c r="G186" s="531">
        <f t="shared" si="5"/>
        <v>0</v>
      </c>
      <c r="H186" s="531">
        <f t="shared" si="6"/>
        <v>0</v>
      </c>
      <c r="I186" s="532"/>
      <c r="J186" s="109"/>
    </row>
    <row r="187" spans="1:11" s="108" customFormat="1" hidden="1" x14ac:dyDescent="0.2">
      <c r="A187" s="543" t="s">
        <v>284</v>
      </c>
      <c r="B187" s="530"/>
      <c r="C187" s="531">
        <v>0</v>
      </c>
      <c r="D187" s="531">
        <v>0</v>
      </c>
      <c r="E187" s="531">
        <v>532921.26</v>
      </c>
      <c r="F187" s="531">
        <v>31717.9</v>
      </c>
      <c r="G187" s="531">
        <f t="shared" si="5"/>
        <v>532921.26</v>
      </c>
      <c r="H187" s="531">
        <f t="shared" si="6"/>
        <v>31717.9</v>
      </c>
      <c r="I187" s="532"/>
      <c r="J187" s="109"/>
    </row>
    <row r="188" spans="1:11" s="108" customFormat="1" hidden="1" x14ac:dyDescent="0.2">
      <c r="A188" s="543" t="s">
        <v>285</v>
      </c>
      <c r="B188" s="530"/>
      <c r="C188" s="531">
        <v>0</v>
      </c>
      <c r="D188" s="531">
        <v>0</v>
      </c>
      <c r="E188" s="531">
        <v>0</v>
      </c>
      <c r="F188" s="531">
        <v>0</v>
      </c>
      <c r="G188" s="531">
        <f t="shared" si="5"/>
        <v>0</v>
      </c>
      <c r="H188" s="531">
        <f t="shared" si="6"/>
        <v>0</v>
      </c>
      <c r="I188" s="532"/>
      <c r="J188" s="109"/>
    </row>
    <row r="189" spans="1:11" s="108" customFormat="1" hidden="1" x14ac:dyDescent="0.2">
      <c r="A189" s="543" t="s">
        <v>286</v>
      </c>
      <c r="B189" s="530"/>
      <c r="C189" s="531">
        <v>0</v>
      </c>
      <c r="D189" s="531"/>
      <c r="E189" s="531">
        <v>0</v>
      </c>
      <c r="F189" s="531">
        <v>0</v>
      </c>
      <c r="G189" s="531">
        <f t="shared" si="5"/>
        <v>0</v>
      </c>
      <c r="H189" s="531">
        <f t="shared" si="6"/>
        <v>0</v>
      </c>
      <c r="I189" s="532"/>
      <c r="J189" s="109"/>
    </row>
    <row r="190" spans="1:11" s="108" customFormat="1" hidden="1" x14ac:dyDescent="0.2">
      <c r="A190" s="543" t="s">
        <v>288</v>
      </c>
      <c r="B190" s="530"/>
      <c r="C190" s="531">
        <v>0</v>
      </c>
      <c r="D190" s="531">
        <v>407468.44</v>
      </c>
      <c r="E190" s="531">
        <v>5776947.2000000002</v>
      </c>
      <c r="F190" s="531">
        <v>5861123.3300000001</v>
      </c>
      <c r="G190" s="531">
        <f t="shared" si="5"/>
        <v>5776947.2000000002</v>
      </c>
      <c r="H190" s="531">
        <f t="shared" si="6"/>
        <v>6268591.7700000005</v>
      </c>
      <c r="I190" s="532"/>
      <c r="J190" s="109"/>
    </row>
    <row r="191" spans="1:11" s="108" customFormat="1" hidden="1" x14ac:dyDescent="0.2">
      <c r="A191" s="543" t="s">
        <v>289</v>
      </c>
      <c r="B191" s="530"/>
      <c r="C191" s="531">
        <v>0</v>
      </c>
      <c r="D191" s="531">
        <v>273639.5</v>
      </c>
      <c r="E191" s="531">
        <v>8368013.3799999999</v>
      </c>
      <c r="F191" s="531">
        <v>8371803.9500000002</v>
      </c>
      <c r="G191" s="531">
        <f t="shared" si="5"/>
        <v>8368013.3799999999</v>
      </c>
      <c r="H191" s="531">
        <f t="shared" si="6"/>
        <v>8645443.4499999993</v>
      </c>
      <c r="I191" s="532"/>
      <c r="J191" s="109"/>
    </row>
    <row r="192" spans="1:11" s="108" customFormat="1" hidden="1" x14ac:dyDescent="0.2">
      <c r="A192" s="543" t="s">
        <v>290</v>
      </c>
      <c r="B192" s="530"/>
      <c r="C192" s="531">
        <v>0</v>
      </c>
      <c r="D192" s="531">
        <v>12682.4</v>
      </c>
      <c r="E192" s="531">
        <v>7424424.9400000004</v>
      </c>
      <c r="F192" s="531">
        <v>7510075.9199999999</v>
      </c>
      <c r="G192" s="531">
        <f t="shared" si="5"/>
        <v>7424424.9400000004</v>
      </c>
      <c r="H192" s="531">
        <f t="shared" si="6"/>
        <v>7522758.3200000003</v>
      </c>
      <c r="I192" s="532"/>
      <c r="J192" s="109"/>
    </row>
    <row r="193" spans="1:11" s="108" customFormat="1" hidden="1" x14ac:dyDescent="0.2">
      <c r="A193" s="543" t="s">
        <v>291</v>
      </c>
      <c r="B193" s="530"/>
      <c r="C193" s="531">
        <v>0</v>
      </c>
      <c r="D193" s="531">
        <v>0</v>
      </c>
      <c r="E193" s="531">
        <v>934.84</v>
      </c>
      <c r="F193" s="531">
        <v>934.84</v>
      </c>
      <c r="G193" s="531">
        <f t="shared" si="5"/>
        <v>934.84</v>
      </c>
      <c r="H193" s="531">
        <f t="shared" si="6"/>
        <v>934.84</v>
      </c>
      <c r="I193" s="532"/>
      <c r="J193" s="109"/>
    </row>
    <row r="194" spans="1:11" s="108" customFormat="1" hidden="1" x14ac:dyDescent="0.2">
      <c r="A194" s="543" t="s">
        <v>292</v>
      </c>
      <c r="B194" s="530"/>
      <c r="C194" s="531">
        <v>0</v>
      </c>
      <c r="D194" s="531">
        <f>2058605.09-500825.959999993</f>
        <v>1557779.1300000071</v>
      </c>
      <c r="E194" s="531">
        <v>14992457.470000001</v>
      </c>
      <c r="F194" s="531">
        <v>15375670.390000001</v>
      </c>
      <c r="G194" s="531">
        <f t="shared" si="5"/>
        <v>14992457.470000001</v>
      </c>
      <c r="H194" s="531">
        <f t="shared" si="6"/>
        <v>16933449.520000007</v>
      </c>
      <c r="I194" s="532"/>
      <c r="J194" s="109"/>
    </row>
    <row r="195" spans="1:11" s="108" customFormat="1" hidden="1" x14ac:dyDescent="0.2">
      <c r="A195" s="543" t="s">
        <v>293</v>
      </c>
      <c r="B195" s="530"/>
      <c r="C195" s="531">
        <v>73474</v>
      </c>
      <c r="D195" s="531">
        <v>0</v>
      </c>
      <c r="E195" s="531">
        <v>7737092.3799999999</v>
      </c>
      <c r="F195" s="531">
        <v>7614551.21</v>
      </c>
      <c r="G195" s="531">
        <f t="shared" si="5"/>
        <v>7810566.3799999999</v>
      </c>
      <c r="H195" s="531">
        <f t="shared" si="6"/>
        <v>7614551.21</v>
      </c>
      <c r="I195" s="532"/>
      <c r="J195" s="109"/>
    </row>
    <row r="196" spans="1:11" s="108" customFormat="1" hidden="1" x14ac:dyDescent="0.2">
      <c r="A196" s="543" t="s">
        <v>294</v>
      </c>
      <c r="B196" s="530"/>
      <c r="C196" s="531">
        <v>10350.85</v>
      </c>
      <c r="D196" s="531">
        <v>0</v>
      </c>
      <c r="E196" s="531">
        <v>3592644.44</v>
      </c>
      <c r="F196" s="531">
        <v>3550662.06</v>
      </c>
      <c r="G196" s="531">
        <f t="shared" si="5"/>
        <v>3602995.29</v>
      </c>
      <c r="H196" s="531">
        <f t="shared" si="6"/>
        <v>3550662.06</v>
      </c>
      <c r="I196" s="532"/>
      <c r="J196" s="109"/>
    </row>
    <row r="197" spans="1:11" s="108" customFormat="1" hidden="1" x14ac:dyDescent="0.2">
      <c r="A197" s="543" t="s">
        <v>295</v>
      </c>
      <c r="B197" s="530"/>
      <c r="C197" s="531">
        <v>0</v>
      </c>
      <c r="D197" s="531">
        <v>0</v>
      </c>
      <c r="E197" s="531">
        <v>726.94</v>
      </c>
      <c r="F197" s="531">
        <v>726.94</v>
      </c>
      <c r="G197" s="531">
        <f t="shared" si="5"/>
        <v>726.94</v>
      </c>
      <c r="H197" s="531">
        <f t="shared" si="6"/>
        <v>726.94</v>
      </c>
      <c r="I197" s="532"/>
      <c r="J197" s="109"/>
    </row>
    <row r="198" spans="1:11" s="108" customFormat="1" hidden="1" x14ac:dyDescent="0.2">
      <c r="A198" s="543" t="s">
        <v>297</v>
      </c>
      <c r="B198" s="530"/>
      <c r="C198" s="531">
        <v>0</v>
      </c>
      <c r="D198" s="531">
        <v>0</v>
      </c>
      <c r="E198" s="531">
        <v>0</v>
      </c>
      <c r="F198" s="531">
        <v>0</v>
      </c>
      <c r="G198" s="531">
        <f t="shared" si="5"/>
        <v>0</v>
      </c>
      <c r="H198" s="531">
        <f t="shared" si="6"/>
        <v>0</v>
      </c>
      <c r="I198" s="532"/>
      <c r="J198" s="109"/>
    </row>
    <row r="199" spans="1:11" s="108" customFormat="1" hidden="1" x14ac:dyDescent="0.2">
      <c r="A199" s="543" t="s">
        <v>298</v>
      </c>
      <c r="B199" s="530"/>
      <c r="C199" s="531">
        <v>0</v>
      </c>
      <c r="D199" s="531">
        <v>211.02</v>
      </c>
      <c r="E199" s="531">
        <v>1215.03</v>
      </c>
      <c r="F199" s="531">
        <v>1004.01</v>
      </c>
      <c r="G199" s="531">
        <f t="shared" ref="G199:G259" si="7">+C199+E199</f>
        <v>1215.03</v>
      </c>
      <c r="H199" s="531">
        <f t="shared" ref="H199:H259" si="8">+D199+F199</f>
        <v>1215.03</v>
      </c>
      <c r="I199" s="532"/>
      <c r="J199" s="109"/>
    </row>
    <row r="200" spans="1:11" s="108" customFormat="1" hidden="1" x14ac:dyDescent="0.2">
      <c r="A200" s="543" t="s">
        <v>300</v>
      </c>
      <c r="B200" s="530"/>
      <c r="C200" s="531">
        <v>0</v>
      </c>
      <c r="D200" s="531">
        <v>0</v>
      </c>
      <c r="E200" s="531">
        <v>0</v>
      </c>
      <c r="F200" s="531">
        <v>0</v>
      </c>
      <c r="G200" s="531">
        <f t="shared" si="7"/>
        <v>0</v>
      </c>
      <c r="H200" s="531">
        <f t="shared" si="8"/>
        <v>0</v>
      </c>
      <c r="I200" s="532"/>
      <c r="J200" s="109"/>
    </row>
    <row r="201" spans="1:11" s="108" customFormat="1" hidden="1" x14ac:dyDescent="0.2">
      <c r="A201" s="543" t="s">
        <v>302</v>
      </c>
      <c r="B201" s="530"/>
      <c r="C201" s="531">
        <v>0</v>
      </c>
      <c r="D201" s="531">
        <v>0</v>
      </c>
      <c r="E201" s="531">
        <v>0</v>
      </c>
      <c r="F201" s="531">
        <v>0</v>
      </c>
      <c r="G201" s="531">
        <f t="shared" si="7"/>
        <v>0</v>
      </c>
      <c r="H201" s="531">
        <f t="shared" si="8"/>
        <v>0</v>
      </c>
      <c r="I201" s="532"/>
      <c r="J201" s="109"/>
    </row>
    <row r="202" spans="1:11" s="108" customFormat="1" hidden="1" x14ac:dyDescent="0.2">
      <c r="A202" s="543" t="s">
        <v>303</v>
      </c>
      <c r="B202" s="530"/>
      <c r="C202" s="531">
        <v>0</v>
      </c>
      <c r="D202" s="531">
        <v>30720.29</v>
      </c>
      <c r="E202" s="531">
        <v>603180.34</v>
      </c>
      <c r="F202" s="531">
        <v>590124.18999999994</v>
      </c>
      <c r="G202" s="531">
        <f t="shared" si="7"/>
        <v>603180.34</v>
      </c>
      <c r="H202" s="531">
        <f t="shared" si="8"/>
        <v>620844.48</v>
      </c>
      <c r="I202" s="532"/>
      <c r="J202" s="109"/>
    </row>
    <row r="203" spans="1:11" s="108" customFormat="1" hidden="1" x14ac:dyDescent="0.2">
      <c r="A203" s="543" t="s">
        <v>304</v>
      </c>
      <c r="B203" s="530"/>
      <c r="C203" s="531">
        <v>0</v>
      </c>
      <c r="D203" s="531">
        <v>39358.82</v>
      </c>
      <c r="E203" s="531">
        <v>839366.54</v>
      </c>
      <c r="F203" s="531">
        <v>862577.13</v>
      </c>
      <c r="G203" s="531">
        <f t="shared" si="7"/>
        <v>839366.54</v>
      </c>
      <c r="H203" s="531">
        <f t="shared" si="8"/>
        <v>901935.95</v>
      </c>
      <c r="I203" s="532"/>
      <c r="J203" s="109"/>
    </row>
    <row r="204" spans="1:11" s="108" customFormat="1" hidden="1" x14ac:dyDescent="0.2">
      <c r="A204" s="543" t="s">
        <v>305</v>
      </c>
      <c r="B204" s="530"/>
      <c r="C204" s="531">
        <v>0</v>
      </c>
      <c r="D204" s="531">
        <v>17065.46</v>
      </c>
      <c r="E204" s="531">
        <v>614445.73</v>
      </c>
      <c r="F204" s="531">
        <v>689714.09000000008</v>
      </c>
      <c r="G204" s="531">
        <f t="shared" si="7"/>
        <v>614445.73</v>
      </c>
      <c r="H204" s="531">
        <f t="shared" si="8"/>
        <v>706779.55</v>
      </c>
      <c r="I204" s="532"/>
      <c r="J204" s="109"/>
    </row>
    <row r="205" spans="1:11" s="111" customFormat="1" ht="18" customHeight="1" x14ac:dyDescent="0.2">
      <c r="A205" s="542" t="s">
        <v>907</v>
      </c>
      <c r="B205" s="530" t="s">
        <v>1351</v>
      </c>
      <c r="C205" s="531">
        <v>0</v>
      </c>
      <c r="D205" s="531">
        <v>27000000</v>
      </c>
      <c r="E205" s="531">
        <v>5566596.5889347801</v>
      </c>
      <c r="F205" s="531">
        <v>2730508.08</v>
      </c>
      <c r="G205" s="531">
        <v>0</v>
      </c>
      <c r="H205" s="531">
        <f>+D205+F205-E205</f>
        <v>24163911.491065219</v>
      </c>
      <c r="I205" s="532" t="s">
        <v>1154</v>
      </c>
      <c r="J205" s="182"/>
      <c r="K205" s="108"/>
    </row>
    <row r="206" spans="1:11" s="108" customFormat="1" hidden="1" x14ac:dyDescent="0.2">
      <c r="A206" s="543" t="s">
        <v>306</v>
      </c>
      <c r="B206" s="530"/>
      <c r="C206" s="531">
        <v>0</v>
      </c>
      <c r="D206" s="531">
        <v>0</v>
      </c>
      <c r="E206" s="531">
        <v>15000</v>
      </c>
      <c r="F206" s="531">
        <v>45000</v>
      </c>
      <c r="G206" s="531">
        <f t="shared" si="7"/>
        <v>15000</v>
      </c>
      <c r="H206" s="531">
        <f t="shared" si="8"/>
        <v>45000</v>
      </c>
      <c r="I206" s="532"/>
      <c r="J206" s="113"/>
      <c r="K206" s="131"/>
    </row>
    <row r="207" spans="1:11" s="108" customFormat="1" hidden="1" x14ac:dyDescent="0.2">
      <c r="A207" s="543" t="s">
        <v>307</v>
      </c>
      <c r="B207" s="530"/>
      <c r="C207" s="531">
        <v>0</v>
      </c>
      <c r="D207" s="531">
        <v>0</v>
      </c>
      <c r="E207" s="531">
        <v>83694</v>
      </c>
      <c r="F207" s="531">
        <v>83694</v>
      </c>
      <c r="G207" s="531">
        <f t="shared" si="7"/>
        <v>83694</v>
      </c>
      <c r="H207" s="531">
        <f t="shared" si="8"/>
        <v>83694</v>
      </c>
      <c r="I207" s="532"/>
      <c r="J207" s="109"/>
    </row>
    <row r="208" spans="1:11" s="108" customFormat="1" hidden="1" x14ac:dyDescent="0.2">
      <c r="A208" s="543" t="s">
        <v>308</v>
      </c>
      <c r="B208" s="530"/>
      <c r="C208" s="531">
        <v>0</v>
      </c>
      <c r="D208" s="531">
        <v>0</v>
      </c>
      <c r="E208" s="531">
        <v>1706.48</v>
      </c>
      <c r="F208" s="531">
        <v>198.48</v>
      </c>
      <c r="G208" s="531">
        <f t="shared" si="7"/>
        <v>1706.48</v>
      </c>
      <c r="H208" s="531">
        <f t="shared" si="8"/>
        <v>198.48</v>
      </c>
      <c r="I208" s="532"/>
      <c r="J208" s="109"/>
    </row>
    <row r="209" spans="1:10" s="108" customFormat="1" hidden="1" x14ac:dyDescent="0.2">
      <c r="A209" s="543" t="s">
        <v>309</v>
      </c>
      <c r="B209" s="530"/>
      <c r="C209" s="531">
        <v>0</v>
      </c>
      <c r="D209" s="531">
        <v>0</v>
      </c>
      <c r="E209" s="531">
        <v>5595.27</v>
      </c>
      <c r="F209" s="531">
        <v>5599.58</v>
      </c>
      <c r="G209" s="531">
        <f t="shared" si="7"/>
        <v>5595.27</v>
      </c>
      <c r="H209" s="531">
        <f t="shared" si="8"/>
        <v>5599.58</v>
      </c>
      <c r="I209" s="532"/>
      <c r="J209" s="109"/>
    </row>
    <row r="210" spans="1:10" s="108" customFormat="1" hidden="1" x14ac:dyDescent="0.2">
      <c r="A210" s="543" t="s">
        <v>310</v>
      </c>
      <c r="B210" s="530"/>
      <c r="C210" s="531">
        <v>0</v>
      </c>
      <c r="D210" s="531">
        <v>0</v>
      </c>
      <c r="E210" s="531">
        <v>1609.83</v>
      </c>
      <c r="F210" s="531">
        <v>1609.83</v>
      </c>
      <c r="G210" s="531">
        <f t="shared" si="7"/>
        <v>1609.83</v>
      </c>
      <c r="H210" s="531">
        <f t="shared" si="8"/>
        <v>1609.83</v>
      </c>
      <c r="I210" s="532"/>
      <c r="J210" s="109"/>
    </row>
    <row r="211" spans="1:10" s="108" customFormat="1" hidden="1" x14ac:dyDescent="0.2">
      <c r="A211" s="543" t="s">
        <v>311</v>
      </c>
      <c r="B211" s="530"/>
      <c r="C211" s="531">
        <v>0</v>
      </c>
      <c r="D211" s="531">
        <v>0</v>
      </c>
      <c r="E211" s="531">
        <v>17827.41</v>
      </c>
      <c r="F211" s="531">
        <v>25129.47</v>
      </c>
      <c r="G211" s="531">
        <f t="shared" si="7"/>
        <v>17827.41</v>
      </c>
      <c r="H211" s="531">
        <f t="shared" si="8"/>
        <v>25129.47</v>
      </c>
      <c r="I211" s="532"/>
      <c r="J211" s="109"/>
    </row>
    <row r="212" spans="1:10" s="108" customFormat="1" hidden="1" x14ac:dyDescent="0.2">
      <c r="A212" s="543" t="s">
        <v>312</v>
      </c>
      <c r="B212" s="530"/>
      <c r="C212" s="531">
        <v>0</v>
      </c>
      <c r="D212" s="531">
        <v>470152.86</v>
      </c>
      <c r="E212" s="531">
        <v>1292195.99</v>
      </c>
      <c r="F212" s="531">
        <v>1075835.55</v>
      </c>
      <c r="G212" s="531">
        <f t="shared" si="7"/>
        <v>1292195.99</v>
      </c>
      <c r="H212" s="531">
        <f t="shared" si="8"/>
        <v>1545988.4100000001</v>
      </c>
      <c r="I212" s="532"/>
      <c r="J212" s="109"/>
    </row>
    <row r="213" spans="1:10" s="108" customFormat="1" hidden="1" x14ac:dyDescent="0.2">
      <c r="A213" s="543" t="s">
        <v>313</v>
      </c>
      <c r="B213" s="530"/>
      <c r="C213" s="531">
        <v>0</v>
      </c>
      <c r="D213" s="531">
        <v>0</v>
      </c>
      <c r="E213" s="531">
        <v>10058</v>
      </c>
      <c r="F213" s="531">
        <v>39578</v>
      </c>
      <c r="G213" s="531">
        <f t="shared" si="7"/>
        <v>10058</v>
      </c>
      <c r="H213" s="531">
        <f t="shared" si="8"/>
        <v>39578</v>
      </c>
      <c r="I213" s="532"/>
      <c r="J213" s="109"/>
    </row>
    <row r="214" spans="1:10" s="108" customFormat="1" hidden="1" x14ac:dyDescent="0.2">
      <c r="A214" s="543" t="s">
        <v>314</v>
      </c>
      <c r="B214" s="530"/>
      <c r="C214" s="531">
        <v>0</v>
      </c>
      <c r="D214" s="531">
        <v>52587.49000000002</v>
      </c>
      <c r="E214" s="531">
        <v>112068.05</v>
      </c>
      <c r="F214" s="531">
        <v>71650.33</v>
      </c>
      <c r="G214" s="531">
        <f t="shared" si="7"/>
        <v>112068.05</v>
      </c>
      <c r="H214" s="531">
        <f t="shared" si="8"/>
        <v>124237.82000000002</v>
      </c>
      <c r="I214" s="532"/>
      <c r="J214" s="109"/>
    </row>
    <row r="215" spans="1:10" s="108" customFormat="1" hidden="1" x14ac:dyDescent="0.2">
      <c r="A215" s="543" t="s">
        <v>315</v>
      </c>
      <c r="B215" s="530"/>
      <c r="C215" s="531">
        <v>0</v>
      </c>
      <c r="D215" s="531">
        <v>142197.79</v>
      </c>
      <c r="E215" s="531">
        <v>3121.55</v>
      </c>
      <c r="F215" s="531">
        <v>16778.34</v>
      </c>
      <c r="G215" s="531">
        <f t="shared" si="7"/>
        <v>3121.55</v>
      </c>
      <c r="H215" s="531">
        <f t="shared" si="8"/>
        <v>158976.13</v>
      </c>
      <c r="I215" s="532"/>
      <c r="J215" s="109"/>
    </row>
    <row r="216" spans="1:10" s="108" customFormat="1" hidden="1" x14ac:dyDescent="0.2">
      <c r="A216" s="543" t="s">
        <v>316</v>
      </c>
      <c r="B216" s="530"/>
      <c r="C216" s="531">
        <v>0</v>
      </c>
      <c r="D216" s="531">
        <v>322718.53000000003</v>
      </c>
      <c r="E216" s="531">
        <v>31837.75</v>
      </c>
      <c r="F216" s="531">
        <v>153560.57</v>
      </c>
      <c r="G216" s="531">
        <f t="shared" si="7"/>
        <v>31837.75</v>
      </c>
      <c r="H216" s="531">
        <f t="shared" si="8"/>
        <v>476279.10000000003</v>
      </c>
      <c r="I216" s="532"/>
      <c r="J216" s="109"/>
    </row>
    <row r="217" spans="1:10" s="108" customFormat="1" hidden="1" x14ac:dyDescent="0.2">
      <c r="A217" s="543" t="s">
        <v>317</v>
      </c>
      <c r="B217" s="530"/>
      <c r="C217" s="531">
        <v>0</v>
      </c>
      <c r="D217" s="531">
        <v>84131.87</v>
      </c>
      <c r="E217" s="531">
        <v>28228.23</v>
      </c>
      <c r="F217" s="531">
        <v>0</v>
      </c>
      <c r="G217" s="531">
        <f t="shared" si="7"/>
        <v>28228.23</v>
      </c>
      <c r="H217" s="531">
        <f t="shared" si="8"/>
        <v>84131.87</v>
      </c>
      <c r="I217" s="532"/>
      <c r="J217" s="109"/>
    </row>
    <row r="218" spans="1:10" s="108" customFormat="1" hidden="1" x14ac:dyDescent="0.2">
      <c r="A218" s="543" t="s">
        <v>318</v>
      </c>
      <c r="B218" s="530"/>
      <c r="C218" s="531">
        <v>0</v>
      </c>
      <c r="D218" s="531">
        <v>217602.75</v>
      </c>
      <c r="E218" s="531">
        <v>7792215.7000000002</v>
      </c>
      <c r="F218" s="531">
        <v>8389871.5800000001</v>
      </c>
      <c r="G218" s="531">
        <f t="shared" si="7"/>
        <v>7792215.7000000002</v>
      </c>
      <c r="H218" s="531">
        <f t="shared" si="8"/>
        <v>8607474.3300000001</v>
      </c>
      <c r="I218" s="532"/>
      <c r="J218" s="109"/>
    </row>
    <row r="219" spans="1:10" s="108" customFormat="1" hidden="1" x14ac:dyDescent="0.2">
      <c r="A219" s="543" t="s">
        <v>319</v>
      </c>
      <c r="B219" s="530"/>
      <c r="C219" s="531">
        <v>0</v>
      </c>
      <c r="D219" s="531">
        <f>675980.8-500000</f>
        <v>175980.80000000005</v>
      </c>
      <c r="E219" s="531">
        <v>18834.77</v>
      </c>
      <c r="F219" s="531">
        <v>84394.74</v>
      </c>
      <c r="G219" s="531">
        <f t="shared" si="7"/>
        <v>18834.77</v>
      </c>
      <c r="H219" s="531">
        <f t="shared" si="8"/>
        <v>260375.54000000004</v>
      </c>
      <c r="I219" s="532"/>
      <c r="J219" s="109"/>
    </row>
    <row r="220" spans="1:10" s="108" customFormat="1" hidden="1" x14ac:dyDescent="0.2">
      <c r="A220" s="543" t="s">
        <v>320</v>
      </c>
      <c r="B220" s="530"/>
      <c r="C220" s="531">
        <v>0</v>
      </c>
      <c r="D220" s="531">
        <v>0</v>
      </c>
      <c r="E220" s="531">
        <v>475.65</v>
      </c>
      <c r="F220" s="531">
        <v>28569.84</v>
      </c>
      <c r="G220" s="531">
        <f t="shared" si="7"/>
        <v>475.65</v>
      </c>
      <c r="H220" s="531">
        <f t="shared" si="8"/>
        <v>28569.84</v>
      </c>
      <c r="I220" s="532"/>
      <c r="J220" s="109"/>
    </row>
    <row r="221" spans="1:10" s="108" customFormat="1" hidden="1" x14ac:dyDescent="0.2">
      <c r="A221" s="543" t="s">
        <v>321</v>
      </c>
      <c r="B221" s="530"/>
      <c r="C221" s="531">
        <v>0</v>
      </c>
      <c r="D221" s="531">
        <v>952</v>
      </c>
      <c r="E221" s="531">
        <v>40735.160000000003</v>
      </c>
      <c r="F221" s="531">
        <v>39783.160000000003</v>
      </c>
      <c r="G221" s="531">
        <f t="shared" si="7"/>
        <v>40735.160000000003</v>
      </c>
      <c r="H221" s="531">
        <f t="shared" si="8"/>
        <v>40735.160000000003</v>
      </c>
      <c r="I221" s="532"/>
      <c r="J221" s="109"/>
    </row>
    <row r="222" spans="1:10" s="108" customFormat="1" hidden="1" x14ac:dyDescent="0.2">
      <c r="A222" s="543" t="s">
        <v>322</v>
      </c>
      <c r="B222" s="530"/>
      <c r="C222" s="531">
        <v>0</v>
      </c>
      <c r="D222" s="531">
        <v>0</v>
      </c>
      <c r="E222" s="531">
        <v>2061281.96</v>
      </c>
      <c r="F222" s="531">
        <v>2061281.96</v>
      </c>
      <c r="G222" s="531">
        <f t="shared" si="7"/>
        <v>2061281.96</v>
      </c>
      <c r="H222" s="531">
        <f t="shared" si="8"/>
        <v>2061281.96</v>
      </c>
      <c r="I222" s="532"/>
      <c r="J222" s="109"/>
    </row>
    <row r="223" spans="1:10" s="108" customFormat="1" hidden="1" x14ac:dyDescent="0.2">
      <c r="A223" s="543" t="s">
        <v>323</v>
      </c>
      <c r="B223" s="530"/>
      <c r="C223" s="531">
        <v>0</v>
      </c>
      <c r="D223" s="531">
        <v>0</v>
      </c>
      <c r="E223" s="531">
        <v>0</v>
      </c>
      <c r="F223" s="531">
        <v>0</v>
      </c>
      <c r="G223" s="531">
        <f t="shared" si="7"/>
        <v>0</v>
      </c>
      <c r="H223" s="531">
        <f t="shared" si="8"/>
        <v>0</v>
      </c>
      <c r="I223" s="532"/>
      <c r="J223" s="109"/>
    </row>
    <row r="224" spans="1:10" s="108" customFormat="1" hidden="1" x14ac:dyDescent="0.2">
      <c r="A224" s="543" t="s">
        <v>324</v>
      </c>
      <c r="B224" s="530"/>
      <c r="C224" s="531">
        <v>0</v>
      </c>
      <c r="D224" s="531">
        <v>0</v>
      </c>
      <c r="E224" s="531">
        <v>255436.19</v>
      </c>
      <c r="F224" s="531">
        <v>261695.98</v>
      </c>
      <c r="G224" s="531">
        <f t="shared" si="7"/>
        <v>255436.19</v>
      </c>
      <c r="H224" s="531">
        <f t="shared" si="8"/>
        <v>261695.98</v>
      </c>
      <c r="I224" s="532"/>
      <c r="J224" s="109"/>
    </row>
    <row r="225" spans="1:11" s="108" customFormat="1" hidden="1" x14ac:dyDescent="0.2">
      <c r="A225" s="543" t="s">
        <v>325</v>
      </c>
      <c r="B225" s="530"/>
      <c r="C225" s="531">
        <v>0</v>
      </c>
      <c r="D225" s="531">
        <f>89624.75+98.33</f>
        <v>89723.08</v>
      </c>
      <c r="E225" s="531">
        <v>76141.48</v>
      </c>
      <c r="F225" s="531">
        <v>568074.35</v>
      </c>
      <c r="G225" s="531">
        <f t="shared" si="7"/>
        <v>76141.48</v>
      </c>
      <c r="H225" s="531">
        <f t="shared" si="8"/>
        <v>657797.42999999993</v>
      </c>
      <c r="I225" s="532"/>
      <c r="J225" s="109"/>
    </row>
    <row r="226" spans="1:11" s="111" customFormat="1" ht="18" customHeight="1" x14ac:dyDescent="0.2">
      <c r="A226" s="543" t="s">
        <v>903</v>
      </c>
      <c r="B226" s="530" t="s">
        <v>1352</v>
      </c>
      <c r="C226" s="531">
        <v>0</v>
      </c>
      <c r="D226" s="531">
        <v>1171000</v>
      </c>
      <c r="E226" s="531">
        <v>13797</v>
      </c>
      <c r="F226" s="531">
        <v>272796.79999999999</v>
      </c>
      <c r="G226" s="531">
        <v>0</v>
      </c>
      <c r="H226" s="531">
        <f>+D226+F226-E226</f>
        <v>1429999.8</v>
      </c>
      <c r="I226" s="532" t="s">
        <v>1150</v>
      </c>
      <c r="J226" s="112"/>
      <c r="K226" s="181"/>
    </row>
    <row r="227" spans="1:11" s="111" customFormat="1" ht="18" customHeight="1" x14ac:dyDescent="0.2">
      <c r="A227" s="544" t="s">
        <v>904</v>
      </c>
      <c r="B227" s="533" t="s">
        <v>1353</v>
      </c>
      <c r="C227" s="522">
        <v>0</v>
      </c>
      <c r="D227" s="522">
        <f>53984.88</f>
        <v>53984.88</v>
      </c>
      <c r="E227" s="522">
        <v>19828.2</v>
      </c>
      <c r="F227" s="522">
        <v>209000</v>
      </c>
      <c r="G227" s="522">
        <v>0</v>
      </c>
      <c r="H227" s="522">
        <f>+D227+F227-E227</f>
        <v>243156.68</v>
      </c>
      <c r="I227" s="534" t="s">
        <v>1151</v>
      </c>
      <c r="J227" s="112"/>
      <c r="K227" s="181"/>
    </row>
    <row r="228" spans="1:11" s="108" customFormat="1" hidden="1" x14ac:dyDescent="0.2">
      <c r="A228" s="317" t="s">
        <v>326</v>
      </c>
      <c r="B228" s="317" t="s">
        <v>327</v>
      </c>
      <c r="C228" s="318">
        <v>0</v>
      </c>
      <c r="D228" s="318">
        <v>0</v>
      </c>
      <c r="E228" s="319">
        <v>0</v>
      </c>
      <c r="F228" s="319">
        <v>0</v>
      </c>
      <c r="G228" s="318">
        <f t="shared" si="7"/>
        <v>0</v>
      </c>
      <c r="H228" s="318">
        <f t="shared" si="8"/>
        <v>0</v>
      </c>
      <c r="I228" s="315"/>
      <c r="J228" s="109"/>
    </row>
    <row r="229" spans="1:11" s="108" customFormat="1" hidden="1" x14ac:dyDescent="0.2">
      <c r="A229" s="317" t="s">
        <v>328</v>
      </c>
      <c r="B229" s="317" t="s">
        <v>329</v>
      </c>
      <c r="C229" s="318">
        <v>0</v>
      </c>
      <c r="D229" s="318">
        <v>0</v>
      </c>
      <c r="E229" s="319">
        <v>0</v>
      </c>
      <c r="F229" s="319">
        <v>0</v>
      </c>
      <c r="G229" s="318">
        <f t="shared" si="7"/>
        <v>0</v>
      </c>
      <c r="H229" s="318">
        <f t="shared" si="8"/>
        <v>0</v>
      </c>
      <c r="I229" s="315"/>
      <c r="J229" s="109"/>
    </row>
    <row r="230" spans="1:11" s="108" customFormat="1" hidden="1" x14ac:dyDescent="0.2">
      <c r="A230" s="317" t="s">
        <v>330</v>
      </c>
      <c r="B230" s="317" t="s">
        <v>331</v>
      </c>
      <c r="C230" s="318">
        <v>0</v>
      </c>
      <c r="D230" s="318">
        <v>488454.21</v>
      </c>
      <c r="E230" s="319">
        <v>696387.34</v>
      </c>
      <c r="F230" s="319">
        <v>289290.12</v>
      </c>
      <c r="G230" s="318">
        <f t="shared" si="7"/>
        <v>696387.34</v>
      </c>
      <c r="H230" s="318">
        <f t="shared" si="8"/>
        <v>777744.33000000007</v>
      </c>
      <c r="I230" s="316"/>
      <c r="J230" s="109"/>
    </row>
    <row r="231" spans="1:11" s="108" customFormat="1" hidden="1" x14ac:dyDescent="0.2">
      <c r="A231" s="317" t="s">
        <v>332</v>
      </c>
      <c r="B231" s="317" t="s">
        <v>333</v>
      </c>
      <c r="C231" s="318">
        <v>0</v>
      </c>
      <c r="D231" s="318">
        <v>43361.86</v>
      </c>
      <c r="E231" s="319">
        <v>73078.710000000006</v>
      </c>
      <c r="F231" s="319">
        <v>33115.1</v>
      </c>
      <c r="G231" s="318">
        <f t="shared" si="7"/>
        <v>73078.710000000006</v>
      </c>
      <c r="H231" s="318">
        <f t="shared" si="8"/>
        <v>76476.959999999992</v>
      </c>
      <c r="I231" s="316"/>
      <c r="J231" s="109"/>
    </row>
    <row r="232" spans="1:11" s="108" customFormat="1" hidden="1" x14ac:dyDescent="0.2">
      <c r="A232" s="317" t="s">
        <v>334</v>
      </c>
      <c r="B232" s="317" t="s">
        <v>335</v>
      </c>
      <c r="C232" s="318">
        <v>0</v>
      </c>
      <c r="D232" s="318">
        <v>5267103.82</v>
      </c>
      <c r="E232" s="319">
        <v>0</v>
      </c>
      <c r="F232" s="319">
        <v>0</v>
      </c>
      <c r="G232" s="318">
        <f t="shared" si="7"/>
        <v>0</v>
      </c>
      <c r="H232" s="318">
        <f t="shared" si="8"/>
        <v>5267103.82</v>
      </c>
      <c r="I232" s="316"/>
      <c r="J232" s="109"/>
    </row>
    <row r="233" spans="1:11" s="108" customFormat="1" hidden="1" x14ac:dyDescent="0.2">
      <c r="A233" s="317" t="s">
        <v>336</v>
      </c>
      <c r="B233" s="317" t="s">
        <v>337</v>
      </c>
      <c r="C233" s="318">
        <v>0</v>
      </c>
      <c r="D233" s="318">
        <v>540300.07999999996</v>
      </c>
      <c r="E233" s="319">
        <v>0</v>
      </c>
      <c r="F233" s="319">
        <v>0</v>
      </c>
      <c r="G233" s="318">
        <f t="shared" si="7"/>
        <v>0</v>
      </c>
      <c r="H233" s="318">
        <f t="shared" si="8"/>
        <v>540300.07999999996</v>
      </c>
      <c r="I233" s="316"/>
      <c r="J233" s="109"/>
    </row>
    <row r="234" spans="1:11" s="108" customFormat="1" hidden="1" x14ac:dyDescent="0.2">
      <c r="A234" s="317" t="s">
        <v>338</v>
      </c>
      <c r="B234" s="317" t="s">
        <v>339</v>
      </c>
      <c r="C234" s="318">
        <v>0</v>
      </c>
      <c r="D234" s="318">
        <v>730683.87</v>
      </c>
      <c r="E234" s="319">
        <v>560343.12</v>
      </c>
      <c r="F234" s="319">
        <v>74777.38</v>
      </c>
      <c r="G234" s="318">
        <f t="shared" si="7"/>
        <v>560343.12</v>
      </c>
      <c r="H234" s="318">
        <f t="shared" si="8"/>
        <v>805461.25</v>
      </c>
      <c r="I234" s="316"/>
      <c r="J234" s="109"/>
    </row>
    <row r="235" spans="1:11" s="108" customFormat="1" hidden="1" x14ac:dyDescent="0.2">
      <c r="A235" s="317" t="s">
        <v>340</v>
      </c>
      <c r="B235" s="317" t="s">
        <v>341</v>
      </c>
      <c r="C235" s="318">
        <v>0</v>
      </c>
      <c r="D235" s="318">
        <v>3925411.7999999821</v>
      </c>
      <c r="E235" s="319">
        <v>1125565.27</v>
      </c>
      <c r="F235" s="319">
        <v>726843.19112116098</v>
      </c>
      <c r="G235" s="318">
        <f t="shared" si="7"/>
        <v>1125565.27</v>
      </c>
      <c r="H235" s="318">
        <f t="shared" si="8"/>
        <v>4652254.9911211431</v>
      </c>
      <c r="I235" s="316"/>
      <c r="J235" s="109"/>
    </row>
    <row r="236" spans="1:11" s="108" customFormat="1" hidden="1" x14ac:dyDescent="0.2">
      <c r="A236" s="317" t="s">
        <v>342</v>
      </c>
      <c r="B236" s="317" t="s">
        <v>343</v>
      </c>
      <c r="C236" s="318">
        <v>1842304.19</v>
      </c>
      <c r="D236" s="318">
        <v>0</v>
      </c>
      <c r="E236" s="319">
        <v>0</v>
      </c>
      <c r="F236" s="319">
        <v>0</v>
      </c>
      <c r="G236" s="318">
        <f t="shared" si="7"/>
        <v>1842304.19</v>
      </c>
      <c r="H236" s="318">
        <f t="shared" si="8"/>
        <v>0</v>
      </c>
      <c r="I236" s="316"/>
      <c r="J236" s="109"/>
    </row>
    <row r="237" spans="1:11" s="108" customFormat="1" hidden="1" x14ac:dyDescent="0.2">
      <c r="A237" s="317" t="s">
        <v>344</v>
      </c>
      <c r="B237" s="317" t="s">
        <v>345</v>
      </c>
      <c r="C237" s="318">
        <v>0</v>
      </c>
      <c r="D237" s="318">
        <v>0</v>
      </c>
      <c r="E237" s="319">
        <v>5691503.54</v>
      </c>
      <c r="F237" s="319">
        <v>5006.1000000000004</v>
      </c>
      <c r="G237" s="318">
        <f t="shared" si="7"/>
        <v>5691503.54</v>
      </c>
      <c r="H237" s="318">
        <f t="shared" si="8"/>
        <v>5006.1000000000004</v>
      </c>
      <c r="I237" s="316"/>
      <c r="J237" s="109"/>
    </row>
    <row r="238" spans="1:11" s="108" customFormat="1" hidden="1" x14ac:dyDescent="0.2">
      <c r="A238" s="317" t="s">
        <v>346</v>
      </c>
      <c r="B238" s="317" t="s">
        <v>347</v>
      </c>
      <c r="C238" s="318">
        <v>0</v>
      </c>
      <c r="D238" s="318">
        <v>0</v>
      </c>
      <c r="E238" s="319">
        <v>73101.39</v>
      </c>
      <c r="F238" s="319">
        <v>0</v>
      </c>
      <c r="G238" s="318">
        <f t="shared" si="7"/>
        <v>73101.39</v>
      </c>
      <c r="H238" s="318">
        <f t="shared" si="8"/>
        <v>0</v>
      </c>
      <c r="I238" s="316"/>
      <c r="J238" s="109"/>
    </row>
    <row r="239" spans="1:11" s="108" customFormat="1" hidden="1" x14ac:dyDescent="0.2">
      <c r="A239" s="317" t="s">
        <v>348</v>
      </c>
      <c r="B239" s="317" t="s">
        <v>349</v>
      </c>
      <c r="C239" s="318">
        <v>0</v>
      </c>
      <c r="D239" s="318">
        <v>0</v>
      </c>
      <c r="E239" s="319">
        <v>76595</v>
      </c>
      <c r="F239" s="319">
        <v>0</v>
      </c>
      <c r="G239" s="318">
        <f t="shared" si="7"/>
        <v>76595</v>
      </c>
      <c r="H239" s="318">
        <f t="shared" si="8"/>
        <v>0</v>
      </c>
      <c r="I239" s="316"/>
      <c r="J239" s="109"/>
    </row>
    <row r="240" spans="1:11" s="108" customFormat="1" hidden="1" x14ac:dyDescent="0.2">
      <c r="A240" s="317" t="s">
        <v>350</v>
      </c>
      <c r="B240" s="317" t="s">
        <v>351</v>
      </c>
      <c r="C240" s="318">
        <v>0</v>
      </c>
      <c r="D240" s="318">
        <v>0</v>
      </c>
      <c r="E240" s="319">
        <v>20028.07</v>
      </c>
      <c r="F240" s="319">
        <v>0</v>
      </c>
      <c r="G240" s="318">
        <f t="shared" si="7"/>
        <v>20028.07</v>
      </c>
      <c r="H240" s="318">
        <f t="shared" si="8"/>
        <v>0</v>
      </c>
      <c r="I240" s="316"/>
      <c r="J240" s="109"/>
    </row>
    <row r="241" spans="1:10" s="108" customFormat="1" hidden="1" x14ac:dyDescent="0.2">
      <c r="A241" s="317" t="s">
        <v>352</v>
      </c>
      <c r="B241" s="317" t="s">
        <v>351</v>
      </c>
      <c r="C241" s="318">
        <v>0</v>
      </c>
      <c r="D241" s="318">
        <v>0</v>
      </c>
      <c r="E241" s="319">
        <v>988832.94</v>
      </c>
      <c r="F241" s="319">
        <v>0</v>
      </c>
      <c r="G241" s="318">
        <f t="shared" si="7"/>
        <v>988832.94</v>
      </c>
      <c r="H241" s="318">
        <f t="shared" si="8"/>
        <v>0</v>
      </c>
      <c r="I241" s="316"/>
      <c r="J241" s="109"/>
    </row>
    <row r="242" spans="1:10" s="108" customFormat="1" hidden="1" x14ac:dyDescent="0.2">
      <c r="A242" s="317" t="s">
        <v>353</v>
      </c>
      <c r="B242" s="317" t="s">
        <v>354</v>
      </c>
      <c r="C242" s="318">
        <v>0</v>
      </c>
      <c r="D242" s="318">
        <v>0</v>
      </c>
      <c r="E242" s="319">
        <v>112269.82</v>
      </c>
      <c r="F242" s="319">
        <v>0</v>
      </c>
      <c r="G242" s="318">
        <f t="shared" si="7"/>
        <v>112269.82</v>
      </c>
      <c r="H242" s="318">
        <f t="shared" si="8"/>
        <v>0</v>
      </c>
      <c r="I242" s="316"/>
      <c r="J242" s="109"/>
    </row>
    <row r="243" spans="1:10" s="108" customFormat="1" hidden="1" x14ac:dyDescent="0.2">
      <c r="A243" s="317" t="s">
        <v>355</v>
      </c>
      <c r="B243" s="317" t="s">
        <v>356</v>
      </c>
      <c r="C243" s="318">
        <v>0</v>
      </c>
      <c r="D243" s="318">
        <v>0</v>
      </c>
      <c r="E243" s="319">
        <v>589497.15</v>
      </c>
      <c r="F243" s="319">
        <v>19017.71</v>
      </c>
      <c r="G243" s="318">
        <f t="shared" si="7"/>
        <v>589497.15</v>
      </c>
      <c r="H243" s="318">
        <f t="shared" si="8"/>
        <v>19017.71</v>
      </c>
      <c r="I243" s="316"/>
      <c r="J243" s="109"/>
    </row>
    <row r="244" spans="1:10" s="108" customFormat="1" hidden="1" x14ac:dyDescent="0.2">
      <c r="A244" s="317" t="s">
        <v>357</v>
      </c>
      <c r="B244" s="317" t="s">
        <v>354</v>
      </c>
      <c r="C244" s="318">
        <v>0</v>
      </c>
      <c r="D244" s="318">
        <v>0</v>
      </c>
      <c r="E244" s="319">
        <v>356902.05</v>
      </c>
      <c r="F244" s="319">
        <v>2518.98</v>
      </c>
      <c r="G244" s="318">
        <f t="shared" si="7"/>
        <v>356902.05</v>
      </c>
      <c r="H244" s="318">
        <f t="shared" si="8"/>
        <v>2518.98</v>
      </c>
      <c r="I244" s="316"/>
      <c r="J244" s="109"/>
    </row>
    <row r="245" spans="1:10" s="108" customFormat="1" hidden="1" x14ac:dyDescent="0.2">
      <c r="A245" s="317" t="s">
        <v>358</v>
      </c>
      <c r="B245" s="317" t="s">
        <v>287</v>
      </c>
      <c r="C245" s="318">
        <v>0</v>
      </c>
      <c r="D245" s="318">
        <v>0</v>
      </c>
      <c r="E245" s="319">
        <v>28550</v>
      </c>
      <c r="F245" s="319">
        <v>0</v>
      </c>
      <c r="G245" s="318">
        <f t="shared" si="7"/>
        <v>28550</v>
      </c>
      <c r="H245" s="318">
        <f t="shared" si="8"/>
        <v>0</v>
      </c>
      <c r="I245" s="316"/>
      <c r="J245" s="109"/>
    </row>
    <row r="246" spans="1:10" s="108" customFormat="1" hidden="1" x14ac:dyDescent="0.2">
      <c r="A246" s="317" t="s">
        <v>359</v>
      </c>
      <c r="B246" s="317" t="s">
        <v>360</v>
      </c>
      <c r="C246" s="318">
        <v>0</v>
      </c>
      <c r="D246" s="318">
        <v>0</v>
      </c>
      <c r="E246" s="319">
        <v>541046.56999999995</v>
      </c>
      <c r="F246" s="319">
        <v>0</v>
      </c>
      <c r="G246" s="318">
        <f t="shared" si="7"/>
        <v>541046.56999999995</v>
      </c>
      <c r="H246" s="318">
        <f t="shared" si="8"/>
        <v>0</v>
      </c>
      <c r="I246" s="316"/>
      <c r="J246" s="109"/>
    </row>
    <row r="247" spans="1:10" s="108" customFormat="1" hidden="1" x14ac:dyDescent="0.2">
      <c r="A247" s="317" t="s">
        <v>361</v>
      </c>
      <c r="B247" s="317" t="s">
        <v>362</v>
      </c>
      <c r="C247" s="318">
        <v>0</v>
      </c>
      <c r="D247" s="318">
        <v>0</v>
      </c>
      <c r="E247" s="319">
        <v>553881.18999999994</v>
      </c>
      <c r="F247" s="319">
        <v>43211.519999999997</v>
      </c>
      <c r="G247" s="318">
        <f t="shared" si="7"/>
        <v>553881.18999999994</v>
      </c>
      <c r="H247" s="318">
        <f t="shared" si="8"/>
        <v>43211.519999999997</v>
      </c>
      <c r="I247" s="316"/>
      <c r="J247" s="109"/>
    </row>
    <row r="248" spans="1:10" s="108" customFormat="1" hidden="1" x14ac:dyDescent="0.2">
      <c r="A248" s="317" t="s">
        <v>363</v>
      </c>
      <c r="B248" s="317" t="s">
        <v>364</v>
      </c>
      <c r="C248" s="318">
        <v>0</v>
      </c>
      <c r="D248" s="318">
        <v>0</v>
      </c>
      <c r="E248" s="319">
        <v>81945.41</v>
      </c>
      <c r="F248" s="319">
        <v>0</v>
      </c>
      <c r="G248" s="318">
        <f t="shared" si="7"/>
        <v>81945.41</v>
      </c>
      <c r="H248" s="318">
        <f t="shared" si="8"/>
        <v>0</v>
      </c>
      <c r="I248" s="316"/>
      <c r="J248" s="109"/>
    </row>
    <row r="249" spans="1:10" s="108" customFormat="1" hidden="1" x14ac:dyDescent="0.2">
      <c r="A249" s="317" t="s">
        <v>365</v>
      </c>
      <c r="B249" s="317" t="s">
        <v>366</v>
      </c>
      <c r="C249" s="318">
        <v>0</v>
      </c>
      <c r="D249" s="318">
        <v>0</v>
      </c>
      <c r="E249" s="319">
        <v>61121.51</v>
      </c>
      <c r="F249" s="319">
        <v>655.64</v>
      </c>
      <c r="G249" s="318">
        <f t="shared" si="7"/>
        <v>61121.51</v>
      </c>
      <c r="H249" s="318">
        <f t="shared" si="8"/>
        <v>655.64</v>
      </c>
      <c r="I249" s="316"/>
      <c r="J249" s="109"/>
    </row>
    <row r="250" spans="1:10" s="108" customFormat="1" hidden="1" x14ac:dyDescent="0.2">
      <c r="A250" s="317" t="s">
        <v>367</v>
      </c>
      <c r="B250" s="317" t="s">
        <v>273</v>
      </c>
      <c r="C250" s="318">
        <v>0</v>
      </c>
      <c r="D250" s="318">
        <v>0</v>
      </c>
      <c r="E250" s="319">
        <v>278515</v>
      </c>
      <c r="F250" s="319">
        <v>0</v>
      </c>
      <c r="G250" s="318">
        <f t="shared" si="7"/>
        <v>278515</v>
      </c>
      <c r="H250" s="318">
        <f t="shared" si="8"/>
        <v>0</v>
      </c>
      <c r="I250" s="316"/>
      <c r="J250" s="109"/>
    </row>
    <row r="251" spans="1:10" s="108" customFormat="1" hidden="1" x14ac:dyDescent="0.2">
      <c r="A251" s="317" t="s">
        <v>368</v>
      </c>
      <c r="B251" s="317" t="s">
        <v>369</v>
      </c>
      <c r="C251" s="318">
        <v>0</v>
      </c>
      <c r="D251" s="318">
        <v>0</v>
      </c>
      <c r="E251" s="319">
        <v>39066.44</v>
      </c>
      <c r="F251" s="319">
        <v>0</v>
      </c>
      <c r="G251" s="318">
        <f t="shared" si="7"/>
        <v>39066.44</v>
      </c>
      <c r="H251" s="318">
        <f t="shared" si="8"/>
        <v>0</v>
      </c>
      <c r="I251" s="316"/>
      <c r="J251" s="109"/>
    </row>
    <row r="252" spans="1:10" s="108" customFormat="1" hidden="1" x14ac:dyDescent="0.2">
      <c r="A252" s="317" t="s">
        <v>370</v>
      </c>
      <c r="B252" s="317" t="s">
        <v>371</v>
      </c>
      <c r="C252" s="318">
        <v>0</v>
      </c>
      <c r="D252" s="318">
        <v>0</v>
      </c>
      <c r="E252" s="319">
        <v>112814.54</v>
      </c>
      <c r="F252" s="319">
        <v>0</v>
      </c>
      <c r="G252" s="318">
        <f t="shared" si="7"/>
        <v>112814.54</v>
      </c>
      <c r="H252" s="318">
        <f t="shared" si="8"/>
        <v>0</v>
      </c>
      <c r="I252" s="316"/>
      <c r="J252" s="109"/>
    </row>
    <row r="253" spans="1:10" s="108" customFormat="1" hidden="1" x14ac:dyDescent="0.2">
      <c r="A253" s="317" t="s">
        <v>372</v>
      </c>
      <c r="B253" s="317" t="s">
        <v>373</v>
      </c>
      <c r="C253" s="318">
        <v>0</v>
      </c>
      <c r="D253" s="318">
        <v>0</v>
      </c>
      <c r="E253" s="319">
        <v>33.5</v>
      </c>
      <c r="F253" s="319">
        <v>0</v>
      </c>
      <c r="G253" s="318">
        <f t="shared" si="7"/>
        <v>33.5</v>
      </c>
      <c r="H253" s="318">
        <f t="shared" si="8"/>
        <v>0</v>
      </c>
      <c r="I253" s="316"/>
      <c r="J253" s="109"/>
    </row>
    <row r="254" spans="1:10" s="108" customFormat="1" hidden="1" x14ac:dyDescent="0.2">
      <c r="A254" s="317" t="s">
        <v>374</v>
      </c>
      <c r="B254" s="317" t="s">
        <v>375</v>
      </c>
      <c r="C254" s="318">
        <v>0</v>
      </c>
      <c r="D254" s="318">
        <v>0</v>
      </c>
      <c r="E254" s="319">
        <v>190553.33</v>
      </c>
      <c r="F254" s="319">
        <v>1284.3599999999999</v>
      </c>
      <c r="G254" s="318">
        <f t="shared" si="7"/>
        <v>190553.33</v>
      </c>
      <c r="H254" s="318">
        <f t="shared" si="8"/>
        <v>1284.3599999999999</v>
      </c>
      <c r="I254" s="316"/>
      <c r="J254" s="109"/>
    </row>
    <row r="255" spans="1:10" s="108" customFormat="1" hidden="1" x14ac:dyDescent="0.2">
      <c r="A255" s="317" t="s">
        <v>376</v>
      </c>
      <c r="B255" s="317" t="s">
        <v>377</v>
      </c>
      <c r="C255" s="318">
        <v>0</v>
      </c>
      <c r="D255" s="318">
        <v>0</v>
      </c>
      <c r="E255" s="319">
        <v>135839.20000000001</v>
      </c>
      <c r="F255" s="319">
        <v>0</v>
      </c>
      <c r="G255" s="318">
        <f t="shared" si="7"/>
        <v>135839.20000000001</v>
      </c>
      <c r="H255" s="318">
        <f t="shared" si="8"/>
        <v>0</v>
      </c>
      <c r="I255" s="316"/>
      <c r="J255" s="109"/>
    </row>
    <row r="256" spans="1:10" s="108" customFormat="1" hidden="1" x14ac:dyDescent="0.2">
      <c r="A256" s="317" t="s">
        <v>378</v>
      </c>
      <c r="B256" s="317" t="s">
        <v>379</v>
      </c>
      <c r="C256" s="318">
        <v>0</v>
      </c>
      <c r="D256" s="318">
        <v>0</v>
      </c>
      <c r="E256" s="319">
        <v>49788.959999999999</v>
      </c>
      <c r="F256" s="319">
        <v>0</v>
      </c>
      <c r="G256" s="318">
        <f t="shared" si="7"/>
        <v>49788.959999999999</v>
      </c>
      <c r="H256" s="318">
        <f t="shared" si="8"/>
        <v>0</v>
      </c>
      <c r="I256" s="316"/>
      <c r="J256" s="109"/>
    </row>
    <row r="257" spans="1:10" s="108" customFormat="1" hidden="1" x14ac:dyDescent="0.2">
      <c r="A257" s="317" t="s">
        <v>380</v>
      </c>
      <c r="B257" s="317" t="s">
        <v>381</v>
      </c>
      <c r="C257" s="318">
        <v>0</v>
      </c>
      <c r="D257" s="318">
        <v>0</v>
      </c>
      <c r="E257" s="319">
        <v>2797.04</v>
      </c>
      <c r="F257" s="319">
        <v>0</v>
      </c>
      <c r="G257" s="318">
        <f t="shared" si="7"/>
        <v>2797.04</v>
      </c>
      <c r="H257" s="318">
        <f t="shared" si="8"/>
        <v>0</v>
      </c>
      <c r="I257" s="316"/>
      <c r="J257" s="109"/>
    </row>
    <row r="258" spans="1:10" s="108" customFormat="1" hidden="1" x14ac:dyDescent="0.2">
      <c r="A258" s="317" t="s">
        <v>382</v>
      </c>
      <c r="B258" s="317" t="s">
        <v>383</v>
      </c>
      <c r="C258" s="318">
        <v>0</v>
      </c>
      <c r="D258" s="318">
        <v>0</v>
      </c>
      <c r="E258" s="319">
        <v>123377.60000000001</v>
      </c>
      <c r="F258" s="319">
        <v>0</v>
      </c>
      <c r="G258" s="318">
        <f t="shared" si="7"/>
        <v>123377.60000000001</v>
      </c>
      <c r="H258" s="318">
        <f t="shared" si="8"/>
        <v>0</v>
      </c>
      <c r="I258" s="316"/>
      <c r="J258" s="109"/>
    </row>
    <row r="259" spans="1:10" s="108" customFormat="1" hidden="1" x14ac:dyDescent="0.2">
      <c r="A259" s="317" t="s">
        <v>384</v>
      </c>
      <c r="B259" s="317" t="s">
        <v>385</v>
      </c>
      <c r="C259" s="318">
        <v>0</v>
      </c>
      <c r="D259" s="318">
        <v>0</v>
      </c>
      <c r="E259" s="319">
        <v>41.44</v>
      </c>
      <c r="F259" s="319">
        <v>0</v>
      </c>
      <c r="G259" s="318">
        <f t="shared" si="7"/>
        <v>41.44</v>
      </c>
      <c r="H259" s="318">
        <f t="shared" si="8"/>
        <v>0</v>
      </c>
      <c r="I259" s="316"/>
      <c r="J259" s="109"/>
    </row>
    <row r="260" spans="1:10" s="108" customFormat="1" hidden="1" x14ac:dyDescent="0.2">
      <c r="A260" s="317" t="s">
        <v>386</v>
      </c>
      <c r="B260" s="317" t="s">
        <v>387</v>
      </c>
      <c r="C260" s="318">
        <v>0</v>
      </c>
      <c r="D260" s="318">
        <v>0</v>
      </c>
      <c r="E260" s="319">
        <v>35317.919999999998</v>
      </c>
      <c r="F260" s="319">
        <v>510.7</v>
      </c>
      <c r="G260" s="318">
        <f t="shared" ref="G260:G323" si="9">+C260+E260</f>
        <v>35317.919999999998</v>
      </c>
      <c r="H260" s="318">
        <f t="shared" ref="H260:H323" si="10">+D260+F260</f>
        <v>510.7</v>
      </c>
      <c r="I260" s="316"/>
      <c r="J260" s="109"/>
    </row>
    <row r="261" spans="1:10" s="108" customFormat="1" hidden="1" x14ac:dyDescent="0.2">
      <c r="A261" s="317" t="s">
        <v>388</v>
      </c>
      <c r="B261" s="317" t="s">
        <v>389</v>
      </c>
      <c r="C261" s="318">
        <v>0</v>
      </c>
      <c r="D261" s="318">
        <v>0</v>
      </c>
      <c r="E261" s="319">
        <v>2059.88</v>
      </c>
      <c r="F261" s="319">
        <v>0</v>
      </c>
      <c r="G261" s="318">
        <f t="shared" si="9"/>
        <v>2059.88</v>
      </c>
      <c r="H261" s="318">
        <f t="shared" si="10"/>
        <v>0</v>
      </c>
      <c r="I261" s="316"/>
      <c r="J261" s="109"/>
    </row>
    <row r="262" spans="1:10" s="108" customFormat="1" hidden="1" x14ac:dyDescent="0.2">
      <c r="A262" s="317" t="s">
        <v>390</v>
      </c>
      <c r="B262" s="317" t="s">
        <v>391</v>
      </c>
      <c r="C262" s="318">
        <v>0</v>
      </c>
      <c r="D262" s="318">
        <v>0</v>
      </c>
      <c r="E262" s="319">
        <v>507900.7</v>
      </c>
      <c r="F262" s="319">
        <v>0</v>
      </c>
      <c r="G262" s="318">
        <f t="shared" si="9"/>
        <v>507900.7</v>
      </c>
      <c r="H262" s="318">
        <f t="shared" si="10"/>
        <v>0</v>
      </c>
      <c r="I262" s="316"/>
      <c r="J262" s="109"/>
    </row>
    <row r="263" spans="1:10" s="108" customFormat="1" hidden="1" x14ac:dyDescent="0.2">
      <c r="A263" s="317" t="s">
        <v>392</v>
      </c>
      <c r="B263" s="317" t="s">
        <v>393</v>
      </c>
      <c r="C263" s="318">
        <v>0</v>
      </c>
      <c r="D263" s="318">
        <v>0</v>
      </c>
      <c r="E263" s="319">
        <v>94811.27</v>
      </c>
      <c r="F263" s="319">
        <v>0</v>
      </c>
      <c r="G263" s="318">
        <f t="shared" si="9"/>
        <v>94811.27</v>
      </c>
      <c r="H263" s="318">
        <f t="shared" si="10"/>
        <v>0</v>
      </c>
      <c r="I263" s="316"/>
      <c r="J263" s="109"/>
    </row>
    <row r="264" spans="1:10" s="108" customFormat="1" hidden="1" x14ac:dyDescent="0.2">
      <c r="A264" s="317" t="s">
        <v>394</v>
      </c>
      <c r="B264" s="317" t="s">
        <v>395</v>
      </c>
      <c r="C264" s="318">
        <v>0</v>
      </c>
      <c r="D264" s="318">
        <v>0</v>
      </c>
      <c r="E264" s="319">
        <v>373041.4</v>
      </c>
      <c r="F264" s="319">
        <v>0</v>
      </c>
      <c r="G264" s="318">
        <f t="shared" si="9"/>
        <v>373041.4</v>
      </c>
      <c r="H264" s="318">
        <f t="shared" si="10"/>
        <v>0</v>
      </c>
      <c r="I264" s="316"/>
      <c r="J264" s="109"/>
    </row>
    <row r="265" spans="1:10" s="108" customFormat="1" hidden="1" x14ac:dyDescent="0.2">
      <c r="A265" s="317" t="s">
        <v>396</v>
      </c>
      <c r="B265" s="317" t="s">
        <v>397</v>
      </c>
      <c r="C265" s="318">
        <v>0</v>
      </c>
      <c r="D265" s="318">
        <v>0</v>
      </c>
      <c r="E265" s="319">
        <v>37141.699999999997</v>
      </c>
      <c r="F265" s="319">
        <v>251.36</v>
      </c>
      <c r="G265" s="318">
        <f t="shared" si="9"/>
        <v>37141.699999999997</v>
      </c>
      <c r="H265" s="318">
        <f t="shared" si="10"/>
        <v>251.36</v>
      </c>
      <c r="I265" s="316"/>
      <c r="J265" s="109"/>
    </row>
    <row r="266" spans="1:10" s="108" customFormat="1" hidden="1" x14ac:dyDescent="0.2">
      <c r="A266" s="317" t="s">
        <v>398</v>
      </c>
      <c r="B266" s="317" t="s">
        <v>399</v>
      </c>
      <c r="C266" s="318">
        <v>0</v>
      </c>
      <c r="D266" s="318">
        <v>0</v>
      </c>
      <c r="E266" s="319">
        <v>23503.42</v>
      </c>
      <c r="F266" s="319">
        <v>0</v>
      </c>
      <c r="G266" s="318">
        <f t="shared" si="9"/>
        <v>23503.42</v>
      </c>
      <c r="H266" s="318">
        <f t="shared" si="10"/>
        <v>0</v>
      </c>
      <c r="I266" s="316"/>
      <c r="J266" s="109"/>
    </row>
    <row r="267" spans="1:10" s="108" customFormat="1" hidden="1" x14ac:dyDescent="0.2">
      <c r="A267" s="317" t="s">
        <v>400</v>
      </c>
      <c r="B267" s="317" t="s">
        <v>401</v>
      </c>
      <c r="C267" s="318">
        <v>0</v>
      </c>
      <c r="D267" s="318">
        <v>0</v>
      </c>
      <c r="E267" s="319">
        <v>4203</v>
      </c>
      <c r="F267" s="319">
        <v>0</v>
      </c>
      <c r="G267" s="318">
        <f t="shared" si="9"/>
        <v>4203</v>
      </c>
      <c r="H267" s="318">
        <f t="shared" si="10"/>
        <v>0</v>
      </c>
      <c r="I267" s="316"/>
      <c r="J267" s="109"/>
    </row>
    <row r="268" spans="1:10" s="108" customFormat="1" hidden="1" x14ac:dyDescent="0.2">
      <c r="A268" s="317" t="s">
        <v>402</v>
      </c>
      <c r="B268" s="317" t="s">
        <v>403</v>
      </c>
      <c r="C268" s="318">
        <v>0</v>
      </c>
      <c r="D268" s="318">
        <v>0</v>
      </c>
      <c r="E268" s="319">
        <v>14662629.279999999</v>
      </c>
      <c r="F268" s="319">
        <v>1693957.28</v>
      </c>
      <c r="G268" s="318">
        <f t="shared" si="9"/>
        <v>14662629.279999999</v>
      </c>
      <c r="H268" s="318">
        <f t="shared" si="10"/>
        <v>1693957.28</v>
      </c>
      <c r="I268" s="316"/>
      <c r="J268" s="109"/>
    </row>
    <row r="269" spans="1:10" s="108" customFormat="1" hidden="1" x14ac:dyDescent="0.2">
      <c r="A269" s="317" t="s">
        <v>404</v>
      </c>
      <c r="B269" s="317" t="s">
        <v>405</v>
      </c>
      <c r="C269" s="318">
        <v>0</v>
      </c>
      <c r="D269" s="318">
        <v>0</v>
      </c>
      <c r="E269" s="319">
        <v>54096</v>
      </c>
      <c r="F269" s="319">
        <v>0</v>
      </c>
      <c r="G269" s="318">
        <f t="shared" si="9"/>
        <v>54096</v>
      </c>
      <c r="H269" s="318">
        <f t="shared" si="10"/>
        <v>0</v>
      </c>
      <c r="I269" s="316"/>
      <c r="J269" s="109"/>
    </row>
    <row r="270" spans="1:10" s="108" customFormat="1" hidden="1" x14ac:dyDescent="0.2">
      <c r="A270" s="317" t="s">
        <v>406</v>
      </c>
      <c r="B270" s="317" t="s">
        <v>407</v>
      </c>
      <c r="C270" s="318">
        <v>0</v>
      </c>
      <c r="D270" s="318">
        <v>0</v>
      </c>
      <c r="E270" s="319">
        <v>6039.49</v>
      </c>
      <c r="F270" s="319">
        <v>0</v>
      </c>
      <c r="G270" s="318">
        <f t="shared" si="9"/>
        <v>6039.49</v>
      </c>
      <c r="H270" s="318">
        <f t="shared" si="10"/>
        <v>0</v>
      </c>
      <c r="I270" s="316"/>
      <c r="J270" s="109"/>
    </row>
    <row r="271" spans="1:10" s="108" customFormat="1" hidden="1" x14ac:dyDescent="0.2">
      <c r="A271" s="317" t="s">
        <v>408</v>
      </c>
      <c r="B271" s="317" t="s">
        <v>409</v>
      </c>
      <c r="C271" s="318">
        <v>0</v>
      </c>
      <c r="D271" s="318">
        <v>0</v>
      </c>
      <c r="E271" s="319">
        <v>9142.74</v>
      </c>
      <c r="F271" s="319">
        <v>0</v>
      </c>
      <c r="G271" s="318">
        <f t="shared" si="9"/>
        <v>9142.74</v>
      </c>
      <c r="H271" s="318">
        <f t="shared" si="10"/>
        <v>0</v>
      </c>
      <c r="I271" s="316"/>
      <c r="J271" s="109"/>
    </row>
    <row r="272" spans="1:10" s="108" customFormat="1" hidden="1" x14ac:dyDescent="0.2">
      <c r="A272" s="317" t="s">
        <v>410</v>
      </c>
      <c r="B272" s="317" t="s">
        <v>411</v>
      </c>
      <c r="C272" s="318">
        <v>0</v>
      </c>
      <c r="D272" s="318">
        <v>0</v>
      </c>
      <c r="E272" s="319">
        <v>94672.14</v>
      </c>
      <c r="F272" s="319">
        <v>0</v>
      </c>
      <c r="G272" s="318">
        <f t="shared" si="9"/>
        <v>94672.14</v>
      </c>
      <c r="H272" s="318">
        <f t="shared" si="10"/>
        <v>0</v>
      </c>
      <c r="I272" s="316"/>
      <c r="J272" s="109"/>
    </row>
    <row r="273" spans="1:10" s="108" customFormat="1" hidden="1" x14ac:dyDescent="0.2">
      <c r="A273" s="317" t="s">
        <v>412</v>
      </c>
      <c r="B273" s="317" t="s">
        <v>413</v>
      </c>
      <c r="C273" s="318">
        <v>0</v>
      </c>
      <c r="D273" s="318">
        <v>0</v>
      </c>
      <c r="E273" s="319">
        <v>314742.8</v>
      </c>
      <c r="F273" s="319">
        <v>0</v>
      </c>
      <c r="G273" s="318">
        <f t="shared" si="9"/>
        <v>314742.8</v>
      </c>
      <c r="H273" s="318">
        <f t="shared" si="10"/>
        <v>0</v>
      </c>
      <c r="I273" s="316"/>
      <c r="J273" s="109"/>
    </row>
    <row r="274" spans="1:10" s="108" customFormat="1" hidden="1" x14ac:dyDescent="0.2">
      <c r="A274" s="317" t="s">
        <v>414</v>
      </c>
      <c r="B274" s="317" t="s">
        <v>415</v>
      </c>
      <c r="C274" s="318">
        <v>0</v>
      </c>
      <c r="D274" s="318">
        <v>0</v>
      </c>
      <c r="E274" s="319">
        <v>1359.47</v>
      </c>
      <c r="F274" s="319">
        <v>1136.83</v>
      </c>
      <c r="G274" s="318">
        <f t="shared" si="9"/>
        <v>1359.47</v>
      </c>
      <c r="H274" s="318">
        <f t="shared" si="10"/>
        <v>1136.83</v>
      </c>
      <c r="I274" s="316"/>
      <c r="J274" s="109"/>
    </row>
    <row r="275" spans="1:10" s="108" customFormat="1" hidden="1" x14ac:dyDescent="0.2">
      <c r="A275" s="317" t="s">
        <v>416</v>
      </c>
      <c r="B275" s="317" t="s">
        <v>417</v>
      </c>
      <c r="C275" s="318">
        <v>0</v>
      </c>
      <c r="D275" s="318">
        <v>0</v>
      </c>
      <c r="E275" s="319">
        <v>605550.71</v>
      </c>
      <c r="F275" s="319">
        <v>0</v>
      </c>
      <c r="G275" s="318">
        <f t="shared" si="9"/>
        <v>605550.71</v>
      </c>
      <c r="H275" s="318">
        <f t="shared" si="10"/>
        <v>0</v>
      </c>
      <c r="I275" s="316"/>
      <c r="J275" s="109"/>
    </row>
    <row r="276" spans="1:10" s="108" customFormat="1" hidden="1" x14ac:dyDescent="0.2">
      <c r="A276" s="317" t="s">
        <v>418</v>
      </c>
      <c r="B276" s="317" t="s">
        <v>419</v>
      </c>
      <c r="C276" s="318">
        <v>0</v>
      </c>
      <c r="D276" s="318">
        <v>0</v>
      </c>
      <c r="E276" s="319">
        <v>973050</v>
      </c>
      <c r="F276" s="319">
        <v>0</v>
      </c>
      <c r="G276" s="318">
        <f t="shared" si="9"/>
        <v>973050</v>
      </c>
      <c r="H276" s="318">
        <f t="shared" si="10"/>
        <v>0</v>
      </c>
      <c r="I276" s="316"/>
      <c r="J276" s="109"/>
    </row>
    <row r="277" spans="1:10" s="108" customFormat="1" hidden="1" x14ac:dyDescent="0.2">
      <c r="A277" s="317" t="s">
        <v>420</v>
      </c>
      <c r="B277" s="317" t="s">
        <v>421</v>
      </c>
      <c r="C277" s="318">
        <v>0</v>
      </c>
      <c r="D277" s="318">
        <v>0</v>
      </c>
      <c r="E277" s="319">
        <v>183713.37</v>
      </c>
      <c r="F277" s="319">
        <v>0</v>
      </c>
      <c r="G277" s="318">
        <f t="shared" si="9"/>
        <v>183713.37</v>
      </c>
      <c r="H277" s="318">
        <f t="shared" si="10"/>
        <v>0</v>
      </c>
      <c r="I277" s="316"/>
      <c r="J277" s="109"/>
    </row>
    <row r="278" spans="1:10" s="108" customFormat="1" hidden="1" x14ac:dyDescent="0.2">
      <c r="A278" s="317" t="s">
        <v>422</v>
      </c>
      <c r="B278" s="317" t="s">
        <v>423</v>
      </c>
      <c r="C278" s="318">
        <v>0</v>
      </c>
      <c r="D278" s="318">
        <v>0</v>
      </c>
      <c r="E278" s="319">
        <v>31857.54</v>
      </c>
      <c r="F278" s="319">
        <v>0</v>
      </c>
      <c r="G278" s="318">
        <f t="shared" si="9"/>
        <v>31857.54</v>
      </c>
      <c r="H278" s="318">
        <f t="shared" si="10"/>
        <v>0</v>
      </c>
      <c r="I278" s="316"/>
      <c r="J278" s="109"/>
    </row>
    <row r="279" spans="1:10" s="108" customFormat="1" hidden="1" x14ac:dyDescent="0.2">
      <c r="A279" s="317" t="s">
        <v>424</v>
      </c>
      <c r="B279" s="317" t="s">
        <v>425</v>
      </c>
      <c r="C279" s="318">
        <v>0</v>
      </c>
      <c r="D279" s="318">
        <v>0</v>
      </c>
      <c r="E279" s="319">
        <v>221.6</v>
      </c>
      <c r="F279" s="319">
        <v>0</v>
      </c>
      <c r="G279" s="318">
        <f t="shared" si="9"/>
        <v>221.6</v>
      </c>
      <c r="H279" s="318">
        <f t="shared" si="10"/>
        <v>0</v>
      </c>
      <c r="I279" s="316"/>
      <c r="J279" s="109"/>
    </row>
    <row r="280" spans="1:10" s="108" customFormat="1" hidden="1" x14ac:dyDescent="0.2">
      <c r="A280" s="317" t="s">
        <v>426</v>
      </c>
      <c r="B280" s="317" t="s">
        <v>427</v>
      </c>
      <c r="C280" s="318">
        <v>0</v>
      </c>
      <c r="D280" s="318">
        <v>0</v>
      </c>
      <c r="E280" s="319">
        <v>9570.26</v>
      </c>
      <c r="F280" s="319">
        <v>0</v>
      </c>
      <c r="G280" s="318">
        <f t="shared" si="9"/>
        <v>9570.26</v>
      </c>
      <c r="H280" s="318">
        <f t="shared" si="10"/>
        <v>0</v>
      </c>
      <c r="I280" s="316"/>
      <c r="J280" s="109"/>
    </row>
    <row r="281" spans="1:10" s="108" customFormat="1" hidden="1" x14ac:dyDescent="0.2">
      <c r="A281" s="317" t="s">
        <v>428</v>
      </c>
      <c r="B281" s="317" t="s">
        <v>299</v>
      </c>
      <c r="C281" s="318">
        <v>0</v>
      </c>
      <c r="D281" s="318">
        <v>0</v>
      </c>
      <c r="E281" s="319">
        <v>172821.24</v>
      </c>
      <c r="F281" s="319">
        <v>15795.66</v>
      </c>
      <c r="G281" s="318">
        <f t="shared" si="9"/>
        <v>172821.24</v>
      </c>
      <c r="H281" s="318">
        <f t="shared" si="10"/>
        <v>15795.66</v>
      </c>
      <c r="I281" s="316"/>
      <c r="J281" s="109"/>
    </row>
    <row r="282" spans="1:10" s="108" customFormat="1" hidden="1" x14ac:dyDescent="0.2">
      <c r="A282" s="317" t="s">
        <v>429</v>
      </c>
      <c r="B282" s="317" t="s">
        <v>430</v>
      </c>
      <c r="C282" s="318">
        <v>0</v>
      </c>
      <c r="D282" s="318">
        <v>0</v>
      </c>
      <c r="E282" s="319">
        <v>40071.339999999997</v>
      </c>
      <c r="F282" s="319">
        <v>888.04</v>
      </c>
      <c r="G282" s="318">
        <f t="shared" si="9"/>
        <v>40071.339999999997</v>
      </c>
      <c r="H282" s="318">
        <f t="shared" si="10"/>
        <v>888.04</v>
      </c>
      <c r="I282" s="316"/>
      <c r="J282" s="109"/>
    </row>
    <row r="283" spans="1:10" s="108" customFormat="1" hidden="1" x14ac:dyDescent="0.2">
      <c r="A283" s="317" t="s">
        <v>431</v>
      </c>
      <c r="B283" s="317" t="s">
        <v>432</v>
      </c>
      <c r="C283" s="318">
        <v>0</v>
      </c>
      <c r="D283" s="318">
        <v>0</v>
      </c>
      <c r="E283" s="319">
        <v>4490.74</v>
      </c>
      <c r="F283" s="319">
        <v>235.3</v>
      </c>
      <c r="G283" s="318">
        <f t="shared" si="9"/>
        <v>4490.74</v>
      </c>
      <c r="H283" s="318">
        <f t="shared" si="10"/>
        <v>235.3</v>
      </c>
      <c r="I283" s="316"/>
      <c r="J283" s="109"/>
    </row>
    <row r="284" spans="1:10" s="108" customFormat="1" hidden="1" x14ac:dyDescent="0.2">
      <c r="A284" s="317" t="s">
        <v>433</v>
      </c>
      <c r="B284" s="317" t="s">
        <v>434</v>
      </c>
      <c r="C284" s="318">
        <v>0</v>
      </c>
      <c r="D284" s="318">
        <v>0</v>
      </c>
      <c r="E284" s="319">
        <v>190742.44</v>
      </c>
      <c r="F284" s="319">
        <v>2336.84</v>
      </c>
      <c r="G284" s="318">
        <f t="shared" si="9"/>
        <v>190742.44</v>
      </c>
      <c r="H284" s="318">
        <f t="shared" si="10"/>
        <v>2336.84</v>
      </c>
      <c r="I284" s="316"/>
      <c r="J284" s="109"/>
    </row>
    <row r="285" spans="1:10" s="108" customFormat="1" hidden="1" x14ac:dyDescent="0.2">
      <c r="A285" s="317" t="s">
        <v>435</v>
      </c>
      <c r="B285" s="317" t="s">
        <v>436</v>
      </c>
      <c r="C285" s="318">
        <v>0</v>
      </c>
      <c r="D285" s="318">
        <v>0</v>
      </c>
      <c r="E285" s="319">
        <v>187210.99</v>
      </c>
      <c r="F285" s="319">
        <v>7433.24</v>
      </c>
      <c r="G285" s="318">
        <f t="shared" si="9"/>
        <v>187210.99</v>
      </c>
      <c r="H285" s="318">
        <f t="shared" si="10"/>
        <v>7433.24</v>
      </c>
      <c r="I285" s="316"/>
      <c r="J285" s="109"/>
    </row>
    <row r="286" spans="1:10" s="108" customFormat="1" hidden="1" x14ac:dyDescent="0.2">
      <c r="A286" s="317" t="s">
        <v>437</v>
      </c>
      <c r="B286" s="317" t="s">
        <v>438</v>
      </c>
      <c r="C286" s="318">
        <v>0</v>
      </c>
      <c r="D286" s="318">
        <v>0</v>
      </c>
      <c r="E286" s="319">
        <v>13803.1</v>
      </c>
      <c r="F286" s="319">
        <v>4585.08</v>
      </c>
      <c r="G286" s="318">
        <f t="shared" si="9"/>
        <v>13803.1</v>
      </c>
      <c r="H286" s="318">
        <f t="shared" si="10"/>
        <v>4585.08</v>
      </c>
      <c r="I286" s="316"/>
      <c r="J286" s="109"/>
    </row>
    <row r="287" spans="1:10" s="108" customFormat="1" hidden="1" x14ac:dyDescent="0.2">
      <c r="A287" s="317" t="s">
        <v>439</v>
      </c>
      <c r="B287" s="317" t="s">
        <v>440</v>
      </c>
      <c r="C287" s="318">
        <v>0</v>
      </c>
      <c r="D287" s="318">
        <v>0</v>
      </c>
      <c r="E287" s="319">
        <v>29141.55</v>
      </c>
      <c r="F287" s="319">
        <v>0</v>
      </c>
      <c r="G287" s="318">
        <f t="shared" si="9"/>
        <v>29141.55</v>
      </c>
      <c r="H287" s="318">
        <f t="shared" si="10"/>
        <v>0</v>
      </c>
      <c r="I287" s="316"/>
      <c r="J287" s="109"/>
    </row>
    <row r="288" spans="1:10" s="108" customFormat="1" hidden="1" x14ac:dyDescent="0.2">
      <c r="A288" s="317" t="s">
        <v>441</v>
      </c>
      <c r="B288" s="317" t="s">
        <v>442</v>
      </c>
      <c r="C288" s="318">
        <v>0</v>
      </c>
      <c r="D288" s="318">
        <v>0</v>
      </c>
      <c r="E288" s="319">
        <v>566</v>
      </c>
      <c r="F288" s="319">
        <v>0</v>
      </c>
      <c r="G288" s="318">
        <f t="shared" si="9"/>
        <v>566</v>
      </c>
      <c r="H288" s="318">
        <f t="shared" si="10"/>
        <v>0</v>
      </c>
      <c r="I288" s="316"/>
      <c r="J288" s="109"/>
    </row>
    <row r="289" spans="1:10" s="108" customFormat="1" hidden="1" x14ac:dyDescent="0.2">
      <c r="A289" s="317" t="s">
        <v>443</v>
      </c>
      <c r="B289" s="317" t="s">
        <v>444</v>
      </c>
      <c r="C289" s="318">
        <v>0</v>
      </c>
      <c r="D289" s="318">
        <v>0</v>
      </c>
      <c r="E289" s="319">
        <v>45648.23</v>
      </c>
      <c r="F289" s="319">
        <v>1452.81</v>
      </c>
      <c r="G289" s="318">
        <f t="shared" si="9"/>
        <v>45648.23</v>
      </c>
      <c r="H289" s="318">
        <f t="shared" si="10"/>
        <v>1452.81</v>
      </c>
      <c r="I289" s="316"/>
      <c r="J289" s="109"/>
    </row>
    <row r="290" spans="1:10" s="108" customFormat="1" hidden="1" x14ac:dyDescent="0.2">
      <c r="A290" s="317" t="s">
        <v>445</v>
      </c>
      <c r="B290" s="317" t="s">
        <v>446</v>
      </c>
      <c r="C290" s="318">
        <v>0</v>
      </c>
      <c r="D290" s="318">
        <v>0</v>
      </c>
      <c r="E290" s="319">
        <v>229687.64</v>
      </c>
      <c r="F290" s="319">
        <v>1034.3699999999999</v>
      </c>
      <c r="G290" s="318">
        <f t="shared" si="9"/>
        <v>229687.64</v>
      </c>
      <c r="H290" s="318">
        <f t="shared" si="10"/>
        <v>1034.3699999999999</v>
      </c>
      <c r="I290" s="316"/>
      <c r="J290" s="109"/>
    </row>
    <row r="291" spans="1:10" s="108" customFormat="1" hidden="1" x14ac:dyDescent="0.2">
      <c r="A291" s="317" t="s">
        <v>447</v>
      </c>
      <c r="B291" s="317" t="s">
        <v>448</v>
      </c>
      <c r="C291" s="318">
        <v>0</v>
      </c>
      <c r="D291" s="318">
        <v>0</v>
      </c>
      <c r="E291" s="319">
        <v>19441.97</v>
      </c>
      <c r="F291" s="319">
        <v>0</v>
      </c>
      <c r="G291" s="318">
        <f t="shared" si="9"/>
        <v>19441.97</v>
      </c>
      <c r="H291" s="318">
        <f t="shared" si="10"/>
        <v>0</v>
      </c>
      <c r="I291" s="316"/>
      <c r="J291" s="109"/>
    </row>
    <row r="292" spans="1:10" s="108" customFormat="1" hidden="1" x14ac:dyDescent="0.2">
      <c r="A292" s="317" t="s">
        <v>449</v>
      </c>
      <c r="B292" s="317" t="s">
        <v>450</v>
      </c>
      <c r="C292" s="318">
        <v>0</v>
      </c>
      <c r="D292" s="318">
        <v>0</v>
      </c>
      <c r="E292" s="319">
        <v>10889.84</v>
      </c>
      <c r="F292" s="319">
        <v>0</v>
      </c>
      <c r="G292" s="318">
        <f t="shared" si="9"/>
        <v>10889.84</v>
      </c>
      <c r="H292" s="318">
        <f t="shared" si="10"/>
        <v>0</v>
      </c>
      <c r="I292" s="316"/>
      <c r="J292" s="109"/>
    </row>
    <row r="293" spans="1:10" s="108" customFormat="1" hidden="1" x14ac:dyDescent="0.2">
      <c r="A293" s="317" t="s">
        <v>451</v>
      </c>
      <c r="B293" s="317" t="s">
        <v>452</v>
      </c>
      <c r="C293" s="318">
        <v>0</v>
      </c>
      <c r="D293" s="318">
        <v>0</v>
      </c>
      <c r="E293" s="319">
        <v>191.38</v>
      </c>
      <c r="F293" s="319">
        <v>0</v>
      </c>
      <c r="G293" s="318">
        <f t="shared" si="9"/>
        <v>191.38</v>
      </c>
      <c r="H293" s="318">
        <f t="shared" si="10"/>
        <v>0</v>
      </c>
      <c r="I293" s="316"/>
      <c r="J293" s="109"/>
    </row>
    <row r="294" spans="1:10" s="108" customFormat="1" hidden="1" x14ac:dyDescent="0.2">
      <c r="A294" s="317" t="s">
        <v>453</v>
      </c>
      <c r="B294" s="317" t="s">
        <v>454</v>
      </c>
      <c r="C294" s="318">
        <v>0</v>
      </c>
      <c r="D294" s="318">
        <v>0</v>
      </c>
      <c r="E294" s="319">
        <v>3518.75</v>
      </c>
      <c r="F294" s="319">
        <v>0</v>
      </c>
      <c r="G294" s="318">
        <f t="shared" si="9"/>
        <v>3518.75</v>
      </c>
      <c r="H294" s="318">
        <f t="shared" si="10"/>
        <v>0</v>
      </c>
      <c r="I294" s="316"/>
      <c r="J294" s="109"/>
    </row>
    <row r="295" spans="1:10" s="108" customFormat="1" hidden="1" x14ac:dyDescent="0.2">
      <c r="A295" s="317" t="s">
        <v>455</v>
      </c>
      <c r="B295" s="317" t="s">
        <v>454</v>
      </c>
      <c r="C295" s="318">
        <v>0</v>
      </c>
      <c r="D295" s="318">
        <v>0</v>
      </c>
      <c r="E295" s="319">
        <v>6647.83</v>
      </c>
      <c r="F295" s="319">
        <v>2714</v>
      </c>
      <c r="G295" s="318">
        <f t="shared" si="9"/>
        <v>6647.83</v>
      </c>
      <c r="H295" s="318">
        <f t="shared" si="10"/>
        <v>2714</v>
      </c>
      <c r="I295" s="316"/>
      <c r="J295" s="109"/>
    </row>
    <row r="296" spans="1:10" s="108" customFormat="1" hidden="1" x14ac:dyDescent="0.2">
      <c r="A296" s="317" t="s">
        <v>456</v>
      </c>
      <c r="B296" s="317" t="s">
        <v>457</v>
      </c>
      <c r="C296" s="318">
        <v>0</v>
      </c>
      <c r="D296" s="318">
        <v>0</v>
      </c>
      <c r="E296" s="319">
        <v>407767.97</v>
      </c>
      <c r="F296" s="319">
        <v>0</v>
      </c>
      <c r="G296" s="318">
        <f t="shared" si="9"/>
        <v>407767.97</v>
      </c>
      <c r="H296" s="318">
        <f t="shared" si="10"/>
        <v>0</v>
      </c>
      <c r="I296" s="316"/>
      <c r="J296" s="109"/>
    </row>
    <row r="297" spans="1:10" s="108" customFormat="1" hidden="1" x14ac:dyDescent="0.2">
      <c r="A297" s="317" t="s">
        <v>458</v>
      </c>
      <c r="B297" s="317" t="s">
        <v>459</v>
      </c>
      <c r="C297" s="318">
        <v>0</v>
      </c>
      <c r="D297" s="318">
        <v>0</v>
      </c>
      <c r="E297" s="319">
        <v>146.03</v>
      </c>
      <c r="F297" s="319">
        <v>0</v>
      </c>
      <c r="G297" s="318">
        <f t="shared" si="9"/>
        <v>146.03</v>
      </c>
      <c r="H297" s="318">
        <f t="shared" si="10"/>
        <v>0</v>
      </c>
      <c r="I297" s="316"/>
      <c r="J297" s="109"/>
    </row>
    <row r="298" spans="1:10" s="108" customFormat="1" hidden="1" x14ac:dyDescent="0.2">
      <c r="A298" s="317" t="s">
        <v>460</v>
      </c>
      <c r="B298" s="317" t="s">
        <v>461</v>
      </c>
      <c r="C298" s="318">
        <v>0</v>
      </c>
      <c r="D298" s="318">
        <v>0</v>
      </c>
      <c r="E298" s="319">
        <v>90883.08</v>
      </c>
      <c r="F298" s="319">
        <v>0</v>
      </c>
      <c r="G298" s="318">
        <f t="shared" si="9"/>
        <v>90883.08</v>
      </c>
      <c r="H298" s="318">
        <f t="shared" si="10"/>
        <v>0</v>
      </c>
      <c r="I298" s="316"/>
      <c r="J298" s="109"/>
    </row>
    <row r="299" spans="1:10" s="108" customFormat="1" hidden="1" x14ac:dyDescent="0.2">
      <c r="A299" s="317" t="s">
        <v>462</v>
      </c>
      <c r="B299" s="317" t="s">
        <v>296</v>
      </c>
      <c r="C299" s="318">
        <v>0</v>
      </c>
      <c r="D299" s="318">
        <v>0</v>
      </c>
      <c r="E299" s="319">
        <v>56234.59</v>
      </c>
      <c r="F299" s="319">
        <v>0</v>
      </c>
      <c r="G299" s="318">
        <f t="shared" si="9"/>
        <v>56234.59</v>
      </c>
      <c r="H299" s="318">
        <f t="shared" si="10"/>
        <v>0</v>
      </c>
      <c r="I299" s="316"/>
      <c r="J299" s="109"/>
    </row>
    <row r="300" spans="1:10" s="108" customFormat="1" hidden="1" x14ac:dyDescent="0.2">
      <c r="A300" s="317" t="s">
        <v>463</v>
      </c>
      <c r="B300" s="317" t="s">
        <v>464</v>
      </c>
      <c r="C300" s="318">
        <v>0</v>
      </c>
      <c r="D300" s="318">
        <v>0</v>
      </c>
      <c r="E300" s="319">
        <v>16442.53</v>
      </c>
      <c r="F300" s="319">
        <v>83.3</v>
      </c>
      <c r="G300" s="318">
        <f t="shared" si="9"/>
        <v>16442.53</v>
      </c>
      <c r="H300" s="318">
        <f t="shared" si="10"/>
        <v>83.3</v>
      </c>
      <c r="I300" s="316"/>
      <c r="J300" s="109"/>
    </row>
    <row r="301" spans="1:10" s="108" customFormat="1" hidden="1" x14ac:dyDescent="0.2">
      <c r="A301" s="317" t="s">
        <v>465</v>
      </c>
      <c r="B301" s="317" t="s">
        <v>466</v>
      </c>
      <c r="C301" s="318">
        <v>0</v>
      </c>
      <c r="D301" s="318">
        <v>0</v>
      </c>
      <c r="E301" s="319">
        <v>137177.87</v>
      </c>
      <c r="F301" s="319">
        <v>0</v>
      </c>
      <c r="G301" s="318">
        <f t="shared" si="9"/>
        <v>137177.87</v>
      </c>
      <c r="H301" s="318">
        <f t="shared" si="10"/>
        <v>0</v>
      </c>
      <c r="I301" s="316"/>
      <c r="J301" s="109"/>
    </row>
    <row r="302" spans="1:10" s="108" customFormat="1" hidden="1" x14ac:dyDescent="0.2">
      <c r="A302" s="317" t="s">
        <v>467</v>
      </c>
      <c r="B302" s="317" t="s">
        <v>468</v>
      </c>
      <c r="C302" s="318">
        <v>0</v>
      </c>
      <c r="D302" s="318">
        <v>0</v>
      </c>
      <c r="E302" s="319">
        <v>49528.3</v>
      </c>
      <c r="F302" s="319">
        <v>0</v>
      </c>
      <c r="G302" s="318">
        <f t="shared" si="9"/>
        <v>49528.3</v>
      </c>
      <c r="H302" s="318">
        <f t="shared" si="10"/>
        <v>0</v>
      </c>
      <c r="I302" s="316"/>
      <c r="J302" s="109"/>
    </row>
    <row r="303" spans="1:10" s="108" customFormat="1" hidden="1" x14ac:dyDescent="0.2">
      <c r="A303" s="317" t="s">
        <v>469</v>
      </c>
      <c r="B303" s="317" t="s">
        <v>470</v>
      </c>
      <c r="C303" s="318">
        <v>0</v>
      </c>
      <c r="D303" s="318">
        <v>0</v>
      </c>
      <c r="E303" s="319">
        <v>1323.94</v>
      </c>
      <c r="F303" s="319">
        <v>0</v>
      </c>
      <c r="G303" s="318">
        <f t="shared" si="9"/>
        <v>1323.94</v>
      </c>
      <c r="H303" s="318">
        <f t="shared" si="10"/>
        <v>0</v>
      </c>
      <c r="I303" s="316"/>
      <c r="J303" s="109"/>
    </row>
    <row r="304" spans="1:10" s="108" customFormat="1" hidden="1" x14ac:dyDescent="0.2">
      <c r="A304" s="317" t="s">
        <v>471</v>
      </c>
      <c r="B304" s="317" t="s">
        <v>472</v>
      </c>
      <c r="C304" s="318">
        <v>0</v>
      </c>
      <c r="D304" s="318">
        <v>0</v>
      </c>
      <c r="E304" s="319">
        <v>38916.910000000003</v>
      </c>
      <c r="F304" s="319">
        <v>0</v>
      </c>
      <c r="G304" s="318">
        <f t="shared" si="9"/>
        <v>38916.910000000003</v>
      </c>
      <c r="H304" s="318">
        <f t="shared" si="10"/>
        <v>0</v>
      </c>
      <c r="I304" s="316"/>
      <c r="J304" s="109"/>
    </row>
    <row r="305" spans="1:10" s="108" customFormat="1" hidden="1" x14ac:dyDescent="0.2">
      <c r="A305" s="317" t="s">
        <v>473</v>
      </c>
      <c r="B305" s="317" t="s">
        <v>474</v>
      </c>
      <c r="C305" s="318">
        <v>0</v>
      </c>
      <c r="D305" s="318">
        <v>0</v>
      </c>
      <c r="E305" s="319">
        <v>0.85</v>
      </c>
      <c r="F305" s="319">
        <v>0</v>
      </c>
      <c r="G305" s="318">
        <f t="shared" si="9"/>
        <v>0.85</v>
      </c>
      <c r="H305" s="318">
        <f t="shared" si="10"/>
        <v>0</v>
      </c>
      <c r="I305" s="316"/>
      <c r="J305" s="109"/>
    </row>
    <row r="306" spans="1:10" s="108" customFormat="1" hidden="1" x14ac:dyDescent="0.2">
      <c r="A306" s="317" t="s">
        <v>475</v>
      </c>
      <c r="B306" s="317" t="s">
        <v>476</v>
      </c>
      <c r="C306" s="318">
        <v>0</v>
      </c>
      <c r="D306" s="318">
        <v>0</v>
      </c>
      <c r="E306" s="319">
        <v>37949.919999999998</v>
      </c>
      <c r="F306" s="319">
        <v>0</v>
      </c>
      <c r="G306" s="318">
        <f t="shared" si="9"/>
        <v>37949.919999999998</v>
      </c>
      <c r="H306" s="318">
        <f t="shared" si="10"/>
        <v>0</v>
      </c>
      <c r="I306" s="316"/>
      <c r="J306" s="109"/>
    </row>
    <row r="307" spans="1:10" s="108" customFormat="1" hidden="1" x14ac:dyDescent="0.2">
      <c r="A307" s="317" t="s">
        <v>477</v>
      </c>
      <c r="B307" s="317" t="s">
        <v>478</v>
      </c>
      <c r="C307" s="318">
        <v>0</v>
      </c>
      <c r="D307" s="318">
        <v>0</v>
      </c>
      <c r="E307" s="319">
        <v>85520.75</v>
      </c>
      <c r="F307" s="319">
        <v>0</v>
      </c>
      <c r="G307" s="318">
        <f t="shared" si="9"/>
        <v>85520.75</v>
      </c>
      <c r="H307" s="318">
        <f t="shared" si="10"/>
        <v>0</v>
      </c>
      <c r="I307" s="316"/>
      <c r="J307" s="109"/>
    </row>
    <row r="308" spans="1:10" s="108" customFormat="1" hidden="1" x14ac:dyDescent="0.2">
      <c r="A308" s="317" t="s">
        <v>479</v>
      </c>
      <c r="B308" s="317" t="s">
        <v>480</v>
      </c>
      <c r="C308" s="318">
        <v>0</v>
      </c>
      <c r="D308" s="318">
        <v>0</v>
      </c>
      <c r="E308" s="319">
        <v>8140.5</v>
      </c>
      <c r="F308" s="319">
        <v>79.13</v>
      </c>
      <c r="G308" s="318">
        <f t="shared" si="9"/>
        <v>8140.5</v>
      </c>
      <c r="H308" s="318">
        <f t="shared" si="10"/>
        <v>79.13</v>
      </c>
      <c r="I308" s="316"/>
      <c r="J308" s="109"/>
    </row>
    <row r="309" spans="1:10" s="108" customFormat="1" hidden="1" x14ac:dyDescent="0.2">
      <c r="A309" s="317" t="s">
        <v>481</v>
      </c>
      <c r="B309" s="317" t="s">
        <v>482</v>
      </c>
      <c r="C309" s="318">
        <v>0</v>
      </c>
      <c r="D309" s="318">
        <v>0</v>
      </c>
      <c r="E309" s="319">
        <v>6034.15</v>
      </c>
      <c r="F309" s="319">
        <v>0</v>
      </c>
      <c r="G309" s="318">
        <f t="shared" si="9"/>
        <v>6034.15</v>
      </c>
      <c r="H309" s="318">
        <f t="shared" si="10"/>
        <v>0</v>
      </c>
      <c r="I309" s="316"/>
      <c r="J309" s="109"/>
    </row>
    <row r="310" spans="1:10" s="108" customFormat="1" hidden="1" x14ac:dyDescent="0.2">
      <c r="A310" s="317" t="s">
        <v>483</v>
      </c>
      <c r="B310" s="317" t="s">
        <v>484</v>
      </c>
      <c r="C310" s="318">
        <v>0</v>
      </c>
      <c r="D310" s="318">
        <v>0</v>
      </c>
      <c r="E310" s="319">
        <v>86324.73</v>
      </c>
      <c r="F310" s="319">
        <v>0</v>
      </c>
      <c r="G310" s="318">
        <f t="shared" si="9"/>
        <v>86324.73</v>
      </c>
      <c r="H310" s="318">
        <f t="shared" si="10"/>
        <v>0</v>
      </c>
      <c r="I310" s="316"/>
      <c r="J310" s="109"/>
    </row>
    <row r="311" spans="1:10" s="108" customFormat="1" hidden="1" x14ac:dyDescent="0.2">
      <c r="A311" s="317" t="s">
        <v>485</v>
      </c>
      <c r="B311" s="317" t="s">
        <v>486</v>
      </c>
      <c r="C311" s="318">
        <v>0</v>
      </c>
      <c r="D311" s="318">
        <v>0</v>
      </c>
      <c r="E311" s="319">
        <v>53393.41</v>
      </c>
      <c r="F311" s="319">
        <v>0</v>
      </c>
      <c r="G311" s="318">
        <f t="shared" si="9"/>
        <v>53393.41</v>
      </c>
      <c r="H311" s="318">
        <f t="shared" si="10"/>
        <v>0</v>
      </c>
      <c r="I311" s="316"/>
      <c r="J311" s="109"/>
    </row>
    <row r="312" spans="1:10" s="108" customFormat="1" hidden="1" x14ac:dyDescent="0.2">
      <c r="A312" s="317" t="s">
        <v>487</v>
      </c>
      <c r="B312" s="317" t="s">
        <v>488</v>
      </c>
      <c r="C312" s="318">
        <v>0</v>
      </c>
      <c r="D312" s="318">
        <v>0</v>
      </c>
      <c r="E312" s="319">
        <v>6641.14</v>
      </c>
      <c r="F312" s="319">
        <v>0</v>
      </c>
      <c r="G312" s="318">
        <f t="shared" si="9"/>
        <v>6641.14</v>
      </c>
      <c r="H312" s="318">
        <f t="shared" si="10"/>
        <v>0</v>
      </c>
      <c r="I312" s="316"/>
      <c r="J312" s="109"/>
    </row>
    <row r="313" spans="1:10" s="108" customFormat="1" hidden="1" x14ac:dyDescent="0.2">
      <c r="A313" s="317" t="s">
        <v>489</v>
      </c>
      <c r="B313" s="317" t="s">
        <v>490</v>
      </c>
      <c r="C313" s="318">
        <v>0</v>
      </c>
      <c r="D313" s="318">
        <v>0</v>
      </c>
      <c r="E313" s="319">
        <v>229351.02</v>
      </c>
      <c r="F313" s="319">
        <v>0</v>
      </c>
      <c r="G313" s="318">
        <f t="shared" si="9"/>
        <v>229351.02</v>
      </c>
      <c r="H313" s="318">
        <f t="shared" si="10"/>
        <v>0</v>
      </c>
      <c r="I313" s="316"/>
      <c r="J313" s="109"/>
    </row>
    <row r="314" spans="1:10" s="108" customFormat="1" hidden="1" x14ac:dyDescent="0.2">
      <c r="A314" s="317" t="s">
        <v>491</v>
      </c>
      <c r="B314" s="317" t="s">
        <v>484</v>
      </c>
      <c r="C314" s="318">
        <v>0</v>
      </c>
      <c r="D314" s="318">
        <v>0</v>
      </c>
      <c r="E314" s="319">
        <v>41795.78</v>
      </c>
      <c r="F314" s="319">
        <v>27700</v>
      </c>
      <c r="G314" s="318">
        <f t="shared" si="9"/>
        <v>41795.78</v>
      </c>
      <c r="H314" s="318">
        <f t="shared" si="10"/>
        <v>27700</v>
      </c>
      <c r="I314" s="316"/>
      <c r="J314" s="109"/>
    </row>
    <row r="315" spans="1:10" s="108" customFormat="1" hidden="1" x14ac:dyDescent="0.2">
      <c r="A315" s="317" t="s">
        <v>492</v>
      </c>
      <c r="B315" s="317" t="s">
        <v>493</v>
      </c>
      <c r="C315" s="318">
        <v>0</v>
      </c>
      <c r="D315" s="318">
        <v>0</v>
      </c>
      <c r="E315" s="319">
        <v>26187</v>
      </c>
      <c r="F315" s="319">
        <v>0</v>
      </c>
      <c r="G315" s="318">
        <f t="shared" si="9"/>
        <v>26187</v>
      </c>
      <c r="H315" s="318">
        <f t="shared" si="10"/>
        <v>0</v>
      </c>
      <c r="I315" s="316"/>
      <c r="J315" s="109"/>
    </row>
    <row r="316" spans="1:10" s="108" customFormat="1" hidden="1" x14ac:dyDescent="0.2">
      <c r="A316" s="317" t="s">
        <v>494</v>
      </c>
      <c r="B316" s="317" t="s">
        <v>495</v>
      </c>
      <c r="C316" s="318">
        <v>0</v>
      </c>
      <c r="D316" s="318">
        <v>0</v>
      </c>
      <c r="E316" s="319">
        <v>372.9</v>
      </c>
      <c r="F316" s="319">
        <v>0</v>
      </c>
      <c r="G316" s="318">
        <f t="shared" si="9"/>
        <v>372.9</v>
      </c>
      <c r="H316" s="318">
        <f t="shared" si="10"/>
        <v>0</v>
      </c>
      <c r="I316" s="316"/>
      <c r="J316" s="109"/>
    </row>
    <row r="317" spans="1:10" s="108" customFormat="1" hidden="1" x14ac:dyDescent="0.2">
      <c r="A317" s="317" t="s">
        <v>496</v>
      </c>
      <c r="B317" s="317" t="s">
        <v>497</v>
      </c>
      <c r="C317" s="318">
        <v>0</v>
      </c>
      <c r="D317" s="318">
        <v>0</v>
      </c>
      <c r="E317" s="319">
        <v>26147.26</v>
      </c>
      <c r="F317" s="319">
        <v>1332.05</v>
      </c>
      <c r="G317" s="318">
        <f t="shared" si="9"/>
        <v>26147.26</v>
      </c>
      <c r="H317" s="318">
        <f t="shared" si="10"/>
        <v>1332.05</v>
      </c>
      <c r="I317" s="316"/>
      <c r="J317" s="109"/>
    </row>
    <row r="318" spans="1:10" s="108" customFormat="1" hidden="1" x14ac:dyDescent="0.2">
      <c r="A318" s="317" t="s">
        <v>498</v>
      </c>
      <c r="B318" s="317" t="s">
        <v>499</v>
      </c>
      <c r="C318" s="318">
        <v>0</v>
      </c>
      <c r="D318" s="318">
        <v>0</v>
      </c>
      <c r="E318" s="319">
        <v>527.45000000000005</v>
      </c>
      <c r="F318" s="319">
        <v>0</v>
      </c>
      <c r="G318" s="318">
        <f t="shared" si="9"/>
        <v>527.45000000000005</v>
      </c>
      <c r="H318" s="318">
        <f t="shared" si="10"/>
        <v>0</v>
      </c>
      <c r="I318" s="316"/>
      <c r="J318" s="109"/>
    </row>
    <row r="319" spans="1:10" s="108" customFormat="1" hidden="1" x14ac:dyDescent="0.2">
      <c r="A319" s="317" t="s">
        <v>500</v>
      </c>
      <c r="B319" s="317" t="s">
        <v>501</v>
      </c>
      <c r="C319" s="318">
        <v>0</v>
      </c>
      <c r="D319" s="318">
        <v>0</v>
      </c>
      <c r="E319" s="319">
        <v>352.26</v>
      </c>
      <c r="F319" s="319">
        <v>0</v>
      </c>
      <c r="G319" s="318">
        <f t="shared" si="9"/>
        <v>352.26</v>
      </c>
      <c r="H319" s="318">
        <f t="shared" si="10"/>
        <v>0</v>
      </c>
      <c r="I319" s="316"/>
      <c r="J319" s="109"/>
    </row>
    <row r="320" spans="1:10" s="108" customFormat="1" hidden="1" x14ac:dyDescent="0.2">
      <c r="A320" s="317" t="s">
        <v>502</v>
      </c>
      <c r="B320" s="317" t="s">
        <v>503</v>
      </c>
      <c r="C320" s="318">
        <v>0</v>
      </c>
      <c r="D320" s="318">
        <v>0</v>
      </c>
      <c r="E320" s="319">
        <v>813.6</v>
      </c>
      <c r="F320" s="319">
        <v>0</v>
      </c>
      <c r="G320" s="318">
        <f t="shared" si="9"/>
        <v>813.6</v>
      </c>
      <c r="H320" s="318">
        <f t="shared" si="10"/>
        <v>0</v>
      </c>
      <c r="I320" s="316"/>
      <c r="J320" s="109"/>
    </row>
    <row r="321" spans="1:10" s="108" customFormat="1" hidden="1" x14ac:dyDescent="0.2">
      <c r="A321" s="317" t="s">
        <v>504</v>
      </c>
      <c r="B321" s="317" t="s">
        <v>505</v>
      </c>
      <c r="C321" s="318">
        <v>0</v>
      </c>
      <c r="D321" s="318">
        <v>0</v>
      </c>
      <c r="E321" s="319">
        <v>5235.09</v>
      </c>
      <c r="F321" s="319">
        <v>0.25</v>
      </c>
      <c r="G321" s="318">
        <f t="shared" si="9"/>
        <v>5235.09</v>
      </c>
      <c r="H321" s="318">
        <f t="shared" si="10"/>
        <v>0.25</v>
      </c>
      <c r="I321" s="316"/>
      <c r="J321" s="109"/>
    </row>
    <row r="322" spans="1:10" s="108" customFormat="1" hidden="1" x14ac:dyDescent="0.2">
      <c r="A322" s="317" t="s">
        <v>506</v>
      </c>
      <c r="B322" s="317" t="s">
        <v>507</v>
      </c>
      <c r="C322" s="318">
        <v>0</v>
      </c>
      <c r="D322" s="318">
        <v>0</v>
      </c>
      <c r="E322" s="319">
        <v>195</v>
      </c>
      <c r="F322" s="319">
        <v>0</v>
      </c>
      <c r="G322" s="318">
        <f t="shared" si="9"/>
        <v>195</v>
      </c>
      <c r="H322" s="318">
        <f t="shared" si="10"/>
        <v>0</v>
      </c>
      <c r="I322" s="316"/>
      <c r="J322" s="109"/>
    </row>
    <row r="323" spans="1:10" s="108" customFormat="1" hidden="1" x14ac:dyDescent="0.2">
      <c r="A323" s="317" t="s">
        <v>508</v>
      </c>
      <c r="B323" s="317" t="s">
        <v>509</v>
      </c>
      <c r="C323" s="318">
        <v>0</v>
      </c>
      <c r="D323" s="318">
        <v>0</v>
      </c>
      <c r="E323" s="319">
        <v>21490.55</v>
      </c>
      <c r="F323" s="319">
        <v>0</v>
      </c>
      <c r="G323" s="318">
        <f t="shared" si="9"/>
        <v>21490.55</v>
      </c>
      <c r="H323" s="318">
        <f t="shared" si="10"/>
        <v>0</v>
      </c>
      <c r="I323" s="316"/>
      <c r="J323" s="109"/>
    </row>
    <row r="324" spans="1:10" s="108" customFormat="1" hidden="1" x14ac:dyDescent="0.2">
      <c r="A324" s="317" t="s">
        <v>510</v>
      </c>
      <c r="B324" s="317" t="s">
        <v>511</v>
      </c>
      <c r="C324" s="318">
        <v>0</v>
      </c>
      <c r="D324" s="318">
        <v>0</v>
      </c>
      <c r="E324" s="319">
        <v>7234.4</v>
      </c>
      <c r="F324" s="319">
        <v>436.52</v>
      </c>
      <c r="G324" s="318">
        <f t="shared" ref="G324:G387" si="11">+C324+E324</f>
        <v>7234.4</v>
      </c>
      <c r="H324" s="318">
        <f t="shared" ref="H324:H387" si="12">+D324+F324</f>
        <v>436.52</v>
      </c>
      <c r="I324" s="316"/>
      <c r="J324" s="109"/>
    </row>
    <row r="325" spans="1:10" s="108" customFormat="1" hidden="1" x14ac:dyDescent="0.2">
      <c r="A325" s="317" t="s">
        <v>512</v>
      </c>
      <c r="B325" s="317" t="s">
        <v>513</v>
      </c>
      <c r="C325" s="318">
        <v>0</v>
      </c>
      <c r="D325" s="318">
        <v>0</v>
      </c>
      <c r="E325" s="319">
        <v>36808.97</v>
      </c>
      <c r="F325" s="319">
        <v>0</v>
      </c>
      <c r="G325" s="318">
        <f t="shared" si="11"/>
        <v>36808.97</v>
      </c>
      <c r="H325" s="318">
        <f t="shared" si="12"/>
        <v>0</v>
      </c>
      <c r="I325" s="316"/>
      <c r="J325" s="109"/>
    </row>
    <row r="326" spans="1:10" s="108" customFormat="1" hidden="1" x14ac:dyDescent="0.2">
      <c r="A326" s="317" t="s">
        <v>514</v>
      </c>
      <c r="B326" s="317" t="s">
        <v>515</v>
      </c>
      <c r="C326" s="318">
        <v>0</v>
      </c>
      <c r="D326" s="318">
        <v>0</v>
      </c>
      <c r="E326" s="319">
        <v>87145.3</v>
      </c>
      <c r="F326" s="319">
        <v>21995.87</v>
      </c>
      <c r="G326" s="318">
        <f t="shared" si="11"/>
        <v>87145.3</v>
      </c>
      <c r="H326" s="318">
        <f t="shared" si="12"/>
        <v>21995.87</v>
      </c>
      <c r="I326" s="316"/>
      <c r="J326" s="109"/>
    </row>
    <row r="327" spans="1:10" s="108" customFormat="1" hidden="1" x14ac:dyDescent="0.2">
      <c r="A327" s="317" t="s">
        <v>516</v>
      </c>
      <c r="B327" s="317" t="s">
        <v>517</v>
      </c>
      <c r="C327" s="318">
        <v>0</v>
      </c>
      <c r="D327" s="318">
        <v>0</v>
      </c>
      <c r="E327" s="319">
        <v>48337.2</v>
      </c>
      <c r="F327" s="319">
        <v>0</v>
      </c>
      <c r="G327" s="318">
        <f t="shared" si="11"/>
        <v>48337.2</v>
      </c>
      <c r="H327" s="318">
        <f t="shared" si="12"/>
        <v>0</v>
      </c>
      <c r="I327" s="316"/>
      <c r="J327" s="109"/>
    </row>
    <row r="328" spans="1:10" s="108" customFormat="1" hidden="1" x14ac:dyDescent="0.2">
      <c r="A328" s="317" t="s">
        <v>518</v>
      </c>
      <c r="B328" s="317" t="s">
        <v>519</v>
      </c>
      <c r="C328" s="318">
        <v>0</v>
      </c>
      <c r="D328" s="318">
        <v>0</v>
      </c>
      <c r="E328" s="319">
        <v>1218.4100000000001</v>
      </c>
      <c r="F328" s="319">
        <v>0</v>
      </c>
      <c r="G328" s="318">
        <f t="shared" si="11"/>
        <v>1218.4100000000001</v>
      </c>
      <c r="H328" s="318">
        <f t="shared" si="12"/>
        <v>0</v>
      </c>
      <c r="I328" s="316"/>
      <c r="J328" s="109"/>
    </row>
    <row r="329" spans="1:10" s="108" customFormat="1" hidden="1" x14ac:dyDescent="0.2">
      <c r="A329" s="317" t="s">
        <v>520</v>
      </c>
      <c r="B329" s="317" t="s">
        <v>519</v>
      </c>
      <c r="C329" s="318">
        <v>0</v>
      </c>
      <c r="D329" s="318">
        <v>0</v>
      </c>
      <c r="E329" s="319">
        <v>3045.96</v>
      </c>
      <c r="F329" s="319">
        <v>0</v>
      </c>
      <c r="G329" s="318">
        <f t="shared" si="11"/>
        <v>3045.96</v>
      </c>
      <c r="H329" s="318">
        <f t="shared" si="12"/>
        <v>0</v>
      </c>
      <c r="I329" s="316"/>
      <c r="J329" s="109"/>
    </row>
    <row r="330" spans="1:10" s="108" customFormat="1" hidden="1" x14ac:dyDescent="0.2">
      <c r="A330" s="317" t="s">
        <v>521</v>
      </c>
      <c r="B330" s="317" t="s">
        <v>522</v>
      </c>
      <c r="C330" s="318">
        <v>0</v>
      </c>
      <c r="D330" s="318">
        <v>0</v>
      </c>
      <c r="E330" s="319">
        <v>1643.92</v>
      </c>
      <c r="F330" s="319">
        <v>0</v>
      </c>
      <c r="G330" s="318">
        <f t="shared" si="11"/>
        <v>1643.92</v>
      </c>
      <c r="H330" s="318">
        <f t="shared" si="12"/>
        <v>0</v>
      </c>
      <c r="I330" s="316"/>
      <c r="J330" s="109"/>
    </row>
    <row r="331" spans="1:10" s="108" customFormat="1" hidden="1" x14ac:dyDescent="0.2">
      <c r="A331" s="317" t="s">
        <v>523</v>
      </c>
      <c r="B331" s="317" t="s">
        <v>524</v>
      </c>
      <c r="C331" s="318">
        <v>0</v>
      </c>
      <c r="D331" s="318">
        <v>0</v>
      </c>
      <c r="E331" s="319">
        <v>59052.95</v>
      </c>
      <c r="F331" s="319">
        <v>4125.32</v>
      </c>
      <c r="G331" s="318">
        <f t="shared" si="11"/>
        <v>59052.95</v>
      </c>
      <c r="H331" s="318">
        <f t="shared" si="12"/>
        <v>4125.32</v>
      </c>
      <c r="I331" s="316"/>
      <c r="J331" s="109"/>
    </row>
    <row r="332" spans="1:10" s="108" customFormat="1" hidden="1" x14ac:dyDescent="0.2">
      <c r="A332" s="317" t="s">
        <v>525</v>
      </c>
      <c r="B332" s="317" t="s">
        <v>526</v>
      </c>
      <c r="C332" s="318">
        <v>0</v>
      </c>
      <c r="D332" s="318">
        <v>0</v>
      </c>
      <c r="E332" s="319">
        <v>10779</v>
      </c>
      <c r="F332" s="319">
        <v>0</v>
      </c>
      <c r="G332" s="318">
        <f t="shared" si="11"/>
        <v>10779</v>
      </c>
      <c r="H332" s="318">
        <f t="shared" si="12"/>
        <v>0</v>
      </c>
      <c r="I332" s="316"/>
      <c r="J332" s="109"/>
    </row>
    <row r="333" spans="1:10" s="108" customFormat="1" hidden="1" x14ac:dyDescent="0.2">
      <c r="A333" s="317" t="s">
        <v>527</v>
      </c>
      <c r="B333" s="317" t="s">
        <v>528</v>
      </c>
      <c r="C333" s="318">
        <v>0</v>
      </c>
      <c r="D333" s="318">
        <v>0</v>
      </c>
      <c r="E333" s="319">
        <v>79108.58</v>
      </c>
      <c r="F333" s="319">
        <v>0</v>
      </c>
      <c r="G333" s="318">
        <f t="shared" si="11"/>
        <v>79108.58</v>
      </c>
      <c r="H333" s="318">
        <f t="shared" si="12"/>
        <v>0</v>
      </c>
      <c r="I333" s="316"/>
      <c r="J333" s="109"/>
    </row>
    <row r="334" spans="1:10" s="108" customFormat="1" hidden="1" x14ac:dyDescent="0.2">
      <c r="A334" s="317" t="s">
        <v>529</v>
      </c>
      <c r="B334" s="317" t="s">
        <v>530</v>
      </c>
      <c r="C334" s="318">
        <v>0</v>
      </c>
      <c r="D334" s="318">
        <v>0</v>
      </c>
      <c r="E334" s="319">
        <v>56841.13</v>
      </c>
      <c r="F334" s="319">
        <v>0</v>
      </c>
      <c r="G334" s="318">
        <f t="shared" si="11"/>
        <v>56841.13</v>
      </c>
      <c r="H334" s="318">
        <f t="shared" si="12"/>
        <v>0</v>
      </c>
      <c r="I334" s="316"/>
      <c r="J334" s="109"/>
    </row>
    <row r="335" spans="1:10" s="108" customFormat="1" hidden="1" x14ac:dyDescent="0.2">
      <c r="A335" s="317" t="s">
        <v>531</v>
      </c>
      <c r="B335" s="317" t="s">
        <v>532</v>
      </c>
      <c r="C335" s="318">
        <v>0</v>
      </c>
      <c r="D335" s="318">
        <v>0</v>
      </c>
      <c r="E335" s="319">
        <v>2868.11</v>
      </c>
      <c r="F335" s="319">
        <v>0</v>
      </c>
      <c r="G335" s="318">
        <f t="shared" si="11"/>
        <v>2868.11</v>
      </c>
      <c r="H335" s="318">
        <f t="shared" si="12"/>
        <v>0</v>
      </c>
      <c r="I335" s="316"/>
      <c r="J335" s="109"/>
    </row>
    <row r="336" spans="1:10" s="108" customFormat="1" hidden="1" x14ac:dyDescent="0.2">
      <c r="A336" s="317" t="s">
        <v>533</v>
      </c>
      <c r="B336" s="317" t="s">
        <v>534</v>
      </c>
      <c r="C336" s="318">
        <v>0</v>
      </c>
      <c r="D336" s="318">
        <v>0</v>
      </c>
      <c r="E336" s="319">
        <v>2341.46</v>
      </c>
      <c r="F336" s="319">
        <v>0</v>
      </c>
      <c r="G336" s="318">
        <f t="shared" si="11"/>
        <v>2341.46</v>
      </c>
      <c r="H336" s="318">
        <f t="shared" si="12"/>
        <v>0</v>
      </c>
      <c r="I336" s="316"/>
      <c r="J336" s="109"/>
    </row>
    <row r="337" spans="1:10" s="108" customFormat="1" hidden="1" x14ac:dyDescent="0.2">
      <c r="A337" s="317" t="s">
        <v>535</v>
      </c>
      <c r="B337" s="317" t="s">
        <v>536</v>
      </c>
      <c r="C337" s="318">
        <v>0</v>
      </c>
      <c r="D337" s="318">
        <v>0</v>
      </c>
      <c r="E337" s="319">
        <v>24229.19</v>
      </c>
      <c r="F337" s="319">
        <v>0</v>
      </c>
      <c r="G337" s="318">
        <f t="shared" si="11"/>
        <v>24229.19</v>
      </c>
      <c r="H337" s="318">
        <f t="shared" si="12"/>
        <v>0</v>
      </c>
      <c r="I337" s="316"/>
      <c r="J337" s="109"/>
    </row>
    <row r="338" spans="1:10" s="108" customFormat="1" hidden="1" x14ac:dyDescent="0.2">
      <c r="A338" s="317" t="s">
        <v>537</v>
      </c>
      <c r="B338" s="317" t="s">
        <v>538</v>
      </c>
      <c r="C338" s="318">
        <v>0</v>
      </c>
      <c r="D338" s="318">
        <v>0</v>
      </c>
      <c r="E338" s="319">
        <v>42588.800000000003</v>
      </c>
      <c r="F338" s="319">
        <v>0</v>
      </c>
      <c r="G338" s="318">
        <f t="shared" si="11"/>
        <v>42588.800000000003</v>
      </c>
      <c r="H338" s="318">
        <f t="shared" si="12"/>
        <v>0</v>
      </c>
      <c r="I338" s="316"/>
      <c r="J338" s="109"/>
    </row>
    <row r="339" spans="1:10" s="108" customFormat="1" hidden="1" x14ac:dyDescent="0.2">
      <c r="A339" s="317" t="s">
        <v>539</v>
      </c>
      <c r="B339" s="317" t="s">
        <v>540</v>
      </c>
      <c r="C339" s="318">
        <v>0</v>
      </c>
      <c r="D339" s="318">
        <v>0</v>
      </c>
      <c r="E339" s="319">
        <v>394.4</v>
      </c>
      <c r="F339" s="319">
        <v>0</v>
      </c>
      <c r="G339" s="318">
        <f t="shared" si="11"/>
        <v>394.4</v>
      </c>
      <c r="H339" s="318">
        <f t="shared" si="12"/>
        <v>0</v>
      </c>
      <c r="I339" s="316"/>
      <c r="J339" s="109"/>
    </row>
    <row r="340" spans="1:10" s="108" customFormat="1" hidden="1" x14ac:dyDescent="0.2">
      <c r="A340" s="317" t="s">
        <v>541</v>
      </c>
      <c r="B340" s="317" t="s">
        <v>542</v>
      </c>
      <c r="C340" s="318">
        <v>0</v>
      </c>
      <c r="D340" s="318">
        <v>0</v>
      </c>
      <c r="E340" s="319">
        <v>725.58</v>
      </c>
      <c r="F340" s="319">
        <v>0</v>
      </c>
      <c r="G340" s="318">
        <f t="shared" si="11"/>
        <v>725.58</v>
      </c>
      <c r="H340" s="318">
        <f t="shared" si="12"/>
        <v>0</v>
      </c>
      <c r="I340" s="316"/>
      <c r="J340" s="109"/>
    </row>
    <row r="341" spans="1:10" s="108" customFormat="1" hidden="1" x14ac:dyDescent="0.2">
      <c r="A341" s="317" t="s">
        <v>543</v>
      </c>
      <c r="B341" s="317" t="s">
        <v>544</v>
      </c>
      <c r="C341" s="318">
        <v>0</v>
      </c>
      <c r="D341" s="318">
        <v>0</v>
      </c>
      <c r="E341" s="319">
        <v>44324.95</v>
      </c>
      <c r="F341" s="319">
        <v>0</v>
      </c>
      <c r="G341" s="318">
        <f t="shared" si="11"/>
        <v>44324.95</v>
      </c>
      <c r="H341" s="318">
        <f t="shared" si="12"/>
        <v>0</v>
      </c>
      <c r="I341" s="316"/>
      <c r="J341" s="109"/>
    </row>
    <row r="342" spans="1:10" s="108" customFormat="1" hidden="1" x14ac:dyDescent="0.2">
      <c r="A342" s="317" t="s">
        <v>545</v>
      </c>
      <c r="B342" s="317" t="s">
        <v>546</v>
      </c>
      <c r="C342" s="318">
        <v>0</v>
      </c>
      <c r="D342" s="318">
        <v>0</v>
      </c>
      <c r="E342" s="319">
        <v>8669.18</v>
      </c>
      <c r="F342" s="319">
        <v>0</v>
      </c>
      <c r="G342" s="318">
        <f t="shared" si="11"/>
        <v>8669.18</v>
      </c>
      <c r="H342" s="318">
        <f t="shared" si="12"/>
        <v>0</v>
      </c>
      <c r="I342" s="316"/>
      <c r="J342" s="109"/>
    </row>
    <row r="343" spans="1:10" s="108" customFormat="1" hidden="1" x14ac:dyDescent="0.2">
      <c r="A343" s="317" t="s">
        <v>547</v>
      </c>
      <c r="B343" s="317" t="s">
        <v>548</v>
      </c>
      <c r="C343" s="318">
        <v>0</v>
      </c>
      <c r="D343" s="318">
        <v>0</v>
      </c>
      <c r="E343" s="319">
        <v>22413.84</v>
      </c>
      <c r="F343" s="319">
        <v>11225.83</v>
      </c>
      <c r="G343" s="318">
        <f t="shared" si="11"/>
        <v>22413.84</v>
      </c>
      <c r="H343" s="318">
        <f t="shared" si="12"/>
        <v>11225.83</v>
      </c>
      <c r="I343" s="316"/>
      <c r="J343" s="109"/>
    </row>
    <row r="344" spans="1:10" s="108" customFormat="1" hidden="1" x14ac:dyDescent="0.2">
      <c r="A344" s="317" t="s">
        <v>549</v>
      </c>
      <c r="B344" s="317" t="s">
        <v>550</v>
      </c>
      <c r="C344" s="318">
        <v>0</v>
      </c>
      <c r="D344" s="318">
        <v>0</v>
      </c>
      <c r="E344" s="319">
        <v>7047.01</v>
      </c>
      <c r="F344" s="319">
        <v>0</v>
      </c>
      <c r="G344" s="318">
        <f t="shared" si="11"/>
        <v>7047.01</v>
      </c>
      <c r="H344" s="318">
        <f t="shared" si="12"/>
        <v>0</v>
      </c>
      <c r="I344" s="316"/>
      <c r="J344" s="109"/>
    </row>
    <row r="345" spans="1:10" s="108" customFormat="1" hidden="1" x14ac:dyDescent="0.2">
      <c r="A345" s="317" t="s">
        <v>551</v>
      </c>
      <c r="B345" s="317" t="s">
        <v>552</v>
      </c>
      <c r="C345" s="318">
        <v>0</v>
      </c>
      <c r="D345" s="318">
        <v>0</v>
      </c>
      <c r="E345" s="319">
        <v>51719.77</v>
      </c>
      <c r="F345" s="319">
        <v>0</v>
      </c>
      <c r="G345" s="318">
        <f t="shared" si="11"/>
        <v>51719.77</v>
      </c>
      <c r="H345" s="318">
        <f t="shared" si="12"/>
        <v>0</v>
      </c>
      <c r="I345" s="316"/>
      <c r="J345" s="109"/>
    </row>
    <row r="346" spans="1:10" s="108" customFormat="1" hidden="1" x14ac:dyDescent="0.2">
      <c r="A346" s="317" t="s">
        <v>553</v>
      </c>
      <c r="B346" s="317" t="s">
        <v>554</v>
      </c>
      <c r="C346" s="318">
        <v>0</v>
      </c>
      <c r="D346" s="318">
        <v>0</v>
      </c>
      <c r="E346" s="319">
        <v>8930</v>
      </c>
      <c r="F346" s="319">
        <v>0</v>
      </c>
      <c r="G346" s="318">
        <f t="shared" si="11"/>
        <v>8930</v>
      </c>
      <c r="H346" s="318">
        <f t="shared" si="12"/>
        <v>0</v>
      </c>
      <c r="I346" s="316"/>
      <c r="J346" s="109"/>
    </row>
    <row r="347" spans="1:10" s="108" customFormat="1" hidden="1" x14ac:dyDescent="0.2">
      <c r="A347" s="317" t="s">
        <v>555</v>
      </c>
      <c r="B347" s="317" t="s">
        <v>556</v>
      </c>
      <c r="C347" s="318">
        <v>0</v>
      </c>
      <c r="D347" s="318">
        <v>0</v>
      </c>
      <c r="E347" s="319">
        <v>24284.68</v>
      </c>
      <c r="F347" s="319">
        <v>0</v>
      </c>
      <c r="G347" s="318">
        <f t="shared" si="11"/>
        <v>24284.68</v>
      </c>
      <c r="H347" s="318">
        <f t="shared" si="12"/>
        <v>0</v>
      </c>
      <c r="I347" s="316"/>
      <c r="J347" s="109"/>
    </row>
    <row r="348" spans="1:10" s="108" customFormat="1" hidden="1" x14ac:dyDescent="0.2">
      <c r="A348" s="317" t="s">
        <v>557</v>
      </c>
      <c r="B348" s="317" t="s">
        <v>558</v>
      </c>
      <c r="C348" s="318">
        <v>0</v>
      </c>
      <c r="D348" s="318">
        <v>0</v>
      </c>
      <c r="E348" s="319">
        <v>342082.77</v>
      </c>
      <c r="F348" s="319">
        <v>0</v>
      </c>
      <c r="G348" s="318">
        <f t="shared" si="11"/>
        <v>342082.77</v>
      </c>
      <c r="H348" s="318">
        <f t="shared" si="12"/>
        <v>0</v>
      </c>
      <c r="I348" s="316"/>
      <c r="J348" s="109"/>
    </row>
    <row r="349" spans="1:10" s="108" customFormat="1" hidden="1" x14ac:dyDescent="0.2">
      <c r="A349" s="317" t="s">
        <v>559</v>
      </c>
      <c r="B349" s="317" t="s">
        <v>560</v>
      </c>
      <c r="C349" s="318">
        <v>0</v>
      </c>
      <c r="D349" s="318">
        <v>0</v>
      </c>
      <c r="E349" s="319">
        <v>5008.42</v>
      </c>
      <c r="F349" s="319">
        <v>0</v>
      </c>
      <c r="G349" s="318">
        <f t="shared" si="11"/>
        <v>5008.42</v>
      </c>
      <c r="H349" s="318">
        <f t="shared" si="12"/>
        <v>0</v>
      </c>
      <c r="I349" s="316"/>
      <c r="J349" s="109"/>
    </row>
    <row r="350" spans="1:10" s="108" customFormat="1" hidden="1" x14ac:dyDescent="0.2">
      <c r="A350" s="317" t="s">
        <v>561</v>
      </c>
      <c r="B350" s="317" t="s">
        <v>562</v>
      </c>
      <c r="C350" s="318">
        <v>0</v>
      </c>
      <c r="D350" s="318">
        <v>0</v>
      </c>
      <c r="E350" s="319">
        <v>17132.53</v>
      </c>
      <c r="F350" s="319">
        <v>5564.88</v>
      </c>
      <c r="G350" s="318">
        <f t="shared" si="11"/>
        <v>17132.53</v>
      </c>
      <c r="H350" s="318">
        <f t="shared" si="12"/>
        <v>5564.88</v>
      </c>
      <c r="I350" s="316"/>
      <c r="J350" s="109"/>
    </row>
    <row r="351" spans="1:10" s="108" customFormat="1" hidden="1" x14ac:dyDescent="0.2">
      <c r="A351" s="317" t="s">
        <v>563</v>
      </c>
      <c r="B351" s="317" t="s">
        <v>564</v>
      </c>
      <c r="C351" s="318">
        <v>0</v>
      </c>
      <c r="D351" s="318">
        <v>0</v>
      </c>
      <c r="E351" s="319">
        <v>221460.7</v>
      </c>
      <c r="F351" s="319">
        <v>0</v>
      </c>
      <c r="G351" s="318">
        <f t="shared" si="11"/>
        <v>221460.7</v>
      </c>
      <c r="H351" s="318">
        <f t="shared" si="12"/>
        <v>0</v>
      </c>
      <c r="I351" s="316"/>
      <c r="J351" s="109"/>
    </row>
    <row r="352" spans="1:10" s="108" customFormat="1" hidden="1" x14ac:dyDescent="0.2">
      <c r="A352" s="317" t="s">
        <v>565</v>
      </c>
      <c r="B352" s="317" t="s">
        <v>566</v>
      </c>
      <c r="C352" s="318">
        <v>0</v>
      </c>
      <c r="D352" s="318">
        <v>0</v>
      </c>
      <c r="E352" s="319">
        <v>63764.2</v>
      </c>
      <c r="F352" s="319">
        <v>10123.969999999999</v>
      </c>
      <c r="G352" s="318">
        <f t="shared" si="11"/>
        <v>63764.2</v>
      </c>
      <c r="H352" s="318">
        <f t="shared" si="12"/>
        <v>10123.969999999999</v>
      </c>
      <c r="I352" s="316"/>
      <c r="J352" s="109"/>
    </row>
    <row r="353" spans="1:10" s="108" customFormat="1" hidden="1" x14ac:dyDescent="0.2">
      <c r="A353" s="317" t="s">
        <v>567</v>
      </c>
      <c r="B353" s="317" t="s">
        <v>568</v>
      </c>
      <c r="C353" s="318">
        <v>0</v>
      </c>
      <c r="D353" s="318">
        <v>0</v>
      </c>
      <c r="E353" s="319">
        <v>7.5</v>
      </c>
      <c r="F353" s="319">
        <v>0</v>
      </c>
      <c r="G353" s="318">
        <f t="shared" si="11"/>
        <v>7.5</v>
      </c>
      <c r="H353" s="318">
        <f t="shared" si="12"/>
        <v>0</v>
      </c>
      <c r="I353" s="316"/>
      <c r="J353" s="109"/>
    </row>
    <row r="354" spans="1:10" s="108" customFormat="1" hidden="1" x14ac:dyDescent="0.2">
      <c r="A354" s="317" t="s">
        <v>569</v>
      </c>
      <c r="B354" s="317" t="s">
        <v>570</v>
      </c>
      <c r="C354" s="318">
        <v>0</v>
      </c>
      <c r="D354" s="318">
        <v>0</v>
      </c>
      <c r="E354" s="319">
        <v>1102.5</v>
      </c>
      <c r="F354" s="319">
        <v>0</v>
      </c>
      <c r="G354" s="318">
        <f t="shared" si="11"/>
        <v>1102.5</v>
      </c>
      <c r="H354" s="318">
        <f t="shared" si="12"/>
        <v>0</v>
      </c>
      <c r="I354" s="316"/>
      <c r="J354" s="109"/>
    </row>
    <row r="355" spans="1:10" s="108" customFormat="1" hidden="1" x14ac:dyDescent="0.2">
      <c r="A355" s="317" t="s">
        <v>571</v>
      </c>
      <c r="B355" s="317" t="s">
        <v>572</v>
      </c>
      <c r="C355" s="318">
        <v>0</v>
      </c>
      <c r="D355" s="318">
        <v>0</v>
      </c>
      <c r="E355" s="319">
        <v>10058</v>
      </c>
      <c r="F355" s="319">
        <v>0</v>
      </c>
      <c r="G355" s="318">
        <f t="shared" si="11"/>
        <v>10058</v>
      </c>
      <c r="H355" s="318">
        <f t="shared" si="12"/>
        <v>0</v>
      </c>
      <c r="I355" s="316"/>
      <c r="J355" s="109"/>
    </row>
    <row r="356" spans="1:10" s="108" customFormat="1" hidden="1" x14ac:dyDescent="0.2">
      <c r="A356" s="317" t="s">
        <v>573</v>
      </c>
      <c r="B356" s="317" t="s">
        <v>574</v>
      </c>
      <c r="C356" s="318">
        <v>0</v>
      </c>
      <c r="D356" s="318">
        <v>0</v>
      </c>
      <c r="E356" s="319">
        <v>7611.34</v>
      </c>
      <c r="F356" s="319">
        <v>0</v>
      </c>
      <c r="G356" s="318">
        <f t="shared" si="11"/>
        <v>7611.34</v>
      </c>
      <c r="H356" s="318">
        <f t="shared" si="12"/>
        <v>0</v>
      </c>
      <c r="I356" s="316"/>
      <c r="J356" s="109"/>
    </row>
    <row r="357" spans="1:10" s="108" customFormat="1" hidden="1" x14ac:dyDescent="0.2">
      <c r="A357" s="317" t="s">
        <v>575</v>
      </c>
      <c r="B357" s="317" t="s">
        <v>576</v>
      </c>
      <c r="C357" s="318">
        <v>0</v>
      </c>
      <c r="D357" s="318">
        <v>0</v>
      </c>
      <c r="E357" s="319">
        <v>70.099999999999994</v>
      </c>
      <c r="F357" s="319">
        <v>0</v>
      </c>
      <c r="G357" s="318">
        <f t="shared" si="11"/>
        <v>70.099999999999994</v>
      </c>
      <c r="H357" s="318">
        <f t="shared" si="12"/>
        <v>0</v>
      </c>
      <c r="I357" s="316"/>
      <c r="J357" s="109"/>
    </row>
    <row r="358" spans="1:10" s="108" customFormat="1" hidden="1" x14ac:dyDescent="0.2">
      <c r="A358" s="317" t="s">
        <v>577</v>
      </c>
      <c r="B358" s="317" t="s">
        <v>578</v>
      </c>
      <c r="C358" s="318">
        <v>0</v>
      </c>
      <c r="D358" s="318">
        <v>0</v>
      </c>
      <c r="E358" s="319">
        <v>37218.769999999997</v>
      </c>
      <c r="F358" s="319">
        <v>0</v>
      </c>
      <c r="G358" s="318">
        <f t="shared" si="11"/>
        <v>37218.769999999997</v>
      </c>
      <c r="H358" s="318">
        <f t="shared" si="12"/>
        <v>0</v>
      </c>
      <c r="I358" s="316"/>
      <c r="J358" s="109"/>
    </row>
    <row r="359" spans="1:10" s="108" customFormat="1" hidden="1" x14ac:dyDescent="0.2">
      <c r="A359" s="317" t="s">
        <v>579</v>
      </c>
      <c r="B359" s="317" t="s">
        <v>580</v>
      </c>
      <c r="C359" s="318">
        <v>0</v>
      </c>
      <c r="D359" s="318">
        <v>0</v>
      </c>
      <c r="E359" s="319">
        <v>1991105</v>
      </c>
      <c r="F359" s="319">
        <v>1733.56</v>
      </c>
      <c r="G359" s="318">
        <f t="shared" si="11"/>
        <v>1991105</v>
      </c>
      <c r="H359" s="318">
        <f t="shared" si="12"/>
        <v>1733.56</v>
      </c>
      <c r="I359" s="316"/>
      <c r="J359" s="109"/>
    </row>
    <row r="360" spans="1:10" s="108" customFormat="1" hidden="1" x14ac:dyDescent="0.2">
      <c r="A360" s="317" t="s">
        <v>581</v>
      </c>
      <c r="B360" s="317" t="s">
        <v>582</v>
      </c>
      <c r="C360" s="318">
        <v>0</v>
      </c>
      <c r="D360" s="318">
        <v>0</v>
      </c>
      <c r="E360" s="319">
        <v>90</v>
      </c>
      <c r="F360" s="319">
        <v>0</v>
      </c>
      <c r="G360" s="318">
        <f t="shared" si="11"/>
        <v>90</v>
      </c>
      <c r="H360" s="318">
        <f t="shared" si="12"/>
        <v>0</v>
      </c>
      <c r="I360" s="316"/>
      <c r="J360" s="109"/>
    </row>
    <row r="361" spans="1:10" s="108" customFormat="1" hidden="1" x14ac:dyDescent="0.2">
      <c r="A361" s="317" t="s">
        <v>583</v>
      </c>
      <c r="B361" s="317" t="s">
        <v>584</v>
      </c>
      <c r="C361" s="318">
        <v>0</v>
      </c>
      <c r="D361" s="318">
        <v>0</v>
      </c>
      <c r="E361" s="319">
        <v>113346.78</v>
      </c>
      <c r="F361" s="319">
        <v>109.4</v>
      </c>
      <c r="G361" s="318">
        <f t="shared" si="11"/>
        <v>113346.78</v>
      </c>
      <c r="H361" s="318">
        <f t="shared" si="12"/>
        <v>109.4</v>
      </c>
      <c r="I361" s="316"/>
      <c r="J361" s="109"/>
    </row>
    <row r="362" spans="1:10" s="108" customFormat="1" hidden="1" x14ac:dyDescent="0.2">
      <c r="A362" s="317" t="s">
        <v>585</v>
      </c>
      <c r="B362" s="317" t="s">
        <v>586</v>
      </c>
      <c r="C362" s="318">
        <v>0</v>
      </c>
      <c r="D362" s="318">
        <v>0</v>
      </c>
      <c r="E362" s="319">
        <v>5623.23</v>
      </c>
      <c r="F362" s="319">
        <v>0.18</v>
      </c>
      <c r="G362" s="318">
        <f t="shared" si="11"/>
        <v>5623.23</v>
      </c>
      <c r="H362" s="318">
        <f t="shared" si="12"/>
        <v>0.18</v>
      </c>
      <c r="I362" s="316"/>
      <c r="J362" s="109"/>
    </row>
    <row r="363" spans="1:10" s="108" customFormat="1" hidden="1" x14ac:dyDescent="0.2">
      <c r="A363" s="317" t="s">
        <v>587</v>
      </c>
      <c r="B363" s="317" t="s">
        <v>588</v>
      </c>
      <c r="C363" s="318">
        <v>0</v>
      </c>
      <c r="D363" s="318">
        <v>0</v>
      </c>
      <c r="E363" s="319">
        <v>708311.29</v>
      </c>
      <c r="F363" s="319">
        <v>0</v>
      </c>
      <c r="G363" s="318">
        <f t="shared" si="11"/>
        <v>708311.29</v>
      </c>
      <c r="H363" s="318">
        <f t="shared" si="12"/>
        <v>0</v>
      </c>
      <c r="I363" s="316"/>
      <c r="J363" s="109"/>
    </row>
    <row r="364" spans="1:10" s="108" customFormat="1" hidden="1" x14ac:dyDescent="0.2">
      <c r="A364" s="317" t="s">
        <v>589</v>
      </c>
      <c r="B364" s="317" t="s">
        <v>590</v>
      </c>
      <c r="C364" s="318">
        <v>0</v>
      </c>
      <c r="D364" s="318">
        <v>0</v>
      </c>
      <c r="E364" s="319">
        <v>288936.26</v>
      </c>
      <c r="F364" s="319">
        <v>0</v>
      </c>
      <c r="G364" s="318">
        <f t="shared" si="11"/>
        <v>288936.26</v>
      </c>
      <c r="H364" s="318">
        <f t="shared" si="12"/>
        <v>0</v>
      </c>
      <c r="I364" s="316"/>
      <c r="J364" s="109"/>
    </row>
    <row r="365" spans="1:10" s="108" customFormat="1" hidden="1" x14ac:dyDescent="0.2">
      <c r="A365" s="317" t="s">
        <v>591</v>
      </c>
      <c r="B365" s="317" t="s">
        <v>592</v>
      </c>
      <c r="C365" s="318">
        <v>0</v>
      </c>
      <c r="D365" s="318">
        <v>0</v>
      </c>
      <c r="E365" s="319">
        <v>542787.03</v>
      </c>
      <c r="F365" s="319">
        <v>18580.02</v>
      </c>
      <c r="G365" s="318">
        <f t="shared" si="11"/>
        <v>542787.03</v>
      </c>
      <c r="H365" s="318">
        <f t="shared" si="12"/>
        <v>18580.02</v>
      </c>
      <c r="I365" s="316"/>
      <c r="J365" s="109"/>
    </row>
    <row r="366" spans="1:10" s="108" customFormat="1" hidden="1" x14ac:dyDescent="0.2">
      <c r="A366" s="317" t="s">
        <v>593</v>
      </c>
      <c r="B366" s="317" t="s">
        <v>594</v>
      </c>
      <c r="C366" s="318">
        <v>0</v>
      </c>
      <c r="D366" s="318">
        <v>0</v>
      </c>
      <c r="E366" s="319">
        <v>153345.01</v>
      </c>
      <c r="F366" s="319">
        <v>0</v>
      </c>
      <c r="G366" s="318">
        <f t="shared" si="11"/>
        <v>153345.01</v>
      </c>
      <c r="H366" s="318">
        <f t="shared" si="12"/>
        <v>0</v>
      </c>
      <c r="I366" s="316"/>
      <c r="J366" s="109"/>
    </row>
    <row r="367" spans="1:10" s="108" customFormat="1" hidden="1" x14ac:dyDescent="0.2">
      <c r="A367" s="317" t="s">
        <v>595</v>
      </c>
      <c r="B367" s="317" t="s">
        <v>596</v>
      </c>
      <c r="C367" s="318">
        <v>0</v>
      </c>
      <c r="D367" s="318">
        <v>0</v>
      </c>
      <c r="E367" s="319">
        <v>13433.69</v>
      </c>
      <c r="F367" s="319">
        <v>0</v>
      </c>
      <c r="G367" s="318">
        <f t="shared" si="11"/>
        <v>13433.69</v>
      </c>
      <c r="H367" s="318">
        <f t="shared" si="12"/>
        <v>0</v>
      </c>
      <c r="I367" s="316"/>
      <c r="J367" s="109"/>
    </row>
    <row r="368" spans="1:10" s="108" customFormat="1" hidden="1" x14ac:dyDescent="0.2">
      <c r="A368" s="317" t="s">
        <v>597</v>
      </c>
      <c r="B368" s="317" t="s">
        <v>598</v>
      </c>
      <c r="C368" s="318">
        <v>0</v>
      </c>
      <c r="D368" s="318">
        <v>0</v>
      </c>
      <c r="E368" s="319">
        <v>71610.679999999993</v>
      </c>
      <c r="F368" s="319">
        <v>0</v>
      </c>
      <c r="G368" s="318">
        <f t="shared" si="11"/>
        <v>71610.679999999993</v>
      </c>
      <c r="H368" s="318">
        <f t="shared" si="12"/>
        <v>0</v>
      </c>
      <c r="I368" s="316"/>
      <c r="J368" s="109"/>
    </row>
    <row r="369" spans="1:10" s="108" customFormat="1" hidden="1" x14ac:dyDescent="0.2">
      <c r="A369" s="317" t="s">
        <v>599</v>
      </c>
      <c r="B369" s="317" t="s">
        <v>600</v>
      </c>
      <c r="C369" s="318">
        <v>0</v>
      </c>
      <c r="D369" s="318">
        <v>0</v>
      </c>
      <c r="E369" s="319">
        <v>21754.959999999999</v>
      </c>
      <c r="F369" s="319">
        <v>4474107.67</v>
      </c>
      <c r="G369" s="318">
        <f t="shared" si="11"/>
        <v>21754.959999999999</v>
      </c>
      <c r="H369" s="318">
        <f t="shared" si="12"/>
        <v>4474107.67</v>
      </c>
      <c r="I369" s="316"/>
      <c r="J369" s="109"/>
    </row>
    <row r="370" spans="1:10" s="108" customFormat="1" hidden="1" x14ac:dyDescent="0.2">
      <c r="A370" s="317" t="s">
        <v>601</v>
      </c>
      <c r="B370" s="317" t="s">
        <v>602</v>
      </c>
      <c r="C370" s="318">
        <v>0</v>
      </c>
      <c r="D370" s="318">
        <v>0</v>
      </c>
      <c r="E370" s="319">
        <v>18.2</v>
      </c>
      <c r="F370" s="319">
        <v>89.57</v>
      </c>
      <c r="G370" s="318">
        <f t="shared" si="11"/>
        <v>18.2</v>
      </c>
      <c r="H370" s="318">
        <f t="shared" si="12"/>
        <v>89.57</v>
      </c>
      <c r="I370" s="316"/>
      <c r="J370" s="109"/>
    </row>
    <row r="371" spans="1:10" s="108" customFormat="1" hidden="1" x14ac:dyDescent="0.2">
      <c r="A371" s="317" t="s">
        <v>603</v>
      </c>
      <c r="B371" s="317" t="s">
        <v>604</v>
      </c>
      <c r="C371" s="318">
        <v>0</v>
      </c>
      <c r="D371" s="318">
        <v>0</v>
      </c>
      <c r="E371" s="319">
        <v>0</v>
      </c>
      <c r="F371" s="319">
        <v>766.38</v>
      </c>
      <c r="G371" s="318">
        <f t="shared" si="11"/>
        <v>0</v>
      </c>
      <c r="H371" s="318">
        <f t="shared" si="12"/>
        <v>766.38</v>
      </c>
      <c r="I371" s="316"/>
      <c r="J371" s="109"/>
    </row>
    <row r="372" spans="1:10" s="108" customFormat="1" hidden="1" x14ac:dyDescent="0.2">
      <c r="A372" s="317" t="s">
        <v>605</v>
      </c>
      <c r="B372" s="317" t="s">
        <v>606</v>
      </c>
      <c r="C372" s="318">
        <v>0</v>
      </c>
      <c r="D372" s="318">
        <v>0</v>
      </c>
      <c r="E372" s="319">
        <v>25.51</v>
      </c>
      <c r="F372" s="319">
        <v>243.62</v>
      </c>
      <c r="G372" s="318">
        <f t="shared" si="11"/>
        <v>25.51</v>
      </c>
      <c r="H372" s="318">
        <f t="shared" si="12"/>
        <v>243.62</v>
      </c>
      <c r="I372" s="316"/>
      <c r="J372" s="109"/>
    </row>
    <row r="373" spans="1:10" s="108" customFormat="1" hidden="1" x14ac:dyDescent="0.2">
      <c r="A373" s="317" t="s">
        <v>607</v>
      </c>
      <c r="B373" s="317" t="s">
        <v>608</v>
      </c>
      <c r="C373" s="318">
        <v>0</v>
      </c>
      <c r="D373" s="318">
        <v>0</v>
      </c>
      <c r="E373" s="319">
        <v>13872.14</v>
      </c>
      <c r="F373" s="319">
        <v>2481164.58</v>
      </c>
      <c r="G373" s="318">
        <f t="shared" si="11"/>
        <v>13872.14</v>
      </c>
      <c r="H373" s="318">
        <f t="shared" si="12"/>
        <v>2481164.58</v>
      </c>
      <c r="I373" s="316"/>
      <c r="J373" s="109"/>
    </row>
    <row r="374" spans="1:10" s="108" customFormat="1" hidden="1" x14ac:dyDescent="0.2">
      <c r="A374" s="317" t="s">
        <v>609</v>
      </c>
      <c r="B374" s="317" t="s">
        <v>610</v>
      </c>
      <c r="C374" s="318">
        <v>0</v>
      </c>
      <c r="D374" s="318">
        <v>0</v>
      </c>
      <c r="E374" s="319">
        <v>477665.25</v>
      </c>
      <c r="F374" s="319">
        <v>14745849.149999999</v>
      </c>
      <c r="G374" s="318">
        <f t="shared" si="11"/>
        <v>477665.25</v>
      </c>
      <c r="H374" s="318">
        <f t="shared" si="12"/>
        <v>14745849.149999999</v>
      </c>
      <c r="I374" s="316"/>
      <c r="J374" s="109"/>
    </row>
    <row r="375" spans="1:10" s="108" customFormat="1" hidden="1" x14ac:dyDescent="0.2">
      <c r="A375" s="317" t="s">
        <v>611</v>
      </c>
      <c r="B375" s="317" t="s">
        <v>612</v>
      </c>
      <c r="C375" s="318">
        <v>0</v>
      </c>
      <c r="D375" s="318">
        <v>0</v>
      </c>
      <c r="E375" s="319">
        <v>0</v>
      </c>
      <c r="F375" s="319">
        <v>4172080.52</v>
      </c>
      <c r="G375" s="318">
        <f t="shared" si="11"/>
        <v>0</v>
      </c>
      <c r="H375" s="318">
        <f t="shared" si="12"/>
        <v>4172080.52</v>
      </c>
      <c r="I375" s="316"/>
      <c r="J375" s="109"/>
    </row>
    <row r="376" spans="1:10" s="108" customFormat="1" hidden="1" x14ac:dyDescent="0.2">
      <c r="A376" s="317" t="s">
        <v>613</v>
      </c>
      <c r="B376" s="317" t="s">
        <v>614</v>
      </c>
      <c r="C376" s="318">
        <v>0</v>
      </c>
      <c r="D376" s="318">
        <v>0</v>
      </c>
      <c r="E376" s="319">
        <v>0</v>
      </c>
      <c r="F376" s="319">
        <v>1987611.77</v>
      </c>
      <c r="G376" s="318">
        <f t="shared" si="11"/>
        <v>0</v>
      </c>
      <c r="H376" s="318">
        <f t="shared" si="12"/>
        <v>1987611.77</v>
      </c>
      <c r="I376" s="316"/>
      <c r="J376" s="109"/>
    </row>
    <row r="377" spans="1:10" s="108" customFormat="1" hidden="1" x14ac:dyDescent="0.2">
      <c r="A377" s="317" t="s">
        <v>615</v>
      </c>
      <c r="B377" s="317" t="s">
        <v>616</v>
      </c>
      <c r="C377" s="318">
        <v>0</v>
      </c>
      <c r="D377" s="318">
        <v>0</v>
      </c>
      <c r="E377" s="319">
        <v>0</v>
      </c>
      <c r="F377" s="319">
        <v>118.43</v>
      </c>
      <c r="G377" s="318">
        <f t="shared" si="11"/>
        <v>0</v>
      </c>
      <c r="H377" s="318">
        <f t="shared" si="12"/>
        <v>118.43</v>
      </c>
      <c r="I377" s="316"/>
      <c r="J377" s="109"/>
    </row>
    <row r="378" spans="1:10" s="108" customFormat="1" hidden="1" x14ac:dyDescent="0.2">
      <c r="A378" s="317" t="s">
        <v>617</v>
      </c>
      <c r="B378" s="317" t="s">
        <v>618</v>
      </c>
      <c r="C378" s="318">
        <v>0</v>
      </c>
      <c r="D378" s="318">
        <v>0</v>
      </c>
      <c r="E378" s="319">
        <v>9014.17</v>
      </c>
      <c r="F378" s="319">
        <v>1590268.62</v>
      </c>
      <c r="G378" s="318">
        <f t="shared" si="11"/>
        <v>9014.17</v>
      </c>
      <c r="H378" s="318">
        <f t="shared" si="12"/>
        <v>1590268.62</v>
      </c>
      <c r="I378" s="316"/>
      <c r="J378" s="109"/>
    </row>
    <row r="379" spans="1:10" s="108" customFormat="1" hidden="1" x14ac:dyDescent="0.2">
      <c r="A379" s="317" t="s">
        <v>619</v>
      </c>
      <c r="B379" s="317" t="s">
        <v>620</v>
      </c>
      <c r="C379" s="318">
        <v>0</v>
      </c>
      <c r="D379" s="318">
        <v>0</v>
      </c>
      <c r="E379" s="319">
        <v>8402.06</v>
      </c>
      <c r="F379" s="319">
        <v>1344115.59</v>
      </c>
      <c r="G379" s="318">
        <f t="shared" si="11"/>
        <v>8402.06</v>
      </c>
      <c r="H379" s="318">
        <f t="shared" si="12"/>
        <v>1344115.59</v>
      </c>
      <c r="I379" s="316"/>
      <c r="J379" s="109"/>
    </row>
    <row r="380" spans="1:10" s="108" customFormat="1" hidden="1" x14ac:dyDescent="0.2">
      <c r="A380" s="317" t="s">
        <v>621</v>
      </c>
      <c r="B380" s="317" t="s">
        <v>622</v>
      </c>
      <c r="C380" s="318">
        <v>0</v>
      </c>
      <c r="D380" s="318">
        <v>0</v>
      </c>
      <c r="E380" s="319">
        <v>3524.72</v>
      </c>
      <c r="F380" s="319">
        <v>652263.6</v>
      </c>
      <c r="G380" s="318">
        <f t="shared" si="11"/>
        <v>3524.72</v>
      </c>
      <c r="H380" s="318">
        <f t="shared" si="12"/>
        <v>652263.6</v>
      </c>
      <c r="I380" s="316"/>
      <c r="J380" s="109"/>
    </row>
    <row r="381" spans="1:10" s="108" customFormat="1" hidden="1" x14ac:dyDescent="0.2">
      <c r="A381" s="317" t="s">
        <v>623</v>
      </c>
      <c r="B381" s="317" t="s">
        <v>624</v>
      </c>
      <c r="C381" s="318">
        <v>0</v>
      </c>
      <c r="D381" s="318">
        <v>0</v>
      </c>
      <c r="E381" s="319">
        <v>7832.03</v>
      </c>
      <c r="F381" s="319">
        <v>1389816.57</v>
      </c>
      <c r="G381" s="318">
        <f t="shared" si="11"/>
        <v>7832.03</v>
      </c>
      <c r="H381" s="318">
        <f t="shared" si="12"/>
        <v>1389816.57</v>
      </c>
      <c r="I381" s="316"/>
      <c r="J381" s="109"/>
    </row>
    <row r="382" spans="1:10" s="108" customFormat="1" hidden="1" x14ac:dyDescent="0.2">
      <c r="A382" s="317" t="s">
        <v>625</v>
      </c>
      <c r="B382" s="317" t="s">
        <v>626</v>
      </c>
      <c r="C382" s="318">
        <v>0</v>
      </c>
      <c r="D382" s="318">
        <v>0</v>
      </c>
      <c r="E382" s="319">
        <v>0</v>
      </c>
      <c r="F382" s="319">
        <v>2999.96</v>
      </c>
      <c r="G382" s="318">
        <f t="shared" si="11"/>
        <v>0</v>
      </c>
      <c r="H382" s="318">
        <f t="shared" si="12"/>
        <v>2999.96</v>
      </c>
      <c r="I382" s="316"/>
      <c r="J382" s="109"/>
    </row>
    <row r="383" spans="1:10" s="108" customFormat="1" hidden="1" x14ac:dyDescent="0.2">
      <c r="A383" s="317" t="s">
        <v>627</v>
      </c>
      <c r="B383" s="317" t="s">
        <v>628</v>
      </c>
      <c r="C383" s="318">
        <v>0</v>
      </c>
      <c r="D383" s="318">
        <v>0</v>
      </c>
      <c r="E383" s="319">
        <v>108.87</v>
      </c>
      <c r="F383" s="319">
        <v>41534.339999999997</v>
      </c>
      <c r="G383" s="318">
        <f t="shared" si="11"/>
        <v>108.87</v>
      </c>
      <c r="H383" s="318">
        <f t="shared" si="12"/>
        <v>41534.339999999997</v>
      </c>
      <c r="I383" s="316"/>
      <c r="J383" s="109"/>
    </row>
    <row r="384" spans="1:10" s="108" customFormat="1" hidden="1" x14ac:dyDescent="0.2">
      <c r="A384" s="317" t="s">
        <v>629</v>
      </c>
      <c r="B384" s="317" t="s">
        <v>630</v>
      </c>
      <c r="C384" s="318">
        <v>0</v>
      </c>
      <c r="D384" s="318">
        <v>0</v>
      </c>
      <c r="E384" s="319">
        <v>965.14</v>
      </c>
      <c r="F384" s="319">
        <v>41057.64</v>
      </c>
      <c r="G384" s="318">
        <f t="shared" si="11"/>
        <v>965.14</v>
      </c>
      <c r="H384" s="318">
        <f t="shared" si="12"/>
        <v>41057.64</v>
      </c>
      <c r="I384" s="316"/>
      <c r="J384" s="109"/>
    </row>
    <row r="385" spans="1:10" s="108" customFormat="1" hidden="1" x14ac:dyDescent="0.2">
      <c r="A385" s="317" t="s">
        <v>631</v>
      </c>
      <c r="B385" s="317" t="s">
        <v>183</v>
      </c>
      <c r="C385" s="318">
        <v>0</v>
      </c>
      <c r="D385" s="318">
        <v>0</v>
      </c>
      <c r="E385" s="319">
        <v>3326.18</v>
      </c>
      <c r="F385" s="319">
        <v>565573.73</v>
      </c>
      <c r="G385" s="318">
        <f t="shared" si="11"/>
        <v>3326.18</v>
      </c>
      <c r="H385" s="318">
        <f t="shared" si="12"/>
        <v>565573.73</v>
      </c>
      <c r="I385" s="316"/>
      <c r="J385" s="109"/>
    </row>
    <row r="386" spans="1:10" s="108" customFormat="1" hidden="1" x14ac:dyDescent="0.2">
      <c r="A386" s="317" t="s">
        <v>632</v>
      </c>
      <c r="B386" s="317" t="s">
        <v>633</v>
      </c>
      <c r="C386" s="318">
        <v>0</v>
      </c>
      <c r="D386" s="318">
        <v>0</v>
      </c>
      <c r="E386" s="319">
        <v>5526.37</v>
      </c>
      <c r="F386" s="319">
        <v>14165.07</v>
      </c>
      <c r="G386" s="318">
        <f t="shared" si="11"/>
        <v>5526.37</v>
      </c>
      <c r="H386" s="318">
        <f t="shared" si="12"/>
        <v>14165.07</v>
      </c>
      <c r="I386" s="316"/>
      <c r="J386" s="109"/>
    </row>
    <row r="387" spans="1:10" s="108" customFormat="1" hidden="1" x14ac:dyDescent="0.2">
      <c r="A387" s="317" t="s">
        <v>634</v>
      </c>
      <c r="B387" s="317" t="s">
        <v>635</v>
      </c>
      <c r="C387" s="318">
        <v>0</v>
      </c>
      <c r="D387" s="318">
        <v>0</v>
      </c>
      <c r="E387" s="319">
        <v>0</v>
      </c>
      <c r="F387" s="319">
        <v>563.13</v>
      </c>
      <c r="G387" s="318">
        <f t="shared" si="11"/>
        <v>0</v>
      </c>
      <c r="H387" s="318">
        <f t="shared" si="12"/>
        <v>563.13</v>
      </c>
      <c r="I387" s="316"/>
      <c r="J387" s="109"/>
    </row>
    <row r="388" spans="1:10" s="108" customFormat="1" hidden="1" x14ac:dyDescent="0.2">
      <c r="A388" s="317" t="s">
        <v>636</v>
      </c>
      <c r="B388" s="317" t="s">
        <v>637</v>
      </c>
      <c r="C388" s="318">
        <v>0</v>
      </c>
      <c r="D388" s="318">
        <v>0</v>
      </c>
      <c r="E388" s="319">
        <v>0</v>
      </c>
      <c r="F388" s="319">
        <v>247.64</v>
      </c>
      <c r="G388" s="318">
        <f t="shared" ref="G388:G451" si="13">+C388+E388</f>
        <v>0</v>
      </c>
      <c r="H388" s="318">
        <f t="shared" ref="H388:H451" si="14">+D388+F388</f>
        <v>247.64</v>
      </c>
      <c r="I388" s="316"/>
      <c r="J388" s="109"/>
    </row>
    <row r="389" spans="1:10" s="108" customFormat="1" hidden="1" x14ac:dyDescent="0.2">
      <c r="A389" s="317" t="s">
        <v>638</v>
      </c>
      <c r="B389" s="317" t="s">
        <v>639</v>
      </c>
      <c r="C389" s="318">
        <v>0</v>
      </c>
      <c r="D389" s="318">
        <v>0</v>
      </c>
      <c r="E389" s="319">
        <v>0</v>
      </c>
      <c r="F389" s="319">
        <v>50.4</v>
      </c>
      <c r="G389" s="318">
        <f t="shared" si="13"/>
        <v>0</v>
      </c>
      <c r="H389" s="318">
        <f t="shared" si="14"/>
        <v>50.4</v>
      </c>
      <c r="I389" s="316"/>
      <c r="J389" s="109"/>
    </row>
    <row r="390" spans="1:10" s="108" customFormat="1" hidden="1" x14ac:dyDescent="0.2">
      <c r="A390" s="317" t="s">
        <v>640</v>
      </c>
      <c r="B390" s="317" t="s">
        <v>641</v>
      </c>
      <c r="C390" s="318">
        <v>0</v>
      </c>
      <c r="D390" s="318">
        <v>0</v>
      </c>
      <c r="E390" s="319">
        <v>0</v>
      </c>
      <c r="F390" s="319">
        <v>25.2</v>
      </c>
      <c r="G390" s="318">
        <f t="shared" si="13"/>
        <v>0</v>
      </c>
      <c r="H390" s="318">
        <f t="shared" si="14"/>
        <v>25.2</v>
      </c>
      <c r="I390" s="316"/>
      <c r="J390" s="109"/>
    </row>
    <row r="391" spans="1:10" s="108" customFormat="1" hidden="1" x14ac:dyDescent="0.2">
      <c r="A391" s="317" t="s">
        <v>642</v>
      </c>
      <c r="B391" s="317" t="s">
        <v>643</v>
      </c>
      <c r="C391" s="318">
        <v>0</v>
      </c>
      <c r="D391" s="318">
        <v>0</v>
      </c>
      <c r="E391" s="319">
        <v>0</v>
      </c>
      <c r="F391" s="319">
        <v>36</v>
      </c>
      <c r="G391" s="318">
        <f t="shared" si="13"/>
        <v>0</v>
      </c>
      <c r="H391" s="318">
        <f t="shared" si="14"/>
        <v>36</v>
      </c>
      <c r="I391" s="316"/>
      <c r="J391" s="109"/>
    </row>
    <row r="392" spans="1:10" s="108" customFormat="1" hidden="1" x14ac:dyDescent="0.2">
      <c r="A392" s="317" t="s">
        <v>644</v>
      </c>
      <c r="B392" s="317" t="s">
        <v>645</v>
      </c>
      <c r="C392" s="318">
        <v>0</v>
      </c>
      <c r="D392" s="318">
        <v>0</v>
      </c>
      <c r="E392" s="319">
        <v>0</v>
      </c>
      <c r="F392" s="319">
        <v>71.81</v>
      </c>
      <c r="G392" s="318">
        <f t="shared" si="13"/>
        <v>0</v>
      </c>
      <c r="H392" s="318">
        <f t="shared" si="14"/>
        <v>71.81</v>
      </c>
      <c r="I392" s="316"/>
      <c r="J392" s="109"/>
    </row>
    <row r="393" spans="1:10" s="108" customFormat="1" hidden="1" x14ac:dyDescent="0.2">
      <c r="A393" s="317" t="s">
        <v>646</v>
      </c>
      <c r="B393" s="317" t="s">
        <v>647</v>
      </c>
      <c r="C393" s="318">
        <v>0</v>
      </c>
      <c r="D393" s="318">
        <v>0</v>
      </c>
      <c r="E393" s="319">
        <v>0</v>
      </c>
      <c r="F393" s="319">
        <v>309.91000000000003</v>
      </c>
      <c r="G393" s="318">
        <f t="shared" si="13"/>
        <v>0</v>
      </c>
      <c r="H393" s="318">
        <f t="shared" si="14"/>
        <v>309.91000000000003</v>
      </c>
      <c r="I393" s="316"/>
      <c r="J393" s="109"/>
    </row>
    <row r="394" spans="1:10" s="108" customFormat="1" hidden="1" x14ac:dyDescent="0.2">
      <c r="A394" s="317" t="s">
        <v>648</v>
      </c>
      <c r="B394" s="317" t="s">
        <v>649</v>
      </c>
      <c r="C394" s="318">
        <v>0</v>
      </c>
      <c r="D394" s="318">
        <v>0</v>
      </c>
      <c r="E394" s="319">
        <v>0</v>
      </c>
      <c r="F394" s="319">
        <v>30</v>
      </c>
      <c r="G394" s="318">
        <f t="shared" si="13"/>
        <v>0</v>
      </c>
      <c r="H394" s="318">
        <f t="shared" si="14"/>
        <v>30</v>
      </c>
      <c r="I394" s="316"/>
      <c r="J394" s="109"/>
    </row>
    <row r="395" spans="1:10" s="108" customFormat="1" hidden="1" x14ac:dyDescent="0.2">
      <c r="A395" s="317" t="s">
        <v>650</v>
      </c>
      <c r="B395" s="317" t="s">
        <v>651</v>
      </c>
      <c r="C395" s="318">
        <v>0</v>
      </c>
      <c r="D395" s="318">
        <v>0</v>
      </c>
      <c r="E395" s="319">
        <v>226.72</v>
      </c>
      <c r="F395" s="319">
        <v>26919.759999999998</v>
      </c>
      <c r="G395" s="318">
        <f t="shared" si="13"/>
        <v>226.72</v>
      </c>
      <c r="H395" s="318">
        <f t="shared" si="14"/>
        <v>26919.759999999998</v>
      </c>
      <c r="I395" s="316"/>
      <c r="J395" s="109"/>
    </row>
    <row r="396" spans="1:10" s="108" customFormat="1" hidden="1" x14ac:dyDescent="0.2">
      <c r="A396" s="317" t="s">
        <v>652</v>
      </c>
      <c r="B396" s="317" t="s">
        <v>653</v>
      </c>
      <c r="C396" s="318">
        <v>0</v>
      </c>
      <c r="D396" s="318">
        <v>0</v>
      </c>
      <c r="E396" s="319">
        <v>0</v>
      </c>
      <c r="F396" s="319">
        <v>1165.42</v>
      </c>
      <c r="G396" s="318">
        <f t="shared" si="13"/>
        <v>0</v>
      </c>
      <c r="H396" s="318">
        <f t="shared" si="14"/>
        <v>1165.42</v>
      </c>
      <c r="I396" s="316"/>
      <c r="J396" s="109"/>
    </row>
    <row r="397" spans="1:10" s="108" customFormat="1" hidden="1" x14ac:dyDescent="0.2">
      <c r="A397" s="317" t="s">
        <v>654</v>
      </c>
      <c r="B397" s="317" t="s">
        <v>655</v>
      </c>
      <c r="C397" s="318">
        <v>0</v>
      </c>
      <c r="D397" s="318">
        <v>0</v>
      </c>
      <c r="E397" s="319">
        <v>737.52</v>
      </c>
      <c r="F397" s="319">
        <v>340422.21</v>
      </c>
      <c r="G397" s="318">
        <f t="shared" si="13"/>
        <v>737.52</v>
      </c>
      <c r="H397" s="318">
        <f t="shared" si="14"/>
        <v>340422.21</v>
      </c>
      <c r="I397" s="316"/>
      <c r="J397" s="109"/>
    </row>
    <row r="398" spans="1:10" s="108" customFormat="1" hidden="1" x14ac:dyDescent="0.2">
      <c r="A398" s="317" t="s">
        <v>656</v>
      </c>
      <c r="B398" s="317" t="s">
        <v>301</v>
      </c>
      <c r="C398" s="318">
        <v>0</v>
      </c>
      <c r="D398" s="318">
        <v>0</v>
      </c>
      <c r="E398" s="319">
        <v>0</v>
      </c>
      <c r="F398" s="319">
        <v>813772.17</v>
      </c>
      <c r="G398" s="318">
        <f t="shared" si="13"/>
        <v>0</v>
      </c>
      <c r="H398" s="318">
        <f t="shared" si="14"/>
        <v>813772.17</v>
      </c>
      <c r="I398" s="316"/>
      <c r="J398" s="109"/>
    </row>
    <row r="399" spans="1:10" s="108" customFormat="1" hidden="1" x14ac:dyDescent="0.2">
      <c r="A399" s="317" t="s">
        <v>657</v>
      </c>
      <c r="B399" s="317" t="s">
        <v>658</v>
      </c>
      <c r="C399" s="318">
        <v>0</v>
      </c>
      <c r="D399" s="318">
        <v>0</v>
      </c>
      <c r="E399" s="319">
        <v>0</v>
      </c>
      <c r="F399" s="319">
        <v>305.42</v>
      </c>
      <c r="G399" s="318">
        <f t="shared" si="13"/>
        <v>0</v>
      </c>
      <c r="H399" s="318">
        <f t="shared" si="14"/>
        <v>305.42</v>
      </c>
      <c r="I399" s="316"/>
      <c r="J399" s="109"/>
    </row>
    <row r="400" spans="1:10" s="108" customFormat="1" hidden="1" x14ac:dyDescent="0.2">
      <c r="A400" s="317" t="s">
        <v>659</v>
      </c>
      <c r="B400" s="317" t="s">
        <v>660</v>
      </c>
      <c r="C400" s="318">
        <v>0</v>
      </c>
      <c r="D400" s="318">
        <v>0</v>
      </c>
      <c r="E400" s="319">
        <v>2890.14</v>
      </c>
      <c r="F400" s="319">
        <v>74160.009999999995</v>
      </c>
      <c r="G400" s="318">
        <f t="shared" si="13"/>
        <v>2890.14</v>
      </c>
      <c r="H400" s="318">
        <f t="shared" si="14"/>
        <v>74160.009999999995</v>
      </c>
      <c r="I400" s="316"/>
      <c r="J400" s="109"/>
    </row>
    <row r="401" spans="1:11" s="108" customFormat="1" hidden="1" x14ac:dyDescent="0.2">
      <c r="A401" s="317" t="s">
        <v>661</v>
      </c>
      <c r="B401" s="317" t="s">
        <v>662</v>
      </c>
      <c r="C401" s="318">
        <v>0</v>
      </c>
      <c r="D401" s="318">
        <v>0</v>
      </c>
      <c r="E401" s="319">
        <v>1213536.0900000001</v>
      </c>
      <c r="F401" s="319">
        <v>3278647</v>
      </c>
      <c r="G401" s="318">
        <f t="shared" si="13"/>
        <v>1213536.0900000001</v>
      </c>
      <c r="H401" s="318">
        <f t="shared" si="14"/>
        <v>3278647</v>
      </c>
      <c r="I401" s="316"/>
      <c r="J401" s="109"/>
    </row>
    <row r="402" spans="1:11" s="108" customFormat="1" hidden="1" x14ac:dyDescent="0.2">
      <c r="A402" s="317" t="s">
        <v>663</v>
      </c>
      <c r="B402" s="317" t="s">
        <v>664</v>
      </c>
      <c r="C402" s="318">
        <v>0</v>
      </c>
      <c r="D402" s="318">
        <v>0</v>
      </c>
      <c r="E402" s="319">
        <v>0</v>
      </c>
      <c r="F402" s="319">
        <v>1454.03</v>
      </c>
      <c r="G402" s="318">
        <f t="shared" si="13"/>
        <v>0</v>
      </c>
      <c r="H402" s="318">
        <f t="shared" si="14"/>
        <v>1454.03</v>
      </c>
      <c r="I402" s="316"/>
      <c r="J402" s="109"/>
    </row>
    <row r="403" spans="1:11" s="108" customFormat="1" hidden="1" x14ac:dyDescent="0.2">
      <c r="A403" s="317" t="s">
        <v>665</v>
      </c>
      <c r="B403" s="317" t="s">
        <v>666</v>
      </c>
      <c r="C403" s="318">
        <v>0</v>
      </c>
      <c r="D403" s="318">
        <v>0</v>
      </c>
      <c r="E403" s="319">
        <v>0</v>
      </c>
      <c r="F403" s="319">
        <v>37487.32</v>
      </c>
      <c r="G403" s="318">
        <f t="shared" si="13"/>
        <v>0</v>
      </c>
      <c r="H403" s="318">
        <f t="shared" si="14"/>
        <v>37487.32</v>
      </c>
      <c r="I403" s="316"/>
      <c r="J403" s="109"/>
    </row>
    <row r="404" spans="1:11" s="108" customFormat="1" hidden="1" x14ac:dyDescent="0.2">
      <c r="A404" s="317" t="s">
        <v>667</v>
      </c>
      <c r="B404" s="317" t="s">
        <v>668</v>
      </c>
      <c r="C404" s="318">
        <v>0</v>
      </c>
      <c r="D404" s="318">
        <v>0</v>
      </c>
      <c r="E404" s="319">
        <v>1032.76</v>
      </c>
      <c r="F404" s="319">
        <v>4876.38</v>
      </c>
      <c r="G404" s="318">
        <f t="shared" si="13"/>
        <v>1032.76</v>
      </c>
      <c r="H404" s="318">
        <f t="shared" si="14"/>
        <v>4876.38</v>
      </c>
      <c r="I404" s="316"/>
      <c r="J404" s="109"/>
    </row>
    <row r="405" spans="1:11" s="108" customFormat="1" hidden="1" x14ac:dyDescent="0.2">
      <c r="A405" s="317" t="s">
        <v>669</v>
      </c>
      <c r="B405" s="317" t="s">
        <v>670</v>
      </c>
      <c r="C405" s="318">
        <v>0</v>
      </c>
      <c r="D405" s="318">
        <v>0</v>
      </c>
      <c r="E405" s="319">
        <v>0</v>
      </c>
      <c r="F405" s="319"/>
      <c r="G405" s="318">
        <f t="shared" si="13"/>
        <v>0</v>
      </c>
      <c r="H405" s="318">
        <f t="shared" si="14"/>
        <v>0</v>
      </c>
      <c r="I405" s="316"/>
      <c r="J405" s="109"/>
    </row>
    <row r="406" spans="1:11" s="108" customFormat="1" hidden="1" x14ac:dyDescent="0.2">
      <c r="A406" s="317" t="s">
        <v>671</v>
      </c>
      <c r="B406" s="317" t="s">
        <v>672</v>
      </c>
      <c r="C406" s="318">
        <v>0</v>
      </c>
      <c r="D406" s="318">
        <v>0</v>
      </c>
      <c r="E406" s="319">
        <v>0</v>
      </c>
      <c r="F406" s="319">
        <v>21671.27</v>
      </c>
      <c r="G406" s="318">
        <f t="shared" si="13"/>
        <v>0</v>
      </c>
      <c r="H406" s="318">
        <f t="shared" si="14"/>
        <v>21671.27</v>
      </c>
      <c r="I406" s="316"/>
      <c r="J406" s="109"/>
    </row>
    <row r="407" spans="1:11" s="108" customFormat="1" hidden="1" x14ac:dyDescent="0.2">
      <c r="A407" s="317" t="s">
        <v>673</v>
      </c>
      <c r="B407" s="317" t="s">
        <v>674</v>
      </c>
      <c r="C407" s="318">
        <v>0</v>
      </c>
      <c r="D407" s="318">
        <v>0</v>
      </c>
      <c r="E407" s="319">
        <v>0</v>
      </c>
      <c r="F407" s="319">
        <v>129.06</v>
      </c>
      <c r="G407" s="318">
        <f t="shared" si="13"/>
        <v>0</v>
      </c>
      <c r="H407" s="318">
        <f t="shared" si="14"/>
        <v>129.06</v>
      </c>
      <c r="I407" s="316"/>
      <c r="J407" s="109"/>
    </row>
    <row r="408" spans="1:11" s="108" customFormat="1" hidden="1" x14ac:dyDescent="0.2">
      <c r="A408" s="317" t="s">
        <v>675</v>
      </c>
      <c r="B408" s="317" t="s">
        <v>676</v>
      </c>
      <c r="C408" s="318">
        <v>0</v>
      </c>
      <c r="D408" s="318">
        <v>0</v>
      </c>
      <c r="E408" s="319">
        <v>0</v>
      </c>
      <c r="F408" s="319">
        <v>207954.07</v>
      </c>
      <c r="G408" s="318">
        <f t="shared" si="13"/>
        <v>0</v>
      </c>
      <c r="H408" s="318">
        <f t="shared" si="14"/>
        <v>207954.07</v>
      </c>
      <c r="I408" s="316"/>
      <c r="J408" s="109"/>
    </row>
    <row r="409" spans="1:11" s="108" customFormat="1" hidden="1" x14ac:dyDescent="0.2">
      <c r="A409" s="317" t="s">
        <v>677</v>
      </c>
      <c r="B409" s="317" t="s">
        <v>678</v>
      </c>
      <c r="C409" s="318">
        <v>0</v>
      </c>
      <c r="D409" s="318">
        <v>0</v>
      </c>
      <c r="E409" s="319">
        <v>0</v>
      </c>
      <c r="F409" s="319">
        <v>26517.79</v>
      </c>
      <c r="G409" s="318">
        <f t="shared" si="13"/>
        <v>0</v>
      </c>
      <c r="H409" s="318">
        <f t="shared" si="14"/>
        <v>26517.79</v>
      </c>
      <c r="I409" s="316"/>
      <c r="J409" s="109"/>
    </row>
    <row r="410" spans="1:11" s="108" customFormat="1" hidden="1" x14ac:dyDescent="0.2">
      <c r="A410" s="317" t="s">
        <v>679</v>
      </c>
      <c r="B410" s="317" t="s">
        <v>680</v>
      </c>
      <c r="C410" s="318">
        <v>0</v>
      </c>
      <c r="D410" s="318">
        <v>0</v>
      </c>
      <c r="E410" s="319">
        <v>0</v>
      </c>
      <c r="F410" s="319">
        <v>15993.19</v>
      </c>
      <c r="G410" s="318">
        <f t="shared" si="13"/>
        <v>0</v>
      </c>
      <c r="H410" s="318">
        <f t="shared" si="14"/>
        <v>15993.19</v>
      </c>
      <c r="I410" s="316"/>
      <c r="J410" s="109"/>
    </row>
    <row r="411" spans="1:11" s="108" customFormat="1" hidden="1" x14ac:dyDescent="0.2">
      <c r="A411" s="317" t="s">
        <v>681</v>
      </c>
      <c r="B411" s="317" t="s">
        <v>682</v>
      </c>
      <c r="C411" s="318">
        <v>0</v>
      </c>
      <c r="D411" s="318">
        <v>0</v>
      </c>
      <c r="E411" s="319">
        <v>183.79</v>
      </c>
      <c r="F411" s="319">
        <v>387.83</v>
      </c>
      <c r="G411" s="318">
        <f t="shared" si="13"/>
        <v>183.79</v>
      </c>
      <c r="H411" s="318">
        <f t="shared" si="14"/>
        <v>387.83</v>
      </c>
      <c r="I411" s="316"/>
      <c r="J411" s="109"/>
    </row>
    <row r="412" spans="1:11" s="108" customFormat="1" hidden="1" x14ac:dyDescent="0.2">
      <c r="A412" s="317" t="s">
        <v>683</v>
      </c>
      <c r="B412" s="317" t="s">
        <v>684</v>
      </c>
      <c r="C412" s="318">
        <v>0</v>
      </c>
      <c r="D412" s="318">
        <v>0</v>
      </c>
      <c r="E412" s="319">
        <v>0</v>
      </c>
      <c r="F412" s="319">
        <v>134.72</v>
      </c>
      <c r="G412" s="318">
        <f t="shared" si="13"/>
        <v>0</v>
      </c>
      <c r="H412" s="318">
        <f t="shared" si="14"/>
        <v>134.72</v>
      </c>
      <c r="I412" s="316"/>
      <c r="J412" s="109"/>
    </row>
    <row r="413" spans="1:11" s="108" customFormat="1" hidden="1" x14ac:dyDescent="0.2">
      <c r="A413" s="317" t="s">
        <v>685</v>
      </c>
      <c r="B413" s="317" t="s">
        <v>686</v>
      </c>
      <c r="C413" s="318">
        <v>0</v>
      </c>
      <c r="D413" s="318">
        <v>0</v>
      </c>
      <c r="E413" s="319">
        <v>635373.74</v>
      </c>
      <c r="F413" s="319">
        <v>2588045.1</v>
      </c>
      <c r="G413" s="318">
        <f t="shared" si="13"/>
        <v>635373.74</v>
      </c>
      <c r="H413" s="318">
        <f t="shared" si="14"/>
        <v>2588045.1</v>
      </c>
      <c r="I413" s="316"/>
      <c r="J413" s="109"/>
    </row>
    <row r="414" spans="1:11" s="108" customFormat="1" hidden="1" x14ac:dyDescent="0.2">
      <c r="A414" s="317" t="s">
        <v>687</v>
      </c>
      <c r="B414" s="317" t="s">
        <v>586</v>
      </c>
      <c r="C414" s="318">
        <v>0</v>
      </c>
      <c r="D414" s="318">
        <v>0</v>
      </c>
      <c r="E414" s="319">
        <v>7.0000000000000007E-2</v>
      </c>
      <c r="F414" s="319">
        <v>423</v>
      </c>
      <c r="G414" s="318">
        <f t="shared" si="13"/>
        <v>7.0000000000000007E-2</v>
      </c>
      <c r="H414" s="318">
        <f t="shared" si="14"/>
        <v>423</v>
      </c>
      <c r="I414" s="316"/>
      <c r="J414" s="109"/>
    </row>
    <row r="415" spans="1:11" s="108" customFormat="1" hidden="1" x14ac:dyDescent="0.2">
      <c r="A415" s="317" t="s">
        <v>688</v>
      </c>
      <c r="B415" s="317" t="s">
        <v>689</v>
      </c>
      <c r="C415" s="318">
        <v>0</v>
      </c>
      <c r="D415" s="318">
        <v>0</v>
      </c>
      <c r="E415" s="319">
        <v>1890325.39</v>
      </c>
      <c r="F415" s="319">
        <v>40650429.982592702</v>
      </c>
      <c r="G415" s="318">
        <f t="shared" si="13"/>
        <v>1890325.39</v>
      </c>
      <c r="H415" s="318">
        <f t="shared" si="14"/>
        <v>40650429.982592702</v>
      </c>
      <c r="I415" s="316"/>
      <c r="J415" s="109"/>
    </row>
    <row r="416" spans="1:11" s="108" customFormat="1" hidden="1" x14ac:dyDescent="0.2">
      <c r="A416" s="317" t="s">
        <v>1144</v>
      </c>
      <c r="B416" s="317" t="s">
        <v>1145</v>
      </c>
      <c r="C416" s="318">
        <v>0</v>
      </c>
      <c r="D416" s="318">
        <v>0</v>
      </c>
      <c r="E416" s="319">
        <v>2166128</v>
      </c>
      <c r="F416" s="319">
        <v>0</v>
      </c>
      <c r="G416" s="318">
        <f t="shared" si="13"/>
        <v>2166128</v>
      </c>
      <c r="H416" s="318">
        <f t="shared" si="14"/>
        <v>0</v>
      </c>
      <c r="I416" s="316"/>
      <c r="J416" s="109"/>
      <c r="K416" s="131">
        <f>+G416-H417</f>
        <v>1670858.6400000001</v>
      </c>
    </row>
    <row r="417" spans="1:10" s="108" customFormat="1" hidden="1" x14ac:dyDescent="0.2">
      <c r="A417" s="317" t="s">
        <v>969</v>
      </c>
      <c r="B417" s="317" t="s">
        <v>1146</v>
      </c>
      <c r="C417" s="318">
        <v>0</v>
      </c>
      <c r="D417" s="318">
        <v>0</v>
      </c>
      <c r="E417" s="319">
        <v>0</v>
      </c>
      <c r="F417" s="319">
        <v>495269.36</v>
      </c>
      <c r="G417" s="318">
        <f t="shared" si="13"/>
        <v>0</v>
      </c>
      <c r="H417" s="318">
        <f t="shared" si="14"/>
        <v>495269.36</v>
      </c>
      <c r="I417" s="316"/>
      <c r="J417" s="109"/>
    </row>
    <row r="418" spans="1:10" s="108" customFormat="1" hidden="1" x14ac:dyDescent="0.2">
      <c r="A418" s="322" t="s">
        <v>690</v>
      </c>
      <c r="B418" s="322" t="s">
        <v>345</v>
      </c>
      <c r="C418" s="323">
        <v>0</v>
      </c>
      <c r="D418" s="323">
        <v>0</v>
      </c>
      <c r="E418" s="324">
        <v>5691503.54</v>
      </c>
      <c r="F418" s="324">
        <v>5006.1000000000004</v>
      </c>
      <c r="G418" s="318">
        <f t="shared" si="13"/>
        <v>5691503.54</v>
      </c>
      <c r="H418" s="318">
        <f t="shared" si="14"/>
        <v>5006.1000000000004</v>
      </c>
      <c r="I418" s="316"/>
      <c r="J418" s="109"/>
    </row>
    <row r="419" spans="1:10" s="108" customFormat="1" hidden="1" x14ac:dyDescent="0.2">
      <c r="A419" s="322" t="s">
        <v>691</v>
      </c>
      <c r="B419" s="322" t="s">
        <v>347</v>
      </c>
      <c r="C419" s="323">
        <v>0</v>
      </c>
      <c r="D419" s="323">
        <v>0</v>
      </c>
      <c r="E419" s="324">
        <v>73101.39</v>
      </c>
      <c r="F419" s="324">
        <v>0</v>
      </c>
      <c r="G419" s="318">
        <f t="shared" si="13"/>
        <v>73101.39</v>
      </c>
      <c r="H419" s="318">
        <f t="shared" si="14"/>
        <v>0</v>
      </c>
      <c r="I419" s="316"/>
      <c r="J419" s="109"/>
    </row>
    <row r="420" spans="1:10" s="108" customFormat="1" hidden="1" x14ac:dyDescent="0.2">
      <c r="A420" s="322" t="s">
        <v>692</v>
      </c>
      <c r="B420" s="322" t="s">
        <v>693</v>
      </c>
      <c r="C420" s="323">
        <v>0</v>
      </c>
      <c r="D420" s="323">
        <v>0</v>
      </c>
      <c r="E420" s="324">
        <v>16937.84</v>
      </c>
      <c r="F420" s="324">
        <v>0</v>
      </c>
      <c r="G420" s="318">
        <f t="shared" si="13"/>
        <v>16937.84</v>
      </c>
      <c r="H420" s="318">
        <f t="shared" si="14"/>
        <v>0</v>
      </c>
      <c r="I420" s="316"/>
      <c r="J420" s="109"/>
    </row>
    <row r="421" spans="1:10" s="108" customFormat="1" hidden="1" x14ac:dyDescent="0.2">
      <c r="A421" s="322" t="s">
        <v>694</v>
      </c>
      <c r="B421" s="322" t="s">
        <v>695</v>
      </c>
      <c r="C421" s="323">
        <v>0</v>
      </c>
      <c r="D421" s="323">
        <v>0</v>
      </c>
      <c r="E421" s="324">
        <v>76595</v>
      </c>
      <c r="F421" s="324">
        <v>0</v>
      </c>
      <c r="G421" s="318">
        <f t="shared" si="13"/>
        <v>76595</v>
      </c>
      <c r="H421" s="318">
        <f t="shared" si="14"/>
        <v>0</v>
      </c>
      <c r="I421" s="316"/>
      <c r="J421" s="109"/>
    </row>
    <row r="422" spans="1:10" s="108" customFormat="1" hidden="1" x14ac:dyDescent="0.2">
      <c r="A422" s="322" t="s">
        <v>696</v>
      </c>
      <c r="B422" s="322" t="s">
        <v>275</v>
      </c>
      <c r="C422" s="323">
        <v>0</v>
      </c>
      <c r="D422" s="323">
        <v>0</v>
      </c>
      <c r="E422" s="324">
        <v>20028.07</v>
      </c>
      <c r="F422" s="324">
        <v>0</v>
      </c>
      <c r="G422" s="318">
        <f t="shared" si="13"/>
        <v>20028.07</v>
      </c>
      <c r="H422" s="318">
        <f t="shared" si="14"/>
        <v>0</v>
      </c>
      <c r="I422" s="316"/>
      <c r="J422" s="109"/>
    </row>
    <row r="423" spans="1:10" s="108" customFormat="1" hidden="1" x14ac:dyDescent="0.2">
      <c r="A423" s="322" t="s">
        <v>697</v>
      </c>
      <c r="B423" s="322" t="s">
        <v>698</v>
      </c>
      <c r="C423" s="323">
        <v>0</v>
      </c>
      <c r="D423" s="323">
        <v>0</v>
      </c>
      <c r="E423" s="324">
        <v>988832.94</v>
      </c>
      <c r="F423" s="324">
        <v>0</v>
      </c>
      <c r="G423" s="318">
        <f t="shared" si="13"/>
        <v>988832.94</v>
      </c>
      <c r="H423" s="318">
        <f t="shared" si="14"/>
        <v>0</v>
      </c>
      <c r="I423" s="316"/>
      <c r="J423" s="109"/>
    </row>
    <row r="424" spans="1:10" s="108" customFormat="1" hidden="1" x14ac:dyDescent="0.2">
      <c r="A424" s="322" t="s">
        <v>699</v>
      </c>
      <c r="B424" s="322" t="s">
        <v>700</v>
      </c>
      <c r="C424" s="323">
        <v>0</v>
      </c>
      <c r="D424" s="323">
        <v>0</v>
      </c>
      <c r="E424" s="324">
        <v>112269.82</v>
      </c>
      <c r="F424" s="324">
        <v>0</v>
      </c>
      <c r="G424" s="318">
        <f t="shared" si="13"/>
        <v>112269.82</v>
      </c>
      <c r="H424" s="318">
        <f t="shared" si="14"/>
        <v>0</v>
      </c>
      <c r="I424" s="316"/>
      <c r="J424" s="109"/>
    </row>
    <row r="425" spans="1:10" s="108" customFormat="1" hidden="1" x14ac:dyDescent="0.2">
      <c r="A425" s="322" t="s">
        <v>701</v>
      </c>
      <c r="B425" s="322" t="s">
        <v>702</v>
      </c>
      <c r="C425" s="323">
        <v>0</v>
      </c>
      <c r="D425" s="323">
        <v>0</v>
      </c>
      <c r="E425" s="324">
        <v>603919.09</v>
      </c>
      <c r="F425" s="324">
        <v>33439.65</v>
      </c>
      <c r="G425" s="318">
        <f t="shared" si="13"/>
        <v>603919.09</v>
      </c>
      <c r="H425" s="318">
        <f t="shared" si="14"/>
        <v>33439.65</v>
      </c>
      <c r="I425" s="316"/>
      <c r="J425" s="109"/>
    </row>
    <row r="426" spans="1:10" s="108" customFormat="1" hidden="1" x14ac:dyDescent="0.2">
      <c r="A426" s="322" t="s">
        <v>703</v>
      </c>
      <c r="B426" s="322" t="s">
        <v>704</v>
      </c>
      <c r="C426" s="323">
        <v>0</v>
      </c>
      <c r="D426" s="323">
        <v>0</v>
      </c>
      <c r="E426" s="324">
        <v>356902.05</v>
      </c>
      <c r="F426" s="324">
        <v>2518.98</v>
      </c>
      <c r="G426" s="318">
        <f t="shared" si="13"/>
        <v>356902.05</v>
      </c>
      <c r="H426" s="318">
        <f t="shared" si="14"/>
        <v>2518.98</v>
      </c>
      <c r="I426" s="316"/>
      <c r="J426" s="109"/>
    </row>
    <row r="427" spans="1:10" s="108" customFormat="1" hidden="1" x14ac:dyDescent="0.2">
      <c r="A427" s="322" t="s">
        <v>705</v>
      </c>
      <c r="B427" s="322" t="s">
        <v>287</v>
      </c>
      <c r="C427" s="323">
        <v>0</v>
      </c>
      <c r="D427" s="323">
        <v>0</v>
      </c>
      <c r="E427" s="324">
        <v>28550</v>
      </c>
      <c r="F427" s="324">
        <v>0</v>
      </c>
      <c r="G427" s="318">
        <f t="shared" si="13"/>
        <v>28550</v>
      </c>
      <c r="H427" s="318">
        <f t="shared" si="14"/>
        <v>0</v>
      </c>
      <c r="I427" s="316"/>
      <c r="J427" s="109"/>
    </row>
    <row r="428" spans="1:10" s="108" customFormat="1" hidden="1" x14ac:dyDescent="0.2">
      <c r="A428" s="322" t="s">
        <v>706</v>
      </c>
      <c r="B428" s="322" t="s">
        <v>707</v>
      </c>
      <c r="C428" s="323">
        <v>0</v>
      </c>
      <c r="D428" s="323">
        <v>0</v>
      </c>
      <c r="E428" s="324">
        <v>541046.56999999995</v>
      </c>
      <c r="F428" s="324">
        <v>0</v>
      </c>
      <c r="G428" s="318">
        <f t="shared" si="13"/>
        <v>541046.56999999995</v>
      </c>
      <c r="H428" s="318">
        <f t="shared" si="14"/>
        <v>0</v>
      </c>
      <c r="I428" s="316"/>
      <c r="J428" s="109"/>
    </row>
    <row r="429" spans="1:10" s="108" customFormat="1" hidden="1" x14ac:dyDescent="0.2">
      <c r="A429" s="322" t="s">
        <v>708</v>
      </c>
      <c r="B429" s="322" t="s">
        <v>709</v>
      </c>
      <c r="C429" s="323">
        <v>0</v>
      </c>
      <c r="D429" s="323">
        <v>0</v>
      </c>
      <c r="E429" s="324">
        <v>553881.18999999994</v>
      </c>
      <c r="F429" s="324">
        <v>43211.519999999997</v>
      </c>
      <c r="G429" s="318">
        <f t="shared" si="13"/>
        <v>553881.18999999994</v>
      </c>
      <c r="H429" s="318">
        <f t="shared" si="14"/>
        <v>43211.519999999997</v>
      </c>
      <c r="I429" s="316"/>
      <c r="J429" s="109"/>
    </row>
    <row r="430" spans="1:10" s="108" customFormat="1" hidden="1" x14ac:dyDescent="0.2">
      <c r="A430" s="322" t="s">
        <v>710</v>
      </c>
      <c r="B430" s="322" t="s">
        <v>711</v>
      </c>
      <c r="C430" s="323">
        <v>0</v>
      </c>
      <c r="D430" s="323">
        <v>0</v>
      </c>
      <c r="E430" s="324">
        <v>81976.31</v>
      </c>
      <c r="F430" s="324">
        <v>30.9</v>
      </c>
      <c r="G430" s="318">
        <f t="shared" si="13"/>
        <v>81976.31</v>
      </c>
      <c r="H430" s="318">
        <f t="shared" si="14"/>
        <v>30.9</v>
      </c>
      <c r="I430" s="316"/>
      <c r="J430" s="109"/>
    </row>
    <row r="431" spans="1:10" s="108" customFormat="1" hidden="1" x14ac:dyDescent="0.2">
      <c r="A431" s="322" t="s">
        <v>712</v>
      </c>
      <c r="B431" s="322" t="s">
        <v>713</v>
      </c>
      <c r="C431" s="323">
        <v>0</v>
      </c>
      <c r="D431" s="323">
        <v>0</v>
      </c>
      <c r="E431" s="324">
        <v>56094.9</v>
      </c>
      <c r="F431" s="324">
        <v>0</v>
      </c>
      <c r="G431" s="318">
        <f t="shared" si="13"/>
        <v>56094.9</v>
      </c>
      <c r="H431" s="318">
        <f t="shared" si="14"/>
        <v>0</v>
      </c>
      <c r="I431" s="316"/>
      <c r="J431" s="109"/>
    </row>
    <row r="432" spans="1:10" s="108" customFormat="1" hidden="1" x14ac:dyDescent="0.2">
      <c r="A432" s="322" t="s">
        <v>714</v>
      </c>
      <c r="B432" s="322" t="s">
        <v>715</v>
      </c>
      <c r="C432" s="323">
        <v>0</v>
      </c>
      <c r="D432" s="323">
        <v>0</v>
      </c>
      <c r="E432" s="324">
        <v>5047.6099999999997</v>
      </c>
      <c r="F432" s="324">
        <v>676.64</v>
      </c>
      <c r="G432" s="318">
        <f t="shared" si="13"/>
        <v>5047.6099999999997</v>
      </c>
      <c r="H432" s="318">
        <f t="shared" si="14"/>
        <v>676.64</v>
      </c>
      <c r="I432" s="316"/>
      <c r="J432" s="109"/>
    </row>
    <row r="433" spans="1:10" s="108" customFormat="1" hidden="1" x14ac:dyDescent="0.2">
      <c r="A433" s="322" t="s">
        <v>716</v>
      </c>
      <c r="B433" s="322" t="s">
        <v>273</v>
      </c>
      <c r="C433" s="323">
        <v>0</v>
      </c>
      <c r="D433" s="323">
        <v>0</v>
      </c>
      <c r="E433" s="324">
        <v>278515</v>
      </c>
      <c r="F433" s="324">
        <v>0</v>
      </c>
      <c r="G433" s="318">
        <f t="shared" si="13"/>
        <v>278515</v>
      </c>
      <c r="H433" s="318">
        <f t="shared" si="14"/>
        <v>0</v>
      </c>
      <c r="I433" s="316"/>
      <c r="J433" s="109"/>
    </row>
    <row r="434" spans="1:10" s="108" customFormat="1" hidden="1" x14ac:dyDescent="0.2">
      <c r="A434" s="322" t="s">
        <v>717</v>
      </c>
      <c r="B434" s="322" t="s">
        <v>718</v>
      </c>
      <c r="C434" s="323">
        <v>0</v>
      </c>
      <c r="D434" s="323">
        <v>0</v>
      </c>
      <c r="E434" s="324">
        <v>39066.44</v>
      </c>
      <c r="F434" s="324">
        <v>0</v>
      </c>
      <c r="G434" s="318">
        <f t="shared" si="13"/>
        <v>39066.44</v>
      </c>
      <c r="H434" s="318">
        <f t="shared" si="14"/>
        <v>0</v>
      </c>
      <c r="I434" s="316"/>
      <c r="J434" s="109"/>
    </row>
    <row r="435" spans="1:10" s="108" customFormat="1" hidden="1" x14ac:dyDescent="0.2">
      <c r="A435" s="322" t="s">
        <v>719</v>
      </c>
      <c r="B435" s="322" t="s">
        <v>277</v>
      </c>
      <c r="C435" s="323">
        <v>0</v>
      </c>
      <c r="D435" s="323">
        <v>0</v>
      </c>
      <c r="E435" s="324">
        <v>85162.3</v>
      </c>
      <c r="F435" s="324">
        <v>0</v>
      </c>
      <c r="G435" s="318">
        <f t="shared" si="13"/>
        <v>85162.3</v>
      </c>
      <c r="H435" s="318">
        <f t="shared" si="14"/>
        <v>0</v>
      </c>
      <c r="I435" s="316"/>
      <c r="J435" s="109"/>
    </row>
    <row r="436" spans="1:10" s="108" customFormat="1" hidden="1" x14ac:dyDescent="0.2">
      <c r="A436" s="322" t="s">
        <v>720</v>
      </c>
      <c r="B436" s="322" t="s">
        <v>371</v>
      </c>
      <c r="C436" s="323">
        <v>0</v>
      </c>
      <c r="D436" s="323">
        <v>0</v>
      </c>
      <c r="E436" s="324">
        <v>112814.54</v>
      </c>
      <c r="F436" s="324">
        <v>0</v>
      </c>
      <c r="G436" s="318">
        <f t="shared" si="13"/>
        <v>112814.54</v>
      </c>
      <c r="H436" s="318">
        <f t="shared" si="14"/>
        <v>0</v>
      </c>
      <c r="I436" s="316"/>
      <c r="J436" s="109"/>
    </row>
    <row r="437" spans="1:10" s="108" customFormat="1" hidden="1" x14ac:dyDescent="0.2">
      <c r="A437" s="322" t="s">
        <v>721</v>
      </c>
      <c r="B437" s="322" t="s">
        <v>722</v>
      </c>
      <c r="C437" s="323">
        <v>0</v>
      </c>
      <c r="D437" s="323">
        <v>0</v>
      </c>
      <c r="E437" s="324">
        <v>33.5</v>
      </c>
      <c r="F437" s="324">
        <v>0</v>
      </c>
      <c r="G437" s="318">
        <f t="shared" si="13"/>
        <v>33.5</v>
      </c>
      <c r="H437" s="318">
        <f t="shared" si="14"/>
        <v>0</v>
      </c>
      <c r="I437" s="316"/>
      <c r="J437" s="109"/>
    </row>
    <row r="438" spans="1:10" s="108" customFormat="1" hidden="1" x14ac:dyDescent="0.2">
      <c r="A438" s="322" t="s">
        <v>723</v>
      </c>
      <c r="B438" s="322" t="s">
        <v>724</v>
      </c>
      <c r="C438" s="323">
        <v>0</v>
      </c>
      <c r="D438" s="323">
        <v>0</v>
      </c>
      <c r="E438" s="324">
        <v>105391.03</v>
      </c>
      <c r="F438" s="324">
        <v>1284.3599999999999</v>
      </c>
      <c r="G438" s="318">
        <f t="shared" si="13"/>
        <v>105391.03</v>
      </c>
      <c r="H438" s="318">
        <f t="shared" si="14"/>
        <v>1284.3599999999999</v>
      </c>
      <c r="I438" s="316"/>
      <c r="J438" s="109"/>
    </row>
    <row r="439" spans="1:10" s="108" customFormat="1" hidden="1" x14ac:dyDescent="0.2">
      <c r="A439" s="322" t="s">
        <v>725</v>
      </c>
      <c r="B439" s="322" t="s">
        <v>377</v>
      </c>
      <c r="C439" s="323">
        <v>0</v>
      </c>
      <c r="D439" s="323">
        <v>0</v>
      </c>
      <c r="E439" s="324">
        <v>175184.2</v>
      </c>
      <c r="F439" s="324">
        <v>39345</v>
      </c>
      <c r="G439" s="318">
        <f t="shared" si="13"/>
        <v>175184.2</v>
      </c>
      <c r="H439" s="318">
        <f t="shared" si="14"/>
        <v>39345</v>
      </c>
      <c r="I439" s="316"/>
      <c r="J439" s="109"/>
    </row>
    <row r="440" spans="1:10" s="108" customFormat="1" hidden="1" x14ac:dyDescent="0.2">
      <c r="A440" s="322" t="s">
        <v>726</v>
      </c>
      <c r="B440" s="322" t="s">
        <v>727</v>
      </c>
      <c r="C440" s="323">
        <v>0</v>
      </c>
      <c r="D440" s="323">
        <v>0</v>
      </c>
      <c r="E440" s="324">
        <v>49788.959999999999</v>
      </c>
      <c r="F440" s="324">
        <v>0</v>
      </c>
      <c r="G440" s="318">
        <f t="shared" si="13"/>
        <v>49788.959999999999</v>
      </c>
      <c r="H440" s="318">
        <f t="shared" si="14"/>
        <v>0</v>
      </c>
      <c r="I440" s="316"/>
      <c r="J440" s="109"/>
    </row>
    <row r="441" spans="1:10" s="108" customFormat="1" hidden="1" x14ac:dyDescent="0.2">
      <c r="A441" s="322" t="s">
        <v>728</v>
      </c>
      <c r="B441" s="322" t="s">
        <v>729</v>
      </c>
      <c r="C441" s="323">
        <v>0</v>
      </c>
      <c r="D441" s="323">
        <v>0</v>
      </c>
      <c r="E441" s="324">
        <v>2797.04</v>
      </c>
      <c r="F441" s="324">
        <v>0</v>
      </c>
      <c r="G441" s="318">
        <f t="shared" si="13"/>
        <v>2797.04</v>
      </c>
      <c r="H441" s="318">
        <f t="shared" si="14"/>
        <v>0</v>
      </c>
      <c r="I441" s="316"/>
      <c r="J441" s="109"/>
    </row>
    <row r="442" spans="1:10" s="108" customFormat="1" hidden="1" x14ac:dyDescent="0.2">
      <c r="A442" s="322" t="s">
        <v>730</v>
      </c>
      <c r="B442" s="322" t="s">
        <v>383</v>
      </c>
      <c r="C442" s="323">
        <v>0</v>
      </c>
      <c r="D442" s="323">
        <v>0</v>
      </c>
      <c r="E442" s="324">
        <v>123667.6</v>
      </c>
      <c r="F442" s="324">
        <v>290</v>
      </c>
      <c r="G442" s="318">
        <f t="shared" si="13"/>
        <v>123667.6</v>
      </c>
      <c r="H442" s="318">
        <f t="shared" si="14"/>
        <v>290</v>
      </c>
      <c r="I442" s="316"/>
      <c r="J442" s="109"/>
    </row>
    <row r="443" spans="1:10" s="108" customFormat="1" hidden="1" x14ac:dyDescent="0.2">
      <c r="A443" s="322" t="s">
        <v>731</v>
      </c>
      <c r="B443" s="322" t="s">
        <v>732</v>
      </c>
      <c r="C443" s="323">
        <v>0</v>
      </c>
      <c r="D443" s="323">
        <v>0</v>
      </c>
      <c r="E443" s="324">
        <v>41.44</v>
      </c>
      <c r="F443" s="324">
        <v>0</v>
      </c>
      <c r="G443" s="318">
        <f t="shared" si="13"/>
        <v>41.44</v>
      </c>
      <c r="H443" s="318">
        <f t="shared" si="14"/>
        <v>0</v>
      </c>
      <c r="I443" s="316"/>
      <c r="J443" s="109"/>
    </row>
    <row r="444" spans="1:10" s="108" customFormat="1" hidden="1" x14ac:dyDescent="0.2">
      <c r="A444" s="322" t="s">
        <v>733</v>
      </c>
      <c r="B444" s="322" t="s">
        <v>734</v>
      </c>
      <c r="C444" s="323">
        <v>0</v>
      </c>
      <c r="D444" s="323">
        <v>0</v>
      </c>
      <c r="E444" s="324">
        <v>38050.660000000003</v>
      </c>
      <c r="F444" s="324">
        <v>3243.44</v>
      </c>
      <c r="G444" s="318">
        <f t="shared" si="13"/>
        <v>38050.660000000003</v>
      </c>
      <c r="H444" s="318">
        <f t="shared" si="14"/>
        <v>3243.44</v>
      </c>
      <c r="I444" s="316"/>
      <c r="J444" s="109"/>
    </row>
    <row r="445" spans="1:10" s="108" customFormat="1" hidden="1" x14ac:dyDescent="0.2">
      <c r="A445" s="322" t="s">
        <v>735</v>
      </c>
      <c r="B445" s="322" t="s">
        <v>391</v>
      </c>
      <c r="C445" s="323">
        <v>0</v>
      </c>
      <c r="D445" s="323">
        <v>0</v>
      </c>
      <c r="E445" s="324">
        <v>507900.7</v>
      </c>
      <c r="F445" s="324">
        <v>0</v>
      </c>
      <c r="G445" s="318">
        <f t="shared" si="13"/>
        <v>507900.7</v>
      </c>
      <c r="H445" s="318">
        <f t="shared" si="14"/>
        <v>0</v>
      </c>
      <c r="I445" s="316"/>
      <c r="J445" s="109"/>
    </row>
    <row r="446" spans="1:10" s="108" customFormat="1" hidden="1" x14ac:dyDescent="0.2">
      <c r="A446" s="322" t="s">
        <v>736</v>
      </c>
      <c r="B446" s="322" t="s">
        <v>737</v>
      </c>
      <c r="C446" s="323">
        <v>0</v>
      </c>
      <c r="D446" s="323">
        <v>0</v>
      </c>
      <c r="E446" s="324">
        <v>94811.27</v>
      </c>
      <c r="F446" s="324">
        <v>0</v>
      </c>
      <c r="G446" s="318">
        <f t="shared" si="13"/>
        <v>94811.27</v>
      </c>
      <c r="H446" s="318">
        <f t="shared" si="14"/>
        <v>0</v>
      </c>
      <c r="I446" s="316"/>
      <c r="J446" s="109"/>
    </row>
    <row r="447" spans="1:10" s="108" customFormat="1" hidden="1" x14ac:dyDescent="0.2">
      <c r="A447" s="322" t="s">
        <v>738</v>
      </c>
      <c r="B447" s="322" t="s">
        <v>395</v>
      </c>
      <c r="C447" s="323">
        <v>0</v>
      </c>
      <c r="D447" s="323">
        <v>0</v>
      </c>
      <c r="E447" s="324">
        <v>373063.9</v>
      </c>
      <c r="F447" s="324">
        <v>22.5</v>
      </c>
      <c r="G447" s="318">
        <f t="shared" si="13"/>
        <v>373063.9</v>
      </c>
      <c r="H447" s="318">
        <f t="shared" si="14"/>
        <v>22.5</v>
      </c>
      <c r="I447" s="316"/>
      <c r="J447" s="109"/>
    </row>
    <row r="448" spans="1:10" s="108" customFormat="1" hidden="1" x14ac:dyDescent="0.2">
      <c r="A448" s="322" t="s">
        <v>739</v>
      </c>
      <c r="B448" s="322" t="s">
        <v>740</v>
      </c>
      <c r="C448" s="323">
        <v>0</v>
      </c>
      <c r="D448" s="323">
        <v>0</v>
      </c>
      <c r="E448" s="324">
        <v>38864.120000000003</v>
      </c>
      <c r="F448" s="324">
        <v>1973.78</v>
      </c>
      <c r="G448" s="318">
        <f t="shared" si="13"/>
        <v>38864.120000000003</v>
      </c>
      <c r="H448" s="318">
        <f t="shared" si="14"/>
        <v>1973.78</v>
      </c>
      <c r="I448" s="316"/>
      <c r="J448" s="109"/>
    </row>
    <row r="449" spans="1:10" s="108" customFormat="1" hidden="1" x14ac:dyDescent="0.2">
      <c r="A449" s="322" t="s">
        <v>741</v>
      </c>
      <c r="B449" s="322" t="s">
        <v>399</v>
      </c>
      <c r="C449" s="323">
        <v>0</v>
      </c>
      <c r="D449" s="323">
        <v>0</v>
      </c>
      <c r="E449" s="324">
        <v>23503.42</v>
      </c>
      <c r="F449" s="324">
        <v>0</v>
      </c>
      <c r="G449" s="318">
        <f t="shared" si="13"/>
        <v>23503.42</v>
      </c>
      <c r="H449" s="318">
        <f t="shared" si="14"/>
        <v>0</v>
      </c>
      <c r="I449" s="316"/>
      <c r="J449" s="109"/>
    </row>
    <row r="450" spans="1:10" s="108" customFormat="1" hidden="1" x14ac:dyDescent="0.2">
      <c r="A450" s="322" t="s">
        <v>742</v>
      </c>
      <c r="B450" s="322" t="s">
        <v>401</v>
      </c>
      <c r="C450" s="323">
        <v>0</v>
      </c>
      <c r="D450" s="323">
        <v>0</v>
      </c>
      <c r="E450" s="324">
        <v>4203</v>
      </c>
      <c r="F450" s="324">
        <v>0</v>
      </c>
      <c r="G450" s="318">
        <f t="shared" si="13"/>
        <v>4203</v>
      </c>
      <c r="H450" s="318">
        <f t="shared" si="14"/>
        <v>0</v>
      </c>
      <c r="I450" s="316"/>
      <c r="J450" s="109"/>
    </row>
    <row r="451" spans="1:10" s="108" customFormat="1" hidden="1" x14ac:dyDescent="0.2">
      <c r="A451" s="322" t="s">
        <v>743</v>
      </c>
      <c r="B451" s="322" t="s">
        <v>1012</v>
      </c>
      <c r="C451" s="323">
        <v>0</v>
      </c>
      <c r="D451" s="323">
        <v>0</v>
      </c>
      <c r="E451" s="324">
        <v>14802101.52</v>
      </c>
      <c r="F451" s="324">
        <v>1833429.52</v>
      </c>
      <c r="G451" s="318">
        <f t="shared" si="13"/>
        <v>14802101.52</v>
      </c>
      <c r="H451" s="318">
        <f t="shared" si="14"/>
        <v>1833429.52</v>
      </c>
      <c r="I451" s="316"/>
      <c r="J451" s="109"/>
    </row>
    <row r="452" spans="1:10" s="108" customFormat="1" hidden="1" x14ac:dyDescent="0.2">
      <c r="A452" s="322" t="s">
        <v>744</v>
      </c>
      <c r="B452" s="322" t="s">
        <v>405</v>
      </c>
      <c r="C452" s="323">
        <v>0</v>
      </c>
      <c r="D452" s="323">
        <v>0</v>
      </c>
      <c r="E452" s="324">
        <v>54096</v>
      </c>
      <c r="F452" s="324">
        <v>0</v>
      </c>
      <c r="G452" s="318">
        <f t="shared" ref="G452:G515" si="15">+C452+E452</f>
        <v>54096</v>
      </c>
      <c r="H452" s="318">
        <f t="shared" ref="H452:H515" si="16">+D452+F452</f>
        <v>0</v>
      </c>
      <c r="I452" s="316"/>
      <c r="J452" s="109"/>
    </row>
    <row r="453" spans="1:10" s="108" customFormat="1" hidden="1" x14ac:dyDescent="0.2">
      <c r="A453" s="322" t="s">
        <v>745</v>
      </c>
      <c r="B453" s="322" t="s">
        <v>407</v>
      </c>
      <c r="C453" s="323">
        <v>0</v>
      </c>
      <c r="D453" s="323">
        <v>0</v>
      </c>
      <c r="E453" s="324">
        <v>6039.49</v>
      </c>
      <c r="F453" s="324">
        <v>0</v>
      </c>
      <c r="G453" s="318">
        <f t="shared" si="15"/>
        <v>6039.49</v>
      </c>
      <c r="H453" s="318">
        <f t="shared" si="16"/>
        <v>0</v>
      </c>
      <c r="I453" s="316"/>
      <c r="J453" s="109"/>
    </row>
    <row r="454" spans="1:10" s="108" customFormat="1" hidden="1" x14ac:dyDescent="0.2">
      <c r="A454" s="322" t="s">
        <v>746</v>
      </c>
      <c r="B454" s="322" t="s">
        <v>409</v>
      </c>
      <c r="C454" s="323">
        <v>0</v>
      </c>
      <c r="D454" s="323">
        <v>0</v>
      </c>
      <c r="E454" s="324">
        <v>9142.74</v>
      </c>
      <c r="F454" s="324">
        <v>0</v>
      </c>
      <c r="G454" s="318">
        <f t="shared" si="15"/>
        <v>9142.74</v>
      </c>
      <c r="H454" s="318">
        <f t="shared" si="16"/>
        <v>0</v>
      </c>
      <c r="I454" s="316"/>
      <c r="J454" s="109"/>
    </row>
    <row r="455" spans="1:10" s="108" customFormat="1" hidden="1" x14ac:dyDescent="0.2">
      <c r="A455" s="322" t="s">
        <v>747</v>
      </c>
      <c r="B455" s="322" t="s">
        <v>411</v>
      </c>
      <c r="C455" s="323">
        <v>0</v>
      </c>
      <c r="D455" s="323">
        <v>0</v>
      </c>
      <c r="E455" s="324">
        <v>94672.14</v>
      </c>
      <c r="F455" s="324">
        <v>0</v>
      </c>
      <c r="G455" s="318">
        <f t="shared" si="15"/>
        <v>94672.14</v>
      </c>
      <c r="H455" s="318">
        <f t="shared" si="16"/>
        <v>0</v>
      </c>
      <c r="I455" s="316"/>
      <c r="J455" s="109"/>
    </row>
    <row r="456" spans="1:10" s="108" customFormat="1" hidden="1" x14ac:dyDescent="0.2">
      <c r="A456" s="322" t="s">
        <v>748</v>
      </c>
      <c r="B456" s="322" t="s">
        <v>413</v>
      </c>
      <c r="C456" s="323">
        <v>0</v>
      </c>
      <c r="D456" s="323">
        <v>0</v>
      </c>
      <c r="E456" s="324">
        <v>317483.8</v>
      </c>
      <c r="F456" s="324">
        <v>2741</v>
      </c>
      <c r="G456" s="318">
        <f t="shared" si="15"/>
        <v>317483.8</v>
      </c>
      <c r="H456" s="318">
        <f t="shared" si="16"/>
        <v>2741</v>
      </c>
      <c r="I456" s="316"/>
      <c r="J456" s="109"/>
    </row>
    <row r="457" spans="1:10" s="108" customFormat="1" hidden="1" x14ac:dyDescent="0.2">
      <c r="A457" s="322" t="s">
        <v>749</v>
      </c>
      <c r="B457" s="322" t="s">
        <v>415</v>
      </c>
      <c r="C457" s="323">
        <v>0</v>
      </c>
      <c r="D457" s="323">
        <v>0</v>
      </c>
      <c r="E457" s="324">
        <v>1359.47</v>
      </c>
      <c r="F457" s="324">
        <v>1136.83</v>
      </c>
      <c r="G457" s="318">
        <f t="shared" si="15"/>
        <v>1359.47</v>
      </c>
      <c r="H457" s="318">
        <f t="shared" si="16"/>
        <v>1136.83</v>
      </c>
      <c r="I457" s="316"/>
      <c r="J457" s="109"/>
    </row>
    <row r="458" spans="1:10" s="108" customFormat="1" hidden="1" x14ac:dyDescent="0.2">
      <c r="A458" s="322" t="s">
        <v>750</v>
      </c>
      <c r="B458" s="322" t="s">
        <v>751</v>
      </c>
      <c r="C458" s="323">
        <v>0</v>
      </c>
      <c r="D458" s="323">
        <v>0</v>
      </c>
      <c r="E458" s="324">
        <v>605550.71</v>
      </c>
      <c r="F458" s="324">
        <v>0</v>
      </c>
      <c r="G458" s="318">
        <f t="shared" si="15"/>
        <v>605550.71</v>
      </c>
      <c r="H458" s="318">
        <f t="shared" si="16"/>
        <v>0</v>
      </c>
      <c r="I458" s="316"/>
      <c r="J458" s="109"/>
    </row>
    <row r="459" spans="1:10" s="108" customFormat="1" hidden="1" x14ac:dyDescent="0.2">
      <c r="A459" s="322" t="s">
        <v>752</v>
      </c>
      <c r="B459" s="322" t="s">
        <v>753</v>
      </c>
      <c r="C459" s="323">
        <v>0</v>
      </c>
      <c r="D459" s="323">
        <v>0</v>
      </c>
      <c r="E459" s="324">
        <v>973050</v>
      </c>
      <c r="F459" s="324">
        <v>0</v>
      </c>
      <c r="G459" s="318">
        <f t="shared" si="15"/>
        <v>973050</v>
      </c>
      <c r="H459" s="318">
        <f t="shared" si="16"/>
        <v>0</v>
      </c>
      <c r="I459" s="316"/>
      <c r="J459" s="109"/>
    </row>
    <row r="460" spans="1:10" s="108" customFormat="1" hidden="1" x14ac:dyDescent="0.2">
      <c r="A460" s="322" t="s">
        <v>754</v>
      </c>
      <c r="B460" s="322" t="s">
        <v>755</v>
      </c>
      <c r="C460" s="323">
        <v>0</v>
      </c>
      <c r="D460" s="323">
        <v>0</v>
      </c>
      <c r="E460" s="324">
        <v>183713.37</v>
      </c>
      <c r="F460" s="324">
        <v>0</v>
      </c>
      <c r="G460" s="318">
        <f t="shared" si="15"/>
        <v>183713.37</v>
      </c>
      <c r="H460" s="318">
        <f t="shared" si="16"/>
        <v>0</v>
      </c>
      <c r="I460" s="316"/>
      <c r="J460" s="109"/>
    </row>
    <row r="461" spans="1:10" s="108" customFormat="1" hidden="1" x14ac:dyDescent="0.2">
      <c r="A461" s="322" t="s">
        <v>756</v>
      </c>
      <c r="B461" s="322" t="s">
        <v>757</v>
      </c>
      <c r="C461" s="323">
        <v>0</v>
      </c>
      <c r="D461" s="323">
        <v>0</v>
      </c>
      <c r="E461" s="324">
        <v>31857.54</v>
      </c>
      <c r="F461" s="324">
        <v>0</v>
      </c>
      <c r="G461" s="318">
        <f t="shared" si="15"/>
        <v>31857.54</v>
      </c>
      <c r="H461" s="318">
        <f t="shared" si="16"/>
        <v>0</v>
      </c>
      <c r="I461" s="316"/>
      <c r="J461" s="109"/>
    </row>
    <row r="462" spans="1:10" s="108" customFormat="1" hidden="1" x14ac:dyDescent="0.2">
      <c r="A462" s="322" t="s">
        <v>758</v>
      </c>
      <c r="B462" s="322" t="s">
        <v>425</v>
      </c>
      <c r="C462" s="323">
        <v>0</v>
      </c>
      <c r="D462" s="323">
        <v>0</v>
      </c>
      <c r="E462" s="324">
        <v>221.6</v>
      </c>
      <c r="F462" s="324">
        <v>0</v>
      </c>
      <c r="G462" s="318">
        <f t="shared" si="15"/>
        <v>221.6</v>
      </c>
      <c r="H462" s="318">
        <f t="shared" si="16"/>
        <v>0</v>
      </c>
      <c r="I462" s="316"/>
      <c r="J462" s="109"/>
    </row>
    <row r="463" spans="1:10" s="108" customFormat="1" hidden="1" x14ac:dyDescent="0.2">
      <c r="A463" s="322" t="s">
        <v>759</v>
      </c>
      <c r="B463" s="322" t="s">
        <v>760</v>
      </c>
      <c r="C463" s="323">
        <v>0</v>
      </c>
      <c r="D463" s="323">
        <v>0</v>
      </c>
      <c r="E463" s="324">
        <v>9570.26</v>
      </c>
      <c r="F463" s="324">
        <v>0</v>
      </c>
      <c r="G463" s="318">
        <f t="shared" si="15"/>
        <v>9570.26</v>
      </c>
      <c r="H463" s="318">
        <f t="shared" si="16"/>
        <v>0</v>
      </c>
      <c r="I463" s="316"/>
      <c r="J463" s="109"/>
    </row>
    <row r="464" spans="1:10" s="108" customFormat="1" hidden="1" x14ac:dyDescent="0.2">
      <c r="A464" s="322" t="s">
        <v>761</v>
      </c>
      <c r="B464" s="322" t="s">
        <v>762</v>
      </c>
      <c r="C464" s="323">
        <v>0</v>
      </c>
      <c r="D464" s="323">
        <v>0</v>
      </c>
      <c r="E464" s="324">
        <v>203218.33</v>
      </c>
      <c r="F464" s="324">
        <v>46192.75</v>
      </c>
      <c r="G464" s="318">
        <f t="shared" si="15"/>
        <v>203218.33</v>
      </c>
      <c r="H464" s="318">
        <f t="shared" si="16"/>
        <v>46192.75</v>
      </c>
      <c r="I464" s="316"/>
      <c r="J464" s="109"/>
    </row>
    <row r="465" spans="1:10" s="108" customFormat="1" hidden="1" x14ac:dyDescent="0.2">
      <c r="A465" s="322" t="s">
        <v>763</v>
      </c>
      <c r="B465" s="322" t="s">
        <v>764</v>
      </c>
      <c r="C465" s="323">
        <v>0</v>
      </c>
      <c r="D465" s="323">
        <v>0</v>
      </c>
      <c r="E465" s="324">
        <v>40086.75</v>
      </c>
      <c r="F465" s="324">
        <v>903.45</v>
      </c>
      <c r="G465" s="318">
        <f t="shared" si="15"/>
        <v>40086.75</v>
      </c>
      <c r="H465" s="318">
        <f t="shared" si="16"/>
        <v>903.45</v>
      </c>
      <c r="I465" s="316"/>
      <c r="J465" s="109"/>
    </row>
    <row r="466" spans="1:10" s="108" customFormat="1" hidden="1" x14ac:dyDescent="0.2">
      <c r="A466" s="322" t="s">
        <v>765</v>
      </c>
      <c r="B466" s="322" t="s">
        <v>766</v>
      </c>
      <c r="C466" s="323">
        <v>0</v>
      </c>
      <c r="D466" s="323">
        <v>0</v>
      </c>
      <c r="E466" s="324">
        <v>4490.74</v>
      </c>
      <c r="F466" s="324">
        <v>235.3</v>
      </c>
      <c r="G466" s="318">
        <f t="shared" si="15"/>
        <v>4490.74</v>
      </c>
      <c r="H466" s="318">
        <f t="shared" si="16"/>
        <v>235.3</v>
      </c>
      <c r="I466" s="316"/>
      <c r="J466" s="109"/>
    </row>
    <row r="467" spans="1:10" s="108" customFormat="1" hidden="1" x14ac:dyDescent="0.2">
      <c r="A467" s="322" t="s">
        <v>767</v>
      </c>
      <c r="B467" s="322" t="s">
        <v>434</v>
      </c>
      <c r="C467" s="323">
        <v>0</v>
      </c>
      <c r="D467" s="323">
        <v>0</v>
      </c>
      <c r="E467" s="324">
        <v>191799.35</v>
      </c>
      <c r="F467" s="324">
        <v>3393.75</v>
      </c>
      <c r="G467" s="318">
        <f t="shared" si="15"/>
        <v>191799.35</v>
      </c>
      <c r="H467" s="318">
        <f t="shared" si="16"/>
        <v>3393.75</v>
      </c>
      <c r="I467" s="316"/>
      <c r="J467" s="109"/>
    </row>
    <row r="468" spans="1:10" s="108" customFormat="1" hidden="1" x14ac:dyDescent="0.2">
      <c r="A468" s="322" t="s">
        <v>768</v>
      </c>
      <c r="B468" s="322" t="s">
        <v>436</v>
      </c>
      <c r="C468" s="323">
        <v>0</v>
      </c>
      <c r="D468" s="323">
        <v>0</v>
      </c>
      <c r="E468" s="324">
        <v>228577.12</v>
      </c>
      <c r="F468" s="324">
        <v>48799.37</v>
      </c>
      <c r="G468" s="318">
        <f t="shared" si="15"/>
        <v>228577.12</v>
      </c>
      <c r="H468" s="318">
        <f t="shared" si="16"/>
        <v>48799.37</v>
      </c>
      <c r="I468" s="316"/>
      <c r="J468" s="109"/>
    </row>
    <row r="469" spans="1:10" s="108" customFormat="1" hidden="1" x14ac:dyDescent="0.2">
      <c r="A469" s="322" t="s">
        <v>769</v>
      </c>
      <c r="B469" s="322" t="s">
        <v>770</v>
      </c>
      <c r="C469" s="323">
        <v>0</v>
      </c>
      <c r="D469" s="323">
        <v>0</v>
      </c>
      <c r="E469" s="324">
        <v>15665.03</v>
      </c>
      <c r="F469" s="324">
        <v>6447.01</v>
      </c>
      <c r="G469" s="318">
        <f t="shared" si="15"/>
        <v>15665.03</v>
      </c>
      <c r="H469" s="318">
        <f t="shared" si="16"/>
        <v>6447.01</v>
      </c>
      <c r="I469" s="316"/>
      <c r="J469" s="109"/>
    </row>
    <row r="470" spans="1:10" s="108" customFormat="1" hidden="1" x14ac:dyDescent="0.2">
      <c r="A470" s="322" t="s">
        <v>771</v>
      </c>
      <c r="B470" s="322" t="s">
        <v>772</v>
      </c>
      <c r="C470" s="323">
        <v>0</v>
      </c>
      <c r="D470" s="323">
        <v>0</v>
      </c>
      <c r="E470" s="324">
        <v>34466.379999999997</v>
      </c>
      <c r="F470" s="324">
        <v>5324.83</v>
      </c>
      <c r="G470" s="318">
        <f t="shared" si="15"/>
        <v>34466.379999999997</v>
      </c>
      <c r="H470" s="318">
        <f t="shared" si="16"/>
        <v>5324.83</v>
      </c>
      <c r="I470" s="316"/>
      <c r="J470" s="109"/>
    </row>
    <row r="471" spans="1:10" s="108" customFormat="1" hidden="1" x14ac:dyDescent="0.2">
      <c r="A471" s="322" t="s">
        <v>773</v>
      </c>
      <c r="B471" s="322" t="s">
        <v>774</v>
      </c>
      <c r="C471" s="323">
        <v>0</v>
      </c>
      <c r="D471" s="323">
        <v>0</v>
      </c>
      <c r="E471" s="324">
        <v>566</v>
      </c>
      <c r="F471" s="324">
        <v>0</v>
      </c>
      <c r="G471" s="318">
        <f t="shared" si="15"/>
        <v>566</v>
      </c>
      <c r="H471" s="318">
        <f t="shared" si="16"/>
        <v>0</v>
      </c>
      <c r="I471" s="316"/>
      <c r="J471" s="109"/>
    </row>
    <row r="472" spans="1:10" s="108" customFormat="1" hidden="1" x14ac:dyDescent="0.2">
      <c r="A472" s="322" t="s">
        <v>775</v>
      </c>
      <c r="B472" s="322" t="s">
        <v>776</v>
      </c>
      <c r="C472" s="323">
        <v>0</v>
      </c>
      <c r="D472" s="323">
        <v>0</v>
      </c>
      <c r="E472" s="324">
        <v>45648.23</v>
      </c>
      <c r="F472" s="324">
        <v>1452.81</v>
      </c>
      <c r="G472" s="318">
        <f t="shared" si="15"/>
        <v>45648.23</v>
      </c>
      <c r="H472" s="318">
        <f t="shared" si="16"/>
        <v>1452.81</v>
      </c>
      <c r="I472" s="316"/>
      <c r="J472" s="109"/>
    </row>
    <row r="473" spans="1:10" s="108" customFormat="1" hidden="1" x14ac:dyDescent="0.2">
      <c r="A473" s="322" t="s">
        <v>777</v>
      </c>
      <c r="B473" s="322" t="s">
        <v>778</v>
      </c>
      <c r="C473" s="323">
        <v>0</v>
      </c>
      <c r="D473" s="323">
        <v>0</v>
      </c>
      <c r="E473" s="324">
        <v>229687.64</v>
      </c>
      <c r="F473" s="324">
        <v>1034.3699999999999</v>
      </c>
      <c r="G473" s="318">
        <f t="shared" si="15"/>
        <v>229687.64</v>
      </c>
      <c r="H473" s="318">
        <f t="shared" si="16"/>
        <v>1034.3699999999999</v>
      </c>
      <c r="I473" s="316"/>
      <c r="J473" s="109"/>
    </row>
    <row r="474" spans="1:10" s="108" customFormat="1" hidden="1" x14ac:dyDescent="0.2">
      <c r="A474" s="322" t="s">
        <v>779</v>
      </c>
      <c r="B474" s="322" t="s">
        <v>780</v>
      </c>
      <c r="C474" s="323">
        <v>0</v>
      </c>
      <c r="D474" s="323">
        <v>0</v>
      </c>
      <c r="E474" s="324">
        <v>21240.97</v>
      </c>
      <c r="F474" s="324">
        <v>1799</v>
      </c>
      <c r="G474" s="318">
        <f t="shared" si="15"/>
        <v>21240.97</v>
      </c>
      <c r="H474" s="318">
        <f t="shared" si="16"/>
        <v>1799</v>
      </c>
      <c r="I474" s="316"/>
      <c r="J474" s="109"/>
    </row>
    <row r="475" spans="1:10" s="108" customFormat="1" hidden="1" x14ac:dyDescent="0.2">
      <c r="A475" s="322" t="s">
        <v>781</v>
      </c>
      <c r="B475" s="322" t="s">
        <v>782</v>
      </c>
      <c r="C475" s="323">
        <v>0</v>
      </c>
      <c r="D475" s="323">
        <v>0</v>
      </c>
      <c r="E475" s="324">
        <v>10889.84</v>
      </c>
      <c r="F475" s="324">
        <v>0</v>
      </c>
      <c r="G475" s="318">
        <f t="shared" si="15"/>
        <v>10889.84</v>
      </c>
      <c r="H475" s="318">
        <f t="shared" si="16"/>
        <v>0</v>
      </c>
      <c r="I475" s="316"/>
      <c r="J475" s="109"/>
    </row>
    <row r="476" spans="1:10" s="108" customFormat="1" hidden="1" x14ac:dyDescent="0.2">
      <c r="A476" s="322" t="s">
        <v>783</v>
      </c>
      <c r="B476" s="322" t="s">
        <v>452</v>
      </c>
      <c r="C476" s="323">
        <v>0</v>
      </c>
      <c r="D476" s="323">
        <v>0</v>
      </c>
      <c r="E476" s="324">
        <v>191.38</v>
      </c>
      <c r="F476" s="324">
        <v>0</v>
      </c>
      <c r="G476" s="318">
        <f t="shared" si="15"/>
        <v>191.38</v>
      </c>
      <c r="H476" s="318">
        <f t="shared" si="16"/>
        <v>0</v>
      </c>
      <c r="I476" s="316"/>
      <c r="J476" s="109"/>
    </row>
    <row r="477" spans="1:10" s="108" customFormat="1" hidden="1" x14ac:dyDescent="0.2">
      <c r="A477" s="322" t="s">
        <v>784</v>
      </c>
      <c r="B477" s="322" t="s">
        <v>785</v>
      </c>
      <c r="C477" s="323">
        <v>0</v>
      </c>
      <c r="D477" s="323">
        <v>0</v>
      </c>
      <c r="E477" s="324">
        <v>3518.75</v>
      </c>
      <c r="F477" s="324">
        <v>0</v>
      </c>
      <c r="G477" s="318">
        <f t="shared" si="15"/>
        <v>3518.75</v>
      </c>
      <c r="H477" s="318">
        <f t="shared" si="16"/>
        <v>0</v>
      </c>
      <c r="I477" s="316"/>
      <c r="J477" s="109"/>
    </row>
    <row r="478" spans="1:10" s="108" customFormat="1" hidden="1" x14ac:dyDescent="0.2">
      <c r="A478" s="322" t="s">
        <v>786</v>
      </c>
      <c r="B478" s="322" t="s">
        <v>787</v>
      </c>
      <c r="C478" s="323">
        <v>0</v>
      </c>
      <c r="D478" s="323">
        <v>0</v>
      </c>
      <c r="E478" s="324">
        <v>6647.83</v>
      </c>
      <c r="F478" s="324">
        <v>2714</v>
      </c>
      <c r="G478" s="318">
        <f t="shared" si="15"/>
        <v>6647.83</v>
      </c>
      <c r="H478" s="318">
        <f t="shared" si="16"/>
        <v>2714</v>
      </c>
      <c r="I478" s="316"/>
      <c r="J478" s="109"/>
    </row>
    <row r="479" spans="1:10" s="108" customFormat="1" hidden="1" x14ac:dyDescent="0.2">
      <c r="A479" s="322" t="s">
        <v>788</v>
      </c>
      <c r="B479" s="322" t="s">
        <v>789</v>
      </c>
      <c r="C479" s="323">
        <v>0</v>
      </c>
      <c r="D479" s="323">
        <v>0</v>
      </c>
      <c r="E479" s="324">
        <v>2059.88</v>
      </c>
      <c r="F479" s="324">
        <v>0</v>
      </c>
      <c r="G479" s="318">
        <f t="shared" si="15"/>
        <v>2059.88</v>
      </c>
      <c r="H479" s="318">
        <f t="shared" si="16"/>
        <v>0</v>
      </c>
      <c r="I479" s="316"/>
      <c r="J479" s="109"/>
    </row>
    <row r="480" spans="1:10" s="108" customFormat="1" hidden="1" x14ac:dyDescent="0.2">
      <c r="A480" s="322" t="s">
        <v>790</v>
      </c>
      <c r="B480" s="322" t="s">
        <v>457</v>
      </c>
      <c r="C480" s="323">
        <v>0</v>
      </c>
      <c r="D480" s="323">
        <v>0</v>
      </c>
      <c r="E480" s="324">
        <v>546074.31000000006</v>
      </c>
      <c r="F480" s="324">
        <v>138306.34</v>
      </c>
      <c r="G480" s="318">
        <f t="shared" si="15"/>
        <v>546074.31000000006</v>
      </c>
      <c r="H480" s="318">
        <f t="shared" si="16"/>
        <v>138306.34</v>
      </c>
      <c r="I480" s="316"/>
      <c r="J480" s="109"/>
    </row>
    <row r="481" spans="1:10" s="108" customFormat="1" hidden="1" x14ac:dyDescent="0.2">
      <c r="A481" s="322" t="s">
        <v>791</v>
      </c>
      <c r="B481" s="322" t="s">
        <v>792</v>
      </c>
      <c r="C481" s="323">
        <v>0</v>
      </c>
      <c r="D481" s="323">
        <v>0</v>
      </c>
      <c r="E481" s="324">
        <v>146.03</v>
      </c>
      <c r="F481" s="324">
        <v>0</v>
      </c>
      <c r="G481" s="318">
        <f t="shared" si="15"/>
        <v>146.03</v>
      </c>
      <c r="H481" s="318">
        <f t="shared" si="16"/>
        <v>0</v>
      </c>
      <c r="I481" s="316"/>
      <c r="J481" s="109"/>
    </row>
    <row r="482" spans="1:10" s="108" customFormat="1" hidden="1" x14ac:dyDescent="0.2">
      <c r="A482" s="322" t="s">
        <v>793</v>
      </c>
      <c r="B482" s="322" t="s">
        <v>461</v>
      </c>
      <c r="C482" s="323">
        <v>0</v>
      </c>
      <c r="D482" s="323">
        <v>0</v>
      </c>
      <c r="E482" s="324">
        <v>90883.08</v>
      </c>
      <c r="F482" s="324">
        <v>0</v>
      </c>
      <c r="G482" s="318">
        <f t="shared" si="15"/>
        <v>90883.08</v>
      </c>
      <c r="H482" s="318">
        <f t="shared" si="16"/>
        <v>0</v>
      </c>
      <c r="I482" s="316"/>
      <c r="J482" s="109"/>
    </row>
    <row r="483" spans="1:10" s="108" customFormat="1" hidden="1" x14ac:dyDescent="0.2">
      <c r="A483" s="322" t="s">
        <v>794</v>
      </c>
      <c r="B483" s="322" t="s">
        <v>296</v>
      </c>
      <c r="C483" s="323">
        <v>0</v>
      </c>
      <c r="D483" s="323">
        <v>0</v>
      </c>
      <c r="E483" s="324">
        <v>74477.2</v>
      </c>
      <c r="F483" s="324">
        <v>18242.61</v>
      </c>
      <c r="G483" s="318">
        <f t="shared" si="15"/>
        <v>74477.2</v>
      </c>
      <c r="H483" s="318">
        <f t="shared" si="16"/>
        <v>18242.61</v>
      </c>
      <c r="I483" s="316"/>
      <c r="J483" s="109"/>
    </row>
    <row r="484" spans="1:10" s="108" customFormat="1" hidden="1" x14ac:dyDescent="0.2">
      <c r="A484" s="322" t="s">
        <v>795</v>
      </c>
      <c r="B484" s="322" t="s">
        <v>464</v>
      </c>
      <c r="C484" s="323">
        <v>0</v>
      </c>
      <c r="D484" s="323">
        <v>0</v>
      </c>
      <c r="E484" s="324">
        <v>20521.36</v>
      </c>
      <c r="F484" s="324">
        <v>4162.13</v>
      </c>
      <c r="G484" s="318">
        <f t="shared" si="15"/>
        <v>20521.36</v>
      </c>
      <c r="H484" s="318">
        <f t="shared" si="16"/>
        <v>4162.13</v>
      </c>
      <c r="I484" s="316"/>
      <c r="J484" s="109"/>
    </row>
    <row r="485" spans="1:10" s="108" customFormat="1" hidden="1" x14ac:dyDescent="0.2">
      <c r="A485" s="322" t="s">
        <v>796</v>
      </c>
      <c r="B485" s="322" t="s">
        <v>797</v>
      </c>
      <c r="C485" s="323">
        <v>0</v>
      </c>
      <c r="D485" s="323">
        <v>0</v>
      </c>
      <c r="E485" s="324">
        <v>158052.6</v>
      </c>
      <c r="F485" s="324">
        <v>37812.57</v>
      </c>
      <c r="G485" s="318">
        <f t="shared" si="15"/>
        <v>158052.6</v>
      </c>
      <c r="H485" s="318">
        <f t="shared" si="16"/>
        <v>37812.57</v>
      </c>
      <c r="I485" s="316"/>
      <c r="J485" s="109"/>
    </row>
    <row r="486" spans="1:10" s="108" customFormat="1" hidden="1" x14ac:dyDescent="0.2">
      <c r="A486" s="322" t="s">
        <v>798</v>
      </c>
      <c r="B486" s="322" t="s">
        <v>468</v>
      </c>
      <c r="C486" s="323">
        <v>0</v>
      </c>
      <c r="D486" s="323">
        <v>0</v>
      </c>
      <c r="E486" s="324">
        <v>81049.399999999994</v>
      </c>
      <c r="F486" s="324">
        <v>31521.1</v>
      </c>
      <c r="G486" s="318">
        <f t="shared" si="15"/>
        <v>81049.399999999994</v>
      </c>
      <c r="H486" s="318">
        <f t="shared" si="16"/>
        <v>31521.1</v>
      </c>
      <c r="I486" s="316"/>
      <c r="J486" s="109"/>
    </row>
    <row r="487" spans="1:10" s="108" customFormat="1" hidden="1" x14ac:dyDescent="0.2">
      <c r="A487" s="322" t="s">
        <v>799</v>
      </c>
      <c r="B487" s="322" t="s">
        <v>470</v>
      </c>
      <c r="C487" s="323">
        <v>0</v>
      </c>
      <c r="D487" s="323">
        <v>0</v>
      </c>
      <c r="E487" s="324">
        <v>1323.94</v>
      </c>
      <c r="F487" s="324">
        <v>0</v>
      </c>
      <c r="G487" s="318">
        <f t="shared" si="15"/>
        <v>1323.94</v>
      </c>
      <c r="H487" s="318">
        <f t="shared" si="16"/>
        <v>0</v>
      </c>
      <c r="I487" s="316"/>
      <c r="J487" s="109"/>
    </row>
    <row r="488" spans="1:10" s="108" customFormat="1" hidden="1" x14ac:dyDescent="0.2">
      <c r="A488" s="322" t="s">
        <v>800</v>
      </c>
      <c r="B488" s="322" t="s">
        <v>472</v>
      </c>
      <c r="C488" s="323">
        <v>0</v>
      </c>
      <c r="D488" s="323">
        <v>0</v>
      </c>
      <c r="E488" s="324">
        <v>38916.910000000003</v>
      </c>
      <c r="F488" s="324">
        <v>0</v>
      </c>
      <c r="G488" s="318">
        <f t="shared" si="15"/>
        <v>38916.910000000003</v>
      </c>
      <c r="H488" s="318">
        <f t="shared" si="16"/>
        <v>0</v>
      </c>
      <c r="I488" s="316"/>
      <c r="J488" s="109"/>
    </row>
    <row r="489" spans="1:10" s="108" customFormat="1" hidden="1" x14ac:dyDescent="0.2">
      <c r="A489" s="322" t="s">
        <v>801</v>
      </c>
      <c r="B489" s="322" t="s">
        <v>802</v>
      </c>
      <c r="C489" s="323">
        <v>0</v>
      </c>
      <c r="D489" s="323">
        <v>0</v>
      </c>
      <c r="E489" s="324">
        <v>37949.919999999998</v>
      </c>
      <c r="F489" s="324">
        <v>0</v>
      </c>
      <c r="G489" s="318">
        <f t="shared" si="15"/>
        <v>37949.919999999998</v>
      </c>
      <c r="H489" s="318">
        <f t="shared" si="16"/>
        <v>0</v>
      </c>
      <c r="I489" s="316"/>
      <c r="J489" s="109"/>
    </row>
    <row r="490" spans="1:10" s="108" customFormat="1" hidden="1" x14ac:dyDescent="0.2">
      <c r="A490" s="322" t="s">
        <v>803</v>
      </c>
      <c r="B490" s="322" t="s">
        <v>478</v>
      </c>
      <c r="C490" s="323">
        <v>0</v>
      </c>
      <c r="D490" s="323">
        <v>0</v>
      </c>
      <c r="E490" s="324">
        <v>85520.75</v>
      </c>
      <c r="F490" s="324">
        <v>0</v>
      </c>
      <c r="G490" s="318">
        <f t="shared" si="15"/>
        <v>85520.75</v>
      </c>
      <c r="H490" s="318">
        <f t="shared" si="16"/>
        <v>0</v>
      </c>
      <c r="I490" s="316"/>
      <c r="J490" s="109"/>
    </row>
    <row r="491" spans="1:10" s="108" customFormat="1" hidden="1" x14ac:dyDescent="0.2">
      <c r="A491" s="322" t="s">
        <v>804</v>
      </c>
      <c r="B491" s="322" t="s">
        <v>480</v>
      </c>
      <c r="C491" s="323">
        <v>0</v>
      </c>
      <c r="D491" s="323">
        <v>0</v>
      </c>
      <c r="E491" s="324">
        <v>8140.5</v>
      </c>
      <c r="F491" s="324">
        <v>79.13</v>
      </c>
      <c r="G491" s="318">
        <f t="shared" si="15"/>
        <v>8140.5</v>
      </c>
      <c r="H491" s="318">
        <f t="shared" si="16"/>
        <v>79.13</v>
      </c>
      <c r="I491" s="316"/>
      <c r="J491" s="109"/>
    </row>
    <row r="492" spans="1:10" s="108" customFormat="1" hidden="1" x14ac:dyDescent="0.2">
      <c r="A492" s="322" t="s">
        <v>805</v>
      </c>
      <c r="B492" s="322" t="s">
        <v>482</v>
      </c>
      <c r="C492" s="323">
        <v>0</v>
      </c>
      <c r="D492" s="323">
        <v>0</v>
      </c>
      <c r="E492" s="324">
        <v>6034.15</v>
      </c>
      <c r="F492" s="324">
        <v>0</v>
      </c>
      <c r="G492" s="318">
        <f t="shared" si="15"/>
        <v>6034.15</v>
      </c>
      <c r="H492" s="318">
        <f t="shared" si="16"/>
        <v>0</v>
      </c>
      <c r="I492" s="316"/>
      <c r="J492" s="109"/>
    </row>
    <row r="493" spans="1:10" s="108" customFormat="1" hidden="1" x14ac:dyDescent="0.2">
      <c r="A493" s="322" t="s">
        <v>806</v>
      </c>
      <c r="B493" s="322" t="s">
        <v>484</v>
      </c>
      <c r="C493" s="323">
        <v>0</v>
      </c>
      <c r="D493" s="323">
        <v>0</v>
      </c>
      <c r="E493" s="324">
        <v>86324.73</v>
      </c>
      <c r="F493" s="324">
        <v>0</v>
      </c>
      <c r="G493" s="318">
        <f t="shared" si="15"/>
        <v>86324.73</v>
      </c>
      <c r="H493" s="318">
        <f t="shared" si="16"/>
        <v>0</v>
      </c>
      <c r="I493" s="316"/>
      <c r="J493" s="109"/>
    </row>
    <row r="494" spans="1:10" s="108" customFormat="1" hidden="1" x14ac:dyDescent="0.2">
      <c r="A494" s="322" t="s">
        <v>807</v>
      </c>
      <c r="B494" s="322" t="s">
        <v>808</v>
      </c>
      <c r="C494" s="323">
        <v>0</v>
      </c>
      <c r="D494" s="323">
        <v>0</v>
      </c>
      <c r="E494" s="324">
        <v>53393.41</v>
      </c>
      <c r="F494" s="324">
        <v>0</v>
      </c>
      <c r="G494" s="318">
        <f t="shared" si="15"/>
        <v>53393.41</v>
      </c>
      <c r="H494" s="318">
        <f t="shared" si="16"/>
        <v>0</v>
      </c>
      <c r="I494" s="316"/>
      <c r="J494" s="109"/>
    </row>
    <row r="495" spans="1:10" s="108" customFormat="1" hidden="1" x14ac:dyDescent="0.2">
      <c r="A495" s="322" t="s">
        <v>809</v>
      </c>
      <c r="B495" s="322" t="s">
        <v>810</v>
      </c>
      <c r="C495" s="323">
        <v>0</v>
      </c>
      <c r="D495" s="323">
        <v>0</v>
      </c>
      <c r="E495" s="324">
        <v>6641.14</v>
      </c>
      <c r="F495" s="324">
        <v>0</v>
      </c>
      <c r="G495" s="318">
        <f t="shared" si="15"/>
        <v>6641.14</v>
      </c>
      <c r="H495" s="318">
        <f t="shared" si="16"/>
        <v>0</v>
      </c>
      <c r="I495" s="316"/>
      <c r="J495" s="109"/>
    </row>
    <row r="496" spans="1:10" s="108" customFormat="1" hidden="1" x14ac:dyDescent="0.2">
      <c r="A496" s="322" t="s">
        <v>811</v>
      </c>
      <c r="B496" s="322" t="s">
        <v>490</v>
      </c>
      <c r="C496" s="323">
        <v>0</v>
      </c>
      <c r="D496" s="323">
        <v>0</v>
      </c>
      <c r="E496" s="324">
        <v>229351.02</v>
      </c>
      <c r="F496" s="324">
        <v>0</v>
      </c>
      <c r="G496" s="318">
        <f t="shared" si="15"/>
        <v>229351.02</v>
      </c>
      <c r="H496" s="318">
        <f t="shared" si="16"/>
        <v>0</v>
      </c>
      <c r="I496" s="316"/>
      <c r="J496" s="109"/>
    </row>
    <row r="497" spans="1:10" s="108" customFormat="1" hidden="1" x14ac:dyDescent="0.2">
      <c r="A497" s="322" t="s">
        <v>812</v>
      </c>
      <c r="B497" s="322" t="s">
        <v>813</v>
      </c>
      <c r="C497" s="323">
        <v>0</v>
      </c>
      <c r="D497" s="323">
        <v>0</v>
      </c>
      <c r="E497" s="324">
        <v>41795.78</v>
      </c>
      <c r="F497" s="324">
        <v>27700</v>
      </c>
      <c r="G497" s="318">
        <f t="shared" si="15"/>
        <v>41795.78</v>
      </c>
      <c r="H497" s="318">
        <f t="shared" si="16"/>
        <v>27700</v>
      </c>
      <c r="I497" s="316"/>
      <c r="J497" s="109"/>
    </row>
    <row r="498" spans="1:10" s="108" customFormat="1" hidden="1" x14ac:dyDescent="0.2">
      <c r="A498" s="322" t="s">
        <v>814</v>
      </c>
      <c r="B498" s="322" t="s">
        <v>815</v>
      </c>
      <c r="C498" s="323">
        <v>0</v>
      </c>
      <c r="D498" s="323">
        <v>0</v>
      </c>
      <c r="E498" s="324">
        <v>26187</v>
      </c>
      <c r="F498" s="324">
        <v>0</v>
      </c>
      <c r="G498" s="318">
        <f t="shared" si="15"/>
        <v>26187</v>
      </c>
      <c r="H498" s="318">
        <f t="shared" si="16"/>
        <v>0</v>
      </c>
      <c r="I498" s="316"/>
      <c r="J498" s="109"/>
    </row>
    <row r="499" spans="1:10" s="108" customFormat="1" hidden="1" x14ac:dyDescent="0.2">
      <c r="A499" s="322" t="s">
        <v>816</v>
      </c>
      <c r="B499" s="322" t="s">
        <v>817</v>
      </c>
      <c r="C499" s="323">
        <v>0</v>
      </c>
      <c r="D499" s="323">
        <v>0</v>
      </c>
      <c r="E499" s="324">
        <v>372.9</v>
      </c>
      <c r="F499" s="324">
        <v>0</v>
      </c>
      <c r="G499" s="318">
        <f t="shared" si="15"/>
        <v>372.9</v>
      </c>
      <c r="H499" s="318">
        <f t="shared" si="16"/>
        <v>0</v>
      </c>
      <c r="I499" s="316"/>
      <c r="J499" s="109"/>
    </row>
    <row r="500" spans="1:10" s="108" customFormat="1" hidden="1" x14ac:dyDescent="0.2">
      <c r="A500" s="322" t="s">
        <v>818</v>
      </c>
      <c r="B500" s="322" t="s">
        <v>819</v>
      </c>
      <c r="C500" s="323">
        <v>0</v>
      </c>
      <c r="D500" s="323">
        <v>0</v>
      </c>
      <c r="E500" s="324">
        <v>26147.26</v>
      </c>
      <c r="F500" s="324">
        <v>1332.05</v>
      </c>
      <c r="G500" s="318">
        <f t="shared" si="15"/>
        <v>26147.26</v>
      </c>
      <c r="H500" s="318">
        <f t="shared" si="16"/>
        <v>1332.05</v>
      </c>
      <c r="I500" s="316"/>
      <c r="J500" s="109"/>
    </row>
    <row r="501" spans="1:10" s="108" customFormat="1" hidden="1" x14ac:dyDescent="0.2">
      <c r="A501" s="322" t="s">
        <v>820</v>
      </c>
      <c r="B501" s="322" t="s">
        <v>499</v>
      </c>
      <c r="C501" s="323">
        <v>0</v>
      </c>
      <c r="D501" s="323">
        <v>0</v>
      </c>
      <c r="E501" s="324">
        <v>527.45000000000005</v>
      </c>
      <c r="F501" s="324">
        <v>0</v>
      </c>
      <c r="G501" s="318">
        <f t="shared" si="15"/>
        <v>527.45000000000005</v>
      </c>
      <c r="H501" s="318">
        <f t="shared" si="16"/>
        <v>0</v>
      </c>
      <c r="I501" s="316"/>
      <c r="J501" s="109"/>
    </row>
    <row r="502" spans="1:10" s="108" customFormat="1" hidden="1" x14ac:dyDescent="0.2">
      <c r="A502" s="322" t="s">
        <v>821</v>
      </c>
      <c r="B502" s="322" t="s">
        <v>501</v>
      </c>
      <c r="C502" s="323">
        <v>0</v>
      </c>
      <c r="D502" s="323">
        <v>0</v>
      </c>
      <c r="E502" s="324">
        <v>352.26</v>
      </c>
      <c r="F502" s="324">
        <v>0</v>
      </c>
      <c r="G502" s="318">
        <f t="shared" si="15"/>
        <v>352.26</v>
      </c>
      <c r="H502" s="318">
        <f t="shared" si="16"/>
        <v>0</v>
      </c>
      <c r="I502" s="316"/>
      <c r="J502" s="109"/>
    </row>
    <row r="503" spans="1:10" s="108" customFormat="1" hidden="1" x14ac:dyDescent="0.2">
      <c r="A503" s="322" t="s">
        <v>822</v>
      </c>
      <c r="B503" s="322" t="s">
        <v>823</v>
      </c>
      <c r="C503" s="323">
        <v>0</v>
      </c>
      <c r="D503" s="323">
        <v>0</v>
      </c>
      <c r="E503" s="324">
        <v>813.6</v>
      </c>
      <c r="F503" s="324">
        <v>0</v>
      </c>
      <c r="G503" s="318">
        <f t="shared" si="15"/>
        <v>813.6</v>
      </c>
      <c r="H503" s="318">
        <f t="shared" si="16"/>
        <v>0</v>
      </c>
      <c r="I503" s="316"/>
      <c r="J503" s="109"/>
    </row>
    <row r="504" spans="1:10" s="108" customFormat="1" hidden="1" x14ac:dyDescent="0.2">
      <c r="A504" s="322" t="s">
        <v>824</v>
      </c>
      <c r="B504" s="322" t="s">
        <v>505</v>
      </c>
      <c r="C504" s="323">
        <v>0</v>
      </c>
      <c r="D504" s="323">
        <v>0</v>
      </c>
      <c r="E504" s="324">
        <v>5237.49</v>
      </c>
      <c r="F504" s="324">
        <v>2.65</v>
      </c>
      <c r="G504" s="318">
        <f t="shared" si="15"/>
        <v>5237.49</v>
      </c>
      <c r="H504" s="318">
        <f t="shared" si="16"/>
        <v>2.65</v>
      </c>
      <c r="I504" s="316"/>
      <c r="J504" s="109"/>
    </row>
    <row r="505" spans="1:10" s="108" customFormat="1" hidden="1" x14ac:dyDescent="0.2">
      <c r="A505" s="322" t="s">
        <v>825</v>
      </c>
      <c r="B505" s="322" t="s">
        <v>507</v>
      </c>
      <c r="C505" s="323">
        <v>0</v>
      </c>
      <c r="D505" s="323">
        <v>0</v>
      </c>
      <c r="E505" s="324">
        <v>195</v>
      </c>
      <c r="F505" s="324">
        <v>0</v>
      </c>
      <c r="G505" s="318">
        <f t="shared" si="15"/>
        <v>195</v>
      </c>
      <c r="H505" s="318">
        <f t="shared" si="16"/>
        <v>0</v>
      </c>
      <c r="I505" s="316"/>
      <c r="J505" s="109"/>
    </row>
    <row r="506" spans="1:10" s="108" customFormat="1" hidden="1" x14ac:dyDescent="0.2">
      <c r="A506" s="322" t="s">
        <v>826</v>
      </c>
      <c r="B506" s="322" t="s">
        <v>827</v>
      </c>
      <c r="C506" s="323">
        <v>0</v>
      </c>
      <c r="D506" s="323">
        <v>0</v>
      </c>
      <c r="E506" s="324">
        <v>21490.55</v>
      </c>
      <c r="F506" s="324">
        <v>0</v>
      </c>
      <c r="G506" s="318">
        <f t="shared" si="15"/>
        <v>21490.55</v>
      </c>
      <c r="H506" s="318">
        <f t="shared" si="16"/>
        <v>0</v>
      </c>
      <c r="I506" s="316"/>
      <c r="J506" s="109"/>
    </row>
    <row r="507" spans="1:10" s="108" customFormat="1" hidden="1" x14ac:dyDescent="0.2">
      <c r="A507" s="322" t="s">
        <v>828</v>
      </c>
      <c r="B507" s="322" t="s">
        <v>829</v>
      </c>
      <c r="C507" s="323">
        <v>0</v>
      </c>
      <c r="D507" s="323">
        <v>0</v>
      </c>
      <c r="E507" s="324">
        <v>7242.17</v>
      </c>
      <c r="F507" s="324">
        <v>444.29</v>
      </c>
      <c r="G507" s="318">
        <f t="shared" si="15"/>
        <v>7242.17</v>
      </c>
      <c r="H507" s="318">
        <f t="shared" si="16"/>
        <v>444.29</v>
      </c>
      <c r="I507" s="316"/>
      <c r="J507" s="109"/>
    </row>
    <row r="508" spans="1:10" s="108" customFormat="1" hidden="1" x14ac:dyDescent="0.2">
      <c r="A508" s="322" t="s">
        <v>830</v>
      </c>
      <c r="B508" s="322" t="s">
        <v>831</v>
      </c>
      <c r="C508" s="323">
        <v>0</v>
      </c>
      <c r="D508" s="323">
        <v>0</v>
      </c>
      <c r="E508" s="324">
        <v>34513.51</v>
      </c>
      <c r="F508" s="324">
        <v>0</v>
      </c>
      <c r="G508" s="318">
        <f t="shared" si="15"/>
        <v>34513.51</v>
      </c>
      <c r="H508" s="318">
        <f t="shared" si="16"/>
        <v>0</v>
      </c>
      <c r="I508" s="316"/>
      <c r="J508" s="109"/>
    </row>
    <row r="509" spans="1:10" s="108" customFormat="1" hidden="1" x14ac:dyDescent="0.2">
      <c r="A509" s="322" t="s">
        <v>832</v>
      </c>
      <c r="B509" s="322" t="s">
        <v>515</v>
      </c>
      <c r="C509" s="323">
        <v>0</v>
      </c>
      <c r="D509" s="323">
        <v>0</v>
      </c>
      <c r="E509" s="324">
        <v>96412.34</v>
      </c>
      <c r="F509" s="324">
        <v>31262.91</v>
      </c>
      <c r="G509" s="318">
        <f t="shared" si="15"/>
        <v>96412.34</v>
      </c>
      <c r="H509" s="318">
        <f t="shared" si="16"/>
        <v>31262.91</v>
      </c>
      <c r="I509" s="316"/>
      <c r="J509" s="109"/>
    </row>
    <row r="510" spans="1:10" s="108" customFormat="1" hidden="1" x14ac:dyDescent="0.2">
      <c r="A510" s="322" t="s">
        <v>833</v>
      </c>
      <c r="B510" s="322" t="s">
        <v>517</v>
      </c>
      <c r="C510" s="323">
        <v>0</v>
      </c>
      <c r="D510" s="323">
        <v>0</v>
      </c>
      <c r="E510" s="324">
        <v>48337.2</v>
      </c>
      <c r="F510" s="324">
        <v>0</v>
      </c>
      <c r="G510" s="318">
        <f t="shared" si="15"/>
        <v>48337.2</v>
      </c>
      <c r="H510" s="318">
        <f t="shared" si="16"/>
        <v>0</v>
      </c>
      <c r="I510" s="316"/>
      <c r="J510" s="109"/>
    </row>
    <row r="511" spans="1:10" s="108" customFormat="1" hidden="1" x14ac:dyDescent="0.2">
      <c r="A511" s="322" t="s">
        <v>834</v>
      </c>
      <c r="B511" s="322" t="s">
        <v>835</v>
      </c>
      <c r="C511" s="323">
        <v>0</v>
      </c>
      <c r="D511" s="323">
        <v>0</v>
      </c>
      <c r="E511" s="324">
        <v>1218.4100000000001</v>
      </c>
      <c r="F511" s="324">
        <v>0</v>
      </c>
      <c r="G511" s="318">
        <f t="shared" si="15"/>
        <v>1218.4100000000001</v>
      </c>
      <c r="H511" s="318">
        <f t="shared" si="16"/>
        <v>0</v>
      </c>
      <c r="I511" s="316"/>
      <c r="J511" s="109"/>
    </row>
    <row r="512" spans="1:10" s="108" customFormat="1" hidden="1" x14ac:dyDescent="0.2">
      <c r="A512" s="322" t="s">
        <v>836</v>
      </c>
      <c r="B512" s="322" t="s">
        <v>837</v>
      </c>
      <c r="C512" s="323">
        <v>0</v>
      </c>
      <c r="D512" s="323">
        <v>0</v>
      </c>
      <c r="E512" s="324">
        <v>3045.96</v>
      </c>
      <c r="F512" s="324">
        <v>0</v>
      </c>
      <c r="G512" s="318">
        <f t="shared" si="15"/>
        <v>3045.96</v>
      </c>
      <c r="H512" s="318">
        <f t="shared" si="16"/>
        <v>0</v>
      </c>
      <c r="I512" s="316"/>
      <c r="J512" s="109"/>
    </row>
    <row r="513" spans="1:10" s="108" customFormat="1" hidden="1" x14ac:dyDescent="0.2">
      <c r="A513" s="322" t="s">
        <v>838</v>
      </c>
      <c r="B513" s="322" t="s">
        <v>513</v>
      </c>
      <c r="C513" s="323">
        <v>0</v>
      </c>
      <c r="D513" s="323">
        <v>0</v>
      </c>
      <c r="E513" s="324">
        <v>2295.46</v>
      </c>
      <c r="F513" s="324">
        <v>0</v>
      </c>
      <c r="G513" s="318">
        <f t="shared" si="15"/>
        <v>2295.46</v>
      </c>
      <c r="H513" s="318">
        <f t="shared" si="16"/>
        <v>0</v>
      </c>
      <c r="I513" s="316"/>
      <c r="J513" s="109"/>
    </row>
    <row r="514" spans="1:10" s="108" customFormat="1" hidden="1" x14ac:dyDescent="0.2">
      <c r="A514" s="322" t="s">
        <v>839</v>
      </c>
      <c r="B514" s="322" t="s">
        <v>522</v>
      </c>
      <c r="C514" s="323">
        <v>0</v>
      </c>
      <c r="D514" s="323">
        <v>0</v>
      </c>
      <c r="E514" s="324">
        <v>1643.92</v>
      </c>
      <c r="F514" s="324">
        <v>0</v>
      </c>
      <c r="G514" s="318">
        <f t="shared" si="15"/>
        <v>1643.92</v>
      </c>
      <c r="H514" s="318">
        <f t="shared" si="16"/>
        <v>0</v>
      </c>
      <c r="I514" s="316"/>
      <c r="J514" s="109"/>
    </row>
    <row r="515" spans="1:10" s="108" customFormat="1" hidden="1" x14ac:dyDescent="0.2">
      <c r="A515" s="322" t="s">
        <v>840</v>
      </c>
      <c r="B515" s="322" t="s">
        <v>524</v>
      </c>
      <c r="C515" s="323">
        <v>0</v>
      </c>
      <c r="D515" s="323">
        <v>0</v>
      </c>
      <c r="E515" s="324">
        <v>59052.95</v>
      </c>
      <c r="F515" s="324">
        <v>4125.32</v>
      </c>
      <c r="G515" s="318">
        <f t="shared" si="15"/>
        <v>59052.95</v>
      </c>
      <c r="H515" s="318">
        <f t="shared" si="16"/>
        <v>4125.32</v>
      </c>
      <c r="I515" s="316"/>
      <c r="J515" s="109"/>
    </row>
    <row r="516" spans="1:10" s="108" customFormat="1" hidden="1" x14ac:dyDescent="0.2">
      <c r="A516" s="322" t="s">
        <v>841</v>
      </c>
      <c r="B516" s="322" t="s">
        <v>842</v>
      </c>
      <c r="C516" s="323">
        <v>0</v>
      </c>
      <c r="D516" s="323">
        <v>0</v>
      </c>
      <c r="E516" s="324">
        <v>10779</v>
      </c>
      <c r="F516" s="324">
        <v>0</v>
      </c>
      <c r="G516" s="318">
        <f t="shared" ref="G516:G546" si="17">+C516+E516</f>
        <v>10779</v>
      </c>
      <c r="H516" s="318">
        <f t="shared" ref="H516:H546" si="18">+D516+F516</f>
        <v>0</v>
      </c>
      <c r="I516" s="316"/>
      <c r="J516" s="109"/>
    </row>
    <row r="517" spans="1:10" s="108" customFormat="1" hidden="1" x14ac:dyDescent="0.2">
      <c r="A517" s="322" t="s">
        <v>843</v>
      </c>
      <c r="B517" s="322" t="s">
        <v>844</v>
      </c>
      <c r="C517" s="323">
        <v>0</v>
      </c>
      <c r="D517" s="323">
        <v>0</v>
      </c>
      <c r="E517" s="324">
        <v>0.85</v>
      </c>
      <c r="F517" s="324">
        <v>0</v>
      </c>
      <c r="G517" s="318">
        <f t="shared" si="17"/>
        <v>0.85</v>
      </c>
      <c r="H517" s="318">
        <f t="shared" si="18"/>
        <v>0</v>
      </c>
      <c r="I517" s="316"/>
      <c r="J517" s="109"/>
    </row>
    <row r="518" spans="1:10" s="108" customFormat="1" hidden="1" x14ac:dyDescent="0.2">
      <c r="A518" s="322" t="s">
        <v>845</v>
      </c>
      <c r="B518" s="322" t="s">
        <v>846</v>
      </c>
      <c r="C518" s="323">
        <v>0</v>
      </c>
      <c r="D518" s="323">
        <v>0</v>
      </c>
      <c r="E518" s="324">
        <v>79108.58</v>
      </c>
      <c r="F518" s="324">
        <v>0</v>
      </c>
      <c r="G518" s="318">
        <f t="shared" si="17"/>
        <v>79108.58</v>
      </c>
      <c r="H518" s="318">
        <f t="shared" si="18"/>
        <v>0</v>
      </c>
      <c r="I518" s="316"/>
      <c r="J518" s="109"/>
    </row>
    <row r="519" spans="1:10" s="108" customFormat="1" hidden="1" x14ac:dyDescent="0.2">
      <c r="A519" s="322" t="s">
        <v>847</v>
      </c>
      <c r="B519" s="322" t="s">
        <v>848</v>
      </c>
      <c r="C519" s="323">
        <v>0</v>
      </c>
      <c r="D519" s="323">
        <v>0</v>
      </c>
      <c r="E519" s="324">
        <v>56841.13</v>
      </c>
      <c r="F519" s="324">
        <v>0</v>
      </c>
      <c r="G519" s="318">
        <f t="shared" si="17"/>
        <v>56841.13</v>
      </c>
      <c r="H519" s="318">
        <f t="shared" si="18"/>
        <v>0</v>
      </c>
      <c r="I519" s="316"/>
      <c r="J519" s="109"/>
    </row>
    <row r="520" spans="1:10" s="108" customFormat="1" hidden="1" x14ac:dyDescent="0.2">
      <c r="A520" s="322" t="s">
        <v>849</v>
      </c>
      <c r="B520" s="322" t="s">
        <v>850</v>
      </c>
      <c r="C520" s="323">
        <v>0</v>
      </c>
      <c r="D520" s="323">
        <v>0</v>
      </c>
      <c r="E520" s="324">
        <v>2868.11</v>
      </c>
      <c r="F520" s="324">
        <v>0</v>
      </c>
      <c r="G520" s="318">
        <f t="shared" si="17"/>
        <v>2868.11</v>
      </c>
      <c r="H520" s="318">
        <f t="shared" si="18"/>
        <v>0</v>
      </c>
      <c r="I520" s="316"/>
      <c r="J520" s="109"/>
    </row>
    <row r="521" spans="1:10" s="108" customFormat="1" hidden="1" x14ac:dyDescent="0.2">
      <c r="A521" s="322" t="s">
        <v>851</v>
      </c>
      <c r="B521" s="322" t="s">
        <v>534</v>
      </c>
      <c r="C521" s="323">
        <v>0</v>
      </c>
      <c r="D521" s="323">
        <v>0</v>
      </c>
      <c r="E521" s="324">
        <v>2341.46</v>
      </c>
      <c r="F521" s="324">
        <v>0</v>
      </c>
      <c r="G521" s="318">
        <f t="shared" si="17"/>
        <v>2341.46</v>
      </c>
      <c r="H521" s="318">
        <f t="shared" si="18"/>
        <v>0</v>
      </c>
      <c r="I521" s="316"/>
      <c r="J521" s="109"/>
    </row>
    <row r="522" spans="1:10" s="108" customFormat="1" hidden="1" x14ac:dyDescent="0.2">
      <c r="A522" s="322" t="s">
        <v>852</v>
      </c>
      <c r="B522" s="322" t="s">
        <v>853</v>
      </c>
      <c r="C522" s="323">
        <v>0</v>
      </c>
      <c r="D522" s="323">
        <v>0</v>
      </c>
      <c r="E522" s="324">
        <v>24229.19</v>
      </c>
      <c r="F522" s="324">
        <v>0</v>
      </c>
      <c r="G522" s="318">
        <f t="shared" si="17"/>
        <v>24229.19</v>
      </c>
      <c r="H522" s="318">
        <f t="shared" si="18"/>
        <v>0</v>
      </c>
      <c r="I522" s="316"/>
      <c r="J522" s="109"/>
    </row>
    <row r="523" spans="1:10" s="108" customFormat="1" hidden="1" x14ac:dyDescent="0.2">
      <c r="A523" s="322" t="s">
        <v>854</v>
      </c>
      <c r="B523" s="322" t="s">
        <v>855</v>
      </c>
      <c r="C523" s="323">
        <v>0</v>
      </c>
      <c r="D523" s="323">
        <v>0</v>
      </c>
      <c r="E523" s="324">
        <v>42588.800000000003</v>
      </c>
      <c r="F523" s="324">
        <v>0</v>
      </c>
      <c r="G523" s="318">
        <f t="shared" si="17"/>
        <v>42588.800000000003</v>
      </c>
      <c r="H523" s="318">
        <f t="shared" si="18"/>
        <v>0</v>
      </c>
      <c r="I523" s="316"/>
      <c r="J523" s="109"/>
    </row>
    <row r="524" spans="1:10" s="108" customFormat="1" hidden="1" x14ac:dyDescent="0.2">
      <c r="A524" s="322" t="s">
        <v>856</v>
      </c>
      <c r="B524" s="322" t="s">
        <v>540</v>
      </c>
      <c r="C524" s="323">
        <v>0</v>
      </c>
      <c r="D524" s="323">
        <v>0</v>
      </c>
      <c r="E524" s="324">
        <v>394.4</v>
      </c>
      <c r="F524" s="324">
        <v>0</v>
      </c>
      <c r="G524" s="318">
        <f t="shared" si="17"/>
        <v>394.4</v>
      </c>
      <c r="H524" s="318">
        <f t="shared" si="18"/>
        <v>0</v>
      </c>
      <c r="I524" s="316"/>
      <c r="J524" s="109"/>
    </row>
    <row r="525" spans="1:10" s="108" customFormat="1" hidden="1" x14ac:dyDescent="0.2">
      <c r="A525" s="322" t="s">
        <v>857</v>
      </c>
      <c r="B525" s="322" t="s">
        <v>542</v>
      </c>
      <c r="C525" s="323">
        <v>0</v>
      </c>
      <c r="D525" s="323">
        <v>0</v>
      </c>
      <c r="E525" s="324">
        <v>725.58</v>
      </c>
      <c r="F525" s="324">
        <v>0</v>
      </c>
      <c r="G525" s="318">
        <f t="shared" si="17"/>
        <v>725.58</v>
      </c>
      <c r="H525" s="318">
        <f t="shared" si="18"/>
        <v>0</v>
      </c>
      <c r="I525" s="316"/>
      <c r="J525" s="109"/>
    </row>
    <row r="526" spans="1:10" s="108" customFormat="1" hidden="1" x14ac:dyDescent="0.2">
      <c r="A526" s="322" t="s">
        <v>858</v>
      </c>
      <c r="B526" s="322" t="s">
        <v>859</v>
      </c>
      <c r="C526" s="323">
        <v>0</v>
      </c>
      <c r="D526" s="323">
        <v>0</v>
      </c>
      <c r="E526" s="324">
        <v>44324.95</v>
      </c>
      <c r="F526" s="324">
        <v>0</v>
      </c>
      <c r="G526" s="318">
        <f t="shared" si="17"/>
        <v>44324.95</v>
      </c>
      <c r="H526" s="318">
        <f t="shared" si="18"/>
        <v>0</v>
      </c>
      <c r="I526" s="316"/>
      <c r="J526" s="109"/>
    </row>
    <row r="527" spans="1:10" s="108" customFormat="1" hidden="1" x14ac:dyDescent="0.2">
      <c r="A527" s="322" t="s">
        <v>860</v>
      </c>
      <c r="B527" s="322" t="s">
        <v>861</v>
      </c>
      <c r="C527" s="323">
        <v>0</v>
      </c>
      <c r="D527" s="323">
        <v>0</v>
      </c>
      <c r="E527" s="324">
        <v>708311.29</v>
      </c>
      <c r="F527" s="324">
        <v>0</v>
      </c>
      <c r="G527" s="318">
        <f t="shared" si="17"/>
        <v>708311.29</v>
      </c>
      <c r="H527" s="318">
        <f t="shared" si="18"/>
        <v>0</v>
      </c>
      <c r="I527" s="316"/>
      <c r="J527" s="109"/>
    </row>
    <row r="528" spans="1:10" s="108" customFormat="1" hidden="1" x14ac:dyDescent="0.2">
      <c r="A528" s="322" t="s">
        <v>862</v>
      </c>
      <c r="B528" s="322" t="s">
        <v>243</v>
      </c>
      <c r="C528" s="323">
        <v>0</v>
      </c>
      <c r="D528" s="323">
        <v>0</v>
      </c>
      <c r="E528" s="324">
        <v>288936.26</v>
      </c>
      <c r="F528" s="324">
        <v>0</v>
      </c>
      <c r="G528" s="318">
        <f t="shared" si="17"/>
        <v>288936.26</v>
      </c>
      <c r="H528" s="318">
        <f t="shared" si="18"/>
        <v>0</v>
      </c>
      <c r="I528" s="316"/>
      <c r="J528" s="109"/>
    </row>
    <row r="529" spans="1:10" s="108" customFormat="1" hidden="1" x14ac:dyDescent="0.2">
      <c r="A529" s="322" t="s">
        <v>863</v>
      </c>
      <c r="B529" s="322" t="s">
        <v>864</v>
      </c>
      <c r="C529" s="323">
        <v>0</v>
      </c>
      <c r="D529" s="323">
        <v>0</v>
      </c>
      <c r="E529" s="324">
        <v>418952.35</v>
      </c>
      <c r="F529" s="324">
        <v>18580.02</v>
      </c>
      <c r="G529" s="318">
        <f t="shared" si="17"/>
        <v>418952.35</v>
      </c>
      <c r="H529" s="318">
        <f t="shared" si="18"/>
        <v>18580.02</v>
      </c>
      <c r="I529" s="316"/>
      <c r="J529" s="109"/>
    </row>
    <row r="530" spans="1:10" s="108" customFormat="1" hidden="1" x14ac:dyDescent="0.2">
      <c r="A530" s="322" t="s">
        <v>865</v>
      </c>
      <c r="B530" s="322" t="s">
        <v>866</v>
      </c>
      <c r="C530" s="323">
        <v>0</v>
      </c>
      <c r="D530" s="323">
        <v>0</v>
      </c>
      <c r="E530" s="324">
        <v>51909.14</v>
      </c>
      <c r="F530" s="324">
        <v>0</v>
      </c>
      <c r="G530" s="318">
        <f t="shared" si="17"/>
        <v>51909.14</v>
      </c>
      <c r="H530" s="318">
        <f t="shared" si="18"/>
        <v>0</v>
      </c>
      <c r="I530" s="316"/>
      <c r="J530" s="109"/>
    </row>
    <row r="531" spans="1:10" s="108" customFormat="1" hidden="1" x14ac:dyDescent="0.2">
      <c r="A531" s="322" t="s">
        <v>867</v>
      </c>
      <c r="B531" s="322" t="s">
        <v>868</v>
      </c>
      <c r="C531" s="323">
        <v>0</v>
      </c>
      <c r="D531" s="323">
        <v>0</v>
      </c>
      <c r="E531" s="324">
        <v>71925.539999999994</v>
      </c>
      <c r="F531" s="324">
        <v>0</v>
      </c>
      <c r="G531" s="318">
        <f t="shared" si="17"/>
        <v>71925.539999999994</v>
      </c>
      <c r="H531" s="318">
        <f t="shared" si="18"/>
        <v>0</v>
      </c>
      <c r="I531" s="316"/>
      <c r="J531" s="109"/>
    </row>
    <row r="532" spans="1:10" s="108" customFormat="1" hidden="1" x14ac:dyDescent="0.2">
      <c r="A532" s="322" t="s">
        <v>869</v>
      </c>
      <c r="B532" s="322" t="s">
        <v>248</v>
      </c>
      <c r="C532" s="323">
        <v>0</v>
      </c>
      <c r="D532" s="323">
        <v>0</v>
      </c>
      <c r="E532" s="324">
        <v>153345.01</v>
      </c>
      <c r="F532" s="324">
        <v>0</v>
      </c>
      <c r="G532" s="318">
        <f t="shared" si="17"/>
        <v>153345.01</v>
      </c>
      <c r="H532" s="318">
        <f t="shared" si="18"/>
        <v>0</v>
      </c>
      <c r="I532" s="316"/>
      <c r="J532" s="109"/>
    </row>
    <row r="533" spans="1:10" s="108" customFormat="1" hidden="1" x14ac:dyDescent="0.2">
      <c r="A533" s="322" t="s">
        <v>870</v>
      </c>
      <c r="B533" s="322" t="s">
        <v>250</v>
      </c>
      <c r="C533" s="323">
        <v>0</v>
      </c>
      <c r="D533" s="323">
        <v>0</v>
      </c>
      <c r="E533" s="324">
        <v>13433.69</v>
      </c>
      <c r="F533" s="324">
        <v>0</v>
      </c>
      <c r="G533" s="318">
        <f t="shared" si="17"/>
        <v>13433.69</v>
      </c>
      <c r="H533" s="318">
        <f t="shared" si="18"/>
        <v>0</v>
      </c>
      <c r="I533" s="316"/>
      <c r="J533" s="109"/>
    </row>
    <row r="534" spans="1:10" s="108" customFormat="1" hidden="1" x14ac:dyDescent="0.2">
      <c r="A534" s="322" t="s">
        <v>871</v>
      </c>
      <c r="B534" s="322" t="s">
        <v>872</v>
      </c>
      <c r="C534" s="323">
        <v>0</v>
      </c>
      <c r="D534" s="323">
        <v>0</v>
      </c>
      <c r="E534" s="324">
        <v>71610.679999999993</v>
      </c>
      <c r="F534" s="324">
        <v>0</v>
      </c>
      <c r="G534" s="318">
        <f t="shared" si="17"/>
        <v>71610.679999999993</v>
      </c>
      <c r="H534" s="318">
        <f t="shared" si="18"/>
        <v>0</v>
      </c>
      <c r="I534" s="316"/>
      <c r="J534" s="109"/>
    </row>
    <row r="535" spans="1:10" s="108" customFormat="1" hidden="1" x14ac:dyDescent="0.2">
      <c r="A535" s="322" t="s">
        <v>873</v>
      </c>
      <c r="B535" s="322" t="s">
        <v>874</v>
      </c>
      <c r="C535" s="323">
        <v>0</v>
      </c>
      <c r="D535" s="323">
        <v>0</v>
      </c>
      <c r="E535" s="324">
        <v>221471.14</v>
      </c>
      <c r="F535" s="324">
        <v>10.44</v>
      </c>
      <c r="G535" s="318">
        <f t="shared" si="17"/>
        <v>221471.14</v>
      </c>
      <c r="H535" s="318">
        <f t="shared" si="18"/>
        <v>10.44</v>
      </c>
      <c r="I535" s="316"/>
      <c r="J535" s="109"/>
    </row>
    <row r="536" spans="1:10" s="108" customFormat="1" hidden="1" x14ac:dyDescent="0.2">
      <c r="A536" s="322" t="s">
        <v>875</v>
      </c>
      <c r="B536" s="322" t="s">
        <v>876</v>
      </c>
      <c r="C536" s="323">
        <v>0</v>
      </c>
      <c r="D536" s="323">
        <v>0</v>
      </c>
      <c r="E536" s="324">
        <v>75344.600000000006</v>
      </c>
      <c r="F536" s="324">
        <v>21704.37</v>
      </c>
      <c r="G536" s="318">
        <f t="shared" si="17"/>
        <v>75344.600000000006</v>
      </c>
      <c r="H536" s="318">
        <f t="shared" si="18"/>
        <v>21704.37</v>
      </c>
      <c r="I536" s="316"/>
      <c r="J536" s="109"/>
    </row>
    <row r="537" spans="1:10" s="108" customFormat="1" hidden="1" x14ac:dyDescent="0.2">
      <c r="A537" s="322" t="s">
        <v>877</v>
      </c>
      <c r="B537" s="322" t="s">
        <v>878</v>
      </c>
      <c r="C537" s="323">
        <v>0</v>
      </c>
      <c r="D537" s="323">
        <v>0</v>
      </c>
      <c r="E537" s="324">
        <v>7.5</v>
      </c>
      <c r="F537" s="324">
        <v>0</v>
      </c>
      <c r="G537" s="318">
        <f t="shared" si="17"/>
        <v>7.5</v>
      </c>
      <c r="H537" s="318">
        <f t="shared" si="18"/>
        <v>0</v>
      </c>
      <c r="I537" s="316"/>
      <c r="J537" s="109"/>
    </row>
    <row r="538" spans="1:10" s="108" customFormat="1" hidden="1" x14ac:dyDescent="0.2">
      <c r="A538" s="322" t="s">
        <v>879</v>
      </c>
      <c r="B538" s="322" t="s">
        <v>880</v>
      </c>
      <c r="C538" s="323">
        <v>0</v>
      </c>
      <c r="D538" s="323">
        <v>0</v>
      </c>
      <c r="E538" s="324">
        <v>1102.5</v>
      </c>
      <c r="F538" s="324">
        <v>0</v>
      </c>
      <c r="G538" s="318">
        <f t="shared" si="17"/>
        <v>1102.5</v>
      </c>
      <c r="H538" s="318">
        <f t="shared" si="18"/>
        <v>0</v>
      </c>
      <c r="I538" s="316"/>
      <c r="J538" s="109"/>
    </row>
    <row r="539" spans="1:10" s="108" customFormat="1" hidden="1" x14ac:dyDescent="0.2">
      <c r="A539" s="322" t="s">
        <v>881</v>
      </c>
      <c r="B539" s="322" t="s">
        <v>882</v>
      </c>
      <c r="C539" s="323">
        <v>0</v>
      </c>
      <c r="D539" s="323">
        <v>0</v>
      </c>
      <c r="E539" s="324">
        <v>10058</v>
      </c>
      <c r="F539" s="324">
        <v>0</v>
      </c>
      <c r="G539" s="318">
        <f t="shared" si="17"/>
        <v>10058</v>
      </c>
      <c r="H539" s="318">
        <f t="shared" si="18"/>
        <v>0</v>
      </c>
      <c r="I539" s="316"/>
      <c r="J539" s="109"/>
    </row>
    <row r="540" spans="1:10" s="108" customFormat="1" hidden="1" x14ac:dyDescent="0.2">
      <c r="A540" s="322" t="s">
        <v>883</v>
      </c>
      <c r="B540" s="322" t="s">
        <v>884</v>
      </c>
      <c r="C540" s="323">
        <v>0</v>
      </c>
      <c r="D540" s="323">
        <v>0</v>
      </c>
      <c r="E540" s="324">
        <v>37218.769999999997</v>
      </c>
      <c r="F540" s="324">
        <v>0</v>
      </c>
      <c r="G540" s="318">
        <f t="shared" si="17"/>
        <v>37218.769999999997</v>
      </c>
      <c r="H540" s="318">
        <f t="shared" si="18"/>
        <v>0</v>
      </c>
      <c r="I540" s="316"/>
      <c r="J540" s="109"/>
    </row>
    <row r="541" spans="1:10" s="108" customFormat="1" hidden="1" x14ac:dyDescent="0.2">
      <c r="A541" s="322" t="s">
        <v>885</v>
      </c>
      <c r="B541" s="322" t="s">
        <v>574</v>
      </c>
      <c r="C541" s="323">
        <v>0</v>
      </c>
      <c r="D541" s="323">
        <v>0</v>
      </c>
      <c r="E541" s="324">
        <v>7611.34</v>
      </c>
      <c r="F541" s="324">
        <v>0</v>
      </c>
      <c r="G541" s="318">
        <f t="shared" si="17"/>
        <v>7611.34</v>
      </c>
      <c r="H541" s="318">
        <f t="shared" si="18"/>
        <v>0</v>
      </c>
      <c r="I541" s="316"/>
      <c r="J541" s="109"/>
    </row>
    <row r="542" spans="1:10" s="108" customFormat="1" hidden="1" x14ac:dyDescent="0.2">
      <c r="A542" s="322" t="s">
        <v>886</v>
      </c>
      <c r="B542" s="322" t="s">
        <v>887</v>
      </c>
      <c r="C542" s="323">
        <v>0</v>
      </c>
      <c r="D542" s="323">
        <v>0</v>
      </c>
      <c r="E542" s="324">
        <v>70.099999999999994</v>
      </c>
      <c r="F542" s="324">
        <v>0</v>
      </c>
      <c r="G542" s="318">
        <f t="shared" si="17"/>
        <v>70.099999999999994</v>
      </c>
      <c r="H542" s="318">
        <f t="shared" si="18"/>
        <v>0</v>
      </c>
      <c r="I542" s="316"/>
      <c r="J542" s="109"/>
    </row>
    <row r="543" spans="1:10" s="108" customFormat="1" hidden="1" x14ac:dyDescent="0.2">
      <c r="A543" s="322" t="s">
        <v>888</v>
      </c>
      <c r="B543" s="322" t="s">
        <v>580</v>
      </c>
      <c r="C543" s="323">
        <v>0</v>
      </c>
      <c r="D543" s="323">
        <v>0</v>
      </c>
      <c r="E543" s="324">
        <v>1991127.79</v>
      </c>
      <c r="F543" s="324">
        <v>1756.35</v>
      </c>
      <c r="G543" s="318">
        <f t="shared" si="17"/>
        <v>1991127.79</v>
      </c>
      <c r="H543" s="318">
        <f t="shared" si="18"/>
        <v>1756.35</v>
      </c>
      <c r="I543" s="316"/>
      <c r="J543" s="109"/>
    </row>
    <row r="544" spans="1:10" s="108" customFormat="1" hidden="1" x14ac:dyDescent="0.2">
      <c r="A544" s="322" t="s">
        <v>889</v>
      </c>
      <c r="B544" s="322" t="s">
        <v>582</v>
      </c>
      <c r="C544" s="323">
        <v>0</v>
      </c>
      <c r="D544" s="323">
        <v>0</v>
      </c>
      <c r="E544" s="324">
        <v>90</v>
      </c>
      <c r="F544" s="324">
        <v>0</v>
      </c>
      <c r="G544" s="318">
        <f t="shared" si="17"/>
        <v>90</v>
      </c>
      <c r="H544" s="318">
        <f t="shared" si="18"/>
        <v>0</v>
      </c>
      <c r="I544" s="316"/>
      <c r="J544" s="109"/>
    </row>
    <row r="545" spans="1:10" s="108" customFormat="1" hidden="1" x14ac:dyDescent="0.2">
      <c r="A545" s="322" t="s">
        <v>890</v>
      </c>
      <c r="B545" s="322" t="s">
        <v>891</v>
      </c>
      <c r="C545" s="323">
        <v>0</v>
      </c>
      <c r="D545" s="323">
        <v>0</v>
      </c>
      <c r="E545" s="324">
        <v>113435.13</v>
      </c>
      <c r="F545" s="324">
        <v>197.75</v>
      </c>
      <c r="G545" s="318">
        <f t="shared" si="17"/>
        <v>113435.13</v>
      </c>
      <c r="H545" s="318">
        <f t="shared" si="18"/>
        <v>197.75</v>
      </c>
      <c r="I545" s="316"/>
      <c r="J545" s="109"/>
    </row>
    <row r="546" spans="1:10" s="108" customFormat="1" ht="11.1" hidden="1" customHeight="1" x14ac:dyDescent="0.2">
      <c r="A546" s="322" t="s">
        <v>892</v>
      </c>
      <c r="B546" s="322" t="s">
        <v>893</v>
      </c>
      <c r="C546" s="323">
        <v>0</v>
      </c>
      <c r="D546" s="323">
        <v>0</v>
      </c>
      <c r="E546" s="324">
        <f>5623.65+3159769.78</f>
        <v>3165393.4299999997</v>
      </c>
      <c r="F546" s="324">
        <v>0.6</v>
      </c>
      <c r="G546" s="318">
        <f t="shared" si="17"/>
        <v>3165393.4299999997</v>
      </c>
      <c r="H546" s="318">
        <f t="shared" si="18"/>
        <v>0.6</v>
      </c>
      <c r="I546" s="316"/>
      <c r="J546" s="109"/>
    </row>
    <row r="547" spans="1:10" s="108" customFormat="1" hidden="1" x14ac:dyDescent="0.2">
      <c r="A547" s="325"/>
      <c r="B547" s="325"/>
      <c r="C547" s="321">
        <f t="shared" ref="C547:H547" si="19">SUM(C7:C546)</f>
        <v>60468220.709999986</v>
      </c>
      <c r="D547" s="321">
        <f t="shared" si="19"/>
        <v>56482452.709999986</v>
      </c>
      <c r="E547" s="321">
        <f t="shared" si="19"/>
        <v>489511891.84893447</v>
      </c>
      <c r="F547" s="321">
        <f t="shared" si="19"/>
        <v>486247390.83371359</v>
      </c>
      <c r="G547" s="321">
        <f t="shared" si="19"/>
        <v>542046706.34999943</v>
      </c>
      <c r="H547" s="321">
        <f t="shared" si="19"/>
        <v>534796437.3347789</v>
      </c>
      <c r="I547" s="316"/>
      <c r="J547" s="109"/>
    </row>
    <row r="548" spans="1:10" s="108" customFormat="1" hidden="1" x14ac:dyDescent="0.2">
      <c r="A548" s="326"/>
      <c r="B548" s="326"/>
      <c r="C548" s="331"/>
      <c r="D548" s="327">
        <f>+C547-D547</f>
        <v>3985768</v>
      </c>
      <c r="E548" s="331"/>
      <c r="F548" s="327">
        <f>+E547-F547</f>
        <v>3264501.0152208805</v>
      </c>
      <c r="G548" s="331"/>
      <c r="H548" s="327">
        <f>+F548</f>
        <v>3264501.0152208805</v>
      </c>
      <c r="I548" s="316"/>
      <c r="J548" s="109"/>
    </row>
    <row r="549" spans="1:10" s="108" customFormat="1" hidden="1" x14ac:dyDescent="0.2">
      <c r="A549" s="325"/>
      <c r="B549" s="325"/>
      <c r="C549" s="321"/>
      <c r="D549" s="321"/>
      <c r="E549" s="321">
        <f t="shared" ref="E549:H549" si="20">+E547+E548</f>
        <v>489511891.84893447</v>
      </c>
      <c r="F549" s="321">
        <f t="shared" si="20"/>
        <v>489511891.84893447</v>
      </c>
      <c r="G549" s="321">
        <f t="shared" si="20"/>
        <v>542046706.34999943</v>
      </c>
      <c r="H549" s="321">
        <f t="shared" si="20"/>
        <v>538060938.34999979</v>
      </c>
      <c r="I549" s="316"/>
      <c r="J549" s="109"/>
    </row>
    <row r="550" spans="1:10" hidden="1" x14ac:dyDescent="0.2">
      <c r="H550" s="324">
        <f>+G549-H549</f>
        <v>3985767.9999996424</v>
      </c>
      <c r="J550" s="49"/>
    </row>
    <row r="551" spans="1:10" x14ac:dyDescent="0.2">
      <c r="A551" s="329"/>
      <c r="B551" s="329"/>
      <c r="C551" s="329"/>
      <c r="D551" s="329"/>
      <c r="E551" s="329"/>
      <c r="F551" s="329"/>
      <c r="G551" s="329"/>
      <c r="H551" s="330"/>
      <c r="I551" s="329"/>
      <c r="J551" s="49"/>
    </row>
    <row r="552" spans="1:10" x14ac:dyDescent="0.2">
      <c r="F552" s="328">
        <f>+F549-E549</f>
        <v>0</v>
      </c>
    </row>
  </sheetData>
  <mergeCells count="3">
    <mergeCell ref="C5:D5"/>
    <mergeCell ref="G5:H5"/>
    <mergeCell ref="E5:F5"/>
  </mergeCells>
  <printOptions horizontalCentered="1"/>
  <pageMargins left="0.35433070866141736" right="0.35433070866141736" top="0.31496062992125984" bottom="0.31496062992125984" header="0.31496062992125984" footer="0.31496062992125984"/>
  <pageSetup paperSize="9" scale="75" fitToHeight="2" orientation="portrait" r:id="rId1"/>
  <ignoredErrors>
    <ignoredError sqref="H111:H205" formula="1"/>
    <ignoredError sqref="A111:A22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O73"/>
  <sheetViews>
    <sheetView topLeftCell="WUP39" zoomScale="60" zoomScaleNormal="60" workbookViewId="0">
      <selection activeCell="WVN77" sqref="WVN77"/>
    </sheetView>
  </sheetViews>
  <sheetFormatPr baseColWidth="10" defaultColWidth="11.42578125" defaultRowHeight="15" customHeight="1" x14ac:dyDescent="0.2"/>
  <cols>
    <col min="1" max="1" width="1.5703125" style="342" customWidth="1"/>
    <col min="2" max="2" width="21.7109375" style="342" customWidth="1"/>
    <col min="3" max="6" width="14.7109375" style="342" customWidth="1"/>
    <col min="7" max="7" width="0.7109375" style="342" customWidth="1"/>
    <col min="8" max="8" width="15.140625" style="342" customWidth="1"/>
    <col min="9" max="9" width="12.140625" style="342" customWidth="1"/>
    <col min="10" max="10" width="10.5703125" style="342" bestFit="1" customWidth="1"/>
    <col min="11" max="11" width="8.85546875" style="342" bestFit="1" customWidth="1"/>
    <col min="12" max="12" width="10.140625" style="342" customWidth="1"/>
    <col min="13" max="13" width="8.5703125" style="342" customWidth="1"/>
    <col min="14" max="14" width="12.85546875" style="342" bestFit="1" customWidth="1"/>
    <col min="15" max="15" width="3.85546875" style="342" customWidth="1"/>
    <col min="16" max="253" width="11.42578125" style="342"/>
    <col min="254" max="254" width="11.42578125" style="342" customWidth="1"/>
    <col min="255" max="255" width="12.140625" style="342" customWidth="1"/>
    <col min="256" max="256" width="11.7109375" style="342" customWidth="1"/>
    <col min="257" max="257" width="14.42578125" style="342" customWidth="1"/>
    <col min="258" max="258" width="11" style="342" customWidth="1"/>
    <col min="259" max="259" width="17" style="342" bestFit="1" customWidth="1"/>
    <col min="260" max="260" width="15.7109375" style="342" customWidth="1"/>
    <col min="261" max="261" width="13.28515625" style="342" bestFit="1" customWidth="1"/>
    <col min="262" max="262" width="17.140625" style="342" customWidth="1"/>
    <col min="263" max="509" width="11.42578125" style="342"/>
    <col min="510" max="510" width="11.42578125" style="342" customWidth="1"/>
    <col min="511" max="511" width="12.140625" style="342" customWidth="1"/>
    <col min="512" max="512" width="11.7109375" style="342" customWidth="1"/>
    <col min="513" max="513" width="14.42578125" style="342" customWidth="1"/>
    <col min="514" max="514" width="11" style="342" customWidth="1"/>
    <col min="515" max="515" width="17" style="342" bestFit="1" customWidth="1"/>
    <col min="516" max="516" width="15.7109375" style="342" customWidth="1"/>
    <col min="517" max="517" width="13.28515625" style="342" bestFit="1" customWidth="1"/>
    <col min="518" max="518" width="17.140625" style="342" customWidth="1"/>
    <col min="519" max="765" width="11.42578125" style="342"/>
    <col min="766" max="766" width="11.42578125" style="342" customWidth="1"/>
    <col min="767" max="767" width="12.140625" style="342" customWidth="1"/>
    <col min="768" max="768" width="11.7109375" style="342" customWidth="1"/>
    <col min="769" max="769" width="14.42578125" style="342" customWidth="1"/>
    <col min="770" max="770" width="11" style="342" customWidth="1"/>
    <col min="771" max="771" width="17" style="342" bestFit="1" customWidth="1"/>
    <col min="772" max="772" width="15.7109375" style="342" customWidth="1"/>
    <col min="773" max="773" width="13.28515625" style="342" bestFit="1" customWidth="1"/>
    <col min="774" max="774" width="17.140625" style="342" customWidth="1"/>
    <col min="775" max="1021" width="11.42578125" style="342"/>
    <col min="1022" max="1022" width="11.42578125" style="342" customWidth="1"/>
    <col min="1023" max="1023" width="12.140625" style="342" customWidth="1"/>
    <col min="1024" max="1024" width="11.7109375" style="342" customWidth="1"/>
    <col min="1025" max="1025" width="14.42578125" style="342" customWidth="1"/>
    <col min="1026" max="1026" width="11" style="342" customWidth="1"/>
    <col min="1027" max="1027" width="17" style="342" bestFit="1" customWidth="1"/>
    <col min="1028" max="1028" width="15.7109375" style="342" customWidth="1"/>
    <col min="1029" max="1029" width="13.28515625" style="342" bestFit="1" customWidth="1"/>
    <col min="1030" max="1030" width="17.140625" style="342" customWidth="1"/>
    <col min="1031" max="1277" width="11.42578125" style="342"/>
    <col min="1278" max="1278" width="11.42578125" style="342" customWidth="1"/>
    <col min="1279" max="1279" width="12.140625" style="342" customWidth="1"/>
    <col min="1280" max="1280" width="11.7109375" style="342" customWidth="1"/>
    <col min="1281" max="1281" width="14.42578125" style="342" customWidth="1"/>
    <col min="1282" max="1282" width="11" style="342" customWidth="1"/>
    <col min="1283" max="1283" width="17" style="342" bestFit="1" customWidth="1"/>
    <col min="1284" max="1284" width="15.7109375" style="342" customWidth="1"/>
    <col min="1285" max="1285" width="13.28515625" style="342" bestFit="1" customWidth="1"/>
    <col min="1286" max="1286" width="17.140625" style="342" customWidth="1"/>
    <col min="1287" max="1533" width="11.42578125" style="342"/>
    <col min="1534" max="1534" width="11.42578125" style="342" customWidth="1"/>
    <col min="1535" max="1535" width="12.140625" style="342" customWidth="1"/>
    <col min="1536" max="1536" width="11.7109375" style="342" customWidth="1"/>
    <col min="1537" max="1537" width="14.42578125" style="342" customWidth="1"/>
    <col min="1538" max="1538" width="11" style="342" customWidth="1"/>
    <col min="1539" max="1539" width="17" style="342" bestFit="1" customWidth="1"/>
    <col min="1540" max="1540" width="15.7109375" style="342" customWidth="1"/>
    <col min="1541" max="1541" width="13.28515625" style="342" bestFit="1" customWidth="1"/>
    <col min="1542" max="1542" width="17.140625" style="342" customWidth="1"/>
    <col min="1543" max="1789" width="11.42578125" style="342"/>
    <col min="1790" max="1790" width="11.42578125" style="342" customWidth="1"/>
    <col min="1791" max="1791" width="12.140625" style="342" customWidth="1"/>
    <col min="1792" max="1792" width="11.7109375" style="342" customWidth="1"/>
    <col min="1793" max="1793" width="14.42578125" style="342" customWidth="1"/>
    <col min="1794" max="1794" width="11" style="342" customWidth="1"/>
    <col min="1795" max="1795" width="17" style="342" bestFit="1" customWidth="1"/>
    <col min="1796" max="1796" width="15.7109375" style="342" customWidth="1"/>
    <col min="1797" max="1797" width="13.28515625" style="342" bestFit="1" customWidth="1"/>
    <col min="1798" max="1798" width="17.140625" style="342" customWidth="1"/>
    <col min="1799" max="2045" width="11.42578125" style="342"/>
    <col min="2046" max="2046" width="11.42578125" style="342" customWidth="1"/>
    <col min="2047" max="2047" width="12.140625" style="342" customWidth="1"/>
    <col min="2048" max="2048" width="11.7109375" style="342" customWidth="1"/>
    <col min="2049" max="2049" width="14.42578125" style="342" customWidth="1"/>
    <col min="2050" max="2050" width="11" style="342" customWidth="1"/>
    <col min="2051" max="2051" width="17" style="342" bestFit="1" customWidth="1"/>
    <col min="2052" max="2052" width="15.7109375" style="342" customWidth="1"/>
    <col min="2053" max="2053" width="13.28515625" style="342" bestFit="1" customWidth="1"/>
    <col min="2054" max="2054" width="17.140625" style="342" customWidth="1"/>
    <col min="2055" max="2301" width="11.42578125" style="342"/>
    <col min="2302" max="2302" width="11.42578125" style="342" customWidth="1"/>
    <col min="2303" max="2303" width="12.140625" style="342" customWidth="1"/>
    <col min="2304" max="2304" width="11.7109375" style="342" customWidth="1"/>
    <col min="2305" max="2305" width="14.42578125" style="342" customWidth="1"/>
    <col min="2306" max="2306" width="11" style="342" customWidth="1"/>
    <col min="2307" max="2307" width="17" style="342" bestFit="1" customWidth="1"/>
    <col min="2308" max="2308" width="15.7109375" style="342" customWidth="1"/>
    <col min="2309" max="2309" width="13.28515625" style="342" bestFit="1" customWidth="1"/>
    <col min="2310" max="2310" width="17.140625" style="342" customWidth="1"/>
    <col min="2311" max="2557" width="11.42578125" style="342"/>
    <col min="2558" max="2558" width="11.42578125" style="342" customWidth="1"/>
    <col min="2559" max="2559" width="12.140625" style="342" customWidth="1"/>
    <col min="2560" max="2560" width="11.7109375" style="342" customWidth="1"/>
    <col min="2561" max="2561" width="14.42578125" style="342" customWidth="1"/>
    <col min="2562" max="2562" width="11" style="342" customWidth="1"/>
    <col min="2563" max="2563" width="17" style="342" bestFit="1" customWidth="1"/>
    <col min="2564" max="2564" width="15.7109375" style="342" customWidth="1"/>
    <col min="2565" max="2565" width="13.28515625" style="342" bestFit="1" customWidth="1"/>
    <col min="2566" max="2566" width="17.140625" style="342" customWidth="1"/>
    <col min="2567" max="2813" width="11.42578125" style="342"/>
    <col min="2814" max="2814" width="11.42578125" style="342" customWidth="1"/>
    <col min="2815" max="2815" width="12.140625" style="342" customWidth="1"/>
    <col min="2816" max="2816" width="11.7109375" style="342" customWidth="1"/>
    <col min="2817" max="2817" width="14.42578125" style="342" customWidth="1"/>
    <col min="2818" max="2818" width="11" style="342" customWidth="1"/>
    <col min="2819" max="2819" width="17" style="342" bestFit="1" customWidth="1"/>
    <col min="2820" max="2820" width="15.7109375" style="342" customWidth="1"/>
    <col min="2821" max="2821" width="13.28515625" style="342" bestFit="1" customWidth="1"/>
    <col min="2822" max="2822" width="17.140625" style="342" customWidth="1"/>
    <col min="2823" max="3069" width="11.42578125" style="342"/>
    <col min="3070" max="3070" width="11.42578125" style="342" customWidth="1"/>
    <col min="3071" max="3071" width="12.140625" style="342" customWidth="1"/>
    <col min="3072" max="3072" width="11.7109375" style="342" customWidth="1"/>
    <col min="3073" max="3073" width="14.42578125" style="342" customWidth="1"/>
    <col min="3074" max="3074" width="11" style="342" customWidth="1"/>
    <col min="3075" max="3075" width="17" style="342" bestFit="1" customWidth="1"/>
    <col min="3076" max="3076" width="15.7109375" style="342" customWidth="1"/>
    <col min="3077" max="3077" width="13.28515625" style="342" bestFit="1" customWidth="1"/>
    <col min="3078" max="3078" width="17.140625" style="342" customWidth="1"/>
    <col min="3079" max="3325" width="11.42578125" style="342"/>
    <col min="3326" max="3326" width="11.42578125" style="342" customWidth="1"/>
    <col min="3327" max="3327" width="12.140625" style="342" customWidth="1"/>
    <col min="3328" max="3328" width="11.7109375" style="342" customWidth="1"/>
    <col min="3329" max="3329" width="14.42578125" style="342" customWidth="1"/>
    <col min="3330" max="3330" width="11" style="342" customWidth="1"/>
    <col min="3331" max="3331" width="17" style="342" bestFit="1" customWidth="1"/>
    <col min="3332" max="3332" width="15.7109375" style="342" customWidth="1"/>
    <col min="3333" max="3333" width="13.28515625" style="342" bestFit="1" customWidth="1"/>
    <col min="3334" max="3334" width="17.140625" style="342" customWidth="1"/>
    <col min="3335" max="3581" width="11.42578125" style="342"/>
    <col min="3582" max="3582" width="11.42578125" style="342" customWidth="1"/>
    <col min="3583" max="3583" width="12.140625" style="342" customWidth="1"/>
    <col min="3584" max="3584" width="11.7109375" style="342" customWidth="1"/>
    <col min="3585" max="3585" width="14.42578125" style="342" customWidth="1"/>
    <col min="3586" max="3586" width="11" style="342" customWidth="1"/>
    <col min="3587" max="3587" width="17" style="342" bestFit="1" customWidth="1"/>
    <col min="3588" max="3588" width="15.7109375" style="342" customWidth="1"/>
    <col min="3589" max="3589" width="13.28515625" style="342" bestFit="1" customWidth="1"/>
    <col min="3590" max="3590" width="17.140625" style="342" customWidth="1"/>
    <col min="3591" max="3837" width="11.42578125" style="342"/>
    <col min="3838" max="3838" width="11.42578125" style="342" customWidth="1"/>
    <col min="3839" max="3839" width="12.140625" style="342" customWidth="1"/>
    <col min="3840" max="3840" width="11.7109375" style="342" customWidth="1"/>
    <col min="3841" max="3841" width="14.42578125" style="342" customWidth="1"/>
    <col min="3842" max="3842" width="11" style="342" customWidth="1"/>
    <col min="3843" max="3843" width="17" style="342" bestFit="1" customWidth="1"/>
    <col min="3844" max="3844" width="15.7109375" style="342" customWidth="1"/>
    <col min="3845" max="3845" width="13.28515625" style="342" bestFit="1" customWidth="1"/>
    <col min="3846" max="3846" width="17.140625" style="342" customWidth="1"/>
    <col min="3847" max="4093" width="11.42578125" style="342"/>
    <col min="4094" max="4094" width="11.42578125" style="342" customWidth="1"/>
    <col min="4095" max="4095" width="12.140625" style="342" customWidth="1"/>
    <col min="4096" max="4096" width="11.7109375" style="342" customWidth="1"/>
    <col min="4097" max="4097" width="14.42578125" style="342" customWidth="1"/>
    <col min="4098" max="4098" width="11" style="342" customWidth="1"/>
    <col min="4099" max="4099" width="17" style="342" bestFit="1" customWidth="1"/>
    <col min="4100" max="4100" width="15.7109375" style="342" customWidth="1"/>
    <col min="4101" max="4101" width="13.28515625" style="342" bestFit="1" customWidth="1"/>
    <col min="4102" max="4102" width="17.140625" style="342" customWidth="1"/>
    <col min="4103" max="4349" width="11.42578125" style="342"/>
    <col min="4350" max="4350" width="11.42578125" style="342" customWidth="1"/>
    <col min="4351" max="4351" width="12.140625" style="342" customWidth="1"/>
    <col min="4352" max="4352" width="11.7109375" style="342" customWidth="1"/>
    <col min="4353" max="4353" width="14.42578125" style="342" customWidth="1"/>
    <col min="4354" max="4354" width="11" style="342" customWidth="1"/>
    <col min="4355" max="4355" width="17" style="342" bestFit="1" customWidth="1"/>
    <col min="4356" max="4356" width="15.7109375" style="342" customWidth="1"/>
    <col min="4357" max="4357" width="13.28515625" style="342" bestFit="1" customWidth="1"/>
    <col min="4358" max="4358" width="17.140625" style="342" customWidth="1"/>
    <col min="4359" max="4605" width="11.42578125" style="342"/>
    <col min="4606" max="4606" width="11.42578125" style="342" customWidth="1"/>
    <col min="4607" max="4607" width="12.140625" style="342" customWidth="1"/>
    <col min="4608" max="4608" width="11.7109375" style="342" customWidth="1"/>
    <col min="4609" max="4609" width="14.42578125" style="342" customWidth="1"/>
    <col min="4610" max="4610" width="11" style="342" customWidth="1"/>
    <col min="4611" max="4611" width="17" style="342" bestFit="1" customWidth="1"/>
    <col min="4612" max="4612" width="15.7109375" style="342" customWidth="1"/>
    <col min="4613" max="4613" width="13.28515625" style="342" bestFit="1" customWidth="1"/>
    <col min="4614" max="4614" width="17.140625" style="342" customWidth="1"/>
    <col min="4615" max="4861" width="11.42578125" style="342"/>
    <col min="4862" max="4862" width="11.42578125" style="342" customWidth="1"/>
    <col min="4863" max="4863" width="12.140625" style="342" customWidth="1"/>
    <col min="4864" max="4864" width="11.7109375" style="342" customWidth="1"/>
    <col min="4865" max="4865" width="14.42578125" style="342" customWidth="1"/>
    <col min="4866" max="4866" width="11" style="342" customWidth="1"/>
    <col min="4867" max="4867" width="17" style="342" bestFit="1" customWidth="1"/>
    <col min="4868" max="4868" width="15.7109375" style="342" customWidth="1"/>
    <col min="4869" max="4869" width="13.28515625" style="342" bestFit="1" customWidth="1"/>
    <col min="4870" max="4870" width="17.140625" style="342" customWidth="1"/>
    <col min="4871" max="5117" width="11.42578125" style="342"/>
    <col min="5118" max="5118" width="11.42578125" style="342" customWidth="1"/>
    <col min="5119" max="5119" width="12.140625" style="342" customWidth="1"/>
    <col min="5120" max="5120" width="11.7109375" style="342" customWidth="1"/>
    <col min="5121" max="5121" width="14.42578125" style="342" customWidth="1"/>
    <col min="5122" max="5122" width="11" style="342" customWidth="1"/>
    <col min="5123" max="5123" width="17" style="342" bestFit="1" customWidth="1"/>
    <col min="5124" max="5124" width="15.7109375" style="342" customWidth="1"/>
    <col min="5125" max="5125" width="13.28515625" style="342" bestFit="1" customWidth="1"/>
    <col min="5126" max="5126" width="17.140625" style="342" customWidth="1"/>
    <col min="5127" max="5373" width="11.42578125" style="342"/>
    <col min="5374" max="5374" width="11.42578125" style="342" customWidth="1"/>
    <col min="5375" max="5375" width="12.140625" style="342" customWidth="1"/>
    <col min="5376" max="5376" width="11.7109375" style="342" customWidth="1"/>
    <col min="5377" max="5377" width="14.42578125" style="342" customWidth="1"/>
    <col min="5378" max="5378" width="11" style="342" customWidth="1"/>
    <col min="5379" max="5379" width="17" style="342" bestFit="1" customWidth="1"/>
    <col min="5380" max="5380" width="15.7109375" style="342" customWidth="1"/>
    <col min="5381" max="5381" width="13.28515625" style="342" bestFit="1" customWidth="1"/>
    <col min="5382" max="5382" width="17.140625" style="342" customWidth="1"/>
    <col min="5383" max="5629" width="11.42578125" style="342"/>
    <col min="5630" max="5630" width="11.42578125" style="342" customWidth="1"/>
    <col min="5631" max="5631" width="12.140625" style="342" customWidth="1"/>
    <col min="5632" max="5632" width="11.7109375" style="342" customWidth="1"/>
    <col min="5633" max="5633" width="14.42578125" style="342" customWidth="1"/>
    <col min="5634" max="5634" width="11" style="342" customWidth="1"/>
    <col min="5635" max="5635" width="17" style="342" bestFit="1" customWidth="1"/>
    <col min="5636" max="5636" width="15.7109375" style="342" customWidth="1"/>
    <col min="5637" max="5637" width="13.28515625" style="342" bestFit="1" customWidth="1"/>
    <col min="5638" max="5638" width="17.140625" style="342" customWidth="1"/>
    <col min="5639" max="5885" width="11.42578125" style="342"/>
    <col min="5886" max="5886" width="11.42578125" style="342" customWidth="1"/>
    <col min="5887" max="5887" width="12.140625" style="342" customWidth="1"/>
    <col min="5888" max="5888" width="11.7109375" style="342" customWidth="1"/>
    <col min="5889" max="5889" width="14.42578125" style="342" customWidth="1"/>
    <col min="5890" max="5890" width="11" style="342" customWidth="1"/>
    <col min="5891" max="5891" width="17" style="342" bestFit="1" customWidth="1"/>
    <col min="5892" max="5892" width="15.7109375" style="342" customWidth="1"/>
    <col min="5893" max="5893" width="13.28515625" style="342" bestFit="1" customWidth="1"/>
    <col min="5894" max="5894" width="17.140625" style="342" customWidth="1"/>
    <col min="5895" max="6141" width="11.42578125" style="342"/>
    <col min="6142" max="6142" width="11.42578125" style="342" customWidth="1"/>
    <col min="6143" max="6143" width="12.140625" style="342" customWidth="1"/>
    <col min="6144" max="6144" width="11.7109375" style="342" customWidth="1"/>
    <col min="6145" max="6145" width="14.42578125" style="342" customWidth="1"/>
    <col min="6146" max="6146" width="11" style="342" customWidth="1"/>
    <col min="6147" max="6147" width="17" style="342" bestFit="1" customWidth="1"/>
    <col min="6148" max="6148" width="15.7109375" style="342" customWidth="1"/>
    <col min="6149" max="6149" width="13.28515625" style="342" bestFit="1" customWidth="1"/>
    <col min="6150" max="6150" width="17.140625" style="342" customWidth="1"/>
    <col min="6151" max="6397" width="11.42578125" style="342"/>
    <col min="6398" max="6398" width="11.42578125" style="342" customWidth="1"/>
    <col min="6399" max="6399" width="12.140625" style="342" customWidth="1"/>
    <col min="6400" max="6400" width="11.7109375" style="342" customWidth="1"/>
    <col min="6401" max="6401" width="14.42578125" style="342" customWidth="1"/>
    <col min="6402" max="6402" width="11" style="342" customWidth="1"/>
    <col min="6403" max="6403" width="17" style="342" bestFit="1" customWidth="1"/>
    <col min="6404" max="6404" width="15.7109375" style="342" customWidth="1"/>
    <col min="6405" max="6405" width="13.28515625" style="342" bestFit="1" customWidth="1"/>
    <col min="6406" max="6406" width="17.140625" style="342" customWidth="1"/>
    <col min="6407" max="6653" width="11.42578125" style="342"/>
    <col min="6654" max="6654" width="11.42578125" style="342" customWidth="1"/>
    <col min="6655" max="6655" width="12.140625" style="342" customWidth="1"/>
    <col min="6656" max="6656" width="11.7109375" style="342" customWidth="1"/>
    <col min="6657" max="6657" width="14.42578125" style="342" customWidth="1"/>
    <col min="6658" max="6658" width="11" style="342" customWidth="1"/>
    <col min="6659" max="6659" width="17" style="342" bestFit="1" customWidth="1"/>
    <col min="6660" max="6660" width="15.7109375" style="342" customWidth="1"/>
    <col min="6661" max="6661" width="13.28515625" style="342" bestFit="1" customWidth="1"/>
    <col min="6662" max="6662" width="17.140625" style="342" customWidth="1"/>
    <col min="6663" max="6909" width="11.42578125" style="342"/>
    <col min="6910" max="6910" width="11.42578125" style="342" customWidth="1"/>
    <col min="6911" max="6911" width="12.140625" style="342" customWidth="1"/>
    <col min="6912" max="6912" width="11.7109375" style="342" customWidth="1"/>
    <col min="6913" max="6913" width="14.42578125" style="342" customWidth="1"/>
    <col min="6914" max="6914" width="11" style="342" customWidth="1"/>
    <col min="6915" max="6915" width="17" style="342" bestFit="1" customWidth="1"/>
    <col min="6916" max="6916" width="15.7109375" style="342" customWidth="1"/>
    <col min="6917" max="6917" width="13.28515625" style="342" bestFit="1" customWidth="1"/>
    <col min="6918" max="6918" width="17.140625" style="342" customWidth="1"/>
    <col min="6919" max="7165" width="11.42578125" style="342"/>
    <col min="7166" max="7166" width="11.42578125" style="342" customWidth="1"/>
    <col min="7167" max="7167" width="12.140625" style="342" customWidth="1"/>
    <col min="7168" max="7168" width="11.7109375" style="342" customWidth="1"/>
    <col min="7169" max="7169" width="14.42578125" style="342" customWidth="1"/>
    <col min="7170" max="7170" width="11" style="342" customWidth="1"/>
    <col min="7171" max="7171" width="17" style="342" bestFit="1" customWidth="1"/>
    <col min="7172" max="7172" width="15.7109375" style="342" customWidth="1"/>
    <col min="7173" max="7173" width="13.28515625" style="342" bestFit="1" customWidth="1"/>
    <col min="7174" max="7174" width="17.140625" style="342" customWidth="1"/>
    <col min="7175" max="7421" width="11.42578125" style="342"/>
    <col min="7422" max="7422" width="11.42578125" style="342" customWidth="1"/>
    <col min="7423" max="7423" width="12.140625" style="342" customWidth="1"/>
    <col min="7424" max="7424" width="11.7109375" style="342" customWidth="1"/>
    <col min="7425" max="7425" width="14.42578125" style="342" customWidth="1"/>
    <col min="7426" max="7426" width="11" style="342" customWidth="1"/>
    <col min="7427" max="7427" width="17" style="342" bestFit="1" customWidth="1"/>
    <col min="7428" max="7428" width="15.7109375" style="342" customWidth="1"/>
    <col min="7429" max="7429" width="13.28515625" style="342" bestFit="1" customWidth="1"/>
    <col min="7430" max="7430" width="17.140625" style="342" customWidth="1"/>
    <col min="7431" max="7677" width="11.42578125" style="342"/>
    <col min="7678" max="7678" width="11.42578125" style="342" customWidth="1"/>
    <col min="7679" max="7679" width="12.140625" style="342" customWidth="1"/>
    <col min="7680" max="7680" width="11.7109375" style="342" customWidth="1"/>
    <col min="7681" max="7681" width="14.42578125" style="342" customWidth="1"/>
    <col min="7682" max="7682" width="11" style="342" customWidth="1"/>
    <col min="7683" max="7683" width="17" style="342" bestFit="1" customWidth="1"/>
    <col min="7684" max="7684" width="15.7109375" style="342" customWidth="1"/>
    <col min="7685" max="7685" width="13.28515625" style="342" bestFit="1" customWidth="1"/>
    <col min="7686" max="7686" width="17.140625" style="342" customWidth="1"/>
    <col min="7687" max="7933" width="11.42578125" style="342"/>
    <col min="7934" max="7934" width="11.42578125" style="342" customWidth="1"/>
    <col min="7935" max="7935" width="12.140625" style="342" customWidth="1"/>
    <col min="7936" max="7936" width="11.7109375" style="342" customWidth="1"/>
    <col min="7937" max="7937" width="14.42578125" style="342" customWidth="1"/>
    <col min="7938" max="7938" width="11" style="342" customWidth="1"/>
    <col min="7939" max="7939" width="17" style="342" bestFit="1" customWidth="1"/>
    <col min="7940" max="7940" width="15.7109375" style="342" customWidth="1"/>
    <col min="7941" max="7941" width="13.28515625" style="342" bestFit="1" customWidth="1"/>
    <col min="7942" max="7942" width="17.140625" style="342" customWidth="1"/>
    <col min="7943" max="8189" width="11.42578125" style="342"/>
    <col min="8190" max="8190" width="11.42578125" style="342" customWidth="1"/>
    <col min="8191" max="8191" width="12.140625" style="342" customWidth="1"/>
    <col min="8192" max="8192" width="11.7109375" style="342" customWidth="1"/>
    <col min="8193" max="8193" width="14.42578125" style="342" customWidth="1"/>
    <col min="8194" max="8194" width="11" style="342" customWidth="1"/>
    <col min="8195" max="8195" width="17" style="342" bestFit="1" customWidth="1"/>
    <col min="8196" max="8196" width="15.7109375" style="342" customWidth="1"/>
    <col min="8197" max="8197" width="13.28515625" style="342" bestFit="1" customWidth="1"/>
    <col min="8198" max="8198" width="17.140625" style="342" customWidth="1"/>
    <col min="8199" max="8445" width="11.42578125" style="342"/>
    <col min="8446" max="8446" width="11.42578125" style="342" customWidth="1"/>
    <col min="8447" max="8447" width="12.140625" style="342" customWidth="1"/>
    <col min="8448" max="8448" width="11.7109375" style="342" customWidth="1"/>
    <col min="8449" max="8449" width="14.42578125" style="342" customWidth="1"/>
    <col min="8450" max="8450" width="11" style="342" customWidth="1"/>
    <col min="8451" max="8451" width="17" style="342" bestFit="1" customWidth="1"/>
    <col min="8452" max="8452" width="15.7109375" style="342" customWidth="1"/>
    <col min="8453" max="8453" width="13.28515625" style="342" bestFit="1" customWidth="1"/>
    <col min="8454" max="8454" width="17.140625" style="342" customWidth="1"/>
    <col min="8455" max="8701" width="11.42578125" style="342"/>
    <col min="8702" max="8702" width="11.42578125" style="342" customWidth="1"/>
    <col min="8703" max="8703" width="12.140625" style="342" customWidth="1"/>
    <col min="8704" max="8704" width="11.7109375" style="342" customWidth="1"/>
    <col min="8705" max="8705" width="14.42578125" style="342" customWidth="1"/>
    <col min="8706" max="8706" width="11" style="342" customWidth="1"/>
    <col min="8707" max="8707" width="17" style="342" bestFit="1" customWidth="1"/>
    <col min="8708" max="8708" width="15.7109375" style="342" customWidth="1"/>
    <col min="8709" max="8709" width="13.28515625" style="342" bestFit="1" customWidth="1"/>
    <col min="8710" max="8710" width="17.140625" style="342" customWidth="1"/>
    <col min="8711" max="8957" width="11.42578125" style="342"/>
    <col min="8958" max="8958" width="11.42578125" style="342" customWidth="1"/>
    <col min="8959" max="8959" width="12.140625" style="342" customWidth="1"/>
    <col min="8960" max="8960" width="11.7109375" style="342" customWidth="1"/>
    <col min="8961" max="8961" width="14.42578125" style="342" customWidth="1"/>
    <col min="8962" max="8962" width="11" style="342" customWidth="1"/>
    <col min="8963" max="8963" width="17" style="342" bestFit="1" customWidth="1"/>
    <col min="8964" max="8964" width="15.7109375" style="342" customWidth="1"/>
    <col min="8965" max="8965" width="13.28515625" style="342" bestFit="1" customWidth="1"/>
    <col min="8966" max="8966" width="17.140625" style="342" customWidth="1"/>
    <col min="8967" max="9213" width="11.42578125" style="342"/>
    <col min="9214" max="9214" width="11.42578125" style="342" customWidth="1"/>
    <col min="9215" max="9215" width="12.140625" style="342" customWidth="1"/>
    <col min="9216" max="9216" width="11.7109375" style="342" customWidth="1"/>
    <col min="9217" max="9217" width="14.42578125" style="342" customWidth="1"/>
    <col min="9218" max="9218" width="11" style="342" customWidth="1"/>
    <col min="9219" max="9219" width="17" style="342" bestFit="1" customWidth="1"/>
    <col min="9220" max="9220" width="15.7109375" style="342" customWidth="1"/>
    <col min="9221" max="9221" width="13.28515625" style="342" bestFit="1" customWidth="1"/>
    <col min="9222" max="9222" width="17.140625" style="342" customWidth="1"/>
    <col min="9223" max="9469" width="11.42578125" style="342"/>
    <col min="9470" max="9470" width="11.42578125" style="342" customWidth="1"/>
    <col min="9471" max="9471" width="12.140625" style="342" customWidth="1"/>
    <col min="9472" max="9472" width="11.7109375" style="342" customWidth="1"/>
    <col min="9473" max="9473" width="14.42578125" style="342" customWidth="1"/>
    <col min="9474" max="9474" width="11" style="342" customWidth="1"/>
    <col min="9475" max="9475" width="17" style="342" bestFit="1" customWidth="1"/>
    <col min="9476" max="9476" width="15.7109375" style="342" customWidth="1"/>
    <col min="9477" max="9477" width="13.28515625" style="342" bestFit="1" customWidth="1"/>
    <col min="9478" max="9478" width="17.140625" style="342" customWidth="1"/>
    <col min="9479" max="9725" width="11.42578125" style="342"/>
    <col min="9726" max="9726" width="11.42578125" style="342" customWidth="1"/>
    <col min="9727" max="9727" width="12.140625" style="342" customWidth="1"/>
    <col min="9728" max="9728" width="11.7109375" style="342" customWidth="1"/>
    <col min="9729" max="9729" width="14.42578125" style="342" customWidth="1"/>
    <col min="9730" max="9730" width="11" style="342" customWidth="1"/>
    <col min="9731" max="9731" width="17" style="342" bestFit="1" customWidth="1"/>
    <col min="9732" max="9732" width="15.7109375" style="342" customWidth="1"/>
    <col min="9733" max="9733" width="13.28515625" style="342" bestFit="1" customWidth="1"/>
    <col min="9734" max="9734" width="17.140625" style="342" customWidth="1"/>
    <col min="9735" max="9981" width="11.42578125" style="342"/>
    <col min="9982" max="9982" width="11.42578125" style="342" customWidth="1"/>
    <col min="9983" max="9983" width="12.140625" style="342" customWidth="1"/>
    <col min="9984" max="9984" width="11.7109375" style="342" customWidth="1"/>
    <col min="9985" max="9985" width="14.42578125" style="342" customWidth="1"/>
    <col min="9986" max="9986" width="11" style="342" customWidth="1"/>
    <col min="9987" max="9987" width="17" style="342" bestFit="1" customWidth="1"/>
    <col min="9988" max="9988" width="15.7109375" style="342" customWidth="1"/>
    <col min="9989" max="9989" width="13.28515625" style="342" bestFit="1" customWidth="1"/>
    <col min="9990" max="9990" width="17.140625" style="342" customWidth="1"/>
    <col min="9991" max="10237" width="11.42578125" style="342"/>
    <col min="10238" max="10238" width="11.42578125" style="342" customWidth="1"/>
    <col min="10239" max="10239" width="12.140625" style="342" customWidth="1"/>
    <col min="10240" max="10240" width="11.7109375" style="342" customWidth="1"/>
    <col min="10241" max="10241" width="14.42578125" style="342" customWidth="1"/>
    <col min="10242" max="10242" width="11" style="342" customWidth="1"/>
    <col min="10243" max="10243" width="17" style="342" bestFit="1" customWidth="1"/>
    <col min="10244" max="10244" width="15.7109375" style="342" customWidth="1"/>
    <col min="10245" max="10245" width="13.28515625" style="342" bestFit="1" customWidth="1"/>
    <col min="10246" max="10246" width="17.140625" style="342" customWidth="1"/>
    <col min="10247" max="10493" width="11.42578125" style="342"/>
    <col min="10494" max="10494" width="11.42578125" style="342" customWidth="1"/>
    <col min="10495" max="10495" width="12.140625" style="342" customWidth="1"/>
    <col min="10496" max="10496" width="11.7109375" style="342" customWidth="1"/>
    <col min="10497" max="10497" width="14.42578125" style="342" customWidth="1"/>
    <col min="10498" max="10498" width="11" style="342" customWidth="1"/>
    <col min="10499" max="10499" width="17" style="342" bestFit="1" customWidth="1"/>
    <col min="10500" max="10500" width="15.7109375" style="342" customWidth="1"/>
    <col min="10501" max="10501" width="13.28515625" style="342" bestFit="1" customWidth="1"/>
    <col min="10502" max="10502" width="17.140625" style="342" customWidth="1"/>
    <col min="10503" max="10749" width="11.42578125" style="342"/>
    <col min="10750" max="10750" width="11.42578125" style="342" customWidth="1"/>
    <col min="10751" max="10751" width="12.140625" style="342" customWidth="1"/>
    <col min="10752" max="10752" width="11.7109375" style="342" customWidth="1"/>
    <col min="10753" max="10753" width="14.42578125" style="342" customWidth="1"/>
    <col min="10754" max="10754" width="11" style="342" customWidth="1"/>
    <col min="10755" max="10755" width="17" style="342" bestFit="1" customWidth="1"/>
    <col min="10756" max="10756" width="15.7109375" style="342" customWidth="1"/>
    <col min="10757" max="10757" width="13.28515625" style="342" bestFit="1" customWidth="1"/>
    <col min="10758" max="10758" width="17.140625" style="342" customWidth="1"/>
    <col min="10759" max="11005" width="11.42578125" style="342"/>
    <col min="11006" max="11006" width="11.42578125" style="342" customWidth="1"/>
    <col min="11007" max="11007" width="12.140625" style="342" customWidth="1"/>
    <col min="11008" max="11008" width="11.7109375" style="342" customWidth="1"/>
    <col min="11009" max="11009" width="14.42578125" style="342" customWidth="1"/>
    <col min="11010" max="11010" width="11" style="342" customWidth="1"/>
    <col min="11011" max="11011" width="17" style="342" bestFit="1" customWidth="1"/>
    <col min="11012" max="11012" width="15.7109375" style="342" customWidth="1"/>
    <col min="11013" max="11013" width="13.28515625" style="342" bestFit="1" customWidth="1"/>
    <col min="11014" max="11014" width="17.140625" style="342" customWidth="1"/>
    <col min="11015" max="11261" width="11.42578125" style="342"/>
    <col min="11262" max="11262" width="11.42578125" style="342" customWidth="1"/>
    <col min="11263" max="11263" width="12.140625" style="342" customWidth="1"/>
    <col min="11264" max="11264" width="11.7109375" style="342" customWidth="1"/>
    <col min="11265" max="11265" width="14.42578125" style="342" customWidth="1"/>
    <col min="11266" max="11266" width="11" style="342" customWidth="1"/>
    <col min="11267" max="11267" width="17" style="342" bestFit="1" customWidth="1"/>
    <col min="11268" max="11268" width="15.7109375" style="342" customWidth="1"/>
    <col min="11269" max="11269" width="13.28515625" style="342" bestFit="1" customWidth="1"/>
    <col min="11270" max="11270" width="17.140625" style="342" customWidth="1"/>
    <col min="11271" max="11517" width="11.42578125" style="342"/>
    <col min="11518" max="11518" width="11.42578125" style="342" customWidth="1"/>
    <col min="11519" max="11519" width="12.140625" style="342" customWidth="1"/>
    <col min="11520" max="11520" width="11.7109375" style="342" customWidth="1"/>
    <col min="11521" max="11521" width="14.42578125" style="342" customWidth="1"/>
    <col min="11522" max="11522" width="11" style="342" customWidth="1"/>
    <col min="11523" max="11523" width="17" style="342" bestFit="1" customWidth="1"/>
    <col min="11524" max="11524" width="15.7109375" style="342" customWidth="1"/>
    <col min="11525" max="11525" width="13.28515625" style="342" bestFit="1" customWidth="1"/>
    <col min="11526" max="11526" width="17.140625" style="342" customWidth="1"/>
    <col min="11527" max="11773" width="11.42578125" style="342"/>
    <col min="11774" max="11774" width="11.42578125" style="342" customWidth="1"/>
    <col min="11775" max="11775" width="12.140625" style="342" customWidth="1"/>
    <col min="11776" max="11776" width="11.7109375" style="342" customWidth="1"/>
    <col min="11777" max="11777" width="14.42578125" style="342" customWidth="1"/>
    <col min="11778" max="11778" width="11" style="342" customWidth="1"/>
    <col min="11779" max="11779" width="17" style="342" bestFit="1" customWidth="1"/>
    <col min="11780" max="11780" width="15.7109375" style="342" customWidth="1"/>
    <col min="11781" max="11781" width="13.28515625" style="342" bestFit="1" customWidth="1"/>
    <col min="11782" max="11782" width="17.140625" style="342" customWidth="1"/>
    <col min="11783" max="12029" width="11.42578125" style="342"/>
    <col min="12030" max="12030" width="11.42578125" style="342" customWidth="1"/>
    <col min="12031" max="12031" width="12.140625" style="342" customWidth="1"/>
    <col min="12032" max="12032" width="11.7109375" style="342" customWidth="1"/>
    <col min="12033" max="12033" width="14.42578125" style="342" customWidth="1"/>
    <col min="12034" max="12034" width="11" style="342" customWidth="1"/>
    <col min="12035" max="12035" width="17" style="342" bestFit="1" customWidth="1"/>
    <col min="12036" max="12036" width="15.7109375" style="342" customWidth="1"/>
    <col min="12037" max="12037" width="13.28515625" style="342" bestFit="1" customWidth="1"/>
    <col min="12038" max="12038" width="17.140625" style="342" customWidth="1"/>
    <col min="12039" max="12285" width="11.42578125" style="342"/>
    <col min="12286" max="12286" width="11.42578125" style="342" customWidth="1"/>
    <col min="12287" max="12287" width="12.140625" style="342" customWidth="1"/>
    <col min="12288" max="12288" width="11.7109375" style="342" customWidth="1"/>
    <col min="12289" max="12289" width="14.42578125" style="342" customWidth="1"/>
    <col min="12290" max="12290" width="11" style="342" customWidth="1"/>
    <col min="12291" max="12291" width="17" style="342" bestFit="1" customWidth="1"/>
    <col min="12292" max="12292" width="15.7109375" style="342" customWidth="1"/>
    <col min="12293" max="12293" width="13.28515625" style="342" bestFit="1" customWidth="1"/>
    <col min="12294" max="12294" width="17.140625" style="342" customWidth="1"/>
    <col min="12295" max="12541" width="11.42578125" style="342"/>
    <col min="12542" max="12542" width="11.42578125" style="342" customWidth="1"/>
    <col min="12543" max="12543" width="12.140625" style="342" customWidth="1"/>
    <col min="12544" max="12544" width="11.7109375" style="342" customWidth="1"/>
    <col min="12545" max="12545" width="14.42578125" style="342" customWidth="1"/>
    <col min="12546" max="12546" width="11" style="342" customWidth="1"/>
    <col min="12547" max="12547" width="17" style="342" bestFit="1" customWidth="1"/>
    <col min="12548" max="12548" width="15.7109375" style="342" customWidth="1"/>
    <col min="12549" max="12549" width="13.28515625" style="342" bestFit="1" customWidth="1"/>
    <col min="12550" max="12550" width="17.140625" style="342" customWidth="1"/>
    <col min="12551" max="12797" width="11.42578125" style="342"/>
    <col min="12798" max="12798" width="11.42578125" style="342" customWidth="1"/>
    <col min="12799" max="12799" width="12.140625" style="342" customWidth="1"/>
    <col min="12800" max="12800" width="11.7109375" style="342" customWidth="1"/>
    <col min="12801" max="12801" width="14.42578125" style="342" customWidth="1"/>
    <col min="12802" max="12802" width="11" style="342" customWidth="1"/>
    <col min="12803" max="12803" width="17" style="342" bestFit="1" customWidth="1"/>
    <col min="12804" max="12804" width="15.7109375" style="342" customWidth="1"/>
    <col min="12805" max="12805" width="13.28515625" style="342" bestFit="1" customWidth="1"/>
    <col min="12806" max="12806" width="17.140625" style="342" customWidth="1"/>
    <col min="12807" max="13053" width="11.42578125" style="342"/>
    <col min="13054" max="13054" width="11.42578125" style="342" customWidth="1"/>
    <col min="13055" max="13055" width="12.140625" style="342" customWidth="1"/>
    <col min="13056" max="13056" width="11.7109375" style="342" customWidth="1"/>
    <col min="13057" max="13057" width="14.42578125" style="342" customWidth="1"/>
    <col min="13058" max="13058" width="11" style="342" customWidth="1"/>
    <col min="13059" max="13059" width="17" style="342" bestFit="1" customWidth="1"/>
    <col min="13060" max="13060" width="15.7109375" style="342" customWidth="1"/>
    <col min="13061" max="13061" width="13.28515625" style="342" bestFit="1" customWidth="1"/>
    <col min="13062" max="13062" width="17.140625" style="342" customWidth="1"/>
    <col min="13063" max="13309" width="11.42578125" style="342"/>
    <col min="13310" max="13310" width="11.42578125" style="342" customWidth="1"/>
    <col min="13311" max="13311" width="12.140625" style="342" customWidth="1"/>
    <col min="13312" max="13312" width="11.7109375" style="342" customWidth="1"/>
    <col min="13313" max="13313" width="14.42578125" style="342" customWidth="1"/>
    <col min="13314" max="13314" width="11" style="342" customWidth="1"/>
    <col min="13315" max="13315" width="17" style="342" bestFit="1" customWidth="1"/>
    <col min="13316" max="13316" width="15.7109375" style="342" customWidth="1"/>
    <col min="13317" max="13317" width="13.28515625" style="342" bestFit="1" customWidth="1"/>
    <col min="13318" max="13318" width="17.140625" style="342" customWidth="1"/>
    <col min="13319" max="13565" width="11.42578125" style="342"/>
    <col min="13566" max="13566" width="11.42578125" style="342" customWidth="1"/>
    <col min="13567" max="13567" width="12.140625" style="342" customWidth="1"/>
    <col min="13568" max="13568" width="11.7109375" style="342" customWidth="1"/>
    <col min="13569" max="13569" width="14.42578125" style="342" customWidth="1"/>
    <col min="13570" max="13570" width="11" style="342" customWidth="1"/>
    <col min="13571" max="13571" width="17" style="342" bestFit="1" customWidth="1"/>
    <col min="13572" max="13572" width="15.7109375" style="342" customWidth="1"/>
    <col min="13573" max="13573" width="13.28515625" style="342" bestFit="1" customWidth="1"/>
    <col min="13574" max="13574" width="17.140625" style="342" customWidth="1"/>
    <col min="13575" max="13821" width="11.42578125" style="342"/>
    <col min="13822" max="13822" width="11.42578125" style="342" customWidth="1"/>
    <col min="13823" max="13823" width="12.140625" style="342" customWidth="1"/>
    <col min="13824" max="13824" width="11.7109375" style="342" customWidth="1"/>
    <col min="13825" max="13825" width="14.42578125" style="342" customWidth="1"/>
    <col min="13826" max="13826" width="11" style="342" customWidth="1"/>
    <col min="13827" max="13827" width="17" style="342" bestFit="1" customWidth="1"/>
    <col min="13828" max="13828" width="15.7109375" style="342" customWidth="1"/>
    <col min="13829" max="13829" width="13.28515625" style="342" bestFit="1" customWidth="1"/>
    <col min="13830" max="13830" width="17.140625" style="342" customWidth="1"/>
    <col min="13831" max="14077" width="11.42578125" style="342"/>
    <col min="14078" max="14078" width="11.42578125" style="342" customWidth="1"/>
    <col min="14079" max="14079" width="12.140625" style="342" customWidth="1"/>
    <col min="14080" max="14080" width="11.7109375" style="342" customWidth="1"/>
    <col min="14081" max="14081" width="14.42578125" style="342" customWidth="1"/>
    <col min="14082" max="14082" width="11" style="342" customWidth="1"/>
    <col min="14083" max="14083" width="17" style="342" bestFit="1" customWidth="1"/>
    <col min="14084" max="14084" width="15.7109375" style="342" customWidth="1"/>
    <col min="14085" max="14085" width="13.28515625" style="342" bestFit="1" customWidth="1"/>
    <col min="14086" max="14086" width="17.140625" style="342" customWidth="1"/>
    <col min="14087" max="14333" width="11.42578125" style="342"/>
    <col min="14334" max="14334" width="11.42578125" style="342" customWidth="1"/>
    <col min="14335" max="14335" width="12.140625" style="342" customWidth="1"/>
    <col min="14336" max="14336" width="11.7109375" style="342" customWidth="1"/>
    <col min="14337" max="14337" width="14.42578125" style="342" customWidth="1"/>
    <col min="14338" max="14338" width="11" style="342" customWidth="1"/>
    <col min="14339" max="14339" width="17" style="342" bestFit="1" customWidth="1"/>
    <col min="14340" max="14340" width="15.7109375" style="342" customWidth="1"/>
    <col min="14341" max="14341" width="13.28515625" style="342" bestFit="1" customWidth="1"/>
    <col min="14342" max="14342" width="17.140625" style="342" customWidth="1"/>
    <col min="14343" max="14589" width="11.42578125" style="342"/>
    <col min="14590" max="14590" width="11.42578125" style="342" customWidth="1"/>
    <col min="14591" max="14591" width="12.140625" style="342" customWidth="1"/>
    <col min="14592" max="14592" width="11.7109375" style="342" customWidth="1"/>
    <col min="14593" max="14593" width="14.42578125" style="342" customWidth="1"/>
    <col min="14594" max="14594" width="11" style="342" customWidth="1"/>
    <col min="14595" max="14595" width="17" style="342" bestFit="1" customWidth="1"/>
    <col min="14596" max="14596" width="15.7109375" style="342" customWidth="1"/>
    <col min="14597" max="14597" width="13.28515625" style="342" bestFit="1" customWidth="1"/>
    <col min="14598" max="14598" width="17.140625" style="342" customWidth="1"/>
    <col min="14599" max="14845" width="11.42578125" style="342"/>
    <col min="14846" max="14846" width="11.42578125" style="342" customWidth="1"/>
    <col min="14847" max="14847" width="12.140625" style="342" customWidth="1"/>
    <col min="14848" max="14848" width="11.7109375" style="342" customWidth="1"/>
    <col min="14849" max="14849" width="14.42578125" style="342" customWidth="1"/>
    <col min="14850" max="14850" width="11" style="342" customWidth="1"/>
    <col min="14851" max="14851" width="17" style="342" bestFit="1" customWidth="1"/>
    <col min="14852" max="14852" width="15.7109375" style="342" customWidth="1"/>
    <col min="14853" max="14853" width="13.28515625" style="342" bestFit="1" customWidth="1"/>
    <col min="14854" max="14854" width="17.140625" style="342" customWidth="1"/>
    <col min="14855" max="15101" width="11.42578125" style="342"/>
    <col min="15102" max="15102" width="11.42578125" style="342" customWidth="1"/>
    <col min="15103" max="15103" width="12.140625" style="342" customWidth="1"/>
    <col min="15104" max="15104" width="11.7109375" style="342" customWidth="1"/>
    <col min="15105" max="15105" width="14.42578125" style="342" customWidth="1"/>
    <col min="15106" max="15106" width="11" style="342" customWidth="1"/>
    <col min="15107" max="15107" width="17" style="342" bestFit="1" customWidth="1"/>
    <col min="15108" max="15108" width="15.7109375" style="342" customWidth="1"/>
    <col min="15109" max="15109" width="13.28515625" style="342" bestFit="1" customWidth="1"/>
    <col min="15110" max="15110" width="17.140625" style="342" customWidth="1"/>
    <col min="15111" max="15357" width="11.42578125" style="342"/>
    <col min="15358" max="15358" width="11.42578125" style="342" customWidth="1"/>
    <col min="15359" max="15359" width="12.140625" style="342" customWidth="1"/>
    <col min="15360" max="15360" width="11.7109375" style="342" customWidth="1"/>
    <col min="15361" max="15361" width="14.42578125" style="342" customWidth="1"/>
    <col min="15362" max="15362" width="11" style="342" customWidth="1"/>
    <col min="15363" max="15363" width="17" style="342" bestFit="1" customWidth="1"/>
    <col min="15364" max="15364" width="15.7109375" style="342" customWidth="1"/>
    <col min="15365" max="15365" width="13.28515625" style="342" bestFit="1" customWidth="1"/>
    <col min="15366" max="15366" width="17.140625" style="342" customWidth="1"/>
    <col min="15367" max="15613" width="11.42578125" style="342"/>
    <col min="15614" max="15614" width="11.42578125" style="342" customWidth="1"/>
    <col min="15615" max="15615" width="12.140625" style="342" customWidth="1"/>
    <col min="15616" max="15616" width="11.7109375" style="342" customWidth="1"/>
    <col min="15617" max="15617" width="14.42578125" style="342" customWidth="1"/>
    <col min="15618" max="15618" width="11" style="342" customWidth="1"/>
    <col min="15619" max="15619" width="17" style="342" bestFit="1" customWidth="1"/>
    <col min="15620" max="15620" width="15.7109375" style="342" customWidth="1"/>
    <col min="15621" max="15621" width="13.28515625" style="342" bestFit="1" customWidth="1"/>
    <col min="15622" max="15622" width="17.140625" style="342" customWidth="1"/>
    <col min="15623" max="15869" width="11.42578125" style="342"/>
    <col min="15870" max="15870" width="11.42578125" style="342" customWidth="1"/>
    <col min="15871" max="15871" width="12.140625" style="342" customWidth="1"/>
    <col min="15872" max="15872" width="11.7109375" style="342" customWidth="1"/>
    <col min="15873" max="15873" width="14.42578125" style="342" customWidth="1"/>
    <col min="15874" max="15874" width="11" style="342" customWidth="1"/>
    <col min="15875" max="15875" width="17" style="342" bestFit="1" customWidth="1"/>
    <col min="15876" max="15876" width="15.7109375" style="342" customWidth="1"/>
    <col min="15877" max="15877" width="13.28515625" style="342" bestFit="1" customWidth="1"/>
    <col min="15878" max="15878" width="17.140625" style="342" customWidth="1"/>
    <col min="15879" max="16125" width="11.42578125" style="342"/>
    <col min="16126" max="16126" width="11.42578125" style="342" customWidth="1"/>
    <col min="16127" max="16127" width="12.140625" style="342" customWidth="1"/>
    <col min="16128" max="16128" width="11.7109375" style="342" customWidth="1"/>
    <col min="16129" max="16129" width="14.42578125" style="342" customWidth="1"/>
    <col min="16130" max="16130" width="11" style="342" customWidth="1"/>
    <col min="16131" max="16131" width="17" style="342" bestFit="1" customWidth="1"/>
    <col min="16132" max="16132" width="15.7109375" style="342" customWidth="1"/>
    <col min="16133" max="16133" width="13.28515625" style="342" bestFit="1" customWidth="1"/>
    <col min="16134" max="16134" width="17.140625" style="342" customWidth="1"/>
    <col min="16135" max="16384" width="11.42578125" style="342"/>
  </cols>
  <sheetData>
    <row r="1" spans="1:15" ht="15" customHeight="1" x14ac:dyDescent="0.2">
      <c r="B1" s="345" t="s">
        <v>1284</v>
      </c>
      <c r="C1" s="346"/>
      <c r="D1" s="346"/>
      <c r="E1" s="346"/>
      <c r="F1" s="347"/>
      <c r="G1" s="348"/>
      <c r="H1" s="344"/>
      <c r="I1" s="344"/>
      <c r="J1" s="344"/>
      <c r="K1" s="344"/>
      <c r="L1" s="344"/>
      <c r="M1" s="344"/>
      <c r="N1" s="344"/>
      <c r="O1" s="343"/>
    </row>
    <row r="2" spans="1:15" ht="15" customHeight="1" x14ac:dyDescent="0.2">
      <c r="A2" s="344"/>
      <c r="B2" s="344"/>
      <c r="C2" s="439" t="s">
        <v>1031</v>
      </c>
      <c r="D2" s="344"/>
      <c r="E2" s="344"/>
      <c r="F2" s="439" t="s">
        <v>1031</v>
      </c>
      <c r="G2" s="344"/>
      <c r="H2" s="344"/>
      <c r="I2" s="344"/>
      <c r="J2" s="344"/>
      <c r="K2" s="344"/>
      <c r="L2" s="344"/>
      <c r="M2" s="344"/>
      <c r="N2" s="344"/>
      <c r="O2" s="343"/>
    </row>
    <row r="3" spans="1:15" ht="15" customHeight="1" x14ac:dyDescent="0.2">
      <c r="A3" s="344"/>
      <c r="B3" s="344"/>
      <c r="C3" s="439" t="s">
        <v>1357</v>
      </c>
      <c r="D3" s="565" t="s">
        <v>1356</v>
      </c>
      <c r="E3" s="566"/>
      <c r="F3" s="439" t="s">
        <v>1357</v>
      </c>
      <c r="G3" s="344"/>
      <c r="H3" s="344"/>
      <c r="I3" s="344"/>
      <c r="J3" s="344"/>
      <c r="K3" s="344"/>
      <c r="L3" s="344"/>
      <c r="M3" s="344"/>
      <c r="N3" s="344"/>
      <c r="O3" s="343"/>
    </row>
    <row r="4" spans="1:15" ht="15" customHeight="1" x14ac:dyDescent="0.2">
      <c r="A4" s="344"/>
      <c r="B4" s="344"/>
      <c r="C4" s="439" t="s">
        <v>1358</v>
      </c>
      <c r="D4" s="344"/>
      <c r="E4" s="344"/>
      <c r="F4" s="439" t="s">
        <v>1359</v>
      </c>
      <c r="G4" s="344"/>
      <c r="H4" s="344"/>
      <c r="I4" s="344"/>
      <c r="J4" s="344"/>
      <c r="K4" s="344"/>
      <c r="L4" s="344"/>
      <c r="M4" s="344"/>
      <c r="N4" s="344"/>
      <c r="O4" s="343"/>
    </row>
    <row r="5" spans="1:15" ht="18.75" customHeight="1" x14ac:dyDescent="0.2">
      <c r="A5" s="344"/>
      <c r="B5" s="344"/>
      <c r="C5" s="439"/>
      <c r="D5" s="439"/>
      <c r="E5" s="439"/>
      <c r="F5" s="439"/>
      <c r="G5" s="344"/>
      <c r="H5" s="344"/>
      <c r="I5" s="344"/>
      <c r="J5" s="344"/>
      <c r="K5" s="344"/>
      <c r="L5" s="344"/>
      <c r="M5" s="344"/>
      <c r="N5" s="344"/>
      <c r="O5" s="343"/>
    </row>
    <row r="6" spans="1:15" ht="18.75" customHeight="1" x14ac:dyDescent="0.25">
      <c r="A6" s="344"/>
      <c r="B6" s="344"/>
      <c r="C6" s="439"/>
      <c r="D6" s="439"/>
      <c r="E6" s="439"/>
      <c r="F6" s="545" t="s">
        <v>1147</v>
      </c>
      <c r="G6" s="344"/>
      <c r="H6" s="344"/>
      <c r="I6" s="344"/>
      <c r="J6" s="344"/>
      <c r="K6" s="344"/>
      <c r="L6" s="344"/>
      <c r="M6" s="344"/>
      <c r="N6" s="344"/>
      <c r="O6" s="343"/>
    </row>
    <row r="7" spans="1:15" ht="15" customHeight="1" x14ac:dyDescent="0.25">
      <c r="A7" s="348"/>
      <c r="B7" s="367"/>
      <c r="C7" s="350" t="s">
        <v>908</v>
      </c>
      <c r="D7" s="350" t="s">
        <v>1282</v>
      </c>
      <c r="E7" s="350" t="s">
        <v>1283</v>
      </c>
      <c r="F7" s="350" t="s">
        <v>908</v>
      </c>
      <c r="G7" s="348"/>
      <c r="H7" s="344"/>
      <c r="I7" s="344"/>
      <c r="J7" s="344"/>
      <c r="K7" s="344"/>
      <c r="L7" s="344"/>
      <c r="M7" s="344"/>
      <c r="N7" s="344"/>
      <c r="O7" s="343"/>
    </row>
    <row r="8" spans="1:15" ht="15" customHeight="1" x14ac:dyDescent="0.25">
      <c r="A8" s="348"/>
      <c r="B8" s="351"/>
      <c r="C8" s="352" t="s">
        <v>909</v>
      </c>
      <c r="D8" s="352" t="s">
        <v>916</v>
      </c>
      <c r="E8" s="352" t="s">
        <v>917</v>
      </c>
      <c r="F8" s="352" t="s">
        <v>910</v>
      </c>
      <c r="G8" s="348"/>
      <c r="H8" s="344"/>
      <c r="I8" s="344"/>
      <c r="J8" s="344"/>
      <c r="K8" s="344"/>
      <c r="L8" s="344"/>
      <c r="M8" s="344"/>
      <c r="N8" s="344"/>
      <c r="O8" s="343"/>
    </row>
    <row r="9" spans="1:15" ht="15" customHeight="1" x14ac:dyDescent="0.2">
      <c r="A9" s="348"/>
      <c r="B9" s="353" t="s">
        <v>913</v>
      </c>
      <c r="C9" s="354">
        <v>90700</v>
      </c>
      <c r="D9" s="354">
        <v>0</v>
      </c>
      <c r="E9" s="354">
        <v>-82881.77</v>
      </c>
      <c r="F9" s="355">
        <f>SUM(C9:E9)</f>
        <v>7818.2299999999959</v>
      </c>
      <c r="G9" s="348"/>
      <c r="H9" s="344"/>
      <c r="I9" s="344"/>
      <c r="J9" s="344"/>
      <c r="K9" s="344"/>
      <c r="L9" s="344"/>
      <c r="M9" s="344"/>
      <c r="N9" s="344"/>
      <c r="O9" s="343"/>
    </row>
    <row r="10" spans="1:15" ht="15" customHeight="1" x14ac:dyDescent="0.2">
      <c r="A10" s="348"/>
      <c r="B10" s="353" t="s">
        <v>914</v>
      </c>
      <c r="C10" s="354">
        <v>63090.06</v>
      </c>
      <c r="D10" s="354">
        <v>0</v>
      </c>
      <c r="E10" s="354">
        <v>-50000</v>
      </c>
      <c r="F10" s="355">
        <f>SUM(C10:E10)</f>
        <v>13090.059999999998</v>
      </c>
      <c r="G10" s="348"/>
      <c r="H10" s="344"/>
      <c r="I10" s="344"/>
      <c r="J10" s="344"/>
      <c r="K10" s="344"/>
      <c r="L10" s="344"/>
      <c r="M10" s="344"/>
      <c r="N10" s="344"/>
      <c r="O10" s="343"/>
    </row>
    <row r="11" spans="1:15" ht="15" customHeight="1" x14ac:dyDescent="0.2">
      <c r="A11" s="348"/>
      <c r="B11" s="353" t="s">
        <v>915</v>
      </c>
      <c r="C11" s="354">
        <v>0</v>
      </c>
      <c r="D11" s="356">
        <v>50000</v>
      </c>
      <c r="E11" s="354">
        <v>0</v>
      </c>
      <c r="F11" s="355">
        <f>SUM(C11:E11)</f>
        <v>50000</v>
      </c>
      <c r="G11" s="348"/>
      <c r="H11" s="344"/>
      <c r="I11" s="344"/>
      <c r="J11" s="344"/>
      <c r="K11" s="344"/>
      <c r="L11" s="344"/>
      <c r="M11" s="344"/>
      <c r="N11" s="344"/>
      <c r="O11" s="343"/>
    </row>
    <row r="12" spans="1:15" s="362" customFormat="1" ht="15" customHeight="1" x14ac:dyDescent="0.25">
      <c r="A12" s="348"/>
      <c r="B12" s="357"/>
      <c r="C12" s="358">
        <f>SUM(C9:C11)</f>
        <v>153790.06</v>
      </c>
      <c r="D12" s="358">
        <f>SUM(D9:D11)</f>
        <v>50000</v>
      </c>
      <c r="E12" s="359">
        <f>SUM(E9:E11)</f>
        <v>-132881.77000000002</v>
      </c>
      <c r="F12" s="360">
        <f>SUM(F9:F11)</f>
        <v>70908.289999999994</v>
      </c>
      <c r="G12" s="348"/>
      <c r="H12" s="361" t="s">
        <v>1147</v>
      </c>
      <c r="I12" s="344"/>
      <c r="J12" s="361"/>
      <c r="K12" s="361"/>
      <c r="L12" s="361"/>
      <c r="M12" s="361"/>
      <c r="N12" s="361"/>
      <c r="O12" s="343"/>
    </row>
    <row r="13" spans="1:15" ht="15" customHeight="1" x14ac:dyDescent="0.25">
      <c r="A13" s="363"/>
      <c r="B13" s="363"/>
      <c r="D13" s="364"/>
      <c r="E13" s="364"/>
      <c r="F13" s="545" t="s">
        <v>1148</v>
      </c>
      <c r="G13" s="348"/>
      <c r="H13" s="344"/>
      <c r="I13" s="344"/>
      <c r="J13" s="344"/>
      <c r="K13" s="344"/>
      <c r="L13" s="344"/>
      <c r="M13" s="344"/>
      <c r="N13" s="344"/>
      <c r="O13" s="343"/>
    </row>
    <row r="14" spans="1:15" ht="15" customHeight="1" x14ac:dyDescent="0.2">
      <c r="B14" s="345" t="s">
        <v>1285</v>
      </c>
      <c r="C14" s="346"/>
      <c r="D14" s="346"/>
      <c r="E14" s="346"/>
      <c r="F14" s="347"/>
      <c r="G14" s="348"/>
      <c r="H14" s="344"/>
      <c r="I14" s="344"/>
      <c r="J14" s="344"/>
      <c r="K14" s="344"/>
      <c r="L14" s="344"/>
      <c r="M14" s="344"/>
      <c r="N14" s="344"/>
      <c r="O14" s="343"/>
    </row>
    <row r="15" spans="1:15" ht="15" customHeight="1" x14ac:dyDescent="0.25">
      <c r="A15" s="366"/>
      <c r="B15" s="367"/>
      <c r="C15" s="350" t="s">
        <v>908</v>
      </c>
      <c r="D15" s="350" t="s">
        <v>1282</v>
      </c>
      <c r="E15" s="368"/>
      <c r="F15" s="349" t="s">
        <v>908</v>
      </c>
      <c r="G15" s="348"/>
      <c r="H15" s="344"/>
      <c r="I15" s="344"/>
      <c r="J15" s="344"/>
      <c r="K15" s="344"/>
      <c r="L15" s="344"/>
      <c r="M15" s="344"/>
      <c r="N15" s="344"/>
      <c r="O15" s="343"/>
    </row>
    <row r="16" spans="1:15" ht="15" customHeight="1" x14ac:dyDescent="0.25">
      <c r="A16" s="366"/>
      <c r="B16" s="351"/>
      <c r="C16" s="352" t="s">
        <v>909</v>
      </c>
      <c r="D16" s="352" t="s">
        <v>918</v>
      </c>
      <c r="E16" s="369" t="s">
        <v>1289</v>
      </c>
      <c r="F16" s="352" t="s">
        <v>910</v>
      </c>
      <c r="G16" s="348"/>
      <c r="H16" s="344"/>
      <c r="I16" s="344"/>
      <c r="J16" s="344"/>
      <c r="K16" s="344"/>
      <c r="L16" s="344"/>
      <c r="M16" s="344"/>
      <c r="N16" s="344"/>
      <c r="O16" s="343"/>
    </row>
    <row r="17" spans="1:15" ht="15" customHeight="1" x14ac:dyDescent="0.2">
      <c r="A17" s="366"/>
      <c r="B17" s="370" t="s">
        <v>919</v>
      </c>
      <c r="C17" s="355">
        <v>8000</v>
      </c>
      <c r="D17" s="354">
        <v>17000</v>
      </c>
      <c r="E17" s="355">
        <v>-7000</v>
      </c>
      <c r="F17" s="355">
        <f>SUM(C17:E17)</f>
        <v>18000</v>
      </c>
      <c r="G17" s="348"/>
      <c r="H17" s="344"/>
      <c r="I17" s="344"/>
      <c r="J17" s="344"/>
      <c r="K17" s="344"/>
      <c r="L17" s="344"/>
      <c r="M17" s="344"/>
      <c r="N17" s="344"/>
      <c r="O17" s="343"/>
    </row>
    <row r="18" spans="1:15" ht="15" customHeight="1" x14ac:dyDescent="0.2">
      <c r="A18" s="366"/>
      <c r="B18" s="353" t="s">
        <v>920</v>
      </c>
      <c r="C18" s="355">
        <v>12000</v>
      </c>
      <c r="D18" s="354">
        <v>6000</v>
      </c>
      <c r="E18" s="355">
        <v>0</v>
      </c>
      <c r="F18" s="355">
        <f>SUM(C18:E18)</f>
        <v>18000</v>
      </c>
      <c r="G18" s="348"/>
      <c r="H18" s="344"/>
      <c r="I18" s="344"/>
      <c r="J18" s="344"/>
      <c r="K18" s="344"/>
      <c r="L18" s="344"/>
      <c r="M18" s="344"/>
      <c r="N18" s="344"/>
      <c r="O18" s="343"/>
    </row>
    <row r="19" spans="1:15" ht="15" customHeight="1" x14ac:dyDescent="0.2">
      <c r="A19" s="366"/>
      <c r="B19" s="353" t="s">
        <v>921</v>
      </c>
      <c r="C19" s="355">
        <v>10000</v>
      </c>
      <c r="D19" s="356">
        <v>4000</v>
      </c>
      <c r="E19" s="355">
        <v>0</v>
      </c>
      <c r="F19" s="355">
        <f>SUM(C19:E19)</f>
        <v>14000</v>
      </c>
      <c r="G19" s="348"/>
      <c r="H19" s="344"/>
      <c r="I19" s="344"/>
      <c r="J19" s="344"/>
      <c r="K19" s="344"/>
      <c r="L19" s="344"/>
      <c r="M19" s="344"/>
      <c r="N19" s="344"/>
      <c r="O19" s="343"/>
    </row>
    <row r="20" spans="1:15" ht="15" customHeight="1" x14ac:dyDescent="0.25">
      <c r="A20" s="371"/>
      <c r="B20" s="357"/>
      <c r="C20" s="360">
        <f>SUM(C17:C19)</f>
        <v>30000</v>
      </c>
      <c r="D20" s="358">
        <f>SUM(D17:D19)</f>
        <v>27000</v>
      </c>
      <c r="E20" s="359">
        <f>SUM(E17:E19)</f>
        <v>-7000</v>
      </c>
      <c r="F20" s="360">
        <f>SUM(F17:F19)</f>
        <v>50000</v>
      </c>
      <c r="G20" s="348"/>
      <c r="H20" s="361" t="s">
        <v>1148</v>
      </c>
      <c r="I20" s="344"/>
      <c r="J20" s="344"/>
      <c r="K20" s="344"/>
      <c r="L20" s="344"/>
      <c r="M20" s="344"/>
      <c r="N20" s="344"/>
      <c r="O20" s="343"/>
    </row>
    <row r="21" spans="1:15" ht="15" customHeight="1" x14ac:dyDescent="0.25">
      <c r="A21" s="363"/>
      <c r="B21" s="363"/>
      <c r="D21" s="365"/>
      <c r="E21" s="365"/>
      <c r="F21" s="545" t="s">
        <v>1149</v>
      </c>
      <c r="G21" s="348"/>
      <c r="H21" s="344"/>
      <c r="I21" s="344"/>
      <c r="J21" s="344"/>
      <c r="K21" s="344"/>
      <c r="L21" s="344"/>
      <c r="M21" s="344"/>
      <c r="N21" s="344"/>
      <c r="O21" s="343"/>
    </row>
    <row r="22" spans="1:15" ht="15" customHeight="1" x14ac:dyDescent="0.2">
      <c r="B22" s="345" t="s">
        <v>1286</v>
      </c>
      <c r="C22" s="346"/>
      <c r="D22" s="346"/>
      <c r="E22" s="346"/>
      <c r="F22" s="347"/>
      <c r="G22" s="348"/>
      <c r="H22" s="344"/>
      <c r="I22" s="344"/>
      <c r="J22" s="344"/>
      <c r="K22" s="344"/>
      <c r="L22" s="344"/>
      <c r="M22" s="344"/>
      <c r="N22" s="344"/>
      <c r="O22" s="343"/>
    </row>
    <row r="23" spans="1:15" ht="15" customHeight="1" x14ac:dyDescent="0.25">
      <c r="A23" s="348"/>
      <c r="B23" s="367"/>
      <c r="C23" s="350" t="s">
        <v>908</v>
      </c>
      <c r="D23" s="571" t="s">
        <v>1281</v>
      </c>
      <c r="E23" s="573" t="s">
        <v>943</v>
      </c>
      <c r="F23" s="349" t="s">
        <v>908</v>
      </c>
      <c r="G23" s="348"/>
      <c r="H23" s="344"/>
      <c r="I23" s="344"/>
      <c r="J23" s="344"/>
      <c r="K23" s="344"/>
      <c r="L23" s="344"/>
      <c r="M23" s="344"/>
      <c r="N23" s="344"/>
      <c r="O23" s="343"/>
    </row>
    <row r="24" spans="1:15" ht="15" customHeight="1" x14ac:dyDescent="0.25">
      <c r="A24" s="348"/>
      <c r="B24" s="351"/>
      <c r="C24" s="352" t="s">
        <v>909</v>
      </c>
      <c r="D24" s="572"/>
      <c r="E24" s="574"/>
      <c r="F24" s="352" t="s">
        <v>910</v>
      </c>
      <c r="G24" s="348"/>
      <c r="H24" s="344"/>
      <c r="I24" s="344"/>
      <c r="J24" s="344"/>
      <c r="K24" s="344"/>
      <c r="L24" s="344"/>
      <c r="M24" s="344"/>
      <c r="N24" s="344"/>
      <c r="O24" s="343"/>
    </row>
    <row r="25" spans="1:15" ht="15" customHeight="1" x14ac:dyDescent="0.25">
      <c r="A25" s="348"/>
      <c r="B25" s="372"/>
      <c r="C25" s="373">
        <v>1047000</v>
      </c>
      <c r="D25" s="374"/>
      <c r="E25" s="373"/>
      <c r="F25" s="373">
        <f>+F38</f>
        <v>1096000</v>
      </c>
      <c r="G25" s="348"/>
      <c r="H25" s="344"/>
      <c r="I25" s="344"/>
      <c r="J25" s="344"/>
      <c r="K25" s="344"/>
      <c r="L25" s="344"/>
      <c r="M25" s="344"/>
      <c r="N25" s="344"/>
      <c r="O25" s="343"/>
    </row>
    <row r="26" spans="1:15" ht="15" customHeight="1" x14ac:dyDescent="0.2">
      <c r="A26" s="348"/>
      <c r="B26" s="375" t="s">
        <v>931</v>
      </c>
      <c r="C26" s="376"/>
      <c r="D26" s="376">
        <v>23000</v>
      </c>
      <c r="E26" s="354">
        <v>-19000</v>
      </c>
      <c r="F26" s="376"/>
      <c r="G26" s="348"/>
      <c r="H26" s="344"/>
      <c r="I26" s="377"/>
      <c r="J26" s="344"/>
      <c r="K26" s="344"/>
      <c r="L26" s="344"/>
      <c r="M26" s="344"/>
      <c r="N26" s="344"/>
      <c r="O26" s="343"/>
    </row>
    <row r="27" spans="1:15" ht="15" customHeight="1" x14ac:dyDescent="0.2">
      <c r="A27" s="348"/>
      <c r="B27" s="375" t="s">
        <v>932</v>
      </c>
      <c r="C27" s="376"/>
      <c r="D27" s="376">
        <v>15000</v>
      </c>
      <c r="E27" s="354">
        <v>-17000</v>
      </c>
      <c r="F27" s="376"/>
      <c r="G27" s="348"/>
      <c r="H27" s="344"/>
      <c r="I27" s="377"/>
      <c r="J27" s="344"/>
      <c r="K27" s="344"/>
      <c r="L27" s="344"/>
      <c r="M27" s="344"/>
      <c r="N27" s="344"/>
      <c r="O27" s="343"/>
    </row>
    <row r="28" spans="1:15" ht="15" customHeight="1" x14ac:dyDescent="0.2">
      <c r="A28" s="348"/>
      <c r="B28" s="375" t="s">
        <v>933</v>
      </c>
      <c r="C28" s="376"/>
      <c r="D28" s="376">
        <v>20000</v>
      </c>
      <c r="E28" s="354">
        <v>-2000</v>
      </c>
      <c r="F28" s="376"/>
      <c r="G28" s="348"/>
      <c r="H28" s="344"/>
      <c r="I28" s="377"/>
      <c r="J28" s="344"/>
      <c r="K28" s="344"/>
      <c r="L28" s="344"/>
      <c r="M28" s="344"/>
      <c r="N28" s="344"/>
      <c r="O28" s="343"/>
    </row>
    <row r="29" spans="1:15" ht="15" customHeight="1" x14ac:dyDescent="0.2">
      <c r="A29" s="348"/>
      <c r="B29" s="375" t="s">
        <v>934</v>
      </c>
      <c r="C29" s="376"/>
      <c r="D29" s="376">
        <v>22000</v>
      </c>
      <c r="E29" s="354">
        <v>-7000</v>
      </c>
      <c r="F29" s="376"/>
      <c r="G29" s="348"/>
      <c r="H29" s="344"/>
      <c r="I29" s="377"/>
      <c r="J29" s="344"/>
      <c r="K29" s="344"/>
      <c r="L29" s="344"/>
      <c r="M29" s="344"/>
      <c r="N29" s="344"/>
      <c r="O29" s="343"/>
    </row>
    <row r="30" spans="1:15" ht="15" customHeight="1" x14ac:dyDescent="0.2">
      <c r="A30" s="348"/>
      <c r="B30" s="375" t="s">
        <v>935</v>
      </c>
      <c r="C30" s="376"/>
      <c r="D30" s="376">
        <v>19000</v>
      </c>
      <c r="E30" s="354">
        <f>-62000-44000</f>
        <v>-106000</v>
      </c>
      <c r="F30" s="376"/>
      <c r="G30" s="348"/>
      <c r="H30" s="344"/>
      <c r="I30" s="377"/>
      <c r="J30" s="344"/>
      <c r="K30" s="344"/>
      <c r="L30" s="344"/>
      <c r="M30" s="344"/>
      <c r="N30" s="344"/>
      <c r="O30" s="343"/>
    </row>
    <row r="31" spans="1:15" ht="15" customHeight="1" x14ac:dyDescent="0.2">
      <c r="A31" s="348"/>
      <c r="B31" s="375" t="s">
        <v>936</v>
      </c>
      <c r="C31" s="376"/>
      <c r="D31" s="376">
        <v>19000</v>
      </c>
      <c r="E31" s="354">
        <v>-3000</v>
      </c>
      <c r="F31" s="376"/>
      <c r="G31" s="348"/>
      <c r="H31" s="344"/>
      <c r="I31" s="377"/>
      <c r="J31" s="344"/>
      <c r="K31" s="344"/>
      <c r="L31" s="344"/>
      <c r="M31" s="344"/>
      <c r="N31" s="344"/>
      <c r="O31" s="343"/>
    </row>
    <row r="32" spans="1:15" ht="15" customHeight="1" x14ac:dyDescent="0.2">
      <c r="A32" s="348"/>
      <c r="B32" s="375" t="s">
        <v>937</v>
      </c>
      <c r="C32" s="376"/>
      <c r="D32" s="376">
        <v>51000</v>
      </c>
      <c r="E32" s="354">
        <v>-6000</v>
      </c>
      <c r="F32" s="376"/>
      <c r="G32" s="348"/>
      <c r="H32" s="344"/>
      <c r="I32" s="377"/>
      <c r="J32" s="344"/>
      <c r="K32" s="344"/>
      <c r="L32" s="344"/>
      <c r="M32" s="344"/>
      <c r="N32" s="344"/>
      <c r="O32" s="343"/>
    </row>
    <row r="33" spans="1:15" ht="15" customHeight="1" x14ac:dyDescent="0.2">
      <c r="A33" s="348"/>
      <c r="B33" s="375" t="s">
        <v>938</v>
      </c>
      <c r="C33" s="376"/>
      <c r="D33" s="376">
        <v>20000</v>
      </c>
      <c r="E33" s="354">
        <v>-17000</v>
      </c>
      <c r="F33" s="376"/>
      <c r="G33" s="348"/>
      <c r="H33" s="344"/>
      <c r="I33" s="377"/>
      <c r="J33" s="344"/>
      <c r="K33" s="344"/>
      <c r="L33" s="344"/>
      <c r="M33" s="344"/>
      <c r="N33" s="344"/>
      <c r="O33" s="343"/>
    </row>
    <row r="34" spans="1:15" ht="15" customHeight="1" x14ac:dyDescent="0.2">
      <c r="A34" s="348"/>
      <c r="B34" s="375" t="s">
        <v>939</v>
      </c>
      <c r="C34" s="376"/>
      <c r="D34" s="376">
        <v>20000</v>
      </c>
      <c r="E34" s="354">
        <v>-8000</v>
      </c>
      <c r="F34" s="376"/>
      <c r="G34" s="348"/>
      <c r="H34" s="344"/>
      <c r="I34" s="377"/>
      <c r="J34" s="344"/>
      <c r="K34" s="344"/>
      <c r="L34" s="344"/>
      <c r="M34" s="344"/>
      <c r="N34" s="344"/>
      <c r="O34" s="343"/>
    </row>
    <row r="35" spans="1:15" ht="15" customHeight="1" x14ac:dyDescent="0.2">
      <c r="A35" s="348"/>
      <c r="B35" s="375" t="s">
        <v>940</v>
      </c>
      <c r="C35" s="376"/>
      <c r="D35" s="376">
        <v>19000</v>
      </c>
      <c r="E35" s="354">
        <v>0</v>
      </c>
      <c r="F35" s="376"/>
      <c r="G35" s="348"/>
      <c r="H35" s="344"/>
      <c r="I35" s="377"/>
      <c r="J35" s="344"/>
      <c r="K35" s="344"/>
      <c r="L35" s="344"/>
      <c r="M35" s="344"/>
      <c r="N35" s="344"/>
      <c r="O35" s="343"/>
    </row>
    <row r="36" spans="1:15" ht="15" customHeight="1" x14ac:dyDescent="0.2">
      <c r="A36" s="348"/>
      <c r="B36" s="375" t="s">
        <v>941</v>
      </c>
      <c r="C36" s="376"/>
      <c r="D36" s="376">
        <v>20000</v>
      </c>
      <c r="E36" s="354">
        <v>-17000</v>
      </c>
      <c r="F36" s="376"/>
      <c r="G36" s="348"/>
      <c r="H36" s="344"/>
      <c r="I36" s="377"/>
      <c r="J36" s="344"/>
      <c r="K36" s="344"/>
      <c r="L36" s="344"/>
      <c r="M36" s="344"/>
      <c r="N36" s="344"/>
      <c r="O36" s="343"/>
    </row>
    <row r="37" spans="1:15" ht="15" customHeight="1" x14ac:dyDescent="0.2">
      <c r="A37" s="348"/>
      <c r="B37" s="378" t="s">
        <v>942</v>
      </c>
      <c r="C37" s="376"/>
      <c r="D37" s="376">
        <v>16000</v>
      </c>
      <c r="E37" s="356">
        <v>-13000</v>
      </c>
      <c r="F37" s="376"/>
      <c r="G37" s="348"/>
      <c r="H37" s="344"/>
      <c r="I37" s="377"/>
      <c r="J37" s="344"/>
      <c r="K37" s="344"/>
      <c r="L37" s="344"/>
      <c r="M37" s="344"/>
      <c r="N37" s="344"/>
      <c r="O37" s="343"/>
    </row>
    <row r="38" spans="1:15" ht="15" customHeight="1" x14ac:dyDescent="0.25">
      <c r="A38" s="348"/>
      <c r="B38" s="348"/>
      <c r="C38" s="379">
        <f>SUM(C25:C37)</f>
        <v>1047000</v>
      </c>
      <c r="D38" s="380">
        <f>SUM(D25:D37)</f>
        <v>264000</v>
      </c>
      <c r="E38" s="359">
        <f>SUM(E25:E37)</f>
        <v>-215000</v>
      </c>
      <c r="F38" s="380">
        <f>+C38+D38+E38</f>
        <v>1096000</v>
      </c>
      <c r="G38" s="348"/>
      <c r="H38" s="361" t="s">
        <v>1149</v>
      </c>
      <c r="I38" s="344"/>
      <c r="J38" s="344"/>
      <c r="K38" s="344"/>
      <c r="L38" s="344"/>
      <c r="M38" s="344"/>
      <c r="N38" s="344"/>
      <c r="O38" s="343"/>
    </row>
    <row r="39" spans="1:15" ht="15" customHeight="1" x14ac:dyDescent="0.25">
      <c r="A39" s="348"/>
      <c r="B39" s="348"/>
      <c r="F39" s="545" t="s">
        <v>1150</v>
      </c>
      <c r="G39" s="348"/>
      <c r="H39" s="344"/>
      <c r="I39" s="344"/>
      <c r="J39" s="344"/>
      <c r="K39" s="344"/>
      <c r="L39" s="344"/>
      <c r="M39" s="344"/>
      <c r="N39" s="344"/>
      <c r="O39" s="343"/>
    </row>
    <row r="40" spans="1:15" ht="15" customHeight="1" x14ac:dyDescent="0.25">
      <c r="B40" s="345" t="s">
        <v>1287</v>
      </c>
      <c r="C40" s="346"/>
      <c r="D40" s="346"/>
      <c r="E40" s="381"/>
      <c r="F40" s="381"/>
      <c r="G40" s="348"/>
      <c r="H40" s="382" t="s">
        <v>924</v>
      </c>
      <c r="I40" s="383">
        <v>0.08</v>
      </c>
      <c r="J40" s="344"/>
      <c r="K40" s="344"/>
      <c r="L40" s="344"/>
      <c r="M40" s="344"/>
      <c r="N40" s="344"/>
      <c r="O40" s="343"/>
    </row>
    <row r="41" spans="1:15" ht="15" customHeight="1" x14ac:dyDescent="0.25">
      <c r="A41" s="348"/>
      <c r="B41" s="367"/>
      <c r="C41" s="350" t="s">
        <v>908</v>
      </c>
      <c r="D41" s="569" t="s">
        <v>1017</v>
      </c>
      <c r="E41" s="384" t="s">
        <v>943</v>
      </c>
      <c r="F41" s="349" t="s">
        <v>908</v>
      </c>
      <c r="G41" s="348"/>
      <c r="H41" s="385" t="s">
        <v>1014</v>
      </c>
      <c r="I41" s="386"/>
      <c r="J41" s="387" t="s">
        <v>957</v>
      </c>
      <c r="K41" s="387" t="s">
        <v>1127</v>
      </c>
      <c r="L41" s="387" t="s">
        <v>943</v>
      </c>
      <c r="M41" s="387" t="s">
        <v>958</v>
      </c>
      <c r="N41" s="387" t="s">
        <v>991</v>
      </c>
      <c r="O41" s="343"/>
    </row>
    <row r="42" spans="1:15" ht="15" customHeight="1" x14ac:dyDescent="0.25">
      <c r="A42" s="348"/>
      <c r="B42" s="351" t="s">
        <v>922</v>
      </c>
      <c r="C42" s="352" t="s">
        <v>909</v>
      </c>
      <c r="D42" s="570"/>
      <c r="E42" s="388" t="s">
        <v>944</v>
      </c>
      <c r="F42" s="352" t="s">
        <v>910</v>
      </c>
      <c r="G42" s="348"/>
      <c r="H42" s="389" t="s">
        <v>976</v>
      </c>
      <c r="I42" s="390" t="s">
        <v>990</v>
      </c>
      <c r="J42" s="391"/>
      <c r="K42" s="392"/>
      <c r="L42" s="392"/>
      <c r="M42" s="391">
        <f>+VARIOS!F43</f>
        <v>1430000</v>
      </c>
      <c r="N42" s="393">
        <f>+'482'!F5</f>
        <v>0</v>
      </c>
      <c r="O42" s="343"/>
    </row>
    <row r="43" spans="1:15" ht="15" customHeight="1" x14ac:dyDescent="0.25">
      <c r="A43" s="348"/>
      <c r="B43" s="394"/>
      <c r="C43" s="376">
        <v>1171000</v>
      </c>
      <c r="D43" s="395"/>
      <c r="E43" s="376"/>
      <c r="F43" s="376">
        <f>+C43+D56+E56</f>
        <v>1430000</v>
      </c>
      <c r="G43" s="348"/>
      <c r="H43" s="396" t="s">
        <v>978</v>
      </c>
      <c r="I43" s="397">
        <v>0.28000000000000003</v>
      </c>
      <c r="J43" s="398">
        <f>+M42</f>
        <v>1430000</v>
      </c>
      <c r="K43" s="399">
        <f>+J43*$I$40</f>
        <v>114400</v>
      </c>
      <c r="L43" s="400">
        <v>0</v>
      </c>
      <c r="M43" s="398">
        <f>SUM(J43:L43)</f>
        <v>1544400</v>
      </c>
      <c r="N43" s="401"/>
      <c r="O43" s="343"/>
    </row>
    <row r="44" spans="1:15" ht="15" customHeight="1" x14ac:dyDescent="0.2">
      <c r="A44" s="348"/>
      <c r="B44" s="375" t="s">
        <v>931</v>
      </c>
      <c r="C44" s="376"/>
      <c r="D44" s="376">
        <v>30000</v>
      </c>
      <c r="E44" s="402">
        <v>0</v>
      </c>
      <c r="F44" s="376"/>
      <c r="G44" s="348"/>
      <c r="H44" s="403" t="s">
        <v>979</v>
      </c>
      <c r="I44" s="404">
        <v>0.28000000000000003</v>
      </c>
      <c r="J44" s="405">
        <f>+M43</f>
        <v>1544400</v>
      </c>
      <c r="K44" s="406">
        <f>+J44*$I$40</f>
        <v>123552</v>
      </c>
      <c r="L44" s="407">
        <v>-700000</v>
      </c>
      <c r="M44" s="405">
        <f>SUM(J44:L44)</f>
        <v>967952</v>
      </c>
      <c r="N44" s="408">
        <f>SUM(K43:L44)*I44</f>
        <v>-129373.44000000002</v>
      </c>
      <c r="O44" s="343"/>
    </row>
    <row r="45" spans="1:15" ht="15" customHeight="1" x14ac:dyDescent="0.2">
      <c r="A45" s="348"/>
      <c r="B45" s="375" t="s">
        <v>932</v>
      </c>
      <c r="C45" s="376"/>
      <c r="D45" s="376">
        <v>29000</v>
      </c>
      <c r="E45" s="402">
        <v>0</v>
      </c>
      <c r="F45" s="376"/>
      <c r="G45" s="348"/>
      <c r="H45" s="396" t="s">
        <v>980</v>
      </c>
      <c r="I45" s="397">
        <v>0.27</v>
      </c>
      <c r="J45" s="398">
        <f>+M44</f>
        <v>967952</v>
      </c>
      <c r="K45" s="399">
        <f>+J45*$I$40</f>
        <v>77436.160000000003</v>
      </c>
      <c r="L45" s="400">
        <v>0</v>
      </c>
      <c r="M45" s="398">
        <f>SUM(J45:L45)</f>
        <v>1045388.16</v>
      </c>
      <c r="N45" s="409"/>
      <c r="O45" s="343"/>
    </row>
    <row r="46" spans="1:15" ht="15" customHeight="1" x14ac:dyDescent="0.2">
      <c r="A46" s="348"/>
      <c r="B46" s="375" t="s">
        <v>933</v>
      </c>
      <c r="C46" s="376"/>
      <c r="D46" s="376">
        <v>31000</v>
      </c>
      <c r="E46" s="402">
        <v>-33000</v>
      </c>
      <c r="F46" s="376"/>
      <c r="G46" s="348"/>
      <c r="H46" s="403" t="s">
        <v>981</v>
      </c>
      <c r="I46" s="404">
        <v>0.27</v>
      </c>
      <c r="J46" s="405">
        <f>+M45</f>
        <v>1045388.16</v>
      </c>
      <c r="K46" s="406">
        <f>+J46*$I$40</f>
        <v>83631.052800000005</v>
      </c>
      <c r="L46" s="407">
        <v>-700000</v>
      </c>
      <c r="M46" s="405">
        <f>SUM(J46:L46)</f>
        <v>429019.2128000001</v>
      </c>
      <c r="N46" s="408">
        <f>SUM(K45:L46)*I46</f>
        <v>-145511.85254400002</v>
      </c>
      <c r="O46" s="343"/>
    </row>
    <row r="47" spans="1:15" ht="15" customHeight="1" x14ac:dyDescent="0.2">
      <c r="A47" s="348"/>
      <c r="B47" s="375" t="s">
        <v>934</v>
      </c>
      <c r="C47" s="376"/>
      <c r="D47" s="376">
        <v>28500</v>
      </c>
      <c r="E47" s="402">
        <v>0</v>
      </c>
      <c r="F47" s="376"/>
      <c r="G47" s="348"/>
      <c r="H47" s="396" t="s">
        <v>982</v>
      </c>
      <c r="I47" s="397">
        <v>0.26</v>
      </c>
      <c r="J47" s="398">
        <f>+M46</f>
        <v>429019.2128000001</v>
      </c>
      <c r="K47" s="399">
        <f t="shared" ref="K47:K54" si="0">+J47*$I$40</f>
        <v>34321.537024000005</v>
      </c>
      <c r="L47" s="400">
        <v>0</v>
      </c>
      <c r="M47" s="398">
        <f t="shared" ref="M47:M54" si="1">SUM(J47:L47)</f>
        <v>463340.74982400012</v>
      </c>
      <c r="N47" s="409"/>
      <c r="O47" s="343"/>
    </row>
    <row r="48" spans="1:15" ht="15" customHeight="1" x14ac:dyDescent="0.2">
      <c r="A48" s="348"/>
      <c r="B48" s="375" t="s">
        <v>935</v>
      </c>
      <c r="C48" s="376"/>
      <c r="D48" s="376">
        <v>29500</v>
      </c>
      <c r="E48" s="402">
        <v>0</v>
      </c>
      <c r="F48" s="376"/>
      <c r="G48" s="348"/>
      <c r="H48" s="410" t="s">
        <v>983</v>
      </c>
      <c r="I48" s="411">
        <v>0.26</v>
      </c>
      <c r="J48" s="412">
        <f t="shared" ref="J48:J54" si="2">+M47</f>
        <v>463340.74982400012</v>
      </c>
      <c r="K48" s="413">
        <f t="shared" si="0"/>
        <v>37067.259985920013</v>
      </c>
      <c r="L48" s="414">
        <v>0</v>
      </c>
      <c r="M48" s="412">
        <f t="shared" si="1"/>
        <v>500408.0098099201</v>
      </c>
      <c r="N48" s="415"/>
      <c r="O48" s="343"/>
    </row>
    <row r="49" spans="1:15" ht="15" customHeight="1" x14ac:dyDescent="0.2">
      <c r="A49" s="348"/>
      <c r="B49" s="375" t="s">
        <v>936</v>
      </c>
      <c r="C49" s="376"/>
      <c r="D49" s="376">
        <v>30000</v>
      </c>
      <c r="E49" s="402">
        <v>-33000</v>
      </c>
      <c r="F49" s="376"/>
      <c r="G49" s="348"/>
      <c r="H49" s="410" t="s">
        <v>984</v>
      </c>
      <c r="I49" s="411">
        <v>0.26</v>
      </c>
      <c r="J49" s="412">
        <f t="shared" si="2"/>
        <v>500408.0098099201</v>
      </c>
      <c r="K49" s="413">
        <f t="shared" si="0"/>
        <v>40032.640784793606</v>
      </c>
      <c r="L49" s="414">
        <v>0</v>
      </c>
      <c r="M49" s="412">
        <f t="shared" si="1"/>
        <v>540440.65059471375</v>
      </c>
      <c r="N49" s="415"/>
      <c r="O49" s="343"/>
    </row>
    <row r="50" spans="1:15" ht="15" customHeight="1" x14ac:dyDescent="0.2">
      <c r="A50" s="348"/>
      <c r="B50" s="375" t="s">
        <v>937</v>
      </c>
      <c r="C50" s="376"/>
      <c r="D50" s="376">
        <v>31000</v>
      </c>
      <c r="E50" s="402">
        <v>0</v>
      </c>
      <c r="F50" s="376"/>
      <c r="G50" s="348"/>
      <c r="H50" s="410" t="s">
        <v>985</v>
      </c>
      <c r="I50" s="411">
        <v>0.26</v>
      </c>
      <c r="J50" s="412">
        <f t="shared" si="2"/>
        <v>540440.65059471375</v>
      </c>
      <c r="K50" s="413">
        <f t="shared" si="0"/>
        <v>43235.252047577102</v>
      </c>
      <c r="L50" s="414">
        <v>0</v>
      </c>
      <c r="M50" s="412">
        <f t="shared" si="1"/>
        <v>583675.90264229081</v>
      </c>
      <c r="N50" s="415"/>
      <c r="O50" s="343"/>
    </row>
    <row r="51" spans="1:15" ht="15" customHeight="1" x14ac:dyDescent="0.2">
      <c r="A51" s="348"/>
      <c r="B51" s="375" t="s">
        <v>938</v>
      </c>
      <c r="C51" s="376"/>
      <c r="D51" s="376">
        <v>28500</v>
      </c>
      <c r="E51" s="402">
        <v>0</v>
      </c>
      <c r="F51" s="376"/>
      <c r="G51" s="348"/>
      <c r="H51" s="410" t="s">
        <v>986</v>
      </c>
      <c r="I51" s="411">
        <v>0.26</v>
      </c>
      <c r="J51" s="412">
        <f t="shared" si="2"/>
        <v>583675.90264229081</v>
      </c>
      <c r="K51" s="413">
        <f t="shared" si="0"/>
        <v>46694.072211383267</v>
      </c>
      <c r="L51" s="414">
        <v>0</v>
      </c>
      <c r="M51" s="412">
        <f t="shared" si="1"/>
        <v>630369.97485367407</v>
      </c>
      <c r="N51" s="415"/>
      <c r="O51" s="343"/>
    </row>
    <row r="52" spans="1:15" ht="15" customHeight="1" x14ac:dyDescent="0.2">
      <c r="A52" s="348"/>
      <c r="B52" s="375" t="s">
        <v>939</v>
      </c>
      <c r="C52" s="376"/>
      <c r="D52" s="376">
        <v>29500</v>
      </c>
      <c r="E52" s="402">
        <v>-33000</v>
      </c>
      <c r="F52" s="376"/>
      <c r="G52" s="348"/>
      <c r="H52" s="410" t="s">
        <v>987</v>
      </c>
      <c r="I52" s="411">
        <v>0.26</v>
      </c>
      <c r="J52" s="412">
        <f t="shared" si="2"/>
        <v>630369.97485367407</v>
      </c>
      <c r="K52" s="413">
        <f t="shared" si="0"/>
        <v>50429.597988293928</v>
      </c>
      <c r="L52" s="414">
        <v>0</v>
      </c>
      <c r="M52" s="412">
        <f t="shared" si="1"/>
        <v>680799.57284196804</v>
      </c>
      <c r="N52" s="415"/>
      <c r="O52" s="343"/>
    </row>
    <row r="53" spans="1:15" ht="15" customHeight="1" x14ac:dyDescent="0.2">
      <c r="A53" s="348"/>
      <c r="B53" s="375" t="s">
        <v>940</v>
      </c>
      <c r="C53" s="376"/>
      <c r="D53" s="376">
        <v>30000</v>
      </c>
      <c r="E53" s="402">
        <v>0</v>
      </c>
      <c r="F53" s="376"/>
      <c r="G53" s="348"/>
      <c r="H53" s="410" t="s">
        <v>988</v>
      </c>
      <c r="I53" s="411">
        <v>0.26</v>
      </c>
      <c r="J53" s="412">
        <f t="shared" si="2"/>
        <v>680799.57284196804</v>
      </c>
      <c r="K53" s="413">
        <f t="shared" si="0"/>
        <v>54463.965827357446</v>
      </c>
      <c r="L53" s="414">
        <v>0</v>
      </c>
      <c r="M53" s="412">
        <f t="shared" si="1"/>
        <v>735263.53866932553</v>
      </c>
      <c r="N53" s="415"/>
      <c r="O53" s="343"/>
    </row>
    <row r="54" spans="1:15" ht="15" customHeight="1" x14ac:dyDescent="0.2">
      <c r="A54" s="348"/>
      <c r="B54" s="375" t="s">
        <v>941</v>
      </c>
      <c r="C54" s="376"/>
      <c r="D54" s="376">
        <v>32000</v>
      </c>
      <c r="E54" s="402">
        <v>0</v>
      </c>
      <c r="F54" s="376"/>
      <c r="G54" s="348"/>
      <c r="H54" s="403" t="s">
        <v>989</v>
      </c>
      <c r="I54" s="404">
        <v>0.26</v>
      </c>
      <c r="J54" s="405">
        <f t="shared" si="2"/>
        <v>735263.53866932553</v>
      </c>
      <c r="K54" s="406">
        <f t="shared" si="0"/>
        <v>58821.08309354604</v>
      </c>
      <c r="L54" s="407">
        <v>-794085</v>
      </c>
      <c r="M54" s="405">
        <f t="shared" si="1"/>
        <v>-0.37823712849058211</v>
      </c>
      <c r="N54" s="408">
        <f>SUM(K47:L54)*I54</f>
        <v>-111545.09366965345</v>
      </c>
      <c r="O54" s="343"/>
    </row>
    <row r="55" spans="1:15" ht="15" customHeight="1" x14ac:dyDescent="0.25">
      <c r="A55" s="348"/>
      <c r="B55" s="378" t="s">
        <v>942</v>
      </c>
      <c r="C55" s="376"/>
      <c r="D55" s="376">
        <v>29000</v>
      </c>
      <c r="E55" s="402">
        <v>0</v>
      </c>
      <c r="F55" s="376"/>
      <c r="G55" s="348"/>
      <c r="H55" s="344"/>
      <c r="I55" s="344"/>
      <c r="J55" s="344"/>
      <c r="K55" s="344"/>
      <c r="L55" s="344"/>
      <c r="M55" s="344"/>
      <c r="N55" s="416">
        <f>SUM(N43:N54)</f>
        <v>-386430.38621365349</v>
      </c>
      <c r="O55" s="343"/>
    </row>
    <row r="56" spans="1:15" ht="15" customHeight="1" x14ac:dyDescent="0.25">
      <c r="A56" s="348"/>
      <c r="B56" s="348"/>
      <c r="C56" s="379">
        <f>SUM(C43:C55)</f>
        <v>1171000</v>
      </c>
      <c r="D56" s="380">
        <f>SUM(D43:D55)</f>
        <v>358000</v>
      </c>
      <c r="E56" s="417">
        <f>SUM(E43:E55)</f>
        <v>-99000</v>
      </c>
      <c r="F56" s="380">
        <f>SUM(F43:F55)</f>
        <v>1430000</v>
      </c>
      <c r="G56" s="348"/>
      <c r="H56" s="361" t="s">
        <v>1150</v>
      </c>
      <c r="I56" s="344"/>
      <c r="J56" s="344"/>
      <c r="K56" s="344"/>
      <c r="L56" s="344"/>
      <c r="M56" s="344"/>
      <c r="O56" s="343"/>
    </row>
    <row r="57" spans="1:15" ht="15" customHeight="1" x14ac:dyDescent="0.25">
      <c r="F57" s="545"/>
      <c r="G57" s="344"/>
      <c r="H57" s="344"/>
      <c r="I57" s="344"/>
      <c r="J57" s="344"/>
      <c r="K57" s="344"/>
      <c r="L57" s="344"/>
      <c r="M57" s="344"/>
      <c r="N57" s="344"/>
      <c r="O57" s="343"/>
    </row>
    <row r="58" spans="1:15" ht="15" customHeight="1" x14ac:dyDescent="0.25">
      <c r="B58" s="344"/>
      <c r="C58" s="344"/>
      <c r="D58" s="344"/>
      <c r="E58" s="344"/>
      <c r="F58" s="545" t="s">
        <v>1151</v>
      </c>
      <c r="G58" s="344"/>
      <c r="H58" s="344"/>
      <c r="I58" s="344"/>
      <c r="J58" s="344"/>
      <c r="K58" s="344"/>
      <c r="L58" s="344"/>
      <c r="M58" s="344"/>
      <c r="N58" s="344"/>
      <c r="O58" s="343"/>
    </row>
    <row r="59" spans="1:15" ht="15" customHeight="1" x14ac:dyDescent="0.2">
      <c r="B59" s="418" t="s">
        <v>1288</v>
      </c>
      <c r="C59" s="419"/>
      <c r="D59" s="420"/>
      <c r="E59" s="420"/>
      <c r="F59" s="421"/>
      <c r="G59" s="344"/>
      <c r="H59" s="344"/>
      <c r="I59" s="344"/>
      <c r="J59" s="344"/>
      <c r="K59" s="344"/>
      <c r="L59" s="344"/>
      <c r="M59" s="344"/>
      <c r="N59" s="344"/>
      <c r="O59" s="343"/>
    </row>
    <row r="60" spans="1:15" ht="15" customHeight="1" x14ac:dyDescent="0.2">
      <c r="B60" s="350"/>
      <c r="C60" s="350" t="s">
        <v>908</v>
      </c>
      <c r="D60" s="567" t="s">
        <v>1290</v>
      </c>
      <c r="E60" s="567" t="s">
        <v>945</v>
      </c>
      <c r="F60" s="349" t="s">
        <v>908</v>
      </c>
      <c r="G60" s="344"/>
      <c r="H60" s="344"/>
      <c r="I60" s="344"/>
      <c r="J60" s="344"/>
      <c r="K60" s="344"/>
      <c r="L60" s="344"/>
      <c r="M60" s="344"/>
      <c r="N60" s="344"/>
      <c r="O60" s="343"/>
    </row>
    <row r="61" spans="1:15" ht="15" customHeight="1" x14ac:dyDescent="0.2">
      <c r="B61" s="352"/>
      <c r="C61" s="352" t="s">
        <v>909</v>
      </c>
      <c r="D61" s="568"/>
      <c r="E61" s="568"/>
      <c r="F61" s="352" t="s">
        <v>910</v>
      </c>
      <c r="G61" s="344"/>
      <c r="H61" s="344"/>
      <c r="I61" s="344"/>
      <c r="J61" s="344"/>
      <c r="K61" s="344"/>
      <c r="L61" s="344"/>
      <c r="M61" s="344"/>
      <c r="N61" s="344"/>
      <c r="O61" s="343"/>
    </row>
    <row r="62" spans="1:15" ht="15" customHeight="1" x14ac:dyDescent="0.2">
      <c r="B62" s="422" t="s">
        <v>1324</v>
      </c>
      <c r="C62" s="423">
        <v>19000</v>
      </c>
      <c r="D62" s="423">
        <v>24000</v>
      </c>
      <c r="E62" s="423">
        <v>0</v>
      </c>
      <c r="F62" s="423">
        <f>+SUM(C62:E62)</f>
        <v>43000</v>
      </c>
      <c r="G62" s="344"/>
      <c r="H62" s="344"/>
      <c r="I62" s="344"/>
      <c r="J62" s="344"/>
      <c r="K62" s="344"/>
      <c r="L62" s="344"/>
      <c r="M62" s="344"/>
      <c r="N62" s="344"/>
      <c r="O62" s="343"/>
    </row>
    <row r="63" spans="1:15" ht="15" customHeight="1" x14ac:dyDescent="0.2">
      <c r="B63" s="424" t="s">
        <v>1325</v>
      </c>
      <c r="C63" s="425">
        <v>5969.76</v>
      </c>
      <c r="D63" s="425">
        <v>80000</v>
      </c>
      <c r="E63" s="425">
        <v>-10000</v>
      </c>
      <c r="F63" s="425">
        <f>+SUM(C63:E63)</f>
        <v>75969.759999999995</v>
      </c>
      <c r="G63" s="344"/>
      <c r="H63" s="344"/>
      <c r="I63" s="344"/>
      <c r="J63" s="344"/>
      <c r="K63" s="344"/>
      <c r="L63" s="344"/>
      <c r="M63" s="344"/>
      <c r="N63" s="344"/>
      <c r="O63" s="343"/>
    </row>
    <row r="64" spans="1:15" ht="15" customHeight="1" x14ac:dyDescent="0.2">
      <c r="B64" s="424" t="s">
        <v>1326</v>
      </c>
      <c r="C64" s="425">
        <v>10000</v>
      </c>
      <c r="D64" s="425">
        <v>40000</v>
      </c>
      <c r="E64" s="425">
        <v>0</v>
      </c>
      <c r="F64" s="425">
        <f>+SUM(C64:E64)</f>
        <v>50000</v>
      </c>
      <c r="G64" s="344"/>
      <c r="H64" s="344"/>
      <c r="I64" s="344"/>
      <c r="J64" s="344"/>
      <c r="K64" s="344"/>
      <c r="L64" s="344"/>
      <c r="M64" s="344"/>
      <c r="N64" s="344"/>
      <c r="O64" s="343"/>
    </row>
    <row r="65" spans="1:15" ht="15" customHeight="1" x14ac:dyDescent="0.2">
      <c r="B65" s="424" t="s">
        <v>1015</v>
      </c>
      <c r="C65" s="425">
        <v>17000</v>
      </c>
      <c r="D65" s="425">
        <v>15000</v>
      </c>
      <c r="E65" s="425">
        <v>-9828.2000000000007</v>
      </c>
      <c r="F65" s="425">
        <f>+SUM(C65:E65)</f>
        <v>22171.8</v>
      </c>
      <c r="G65" s="344"/>
      <c r="H65" s="344"/>
      <c r="I65" s="344"/>
      <c r="J65" s="344"/>
      <c r="K65" s="344"/>
      <c r="L65" s="344"/>
      <c r="M65" s="344"/>
      <c r="N65" s="344"/>
      <c r="O65" s="343"/>
    </row>
    <row r="66" spans="1:15" ht="15" customHeight="1" x14ac:dyDescent="0.2">
      <c r="B66" s="426" t="s">
        <v>1016</v>
      </c>
      <c r="C66" s="427">
        <v>2015.12</v>
      </c>
      <c r="D66" s="427">
        <v>50000</v>
      </c>
      <c r="E66" s="427">
        <v>0</v>
      </c>
      <c r="F66" s="427">
        <f>+SUM(C66:E66)</f>
        <v>52015.12</v>
      </c>
      <c r="G66" s="344"/>
      <c r="H66" s="344"/>
      <c r="I66" s="344"/>
      <c r="J66" s="344"/>
      <c r="K66" s="344"/>
      <c r="L66" s="344"/>
      <c r="M66" s="344"/>
      <c r="N66" s="344"/>
      <c r="O66" s="343"/>
    </row>
    <row r="67" spans="1:15" ht="15" customHeight="1" x14ac:dyDescent="0.25">
      <c r="A67" s="428"/>
      <c r="B67" s="428"/>
      <c r="C67" s="429">
        <f>SUM(C62:C66)</f>
        <v>53984.880000000005</v>
      </c>
      <c r="D67" s="429">
        <f>SUM(D62:D66)</f>
        <v>209000</v>
      </c>
      <c r="E67" s="429">
        <f>SUM(E62:E66)</f>
        <v>-19828.2</v>
      </c>
      <c r="F67" s="429">
        <f>SUM(F62:F66)</f>
        <v>243156.68</v>
      </c>
      <c r="G67" s="344"/>
      <c r="H67" s="361" t="s">
        <v>1151</v>
      </c>
      <c r="I67" s="344"/>
      <c r="J67" s="344"/>
      <c r="K67" s="344"/>
      <c r="L67" s="344"/>
      <c r="M67" s="344"/>
      <c r="N67" s="344"/>
      <c r="O67" s="343"/>
    </row>
    <row r="68" spans="1:15" ht="15" customHeight="1" x14ac:dyDescent="0.2">
      <c r="A68" s="344"/>
      <c r="B68" s="344"/>
      <c r="C68" s="344"/>
      <c r="D68" s="344"/>
      <c r="E68" s="344"/>
      <c r="F68" s="344"/>
      <c r="G68" s="344"/>
      <c r="O68" s="343"/>
    </row>
    <row r="69" spans="1:15" ht="15" customHeight="1" x14ac:dyDescent="0.2">
      <c r="A69" s="343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</row>
    <row r="71" spans="1:15" ht="15" customHeight="1" x14ac:dyDescent="0.2">
      <c r="H71" s="430"/>
    </row>
    <row r="72" spans="1:15" ht="15" customHeight="1" x14ac:dyDescent="0.2">
      <c r="H72" s="430"/>
    </row>
    <row r="73" spans="1:15" ht="15" customHeight="1" x14ac:dyDescent="0.2">
      <c r="H73" s="431"/>
    </row>
  </sheetData>
  <mergeCells count="6">
    <mergeCell ref="D3:E3"/>
    <mergeCell ref="E60:E61"/>
    <mergeCell ref="D60:D61"/>
    <mergeCell ref="D41:D42"/>
    <mergeCell ref="D23:D24"/>
    <mergeCell ref="E23:E24"/>
  </mergeCells>
  <printOptions horizontalCentered="1"/>
  <pageMargins left="0.43" right="0.37" top="0.38" bottom="0.19685039370078741" header="0" footer="0"/>
  <pageSetup paperSize="9" scale="69" fitToHeight="2" orientation="portrait" r:id="rId1"/>
  <headerFooter alignWithMargins="0"/>
  <ignoredErrors>
    <ignoredError sqref="E4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7:G16"/>
  <sheetViews>
    <sheetView workbookViewId="0">
      <selection sqref="A1:F7"/>
    </sheetView>
  </sheetViews>
  <sheetFormatPr baseColWidth="10" defaultColWidth="11.42578125" defaultRowHeight="15" customHeight="1" x14ac:dyDescent="0.2"/>
  <cols>
    <col min="1" max="1" width="9.140625" style="11" bestFit="1" customWidth="1"/>
    <col min="2" max="2" width="32.85546875" style="11" customWidth="1"/>
    <col min="3" max="3" width="10.7109375" style="11" customWidth="1"/>
    <col min="4" max="4" width="12.140625" style="11" customWidth="1"/>
    <col min="5" max="5" width="13.42578125" style="11" customWidth="1"/>
    <col min="6" max="6" width="10.7109375" style="11" customWidth="1"/>
    <col min="7" max="253" width="11.42578125" style="11"/>
    <col min="254" max="254" width="11.42578125" style="11" customWidth="1"/>
    <col min="255" max="255" width="12.140625" style="11" customWidth="1"/>
    <col min="256" max="256" width="11.7109375" style="11" customWidth="1"/>
    <col min="257" max="257" width="14.42578125" style="11" customWidth="1"/>
    <col min="258" max="258" width="11" style="11" customWidth="1"/>
    <col min="259" max="259" width="17" style="11" bestFit="1" customWidth="1"/>
    <col min="260" max="260" width="15.7109375" style="11" customWidth="1"/>
    <col min="261" max="261" width="13.28515625" style="11" bestFit="1" customWidth="1"/>
    <col min="262" max="262" width="17.140625" style="11" customWidth="1"/>
    <col min="263" max="509" width="11.42578125" style="11"/>
    <col min="510" max="510" width="11.42578125" style="11" customWidth="1"/>
    <col min="511" max="511" width="12.140625" style="11" customWidth="1"/>
    <col min="512" max="512" width="11.7109375" style="11" customWidth="1"/>
    <col min="513" max="513" width="14.42578125" style="11" customWidth="1"/>
    <col min="514" max="514" width="11" style="11" customWidth="1"/>
    <col min="515" max="515" width="17" style="11" bestFit="1" customWidth="1"/>
    <col min="516" max="516" width="15.7109375" style="11" customWidth="1"/>
    <col min="517" max="517" width="13.28515625" style="11" bestFit="1" customWidth="1"/>
    <col min="518" max="518" width="17.140625" style="11" customWidth="1"/>
    <col min="519" max="765" width="11.42578125" style="11"/>
    <col min="766" max="766" width="11.42578125" style="11" customWidth="1"/>
    <col min="767" max="767" width="12.140625" style="11" customWidth="1"/>
    <col min="768" max="768" width="11.7109375" style="11" customWidth="1"/>
    <col min="769" max="769" width="14.42578125" style="11" customWidth="1"/>
    <col min="770" max="770" width="11" style="11" customWidth="1"/>
    <col min="771" max="771" width="17" style="11" bestFit="1" customWidth="1"/>
    <col min="772" max="772" width="15.7109375" style="11" customWidth="1"/>
    <col min="773" max="773" width="13.28515625" style="11" bestFit="1" customWidth="1"/>
    <col min="774" max="774" width="17.140625" style="11" customWidth="1"/>
    <col min="775" max="1021" width="11.42578125" style="11"/>
    <col min="1022" max="1022" width="11.42578125" style="11" customWidth="1"/>
    <col min="1023" max="1023" width="12.140625" style="11" customWidth="1"/>
    <col min="1024" max="1024" width="11.7109375" style="11" customWidth="1"/>
    <col min="1025" max="1025" width="14.42578125" style="11" customWidth="1"/>
    <col min="1026" max="1026" width="11" style="11" customWidth="1"/>
    <col min="1027" max="1027" width="17" style="11" bestFit="1" customWidth="1"/>
    <col min="1028" max="1028" width="15.7109375" style="11" customWidth="1"/>
    <col min="1029" max="1029" width="13.28515625" style="11" bestFit="1" customWidth="1"/>
    <col min="1030" max="1030" width="17.140625" style="11" customWidth="1"/>
    <col min="1031" max="1277" width="11.42578125" style="11"/>
    <col min="1278" max="1278" width="11.42578125" style="11" customWidth="1"/>
    <col min="1279" max="1279" width="12.140625" style="11" customWidth="1"/>
    <col min="1280" max="1280" width="11.7109375" style="11" customWidth="1"/>
    <col min="1281" max="1281" width="14.42578125" style="11" customWidth="1"/>
    <col min="1282" max="1282" width="11" style="11" customWidth="1"/>
    <col min="1283" max="1283" width="17" style="11" bestFit="1" customWidth="1"/>
    <col min="1284" max="1284" width="15.7109375" style="11" customWidth="1"/>
    <col min="1285" max="1285" width="13.28515625" style="11" bestFit="1" customWidth="1"/>
    <col min="1286" max="1286" width="17.140625" style="11" customWidth="1"/>
    <col min="1287" max="1533" width="11.42578125" style="11"/>
    <col min="1534" max="1534" width="11.42578125" style="11" customWidth="1"/>
    <col min="1535" max="1535" width="12.140625" style="11" customWidth="1"/>
    <col min="1536" max="1536" width="11.7109375" style="11" customWidth="1"/>
    <col min="1537" max="1537" width="14.42578125" style="11" customWidth="1"/>
    <col min="1538" max="1538" width="11" style="11" customWidth="1"/>
    <col min="1539" max="1539" width="17" style="11" bestFit="1" customWidth="1"/>
    <col min="1540" max="1540" width="15.7109375" style="11" customWidth="1"/>
    <col min="1541" max="1541" width="13.28515625" style="11" bestFit="1" customWidth="1"/>
    <col min="1542" max="1542" width="17.140625" style="11" customWidth="1"/>
    <col min="1543" max="1789" width="11.42578125" style="11"/>
    <col min="1790" max="1790" width="11.42578125" style="11" customWidth="1"/>
    <col min="1791" max="1791" width="12.140625" style="11" customWidth="1"/>
    <col min="1792" max="1792" width="11.7109375" style="11" customWidth="1"/>
    <col min="1793" max="1793" width="14.42578125" style="11" customWidth="1"/>
    <col min="1794" max="1794" width="11" style="11" customWidth="1"/>
    <col min="1795" max="1795" width="17" style="11" bestFit="1" customWidth="1"/>
    <col min="1796" max="1796" width="15.7109375" style="11" customWidth="1"/>
    <col min="1797" max="1797" width="13.28515625" style="11" bestFit="1" customWidth="1"/>
    <col min="1798" max="1798" width="17.140625" style="11" customWidth="1"/>
    <col min="1799" max="2045" width="11.42578125" style="11"/>
    <col min="2046" max="2046" width="11.42578125" style="11" customWidth="1"/>
    <col min="2047" max="2047" width="12.140625" style="11" customWidth="1"/>
    <col min="2048" max="2048" width="11.7109375" style="11" customWidth="1"/>
    <col min="2049" max="2049" width="14.42578125" style="11" customWidth="1"/>
    <col min="2050" max="2050" width="11" style="11" customWidth="1"/>
    <col min="2051" max="2051" width="17" style="11" bestFit="1" customWidth="1"/>
    <col min="2052" max="2052" width="15.7109375" style="11" customWidth="1"/>
    <col min="2053" max="2053" width="13.28515625" style="11" bestFit="1" customWidth="1"/>
    <col min="2054" max="2054" width="17.140625" style="11" customWidth="1"/>
    <col min="2055" max="2301" width="11.42578125" style="11"/>
    <col min="2302" max="2302" width="11.42578125" style="11" customWidth="1"/>
    <col min="2303" max="2303" width="12.140625" style="11" customWidth="1"/>
    <col min="2304" max="2304" width="11.7109375" style="11" customWidth="1"/>
    <col min="2305" max="2305" width="14.42578125" style="11" customWidth="1"/>
    <col min="2306" max="2306" width="11" style="11" customWidth="1"/>
    <col min="2307" max="2307" width="17" style="11" bestFit="1" customWidth="1"/>
    <col min="2308" max="2308" width="15.7109375" style="11" customWidth="1"/>
    <col min="2309" max="2309" width="13.28515625" style="11" bestFit="1" customWidth="1"/>
    <col min="2310" max="2310" width="17.140625" style="11" customWidth="1"/>
    <col min="2311" max="2557" width="11.42578125" style="11"/>
    <col min="2558" max="2558" width="11.42578125" style="11" customWidth="1"/>
    <col min="2559" max="2559" width="12.140625" style="11" customWidth="1"/>
    <col min="2560" max="2560" width="11.7109375" style="11" customWidth="1"/>
    <col min="2561" max="2561" width="14.42578125" style="11" customWidth="1"/>
    <col min="2562" max="2562" width="11" style="11" customWidth="1"/>
    <col min="2563" max="2563" width="17" style="11" bestFit="1" customWidth="1"/>
    <col min="2564" max="2564" width="15.7109375" style="11" customWidth="1"/>
    <col min="2565" max="2565" width="13.28515625" style="11" bestFit="1" customWidth="1"/>
    <col min="2566" max="2566" width="17.140625" style="11" customWidth="1"/>
    <col min="2567" max="2813" width="11.42578125" style="11"/>
    <col min="2814" max="2814" width="11.42578125" style="11" customWidth="1"/>
    <col min="2815" max="2815" width="12.140625" style="11" customWidth="1"/>
    <col min="2816" max="2816" width="11.7109375" style="11" customWidth="1"/>
    <col min="2817" max="2817" width="14.42578125" style="11" customWidth="1"/>
    <col min="2818" max="2818" width="11" style="11" customWidth="1"/>
    <col min="2819" max="2819" width="17" style="11" bestFit="1" customWidth="1"/>
    <col min="2820" max="2820" width="15.7109375" style="11" customWidth="1"/>
    <col min="2821" max="2821" width="13.28515625" style="11" bestFit="1" customWidth="1"/>
    <col min="2822" max="2822" width="17.140625" style="11" customWidth="1"/>
    <col min="2823" max="3069" width="11.42578125" style="11"/>
    <col min="3070" max="3070" width="11.42578125" style="11" customWidth="1"/>
    <col min="3071" max="3071" width="12.140625" style="11" customWidth="1"/>
    <col min="3072" max="3072" width="11.7109375" style="11" customWidth="1"/>
    <col min="3073" max="3073" width="14.42578125" style="11" customWidth="1"/>
    <col min="3074" max="3074" width="11" style="11" customWidth="1"/>
    <col min="3075" max="3075" width="17" style="11" bestFit="1" customWidth="1"/>
    <col min="3076" max="3076" width="15.7109375" style="11" customWidth="1"/>
    <col min="3077" max="3077" width="13.28515625" style="11" bestFit="1" customWidth="1"/>
    <col min="3078" max="3078" width="17.140625" style="11" customWidth="1"/>
    <col min="3079" max="3325" width="11.42578125" style="11"/>
    <col min="3326" max="3326" width="11.42578125" style="11" customWidth="1"/>
    <col min="3327" max="3327" width="12.140625" style="11" customWidth="1"/>
    <col min="3328" max="3328" width="11.7109375" style="11" customWidth="1"/>
    <col min="3329" max="3329" width="14.42578125" style="11" customWidth="1"/>
    <col min="3330" max="3330" width="11" style="11" customWidth="1"/>
    <col min="3331" max="3331" width="17" style="11" bestFit="1" customWidth="1"/>
    <col min="3332" max="3332" width="15.7109375" style="11" customWidth="1"/>
    <col min="3333" max="3333" width="13.28515625" style="11" bestFit="1" customWidth="1"/>
    <col min="3334" max="3334" width="17.140625" style="11" customWidth="1"/>
    <col min="3335" max="3581" width="11.42578125" style="11"/>
    <col min="3582" max="3582" width="11.42578125" style="11" customWidth="1"/>
    <col min="3583" max="3583" width="12.140625" style="11" customWidth="1"/>
    <col min="3584" max="3584" width="11.7109375" style="11" customWidth="1"/>
    <col min="3585" max="3585" width="14.42578125" style="11" customWidth="1"/>
    <col min="3586" max="3586" width="11" style="11" customWidth="1"/>
    <col min="3587" max="3587" width="17" style="11" bestFit="1" customWidth="1"/>
    <col min="3588" max="3588" width="15.7109375" style="11" customWidth="1"/>
    <col min="3589" max="3589" width="13.28515625" style="11" bestFit="1" customWidth="1"/>
    <col min="3590" max="3590" width="17.140625" style="11" customWidth="1"/>
    <col min="3591" max="3837" width="11.42578125" style="11"/>
    <col min="3838" max="3838" width="11.42578125" style="11" customWidth="1"/>
    <col min="3839" max="3839" width="12.140625" style="11" customWidth="1"/>
    <col min="3840" max="3840" width="11.7109375" style="11" customWidth="1"/>
    <col min="3841" max="3841" width="14.42578125" style="11" customWidth="1"/>
    <col min="3842" max="3842" width="11" style="11" customWidth="1"/>
    <col min="3843" max="3843" width="17" style="11" bestFit="1" customWidth="1"/>
    <col min="3844" max="3844" width="15.7109375" style="11" customWidth="1"/>
    <col min="3845" max="3845" width="13.28515625" style="11" bestFit="1" customWidth="1"/>
    <col min="3846" max="3846" width="17.140625" style="11" customWidth="1"/>
    <col min="3847" max="4093" width="11.42578125" style="11"/>
    <col min="4094" max="4094" width="11.42578125" style="11" customWidth="1"/>
    <col min="4095" max="4095" width="12.140625" style="11" customWidth="1"/>
    <col min="4096" max="4096" width="11.7109375" style="11" customWidth="1"/>
    <col min="4097" max="4097" width="14.42578125" style="11" customWidth="1"/>
    <col min="4098" max="4098" width="11" style="11" customWidth="1"/>
    <col min="4099" max="4099" width="17" style="11" bestFit="1" customWidth="1"/>
    <col min="4100" max="4100" width="15.7109375" style="11" customWidth="1"/>
    <col min="4101" max="4101" width="13.28515625" style="11" bestFit="1" customWidth="1"/>
    <col min="4102" max="4102" width="17.140625" style="11" customWidth="1"/>
    <col min="4103" max="4349" width="11.42578125" style="11"/>
    <col min="4350" max="4350" width="11.42578125" style="11" customWidth="1"/>
    <col min="4351" max="4351" width="12.140625" style="11" customWidth="1"/>
    <col min="4352" max="4352" width="11.7109375" style="11" customWidth="1"/>
    <col min="4353" max="4353" width="14.42578125" style="11" customWidth="1"/>
    <col min="4354" max="4354" width="11" style="11" customWidth="1"/>
    <col min="4355" max="4355" width="17" style="11" bestFit="1" customWidth="1"/>
    <col min="4356" max="4356" width="15.7109375" style="11" customWidth="1"/>
    <col min="4357" max="4357" width="13.28515625" style="11" bestFit="1" customWidth="1"/>
    <col min="4358" max="4358" width="17.140625" style="11" customWidth="1"/>
    <col min="4359" max="4605" width="11.42578125" style="11"/>
    <col min="4606" max="4606" width="11.42578125" style="11" customWidth="1"/>
    <col min="4607" max="4607" width="12.140625" style="11" customWidth="1"/>
    <col min="4608" max="4608" width="11.7109375" style="11" customWidth="1"/>
    <col min="4609" max="4609" width="14.42578125" style="11" customWidth="1"/>
    <col min="4610" max="4610" width="11" style="11" customWidth="1"/>
    <col min="4611" max="4611" width="17" style="11" bestFit="1" customWidth="1"/>
    <col min="4612" max="4612" width="15.7109375" style="11" customWidth="1"/>
    <col min="4613" max="4613" width="13.28515625" style="11" bestFit="1" customWidth="1"/>
    <col min="4614" max="4614" width="17.140625" style="11" customWidth="1"/>
    <col min="4615" max="4861" width="11.42578125" style="11"/>
    <col min="4862" max="4862" width="11.42578125" style="11" customWidth="1"/>
    <col min="4863" max="4863" width="12.140625" style="11" customWidth="1"/>
    <col min="4864" max="4864" width="11.7109375" style="11" customWidth="1"/>
    <col min="4865" max="4865" width="14.42578125" style="11" customWidth="1"/>
    <col min="4866" max="4866" width="11" style="11" customWidth="1"/>
    <col min="4867" max="4867" width="17" style="11" bestFit="1" customWidth="1"/>
    <col min="4868" max="4868" width="15.7109375" style="11" customWidth="1"/>
    <col min="4869" max="4869" width="13.28515625" style="11" bestFit="1" customWidth="1"/>
    <col min="4870" max="4870" width="17.140625" style="11" customWidth="1"/>
    <col min="4871" max="5117" width="11.42578125" style="11"/>
    <col min="5118" max="5118" width="11.42578125" style="11" customWidth="1"/>
    <col min="5119" max="5119" width="12.140625" style="11" customWidth="1"/>
    <col min="5120" max="5120" width="11.7109375" style="11" customWidth="1"/>
    <col min="5121" max="5121" width="14.42578125" style="11" customWidth="1"/>
    <col min="5122" max="5122" width="11" style="11" customWidth="1"/>
    <col min="5123" max="5123" width="17" style="11" bestFit="1" customWidth="1"/>
    <col min="5124" max="5124" width="15.7109375" style="11" customWidth="1"/>
    <col min="5125" max="5125" width="13.28515625" style="11" bestFit="1" customWidth="1"/>
    <col min="5126" max="5126" width="17.140625" style="11" customWidth="1"/>
    <col min="5127" max="5373" width="11.42578125" style="11"/>
    <col min="5374" max="5374" width="11.42578125" style="11" customWidth="1"/>
    <col min="5375" max="5375" width="12.140625" style="11" customWidth="1"/>
    <col min="5376" max="5376" width="11.7109375" style="11" customWidth="1"/>
    <col min="5377" max="5377" width="14.42578125" style="11" customWidth="1"/>
    <col min="5378" max="5378" width="11" style="11" customWidth="1"/>
    <col min="5379" max="5379" width="17" style="11" bestFit="1" customWidth="1"/>
    <col min="5380" max="5380" width="15.7109375" style="11" customWidth="1"/>
    <col min="5381" max="5381" width="13.28515625" style="11" bestFit="1" customWidth="1"/>
    <col min="5382" max="5382" width="17.140625" style="11" customWidth="1"/>
    <col min="5383" max="5629" width="11.42578125" style="11"/>
    <col min="5630" max="5630" width="11.42578125" style="11" customWidth="1"/>
    <col min="5631" max="5631" width="12.140625" style="11" customWidth="1"/>
    <col min="5632" max="5632" width="11.7109375" style="11" customWidth="1"/>
    <col min="5633" max="5633" width="14.42578125" style="11" customWidth="1"/>
    <col min="5634" max="5634" width="11" style="11" customWidth="1"/>
    <col min="5635" max="5635" width="17" style="11" bestFit="1" customWidth="1"/>
    <col min="5636" max="5636" width="15.7109375" style="11" customWidth="1"/>
    <col min="5637" max="5637" width="13.28515625" style="11" bestFit="1" customWidth="1"/>
    <col min="5638" max="5638" width="17.140625" style="11" customWidth="1"/>
    <col min="5639" max="5885" width="11.42578125" style="11"/>
    <col min="5886" max="5886" width="11.42578125" style="11" customWidth="1"/>
    <col min="5887" max="5887" width="12.140625" style="11" customWidth="1"/>
    <col min="5888" max="5888" width="11.7109375" style="11" customWidth="1"/>
    <col min="5889" max="5889" width="14.42578125" style="11" customWidth="1"/>
    <col min="5890" max="5890" width="11" style="11" customWidth="1"/>
    <col min="5891" max="5891" width="17" style="11" bestFit="1" customWidth="1"/>
    <col min="5892" max="5892" width="15.7109375" style="11" customWidth="1"/>
    <col min="5893" max="5893" width="13.28515625" style="11" bestFit="1" customWidth="1"/>
    <col min="5894" max="5894" width="17.140625" style="11" customWidth="1"/>
    <col min="5895" max="6141" width="11.42578125" style="11"/>
    <col min="6142" max="6142" width="11.42578125" style="11" customWidth="1"/>
    <col min="6143" max="6143" width="12.140625" style="11" customWidth="1"/>
    <col min="6144" max="6144" width="11.7109375" style="11" customWidth="1"/>
    <col min="6145" max="6145" width="14.42578125" style="11" customWidth="1"/>
    <col min="6146" max="6146" width="11" style="11" customWidth="1"/>
    <col min="6147" max="6147" width="17" style="11" bestFit="1" customWidth="1"/>
    <col min="6148" max="6148" width="15.7109375" style="11" customWidth="1"/>
    <col min="6149" max="6149" width="13.28515625" style="11" bestFit="1" customWidth="1"/>
    <col min="6150" max="6150" width="17.140625" style="11" customWidth="1"/>
    <col min="6151" max="6397" width="11.42578125" style="11"/>
    <col min="6398" max="6398" width="11.42578125" style="11" customWidth="1"/>
    <col min="6399" max="6399" width="12.140625" style="11" customWidth="1"/>
    <col min="6400" max="6400" width="11.7109375" style="11" customWidth="1"/>
    <col min="6401" max="6401" width="14.42578125" style="11" customWidth="1"/>
    <col min="6402" max="6402" width="11" style="11" customWidth="1"/>
    <col min="6403" max="6403" width="17" style="11" bestFit="1" customWidth="1"/>
    <col min="6404" max="6404" width="15.7109375" style="11" customWidth="1"/>
    <col min="6405" max="6405" width="13.28515625" style="11" bestFit="1" customWidth="1"/>
    <col min="6406" max="6406" width="17.140625" style="11" customWidth="1"/>
    <col min="6407" max="6653" width="11.42578125" style="11"/>
    <col min="6654" max="6654" width="11.42578125" style="11" customWidth="1"/>
    <col min="6655" max="6655" width="12.140625" style="11" customWidth="1"/>
    <col min="6656" max="6656" width="11.7109375" style="11" customWidth="1"/>
    <col min="6657" max="6657" width="14.42578125" style="11" customWidth="1"/>
    <col min="6658" max="6658" width="11" style="11" customWidth="1"/>
    <col min="6659" max="6659" width="17" style="11" bestFit="1" customWidth="1"/>
    <col min="6660" max="6660" width="15.7109375" style="11" customWidth="1"/>
    <col min="6661" max="6661" width="13.28515625" style="11" bestFit="1" customWidth="1"/>
    <col min="6662" max="6662" width="17.140625" style="11" customWidth="1"/>
    <col min="6663" max="6909" width="11.42578125" style="11"/>
    <col min="6910" max="6910" width="11.42578125" style="11" customWidth="1"/>
    <col min="6911" max="6911" width="12.140625" style="11" customWidth="1"/>
    <col min="6912" max="6912" width="11.7109375" style="11" customWidth="1"/>
    <col min="6913" max="6913" width="14.42578125" style="11" customWidth="1"/>
    <col min="6914" max="6914" width="11" style="11" customWidth="1"/>
    <col min="6915" max="6915" width="17" style="11" bestFit="1" customWidth="1"/>
    <col min="6916" max="6916" width="15.7109375" style="11" customWidth="1"/>
    <col min="6917" max="6917" width="13.28515625" style="11" bestFit="1" customWidth="1"/>
    <col min="6918" max="6918" width="17.140625" style="11" customWidth="1"/>
    <col min="6919" max="7165" width="11.42578125" style="11"/>
    <col min="7166" max="7166" width="11.42578125" style="11" customWidth="1"/>
    <col min="7167" max="7167" width="12.140625" style="11" customWidth="1"/>
    <col min="7168" max="7168" width="11.7109375" style="11" customWidth="1"/>
    <col min="7169" max="7169" width="14.42578125" style="11" customWidth="1"/>
    <col min="7170" max="7170" width="11" style="11" customWidth="1"/>
    <col min="7171" max="7171" width="17" style="11" bestFit="1" customWidth="1"/>
    <col min="7172" max="7172" width="15.7109375" style="11" customWidth="1"/>
    <col min="7173" max="7173" width="13.28515625" style="11" bestFit="1" customWidth="1"/>
    <col min="7174" max="7174" width="17.140625" style="11" customWidth="1"/>
    <col min="7175" max="7421" width="11.42578125" style="11"/>
    <col min="7422" max="7422" width="11.42578125" style="11" customWidth="1"/>
    <col min="7423" max="7423" width="12.140625" style="11" customWidth="1"/>
    <col min="7424" max="7424" width="11.7109375" style="11" customWidth="1"/>
    <col min="7425" max="7425" width="14.42578125" style="11" customWidth="1"/>
    <col min="7426" max="7426" width="11" style="11" customWidth="1"/>
    <col min="7427" max="7427" width="17" style="11" bestFit="1" customWidth="1"/>
    <col min="7428" max="7428" width="15.7109375" style="11" customWidth="1"/>
    <col min="7429" max="7429" width="13.28515625" style="11" bestFit="1" customWidth="1"/>
    <col min="7430" max="7430" width="17.140625" style="11" customWidth="1"/>
    <col min="7431" max="7677" width="11.42578125" style="11"/>
    <col min="7678" max="7678" width="11.42578125" style="11" customWidth="1"/>
    <col min="7679" max="7679" width="12.140625" style="11" customWidth="1"/>
    <col min="7680" max="7680" width="11.7109375" style="11" customWidth="1"/>
    <col min="7681" max="7681" width="14.42578125" style="11" customWidth="1"/>
    <col min="7682" max="7682" width="11" style="11" customWidth="1"/>
    <col min="7683" max="7683" width="17" style="11" bestFit="1" customWidth="1"/>
    <col min="7684" max="7684" width="15.7109375" style="11" customWidth="1"/>
    <col min="7685" max="7685" width="13.28515625" style="11" bestFit="1" customWidth="1"/>
    <col min="7686" max="7686" width="17.140625" style="11" customWidth="1"/>
    <col min="7687" max="7933" width="11.42578125" style="11"/>
    <col min="7934" max="7934" width="11.42578125" style="11" customWidth="1"/>
    <col min="7935" max="7935" width="12.140625" style="11" customWidth="1"/>
    <col min="7936" max="7936" width="11.7109375" style="11" customWidth="1"/>
    <col min="7937" max="7937" width="14.42578125" style="11" customWidth="1"/>
    <col min="7938" max="7938" width="11" style="11" customWidth="1"/>
    <col min="7939" max="7939" width="17" style="11" bestFit="1" customWidth="1"/>
    <col min="7940" max="7940" width="15.7109375" style="11" customWidth="1"/>
    <col min="7941" max="7941" width="13.28515625" style="11" bestFit="1" customWidth="1"/>
    <col min="7942" max="7942" width="17.140625" style="11" customWidth="1"/>
    <col min="7943" max="8189" width="11.42578125" style="11"/>
    <col min="8190" max="8190" width="11.42578125" style="11" customWidth="1"/>
    <col min="8191" max="8191" width="12.140625" style="11" customWidth="1"/>
    <col min="8192" max="8192" width="11.7109375" style="11" customWidth="1"/>
    <col min="8193" max="8193" width="14.42578125" style="11" customWidth="1"/>
    <col min="8194" max="8194" width="11" style="11" customWidth="1"/>
    <col min="8195" max="8195" width="17" style="11" bestFit="1" customWidth="1"/>
    <col min="8196" max="8196" width="15.7109375" style="11" customWidth="1"/>
    <col min="8197" max="8197" width="13.28515625" style="11" bestFit="1" customWidth="1"/>
    <col min="8198" max="8198" width="17.140625" style="11" customWidth="1"/>
    <col min="8199" max="8445" width="11.42578125" style="11"/>
    <col min="8446" max="8446" width="11.42578125" style="11" customWidth="1"/>
    <col min="8447" max="8447" width="12.140625" style="11" customWidth="1"/>
    <col min="8448" max="8448" width="11.7109375" style="11" customWidth="1"/>
    <col min="8449" max="8449" width="14.42578125" style="11" customWidth="1"/>
    <col min="8450" max="8450" width="11" style="11" customWidth="1"/>
    <col min="8451" max="8451" width="17" style="11" bestFit="1" customWidth="1"/>
    <col min="8452" max="8452" width="15.7109375" style="11" customWidth="1"/>
    <col min="8453" max="8453" width="13.28515625" style="11" bestFit="1" customWidth="1"/>
    <col min="8454" max="8454" width="17.140625" style="11" customWidth="1"/>
    <col min="8455" max="8701" width="11.42578125" style="11"/>
    <col min="8702" max="8702" width="11.42578125" style="11" customWidth="1"/>
    <col min="8703" max="8703" width="12.140625" style="11" customWidth="1"/>
    <col min="8704" max="8704" width="11.7109375" style="11" customWidth="1"/>
    <col min="8705" max="8705" width="14.42578125" style="11" customWidth="1"/>
    <col min="8706" max="8706" width="11" style="11" customWidth="1"/>
    <col min="8707" max="8707" width="17" style="11" bestFit="1" customWidth="1"/>
    <col min="8708" max="8708" width="15.7109375" style="11" customWidth="1"/>
    <col min="8709" max="8709" width="13.28515625" style="11" bestFit="1" customWidth="1"/>
    <col min="8710" max="8710" width="17.140625" style="11" customWidth="1"/>
    <col min="8711" max="8957" width="11.42578125" style="11"/>
    <col min="8958" max="8958" width="11.42578125" style="11" customWidth="1"/>
    <col min="8959" max="8959" width="12.140625" style="11" customWidth="1"/>
    <col min="8960" max="8960" width="11.7109375" style="11" customWidth="1"/>
    <col min="8961" max="8961" width="14.42578125" style="11" customWidth="1"/>
    <col min="8962" max="8962" width="11" style="11" customWidth="1"/>
    <col min="8963" max="8963" width="17" style="11" bestFit="1" customWidth="1"/>
    <col min="8964" max="8964" width="15.7109375" style="11" customWidth="1"/>
    <col min="8965" max="8965" width="13.28515625" style="11" bestFit="1" customWidth="1"/>
    <col min="8966" max="8966" width="17.140625" style="11" customWidth="1"/>
    <col min="8967" max="9213" width="11.42578125" style="11"/>
    <col min="9214" max="9214" width="11.42578125" style="11" customWidth="1"/>
    <col min="9215" max="9215" width="12.140625" style="11" customWidth="1"/>
    <col min="9216" max="9216" width="11.7109375" style="11" customWidth="1"/>
    <col min="9217" max="9217" width="14.42578125" style="11" customWidth="1"/>
    <col min="9218" max="9218" width="11" style="11" customWidth="1"/>
    <col min="9219" max="9219" width="17" style="11" bestFit="1" customWidth="1"/>
    <col min="9220" max="9220" width="15.7109375" style="11" customWidth="1"/>
    <col min="9221" max="9221" width="13.28515625" style="11" bestFit="1" customWidth="1"/>
    <col min="9222" max="9222" width="17.140625" style="11" customWidth="1"/>
    <col min="9223" max="9469" width="11.42578125" style="11"/>
    <col min="9470" max="9470" width="11.42578125" style="11" customWidth="1"/>
    <col min="9471" max="9471" width="12.140625" style="11" customWidth="1"/>
    <col min="9472" max="9472" width="11.7109375" style="11" customWidth="1"/>
    <col min="9473" max="9473" width="14.42578125" style="11" customWidth="1"/>
    <col min="9474" max="9474" width="11" style="11" customWidth="1"/>
    <col min="9475" max="9475" width="17" style="11" bestFit="1" customWidth="1"/>
    <col min="9476" max="9476" width="15.7109375" style="11" customWidth="1"/>
    <col min="9477" max="9477" width="13.28515625" style="11" bestFit="1" customWidth="1"/>
    <col min="9478" max="9478" width="17.140625" style="11" customWidth="1"/>
    <col min="9479" max="9725" width="11.42578125" style="11"/>
    <col min="9726" max="9726" width="11.42578125" style="11" customWidth="1"/>
    <col min="9727" max="9727" width="12.140625" style="11" customWidth="1"/>
    <col min="9728" max="9728" width="11.7109375" style="11" customWidth="1"/>
    <col min="9729" max="9729" width="14.42578125" style="11" customWidth="1"/>
    <col min="9730" max="9730" width="11" style="11" customWidth="1"/>
    <col min="9731" max="9731" width="17" style="11" bestFit="1" customWidth="1"/>
    <col min="9732" max="9732" width="15.7109375" style="11" customWidth="1"/>
    <col min="9733" max="9733" width="13.28515625" style="11" bestFit="1" customWidth="1"/>
    <col min="9734" max="9734" width="17.140625" style="11" customWidth="1"/>
    <col min="9735" max="9981" width="11.42578125" style="11"/>
    <col min="9982" max="9982" width="11.42578125" style="11" customWidth="1"/>
    <col min="9983" max="9983" width="12.140625" style="11" customWidth="1"/>
    <col min="9984" max="9984" width="11.7109375" style="11" customWidth="1"/>
    <col min="9985" max="9985" width="14.42578125" style="11" customWidth="1"/>
    <col min="9986" max="9986" width="11" style="11" customWidth="1"/>
    <col min="9987" max="9987" width="17" style="11" bestFit="1" customWidth="1"/>
    <col min="9988" max="9988" width="15.7109375" style="11" customWidth="1"/>
    <col min="9989" max="9989" width="13.28515625" style="11" bestFit="1" customWidth="1"/>
    <col min="9990" max="9990" width="17.140625" style="11" customWidth="1"/>
    <col min="9991" max="10237" width="11.42578125" style="11"/>
    <col min="10238" max="10238" width="11.42578125" style="11" customWidth="1"/>
    <col min="10239" max="10239" width="12.140625" style="11" customWidth="1"/>
    <col min="10240" max="10240" width="11.7109375" style="11" customWidth="1"/>
    <col min="10241" max="10241" width="14.42578125" style="11" customWidth="1"/>
    <col min="10242" max="10242" width="11" style="11" customWidth="1"/>
    <col min="10243" max="10243" width="17" style="11" bestFit="1" customWidth="1"/>
    <col min="10244" max="10244" width="15.7109375" style="11" customWidth="1"/>
    <col min="10245" max="10245" width="13.28515625" style="11" bestFit="1" customWidth="1"/>
    <col min="10246" max="10246" width="17.140625" style="11" customWidth="1"/>
    <col min="10247" max="10493" width="11.42578125" style="11"/>
    <col min="10494" max="10494" width="11.42578125" style="11" customWidth="1"/>
    <col min="10495" max="10495" width="12.140625" style="11" customWidth="1"/>
    <col min="10496" max="10496" width="11.7109375" style="11" customWidth="1"/>
    <col min="10497" max="10497" width="14.42578125" style="11" customWidth="1"/>
    <col min="10498" max="10498" width="11" style="11" customWidth="1"/>
    <col min="10499" max="10499" width="17" style="11" bestFit="1" customWidth="1"/>
    <col min="10500" max="10500" width="15.7109375" style="11" customWidth="1"/>
    <col min="10501" max="10501" width="13.28515625" style="11" bestFit="1" customWidth="1"/>
    <col min="10502" max="10502" width="17.140625" style="11" customWidth="1"/>
    <col min="10503" max="10749" width="11.42578125" style="11"/>
    <col min="10750" max="10750" width="11.42578125" style="11" customWidth="1"/>
    <col min="10751" max="10751" width="12.140625" style="11" customWidth="1"/>
    <col min="10752" max="10752" width="11.7109375" style="11" customWidth="1"/>
    <col min="10753" max="10753" width="14.42578125" style="11" customWidth="1"/>
    <col min="10754" max="10754" width="11" style="11" customWidth="1"/>
    <col min="10755" max="10755" width="17" style="11" bestFit="1" customWidth="1"/>
    <col min="10756" max="10756" width="15.7109375" style="11" customWidth="1"/>
    <col min="10757" max="10757" width="13.28515625" style="11" bestFit="1" customWidth="1"/>
    <col min="10758" max="10758" width="17.140625" style="11" customWidth="1"/>
    <col min="10759" max="11005" width="11.42578125" style="11"/>
    <col min="11006" max="11006" width="11.42578125" style="11" customWidth="1"/>
    <col min="11007" max="11007" width="12.140625" style="11" customWidth="1"/>
    <col min="11008" max="11008" width="11.7109375" style="11" customWidth="1"/>
    <col min="11009" max="11009" width="14.42578125" style="11" customWidth="1"/>
    <col min="11010" max="11010" width="11" style="11" customWidth="1"/>
    <col min="11011" max="11011" width="17" style="11" bestFit="1" customWidth="1"/>
    <col min="11012" max="11012" width="15.7109375" style="11" customWidth="1"/>
    <col min="11013" max="11013" width="13.28515625" style="11" bestFit="1" customWidth="1"/>
    <col min="11014" max="11014" width="17.140625" style="11" customWidth="1"/>
    <col min="11015" max="11261" width="11.42578125" style="11"/>
    <col min="11262" max="11262" width="11.42578125" style="11" customWidth="1"/>
    <col min="11263" max="11263" width="12.140625" style="11" customWidth="1"/>
    <col min="11264" max="11264" width="11.7109375" style="11" customWidth="1"/>
    <col min="11265" max="11265" width="14.42578125" style="11" customWidth="1"/>
    <col min="11266" max="11266" width="11" style="11" customWidth="1"/>
    <col min="11267" max="11267" width="17" style="11" bestFit="1" customWidth="1"/>
    <col min="11268" max="11268" width="15.7109375" style="11" customWidth="1"/>
    <col min="11269" max="11269" width="13.28515625" style="11" bestFit="1" customWidth="1"/>
    <col min="11270" max="11270" width="17.140625" style="11" customWidth="1"/>
    <col min="11271" max="11517" width="11.42578125" style="11"/>
    <col min="11518" max="11518" width="11.42578125" style="11" customWidth="1"/>
    <col min="11519" max="11519" width="12.140625" style="11" customWidth="1"/>
    <col min="11520" max="11520" width="11.7109375" style="11" customWidth="1"/>
    <col min="11521" max="11521" width="14.42578125" style="11" customWidth="1"/>
    <col min="11522" max="11522" width="11" style="11" customWidth="1"/>
    <col min="11523" max="11523" width="17" style="11" bestFit="1" customWidth="1"/>
    <col min="11524" max="11524" width="15.7109375" style="11" customWidth="1"/>
    <col min="11525" max="11525" width="13.28515625" style="11" bestFit="1" customWidth="1"/>
    <col min="11526" max="11526" width="17.140625" style="11" customWidth="1"/>
    <col min="11527" max="11773" width="11.42578125" style="11"/>
    <col min="11774" max="11774" width="11.42578125" style="11" customWidth="1"/>
    <col min="11775" max="11775" width="12.140625" style="11" customWidth="1"/>
    <col min="11776" max="11776" width="11.7109375" style="11" customWidth="1"/>
    <col min="11777" max="11777" width="14.42578125" style="11" customWidth="1"/>
    <col min="11778" max="11778" width="11" style="11" customWidth="1"/>
    <col min="11779" max="11779" width="17" style="11" bestFit="1" customWidth="1"/>
    <col min="11780" max="11780" width="15.7109375" style="11" customWidth="1"/>
    <col min="11781" max="11781" width="13.28515625" style="11" bestFit="1" customWidth="1"/>
    <col min="11782" max="11782" width="17.140625" style="11" customWidth="1"/>
    <col min="11783" max="12029" width="11.42578125" style="11"/>
    <col min="12030" max="12030" width="11.42578125" style="11" customWidth="1"/>
    <col min="12031" max="12031" width="12.140625" style="11" customWidth="1"/>
    <col min="12032" max="12032" width="11.7109375" style="11" customWidth="1"/>
    <col min="12033" max="12033" width="14.42578125" style="11" customWidth="1"/>
    <col min="12034" max="12034" width="11" style="11" customWidth="1"/>
    <col min="12035" max="12035" width="17" style="11" bestFit="1" customWidth="1"/>
    <col min="12036" max="12036" width="15.7109375" style="11" customWidth="1"/>
    <col min="12037" max="12037" width="13.28515625" style="11" bestFit="1" customWidth="1"/>
    <col min="12038" max="12038" width="17.140625" style="11" customWidth="1"/>
    <col min="12039" max="12285" width="11.42578125" style="11"/>
    <col min="12286" max="12286" width="11.42578125" style="11" customWidth="1"/>
    <col min="12287" max="12287" width="12.140625" style="11" customWidth="1"/>
    <col min="12288" max="12288" width="11.7109375" style="11" customWidth="1"/>
    <col min="12289" max="12289" width="14.42578125" style="11" customWidth="1"/>
    <col min="12290" max="12290" width="11" style="11" customWidth="1"/>
    <col min="12291" max="12291" width="17" style="11" bestFit="1" customWidth="1"/>
    <col min="12292" max="12292" width="15.7109375" style="11" customWidth="1"/>
    <col min="12293" max="12293" width="13.28515625" style="11" bestFit="1" customWidth="1"/>
    <col min="12294" max="12294" width="17.140625" style="11" customWidth="1"/>
    <col min="12295" max="12541" width="11.42578125" style="11"/>
    <col min="12542" max="12542" width="11.42578125" style="11" customWidth="1"/>
    <col min="12543" max="12543" width="12.140625" style="11" customWidth="1"/>
    <col min="12544" max="12544" width="11.7109375" style="11" customWidth="1"/>
    <col min="12545" max="12545" width="14.42578125" style="11" customWidth="1"/>
    <col min="12546" max="12546" width="11" style="11" customWidth="1"/>
    <col min="12547" max="12547" width="17" style="11" bestFit="1" customWidth="1"/>
    <col min="12548" max="12548" width="15.7109375" style="11" customWidth="1"/>
    <col min="12549" max="12549" width="13.28515625" style="11" bestFit="1" customWidth="1"/>
    <col min="12550" max="12550" width="17.140625" style="11" customWidth="1"/>
    <col min="12551" max="12797" width="11.42578125" style="11"/>
    <col min="12798" max="12798" width="11.42578125" style="11" customWidth="1"/>
    <col min="12799" max="12799" width="12.140625" style="11" customWidth="1"/>
    <col min="12800" max="12800" width="11.7109375" style="11" customWidth="1"/>
    <col min="12801" max="12801" width="14.42578125" style="11" customWidth="1"/>
    <col min="12802" max="12802" width="11" style="11" customWidth="1"/>
    <col min="12803" max="12803" width="17" style="11" bestFit="1" customWidth="1"/>
    <col min="12804" max="12804" width="15.7109375" style="11" customWidth="1"/>
    <col min="12805" max="12805" width="13.28515625" style="11" bestFit="1" customWidth="1"/>
    <col min="12806" max="12806" width="17.140625" style="11" customWidth="1"/>
    <col min="12807" max="13053" width="11.42578125" style="11"/>
    <col min="13054" max="13054" width="11.42578125" style="11" customWidth="1"/>
    <col min="13055" max="13055" width="12.140625" style="11" customWidth="1"/>
    <col min="13056" max="13056" width="11.7109375" style="11" customWidth="1"/>
    <col min="13057" max="13057" width="14.42578125" style="11" customWidth="1"/>
    <col min="13058" max="13058" width="11" style="11" customWidth="1"/>
    <col min="13059" max="13059" width="17" style="11" bestFit="1" customWidth="1"/>
    <col min="13060" max="13060" width="15.7109375" style="11" customWidth="1"/>
    <col min="13061" max="13061" width="13.28515625" style="11" bestFit="1" customWidth="1"/>
    <col min="13062" max="13062" width="17.140625" style="11" customWidth="1"/>
    <col min="13063" max="13309" width="11.42578125" style="11"/>
    <col min="13310" max="13310" width="11.42578125" style="11" customWidth="1"/>
    <col min="13311" max="13311" width="12.140625" style="11" customWidth="1"/>
    <col min="13312" max="13312" width="11.7109375" style="11" customWidth="1"/>
    <col min="13313" max="13313" width="14.42578125" style="11" customWidth="1"/>
    <col min="13314" max="13314" width="11" style="11" customWidth="1"/>
    <col min="13315" max="13315" width="17" style="11" bestFit="1" customWidth="1"/>
    <col min="13316" max="13316" width="15.7109375" style="11" customWidth="1"/>
    <col min="13317" max="13317" width="13.28515625" style="11" bestFit="1" customWidth="1"/>
    <col min="13318" max="13318" width="17.140625" style="11" customWidth="1"/>
    <col min="13319" max="13565" width="11.42578125" style="11"/>
    <col min="13566" max="13566" width="11.42578125" style="11" customWidth="1"/>
    <col min="13567" max="13567" width="12.140625" style="11" customWidth="1"/>
    <col min="13568" max="13568" width="11.7109375" style="11" customWidth="1"/>
    <col min="13569" max="13569" width="14.42578125" style="11" customWidth="1"/>
    <col min="13570" max="13570" width="11" style="11" customWidth="1"/>
    <col min="13571" max="13571" width="17" style="11" bestFit="1" customWidth="1"/>
    <col min="13572" max="13572" width="15.7109375" style="11" customWidth="1"/>
    <col min="13573" max="13573" width="13.28515625" style="11" bestFit="1" customWidth="1"/>
    <col min="13574" max="13574" width="17.140625" style="11" customWidth="1"/>
    <col min="13575" max="13821" width="11.42578125" style="11"/>
    <col min="13822" max="13822" width="11.42578125" style="11" customWidth="1"/>
    <col min="13823" max="13823" width="12.140625" style="11" customWidth="1"/>
    <col min="13824" max="13824" width="11.7109375" style="11" customWidth="1"/>
    <col min="13825" max="13825" width="14.42578125" style="11" customWidth="1"/>
    <col min="13826" max="13826" width="11" style="11" customWidth="1"/>
    <col min="13827" max="13827" width="17" style="11" bestFit="1" customWidth="1"/>
    <col min="13828" max="13828" width="15.7109375" style="11" customWidth="1"/>
    <col min="13829" max="13829" width="13.28515625" style="11" bestFit="1" customWidth="1"/>
    <col min="13830" max="13830" width="17.140625" style="11" customWidth="1"/>
    <col min="13831" max="14077" width="11.42578125" style="11"/>
    <col min="14078" max="14078" width="11.42578125" style="11" customWidth="1"/>
    <col min="14079" max="14079" width="12.140625" style="11" customWidth="1"/>
    <col min="14080" max="14080" width="11.7109375" style="11" customWidth="1"/>
    <col min="14081" max="14081" width="14.42578125" style="11" customWidth="1"/>
    <col min="14082" max="14082" width="11" style="11" customWidth="1"/>
    <col min="14083" max="14083" width="17" style="11" bestFit="1" customWidth="1"/>
    <col min="14084" max="14084" width="15.7109375" style="11" customWidth="1"/>
    <col min="14085" max="14085" width="13.28515625" style="11" bestFit="1" customWidth="1"/>
    <col min="14086" max="14086" width="17.140625" style="11" customWidth="1"/>
    <col min="14087" max="14333" width="11.42578125" style="11"/>
    <col min="14334" max="14334" width="11.42578125" style="11" customWidth="1"/>
    <col min="14335" max="14335" width="12.140625" style="11" customWidth="1"/>
    <col min="14336" max="14336" width="11.7109375" style="11" customWidth="1"/>
    <col min="14337" max="14337" width="14.42578125" style="11" customWidth="1"/>
    <col min="14338" max="14338" width="11" style="11" customWidth="1"/>
    <col min="14339" max="14339" width="17" style="11" bestFit="1" customWidth="1"/>
    <col min="14340" max="14340" width="15.7109375" style="11" customWidth="1"/>
    <col min="14341" max="14341" width="13.28515625" style="11" bestFit="1" customWidth="1"/>
    <col min="14342" max="14342" width="17.140625" style="11" customWidth="1"/>
    <col min="14343" max="14589" width="11.42578125" style="11"/>
    <col min="14590" max="14590" width="11.42578125" style="11" customWidth="1"/>
    <col min="14591" max="14591" width="12.140625" style="11" customWidth="1"/>
    <col min="14592" max="14592" width="11.7109375" style="11" customWidth="1"/>
    <col min="14593" max="14593" width="14.42578125" style="11" customWidth="1"/>
    <col min="14594" max="14594" width="11" style="11" customWidth="1"/>
    <col min="14595" max="14595" width="17" style="11" bestFit="1" customWidth="1"/>
    <col min="14596" max="14596" width="15.7109375" style="11" customWidth="1"/>
    <col min="14597" max="14597" width="13.28515625" style="11" bestFit="1" customWidth="1"/>
    <col min="14598" max="14598" width="17.140625" style="11" customWidth="1"/>
    <col min="14599" max="14845" width="11.42578125" style="11"/>
    <col min="14846" max="14846" width="11.42578125" style="11" customWidth="1"/>
    <col min="14847" max="14847" width="12.140625" style="11" customWidth="1"/>
    <col min="14848" max="14848" width="11.7109375" style="11" customWidth="1"/>
    <col min="14849" max="14849" width="14.42578125" style="11" customWidth="1"/>
    <col min="14850" max="14850" width="11" style="11" customWidth="1"/>
    <col min="14851" max="14851" width="17" style="11" bestFit="1" customWidth="1"/>
    <col min="14852" max="14852" width="15.7109375" style="11" customWidth="1"/>
    <col min="14853" max="14853" width="13.28515625" style="11" bestFit="1" customWidth="1"/>
    <col min="14854" max="14854" width="17.140625" style="11" customWidth="1"/>
    <col min="14855" max="15101" width="11.42578125" style="11"/>
    <col min="15102" max="15102" width="11.42578125" style="11" customWidth="1"/>
    <col min="15103" max="15103" width="12.140625" style="11" customWidth="1"/>
    <col min="15104" max="15104" width="11.7109375" style="11" customWidth="1"/>
    <col min="15105" max="15105" width="14.42578125" style="11" customWidth="1"/>
    <col min="15106" max="15106" width="11" style="11" customWidth="1"/>
    <col min="15107" max="15107" width="17" style="11" bestFit="1" customWidth="1"/>
    <col min="15108" max="15108" width="15.7109375" style="11" customWidth="1"/>
    <col min="15109" max="15109" width="13.28515625" style="11" bestFit="1" customWidth="1"/>
    <col min="15110" max="15110" width="17.140625" style="11" customWidth="1"/>
    <col min="15111" max="15357" width="11.42578125" style="11"/>
    <col min="15358" max="15358" width="11.42578125" style="11" customWidth="1"/>
    <col min="15359" max="15359" width="12.140625" style="11" customWidth="1"/>
    <col min="15360" max="15360" width="11.7109375" style="11" customWidth="1"/>
    <col min="15361" max="15361" width="14.42578125" style="11" customWidth="1"/>
    <col min="15362" max="15362" width="11" style="11" customWidth="1"/>
    <col min="15363" max="15363" width="17" style="11" bestFit="1" customWidth="1"/>
    <col min="15364" max="15364" width="15.7109375" style="11" customWidth="1"/>
    <col min="15365" max="15365" width="13.28515625" style="11" bestFit="1" customWidth="1"/>
    <col min="15366" max="15366" width="17.140625" style="11" customWidth="1"/>
    <col min="15367" max="15613" width="11.42578125" style="11"/>
    <col min="15614" max="15614" width="11.42578125" style="11" customWidth="1"/>
    <col min="15615" max="15615" width="12.140625" style="11" customWidth="1"/>
    <col min="15616" max="15616" width="11.7109375" style="11" customWidth="1"/>
    <col min="15617" max="15617" width="14.42578125" style="11" customWidth="1"/>
    <col min="15618" max="15618" width="11" style="11" customWidth="1"/>
    <col min="15619" max="15619" width="17" style="11" bestFit="1" customWidth="1"/>
    <col min="15620" max="15620" width="15.7109375" style="11" customWidth="1"/>
    <col min="15621" max="15621" width="13.28515625" style="11" bestFit="1" customWidth="1"/>
    <col min="15622" max="15622" width="17.140625" style="11" customWidth="1"/>
    <col min="15623" max="15869" width="11.42578125" style="11"/>
    <col min="15870" max="15870" width="11.42578125" style="11" customWidth="1"/>
    <col min="15871" max="15871" width="12.140625" style="11" customWidth="1"/>
    <col min="15872" max="15872" width="11.7109375" style="11" customWidth="1"/>
    <col min="15873" max="15873" width="14.42578125" style="11" customWidth="1"/>
    <col min="15874" max="15874" width="11" style="11" customWidth="1"/>
    <col min="15875" max="15875" width="17" style="11" bestFit="1" customWidth="1"/>
    <col min="15876" max="15876" width="15.7109375" style="11" customWidth="1"/>
    <col min="15877" max="15877" width="13.28515625" style="11" bestFit="1" customWidth="1"/>
    <col min="15878" max="15878" width="17.140625" style="11" customWidth="1"/>
    <col min="15879" max="16125" width="11.42578125" style="11"/>
    <col min="16126" max="16126" width="11.42578125" style="11" customWidth="1"/>
    <col min="16127" max="16127" width="12.140625" style="11" customWidth="1"/>
    <col min="16128" max="16128" width="11.7109375" style="11" customWidth="1"/>
    <col min="16129" max="16129" width="14.42578125" style="11" customWidth="1"/>
    <col min="16130" max="16130" width="11" style="11" customWidth="1"/>
    <col min="16131" max="16131" width="17" style="11" bestFit="1" customWidth="1"/>
    <col min="16132" max="16132" width="15.7109375" style="11" customWidth="1"/>
    <col min="16133" max="16133" width="13.28515625" style="11" bestFit="1" customWidth="1"/>
    <col min="16134" max="16134" width="17.140625" style="11" customWidth="1"/>
    <col min="16135" max="16384" width="11.42578125" style="11"/>
  </cols>
  <sheetData>
    <row r="7" spans="1:7" s="13" customFormat="1" ht="15" customHeight="1" x14ac:dyDescent="0.2">
      <c r="G7" s="12"/>
    </row>
    <row r="8" spans="1:7" ht="15" customHeight="1" x14ac:dyDescent="0.2">
      <c r="A8" s="14"/>
      <c r="B8" s="14"/>
      <c r="D8" s="16"/>
      <c r="E8" s="16"/>
      <c r="F8" s="15"/>
    </row>
    <row r="9" spans="1:7" ht="15" customHeight="1" x14ac:dyDescent="0.2">
      <c r="A9" s="14"/>
      <c r="B9" s="14"/>
      <c r="D9" s="16"/>
      <c r="E9" s="16"/>
      <c r="F9" s="15"/>
    </row>
    <row r="10" spans="1:7" ht="15" customHeight="1" x14ac:dyDescent="0.2">
      <c r="A10" s="14"/>
      <c r="B10" s="14"/>
      <c r="D10" s="16"/>
      <c r="E10" s="16"/>
      <c r="F10" s="15"/>
    </row>
    <row r="11" spans="1:7" ht="15" customHeight="1" x14ac:dyDescent="0.2">
      <c r="A11" s="14"/>
      <c r="B11" s="14"/>
      <c r="D11" s="16"/>
      <c r="E11" s="16"/>
      <c r="F11" s="15"/>
    </row>
    <row r="12" spans="1:7" ht="15" customHeight="1" x14ac:dyDescent="0.2">
      <c r="A12" s="14"/>
      <c r="B12" s="14"/>
      <c r="D12" s="16"/>
      <c r="E12" s="16"/>
      <c r="F12" s="15"/>
    </row>
    <row r="13" spans="1:7" ht="15" customHeight="1" x14ac:dyDescent="0.2">
      <c r="A13" s="14"/>
      <c r="B13" s="14"/>
      <c r="D13" s="16"/>
      <c r="E13" s="16"/>
      <c r="F13" s="15"/>
    </row>
    <row r="14" spans="1:7" ht="15" customHeight="1" x14ac:dyDescent="0.2">
      <c r="A14" s="14"/>
      <c r="B14" s="14"/>
      <c r="D14" s="16"/>
      <c r="E14" s="16"/>
      <c r="F14" s="15"/>
    </row>
    <row r="15" spans="1:7" ht="15" customHeight="1" x14ac:dyDescent="0.2">
      <c r="A15" s="14"/>
      <c r="B15" s="14"/>
      <c r="D15" s="15"/>
      <c r="E15" s="15"/>
      <c r="F15" s="15"/>
    </row>
    <row r="16" spans="1:7" ht="15" customHeight="1" x14ac:dyDescent="0.2">
      <c r="A16" s="14"/>
      <c r="B16" s="14"/>
      <c r="D16" s="15"/>
      <c r="E16" s="15"/>
      <c r="F16" s="15"/>
    </row>
  </sheetData>
  <printOptions horizontalCentered="1"/>
  <pageMargins left="0.36" right="0.24" top="0.3" bottom="0.19" header="0" footer="0"/>
  <pageSetup paperSize="9" scale="5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G20"/>
  <sheetViews>
    <sheetView workbookViewId="0">
      <selection activeCell="G18" sqref="A1:G18"/>
    </sheetView>
  </sheetViews>
  <sheetFormatPr baseColWidth="10" defaultColWidth="11.42578125" defaultRowHeight="15" customHeight="1" x14ac:dyDescent="0.2"/>
  <cols>
    <col min="1" max="1" width="15.28515625" style="11" bestFit="1" customWidth="1"/>
    <col min="2" max="8" width="10.7109375" style="11" customWidth="1"/>
    <col min="9" max="252" width="11.42578125" style="11"/>
    <col min="253" max="253" width="11.42578125" style="11" customWidth="1"/>
    <col min="254" max="254" width="12.140625" style="11" customWidth="1"/>
    <col min="255" max="255" width="11.7109375" style="11" customWidth="1"/>
    <col min="256" max="256" width="14.42578125" style="11" customWidth="1"/>
    <col min="257" max="257" width="11" style="11" customWidth="1"/>
    <col min="258" max="258" width="17" style="11" bestFit="1" customWidth="1"/>
    <col min="259" max="259" width="15.7109375" style="11" customWidth="1"/>
    <col min="260" max="260" width="13.28515625" style="11" bestFit="1" customWidth="1"/>
    <col min="261" max="261" width="17.140625" style="11" customWidth="1"/>
    <col min="262" max="508" width="11.42578125" style="11"/>
    <col min="509" max="509" width="11.42578125" style="11" customWidth="1"/>
    <col min="510" max="510" width="12.140625" style="11" customWidth="1"/>
    <col min="511" max="511" width="11.7109375" style="11" customWidth="1"/>
    <col min="512" max="512" width="14.42578125" style="11" customWidth="1"/>
    <col min="513" max="513" width="11" style="11" customWidth="1"/>
    <col min="514" max="514" width="17" style="11" bestFit="1" customWidth="1"/>
    <col min="515" max="515" width="15.7109375" style="11" customWidth="1"/>
    <col min="516" max="516" width="13.28515625" style="11" bestFit="1" customWidth="1"/>
    <col min="517" max="517" width="17.140625" style="11" customWidth="1"/>
    <col min="518" max="764" width="11.42578125" style="11"/>
    <col min="765" max="765" width="11.42578125" style="11" customWidth="1"/>
    <col min="766" max="766" width="12.140625" style="11" customWidth="1"/>
    <col min="767" max="767" width="11.7109375" style="11" customWidth="1"/>
    <col min="768" max="768" width="14.42578125" style="11" customWidth="1"/>
    <col min="769" max="769" width="11" style="11" customWidth="1"/>
    <col min="770" max="770" width="17" style="11" bestFit="1" customWidth="1"/>
    <col min="771" max="771" width="15.7109375" style="11" customWidth="1"/>
    <col min="772" max="772" width="13.28515625" style="11" bestFit="1" customWidth="1"/>
    <col min="773" max="773" width="17.140625" style="11" customWidth="1"/>
    <col min="774" max="1020" width="11.42578125" style="11"/>
    <col min="1021" max="1021" width="11.42578125" style="11" customWidth="1"/>
    <col min="1022" max="1022" width="12.140625" style="11" customWidth="1"/>
    <col min="1023" max="1023" width="11.7109375" style="11" customWidth="1"/>
    <col min="1024" max="1024" width="14.42578125" style="11" customWidth="1"/>
    <col min="1025" max="1025" width="11" style="11" customWidth="1"/>
    <col min="1026" max="1026" width="17" style="11" bestFit="1" customWidth="1"/>
    <col min="1027" max="1027" width="15.7109375" style="11" customWidth="1"/>
    <col min="1028" max="1028" width="13.28515625" style="11" bestFit="1" customWidth="1"/>
    <col min="1029" max="1029" width="17.140625" style="11" customWidth="1"/>
    <col min="1030" max="1276" width="11.42578125" style="11"/>
    <col min="1277" max="1277" width="11.42578125" style="11" customWidth="1"/>
    <col min="1278" max="1278" width="12.140625" style="11" customWidth="1"/>
    <col min="1279" max="1279" width="11.7109375" style="11" customWidth="1"/>
    <col min="1280" max="1280" width="14.42578125" style="11" customWidth="1"/>
    <col min="1281" max="1281" width="11" style="11" customWidth="1"/>
    <col min="1282" max="1282" width="17" style="11" bestFit="1" customWidth="1"/>
    <col min="1283" max="1283" width="15.7109375" style="11" customWidth="1"/>
    <col min="1284" max="1284" width="13.28515625" style="11" bestFit="1" customWidth="1"/>
    <col min="1285" max="1285" width="17.140625" style="11" customWidth="1"/>
    <col min="1286" max="1532" width="11.42578125" style="11"/>
    <col min="1533" max="1533" width="11.42578125" style="11" customWidth="1"/>
    <col min="1534" max="1534" width="12.140625" style="11" customWidth="1"/>
    <col min="1535" max="1535" width="11.7109375" style="11" customWidth="1"/>
    <col min="1536" max="1536" width="14.42578125" style="11" customWidth="1"/>
    <col min="1537" max="1537" width="11" style="11" customWidth="1"/>
    <col min="1538" max="1538" width="17" style="11" bestFit="1" customWidth="1"/>
    <col min="1539" max="1539" width="15.7109375" style="11" customWidth="1"/>
    <col min="1540" max="1540" width="13.28515625" style="11" bestFit="1" customWidth="1"/>
    <col min="1541" max="1541" width="17.140625" style="11" customWidth="1"/>
    <col min="1542" max="1788" width="11.42578125" style="11"/>
    <col min="1789" max="1789" width="11.42578125" style="11" customWidth="1"/>
    <col min="1790" max="1790" width="12.140625" style="11" customWidth="1"/>
    <col min="1791" max="1791" width="11.7109375" style="11" customWidth="1"/>
    <col min="1792" max="1792" width="14.42578125" style="11" customWidth="1"/>
    <col min="1793" max="1793" width="11" style="11" customWidth="1"/>
    <col min="1794" max="1794" width="17" style="11" bestFit="1" customWidth="1"/>
    <col min="1795" max="1795" width="15.7109375" style="11" customWidth="1"/>
    <col min="1796" max="1796" width="13.28515625" style="11" bestFit="1" customWidth="1"/>
    <col min="1797" max="1797" width="17.140625" style="11" customWidth="1"/>
    <col min="1798" max="2044" width="11.42578125" style="11"/>
    <col min="2045" max="2045" width="11.42578125" style="11" customWidth="1"/>
    <col min="2046" max="2046" width="12.140625" style="11" customWidth="1"/>
    <col min="2047" max="2047" width="11.7109375" style="11" customWidth="1"/>
    <col min="2048" max="2048" width="14.42578125" style="11" customWidth="1"/>
    <col min="2049" max="2049" width="11" style="11" customWidth="1"/>
    <col min="2050" max="2050" width="17" style="11" bestFit="1" customWidth="1"/>
    <col min="2051" max="2051" width="15.7109375" style="11" customWidth="1"/>
    <col min="2052" max="2052" width="13.28515625" style="11" bestFit="1" customWidth="1"/>
    <col min="2053" max="2053" width="17.140625" style="11" customWidth="1"/>
    <col min="2054" max="2300" width="11.42578125" style="11"/>
    <col min="2301" max="2301" width="11.42578125" style="11" customWidth="1"/>
    <col min="2302" max="2302" width="12.140625" style="11" customWidth="1"/>
    <col min="2303" max="2303" width="11.7109375" style="11" customWidth="1"/>
    <col min="2304" max="2304" width="14.42578125" style="11" customWidth="1"/>
    <col min="2305" max="2305" width="11" style="11" customWidth="1"/>
    <col min="2306" max="2306" width="17" style="11" bestFit="1" customWidth="1"/>
    <col min="2307" max="2307" width="15.7109375" style="11" customWidth="1"/>
    <col min="2308" max="2308" width="13.28515625" style="11" bestFit="1" customWidth="1"/>
    <col min="2309" max="2309" width="17.140625" style="11" customWidth="1"/>
    <col min="2310" max="2556" width="11.42578125" style="11"/>
    <col min="2557" max="2557" width="11.42578125" style="11" customWidth="1"/>
    <col min="2558" max="2558" width="12.140625" style="11" customWidth="1"/>
    <col min="2559" max="2559" width="11.7109375" style="11" customWidth="1"/>
    <col min="2560" max="2560" width="14.42578125" style="11" customWidth="1"/>
    <col min="2561" max="2561" width="11" style="11" customWidth="1"/>
    <col min="2562" max="2562" width="17" style="11" bestFit="1" customWidth="1"/>
    <col min="2563" max="2563" width="15.7109375" style="11" customWidth="1"/>
    <col min="2564" max="2564" width="13.28515625" style="11" bestFit="1" customWidth="1"/>
    <col min="2565" max="2565" width="17.140625" style="11" customWidth="1"/>
    <col min="2566" max="2812" width="11.42578125" style="11"/>
    <col min="2813" max="2813" width="11.42578125" style="11" customWidth="1"/>
    <col min="2814" max="2814" width="12.140625" style="11" customWidth="1"/>
    <col min="2815" max="2815" width="11.7109375" style="11" customWidth="1"/>
    <col min="2816" max="2816" width="14.42578125" style="11" customWidth="1"/>
    <col min="2817" max="2817" width="11" style="11" customWidth="1"/>
    <col min="2818" max="2818" width="17" style="11" bestFit="1" customWidth="1"/>
    <col min="2819" max="2819" width="15.7109375" style="11" customWidth="1"/>
    <col min="2820" max="2820" width="13.28515625" style="11" bestFit="1" customWidth="1"/>
    <col min="2821" max="2821" width="17.140625" style="11" customWidth="1"/>
    <col min="2822" max="3068" width="11.42578125" style="11"/>
    <col min="3069" max="3069" width="11.42578125" style="11" customWidth="1"/>
    <col min="3070" max="3070" width="12.140625" style="11" customWidth="1"/>
    <col min="3071" max="3071" width="11.7109375" style="11" customWidth="1"/>
    <col min="3072" max="3072" width="14.42578125" style="11" customWidth="1"/>
    <col min="3073" max="3073" width="11" style="11" customWidth="1"/>
    <col min="3074" max="3074" width="17" style="11" bestFit="1" customWidth="1"/>
    <col min="3075" max="3075" width="15.7109375" style="11" customWidth="1"/>
    <col min="3076" max="3076" width="13.28515625" style="11" bestFit="1" customWidth="1"/>
    <col min="3077" max="3077" width="17.140625" style="11" customWidth="1"/>
    <col min="3078" max="3324" width="11.42578125" style="11"/>
    <col min="3325" max="3325" width="11.42578125" style="11" customWidth="1"/>
    <col min="3326" max="3326" width="12.140625" style="11" customWidth="1"/>
    <col min="3327" max="3327" width="11.7109375" style="11" customWidth="1"/>
    <col min="3328" max="3328" width="14.42578125" style="11" customWidth="1"/>
    <col min="3329" max="3329" width="11" style="11" customWidth="1"/>
    <col min="3330" max="3330" width="17" style="11" bestFit="1" customWidth="1"/>
    <col min="3331" max="3331" width="15.7109375" style="11" customWidth="1"/>
    <col min="3332" max="3332" width="13.28515625" style="11" bestFit="1" customWidth="1"/>
    <col min="3333" max="3333" width="17.140625" style="11" customWidth="1"/>
    <col min="3334" max="3580" width="11.42578125" style="11"/>
    <col min="3581" max="3581" width="11.42578125" style="11" customWidth="1"/>
    <col min="3582" max="3582" width="12.140625" style="11" customWidth="1"/>
    <col min="3583" max="3583" width="11.7109375" style="11" customWidth="1"/>
    <col min="3584" max="3584" width="14.42578125" style="11" customWidth="1"/>
    <col min="3585" max="3585" width="11" style="11" customWidth="1"/>
    <col min="3586" max="3586" width="17" style="11" bestFit="1" customWidth="1"/>
    <col min="3587" max="3587" width="15.7109375" style="11" customWidth="1"/>
    <col min="3588" max="3588" width="13.28515625" style="11" bestFit="1" customWidth="1"/>
    <col min="3589" max="3589" width="17.140625" style="11" customWidth="1"/>
    <col min="3590" max="3836" width="11.42578125" style="11"/>
    <col min="3837" max="3837" width="11.42578125" style="11" customWidth="1"/>
    <col min="3838" max="3838" width="12.140625" style="11" customWidth="1"/>
    <col min="3839" max="3839" width="11.7109375" style="11" customWidth="1"/>
    <col min="3840" max="3840" width="14.42578125" style="11" customWidth="1"/>
    <col min="3841" max="3841" width="11" style="11" customWidth="1"/>
    <col min="3842" max="3842" width="17" style="11" bestFit="1" customWidth="1"/>
    <col min="3843" max="3843" width="15.7109375" style="11" customWidth="1"/>
    <col min="3844" max="3844" width="13.28515625" style="11" bestFit="1" customWidth="1"/>
    <col min="3845" max="3845" width="17.140625" style="11" customWidth="1"/>
    <col min="3846" max="4092" width="11.42578125" style="11"/>
    <col min="4093" max="4093" width="11.42578125" style="11" customWidth="1"/>
    <col min="4094" max="4094" width="12.140625" style="11" customWidth="1"/>
    <col min="4095" max="4095" width="11.7109375" style="11" customWidth="1"/>
    <col min="4096" max="4096" width="14.42578125" style="11" customWidth="1"/>
    <col min="4097" max="4097" width="11" style="11" customWidth="1"/>
    <col min="4098" max="4098" width="17" style="11" bestFit="1" customWidth="1"/>
    <col min="4099" max="4099" width="15.7109375" style="11" customWidth="1"/>
    <col min="4100" max="4100" width="13.28515625" style="11" bestFit="1" customWidth="1"/>
    <col min="4101" max="4101" width="17.140625" style="11" customWidth="1"/>
    <col min="4102" max="4348" width="11.42578125" style="11"/>
    <col min="4349" max="4349" width="11.42578125" style="11" customWidth="1"/>
    <col min="4350" max="4350" width="12.140625" style="11" customWidth="1"/>
    <col min="4351" max="4351" width="11.7109375" style="11" customWidth="1"/>
    <col min="4352" max="4352" width="14.42578125" style="11" customWidth="1"/>
    <col min="4353" max="4353" width="11" style="11" customWidth="1"/>
    <col min="4354" max="4354" width="17" style="11" bestFit="1" customWidth="1"/>
    <col min="4355" max="4355" width="15.7109375" style="11" customWidth="1"/>
    <col min="4356" max="4356" width="13.28515625" style="11" bestFit="1" customWidth="1"/>
    <col min="4357" max="4357" width="17.140625" style="11" customWidth="1"/>
    <col min="4358" max="4604" width="11.42578125" style="11"/>
    <col min="4605" max="4605" width="11.42578125" style="11" customWidth="1"/>
    <col min="4606" max="4606" width="12.140625" style="11" customWidth="1"/>
    <col min="4607" max="4607" width="11.7109375" style="11" customWidth="1"/>
    <col min="4608" max="4608" width="14.42578125" style="11" customWidth="1"/>
    <col min="4609" max="4609" width="11" style="11" customWidth="1"/>
    <col min="4610" max="4610" width="17" style="11" bestFit="1" customWidth="1"/>
    <col min="4611" max="4611" width="15.7109375" style="11" customWidth="1"/>
    <col min="4612" max="4612" width="13.28515625" style="11" bestFit="1" customWidth="1"/>
    <col min="4613" max="4613" width="17.140625" style="11" customWidth="1"/>
    <col min="4614" max="4860" width="11.42578125" style="11"/>
    <col min="4861" max="4861" width="11.42578125" style="11" customWidth="1"/>
    <col min="4862" max="4862" width="12.140625" style="11" customWidth="1"/>
    <col min="4863" max="4863" width="11.7109375" style="11" customWidth="1"/>
    <col min="4864" max="4864" width="14.42578125" style="11" customWidth="1"/>
    <col min="4865" max="4865" width="11" style="11" customWidth="1"/>
    <col min="4866" max="4866" width="17" style="11" bestFit="1" customWidth="1"/>
    <col min="4867" max="4867" width="15.7109375" style="11" customWidth="1"/>
    <col min="4868" max="4868" width="13.28515625" style="11" bestFit="1" customWidth="1"/>
    <col min="4869" max="4869" width="17.140625" style="11" customWidth="1"/>
    <col min="4870" max="5116" width="11.42578125" style="11"/>
    <col min="5117" max="5117" width="11.42578125" style="11" customWidth="1"/>
    <col min="5118" max="5118" width="12.140625" style="11" customWidth="1"/>
    <col min="5119" max="5119" width="11.7109375" style="11" customWidth="1"/>
    <col min="5120" max="5120" width="14.42578125" style="11" customWidth="1"/>
    <col min="5121" max="5121" width="11" style="11" customWidth="1"/>
    <col min="5122" max="5122" width="17" style="11" bestFit="1" customWidth="1"/>
    <col min="5123" max="5123" width="15.7109375" style="11" customWidth="1"/>
    <col min="5124" max="5124" width="13.28515625" style="11" bestFit="1" customWidth="1"/>
    <col min="5125" max="5125" width="17.140625" style="11" customWidth="1"/>
    <col min="5126" max="5372" width="11.42578125" style="11"/>
    <col min="5373" max="5373" width="11.42578125" style="11" customWidth="1"/>
    <col min="5374" max="5374" width="12.140625" style="11" customWidth="1"/>
    <col min="5375" max="5375" width="11.7109375" style="11" customWidth="1"/>
    <col min="5376" max="5376" width="14.42578125" style="11" customWidth="1"/>
    <col min="5377" max="5377" width="11" style="11" customWidth="1"/>
    <col min="5378" max="5378" width="17" style="11" bestFit="1" customWidth="1"/>
    <col min="5379" max="5379" width="15.7109375" style="11" customWidth="1"/>
    <col min="5380" max="5380" width="13.28515625" style="11" bestFit="1" customWidth="1"/>
    <col min="5381" max="5381" width="17.140625" style="11" customWidth="1"/>
    <col min="5382" max="5628" width="11.42578125" style="11"/>
    <col min="5629" max="5629" width="11.42578125" style="11" customWidth="1"/>
    <col min="5630" max="5630" width="12.140625" style="11" customWidth="1"/>
    <col min="5631" max="5631" width="11.7109375" style="11" customWidth="1"/>
    <col min="5632" max="5632" width="14.42578125" style="11" customWidth="1"/>
    <col min="5633" max="5633" width="11" style="11" customWidth="1"/>
    <col min="5634" max="5634" width="17" style="11" bestFit="1" customWidth="1"/>
    <col min="5635" max="5635" width="15.7109375" style="11" customWidth="1"/>
    <col min="5636" max="5636" width="13.28515625" style="11" bestFit="1" customWidth="1"/>
    <col min="5637" max="5637" width="17.140625" style="11" customWidth="1"/>
    <col min="5638" max="5884" width="11.42578125" style="11"/>
    <col min="5885" max="5885" width="11.42578125" style="11" customWidth="1"/>
    <col min="5886" max="5886" width="12.140625" style="11" customWidth="1"/>
    <col min="5887" max="5887" width="11.7109375" style="11" customWidth="1"/>
    <col min="5888" max="5888" width="14.42578125" style="11" customWidth="1"/>
    <col min="5889" max="5889" width="11" style="11" customWidth="1"/>
    <col min="5890" max="5890" width="17" style="11" bestFit="1" customWidth="1"/>
    <col min="5891" max="5891" width="15.7109375" style="11" customWidth="1"/>
    <col min="5892" max="5892" width="13.28515625" style="11" bestFit="1" customWidth="1"/>
    <col min="5893" max="5893" width="17.140625" style="11" customWidth="1"/>
    <col min="5894" max="6140" width="11.42578125" style="11"/>
    <col min="6141" max="6141" width="11.42578125" style="11" customWidth="1"/>
    <col min="6142" max="6142" width="12.140625" style="11" customWidth="1"/>
    <col min="6143" max="6143" width="11.7109375" style="11" customWidth="1"/>
    <col min="6144" max="6144" width="14.42578125" style="11" customWidth="1"/>
    <col min="6145" max="6145" width="11" style="11" customWidth="1"/>
    <col min="6146" max="6146" width="17" style="11" bestFit="1" customWidth="1"/>
    <col min="6147" max="6147" width="15.7109375" style="11" customWidth="1"/>
    <col min="6148" max="6148" width="13.28515625" style="11" bestFit="1" customWidth="1"/>
    <col min="6149" max="6149" width="17.140625" style="11" customWidth="1"/>
    <col min="6150" max="6396" width="11.42578125" style="11"/>
    <col min="6397" max="6397" width="11.42578125" style="11" customWidth="1"/>
    <col min="6398" max="6398" width="12.140625" style="11" customWidth="1"/>
    <col min="6399" max="6399" width="11.7109375" style="11" customWidth="1"/>
    <col min="6400" max="6400" width="14.42578125" style="11" customWidth="1"/>
    <col min="6401" max="6401" width="11" style="11" customWidth="1"/>
    <col min="6402" max="6402" width="17" style="11" bestFit="1" customWidth="1"/>
    <col min="6403" max="6403" width="15.7109375" style="11" customWidth="1"/>
    <col min="6404" max="6404" width="13.28515625" style="11" bestFit="1" customWidth="1"/>
    <col min="6405" max="6405" width="17.140625" style="11" customWidth="1"/>
    <col min="6406" max="6652" width="11.42578125" style="11"/>
    <col min="6653" max="6653" width="11.42578125" style="11" customWidth="1"/>
    <col min="6654" max="6654" width="12.140625" style="11" customWidth="1"/>
    <col min="6655" max="6655" width="11.7109375" style="11" customWidth="1"/>
    <col min="6656" max="6656" width="14.42578125" style="11" customWidth="1"/>
    <col min="6657" max="6657" width="11" style="11" customWidth="1"/>
    <col min="6658" max="6658" width="17" style="11" bestFit="1" customWidth="1"/>
    <col min="6659" max="6659" width="15.7109375" style="11" customWidth="1"/>
    <col min="6660" max="6660" width="13.28515625" style="11" bestFit="1" customWidth="1"/>
    <col min="6661" max="6661" width="17.140625" style="11" customWidth="1"/>
    <col min="6662" max="6908" width="11.42578125" style="11"/>
    <col min="6909" max="6909" width="11.42578125" style="11" customWidth="1"/>
    <col min="6910" max="6910" width="12.140625" style="11" customWidth="1"/>
    <col min="6911" max="6911" width="11.7109375" style="11" customWidth="1"/>
    <col min="6912" max="6912" width="14.42578125" style="11" customWidth="1"/>
    <col min="6913" max="6913" width="11" style="11" customWidth="1"/>
    <col min="6914" max="6914" width="17" style="11" bestFit="1" customWidth="1"/>
    <col min="6915" max="6915" width="15.7109375" style="11" customWidth="1"/>
    <col min="6916" max="6916" width="13.28515625" style="11" bestFit="1" customWidth="1"/>
    <col min="6917" max="6917" width="17.140625" style="11" customWidth="1"/>
    <col min="6918" max="7164" width="11.42578125" style="11"/>
    <col min="7165" max="7165" width="11.42578125" style="11" customWidth="1"/>
    <col min="7166" max="7166" width="12.140625" style="11" customWidth="1"/>
    <col min="7167" max="7167" width="11.7109375" style="11" customWidth="1"/>
    <col min="7168" max="7168" width="14.42578125" style="11" customWidth="1"/>
    <col min="7169" max="7169" width="11" style="11" customWidth="1"/>
    <col min="7170" max="7170" width="17" style="11" bestFit="1" customWidth="1"/>
    <col min="7171" max="7171" width="15.7109375" style="11" customWidth="1"/>
    <col min="7172" max="7172" width="13.28515625" style="11" bestFit="1" customWidth="1"/>
    <col min="7173" max="7173" width="17.140625" style="11" customWidth="1"/>
    <col min="7174" max="7420" width="11.42578125" style="11"/>
    <col min="7421" max="7421" width="11.42578125" style="11" customWidth="1"/>
    <col min="7422" max="7422" width="12.140625" style="11" customWidth="1"/>
    <col min="7423" max="7423" width="11.7109375" style="11" customWidth="1"/>
    <col min="7424" max="7424" width="14.42578125" style="11" customWidth="1"/>
    <col min="7425" max="7425" width="11" style="11" customWidth="1"/>
    <col min="7426" max="7426" width="17" style="11" bestFit="1" customWidth="1"/>
    <col min="7427" max="7427" width="15.7109375" style="11" customWidth="1"/>
    <col min="7428" max="7428" width="13.28515625" style="11" bestFit="1" customWidth="1"/>
    <col min="7429" max="7429" width="17.140625" style="11" customWidth="1"/>
    <col min="7430" max="7676" width="11.42578125" style="11"/>
    <col min="7677" max="7677" width="11.42578125" style="11" customWidth="1"/>
    <col min="7678" max="7678" width="12.140625" style="11" customWidth="1"/>
    <col min="7679" max="7679" width="11.7109375" style="11" customWidth="1"/>
    <col min="7680" max="7680" width="14.42578125" style="11" customWidth="1"/>
    <col min="7681" max="7681" width="11" style="11" customWidth="1"/>
    <col min="7682" max="7682" width="17" style="11" bestFit="1" customWidth="1"/>
    <col min="7683" max="7683" width="15.7109375" style="11" customWidth="1"/>
    <col min="7684" max="7684" width="13.28515625" style="11" bestFit="1" customWidth="1"/>
    <col min="7685" max="7685" width="17.140625" style="11" customWidth="1"/>
    <col min="7686" max="7932" width="11.42578125" style="11"/>
    <col min="7933" max="7933" width="11.42578125" style="11" customWidth="1"/>
    <col min="7934" max="7934" width="12.140625" style="11" customWidth="1"/>
    <col min="7935" max="7935" width="11.7109375" style="11" customWidth="1"/>
    <col min="7936" max="7936" width="14.42578125" style="11" customWidth="1"/>
    <col min="7937" max="7937" width="11" style="11" customWidth="1"/>
    <col min="7938" max="7938" width="17" style="11" bestFit="1" customWidth="1"/>
    <col min="7939" max="7939" width="15.7109375" style="11" customWidth="1"/>
    <col min="7940" max="7940" width="13.28515625" style="11" bestFit="1" customWidth="1"/>
    <col min="7941" max="7941" width="17.140625" style="11" customWidth="1"/>
    <col min="7942" max="8188" width="11.42578125" style="11"/>
    <col min="8189" max="8189" width="11.42578125" style="11" customWidth="1"/>
    <col min="8190" max="8190" width="12.140625" style="11" customWidth="1"/>
    <col min="8191" max="8191" width="11.7109375" style="11" customWidth="1"/>
    <col min="8192" max="8192" width="14.42578125" style="11" customWidth="1"/>
    <col min="8193" max="8193" width="11" style="11" customWidth="1"/>
    <col min="8194" max="8194" width="17" style="11" bestFit="1" customWidth="1"/>
    <col min="8195" max="8195" width="15.7109375" style="11" customWidth="1"/>
    <col min="8196" max="8196" width="13.28515625" style="11" bestFit="1" customWidth="1"/>
    <col min="8197" max="8197" width="17.140625" style="11" customWidth="1"/>
    <col min="8198" max="8444" width="11.42578125" style="11"/>
    <col min="8445" max="8445" width="11.42578125" style="11" customWidth="1"/>
    <col min="8446" max="8446" width="12.140625" style="11" customWidth="1"/>
    <col min="8447" max="8447" width="11.7109375" style="11" customWidth="1"/>
    <col min="8448" max="8448" width="14.42578125" style="11" customWidth="1"/>
    <col min="8449" max="8449" width="11" style="11" customWidth="1"/>
    <col min="8450" max="8450" width="17" style="11" bestFit="1" customWidth="1"/>
    <col min="8451" max="8451" width="15.7109375" style="11" customWidth="1"/>
    <col min="8452" max="8452" width="13.28515625" style="11" bestFit="1" customWidth="1"/>
    <col min="8453" max="8453" width="17.140625" style="11" customWidth="1"/>
    <col min="8454" max="8700" width="11.42578125" style="11"/>
    <col min="8701" max="8701" width="11.42578125" style="11" customWidth="1"/>
    <col min="8702" max="8702" width="12.140625" style="11" customWidth="1"/>
    <col min="8703" max="8703" width="11.7109375" style="11" customWidth="1"/>
    <col min="8704" max="8704" width="14.42578125" style="11" customWidth="1"/>
    <col min="8705" max="8705" width="11" style="11" customWidth="1"/>
    <col min="8706" max="8706" width="17" style="11" bestFit="1" customWidth="1"/>
    <col min="8707" max="8707" width="15.7109375" style="11" customWidth="1"/>
    <col min="8708" max="8708" width="13.28515625" style="11" bestFit="1" customWidth="1"/>
    <col min="8709" max="8709" width="17.140625" style="11" customWidth="1"/>
    <col min="8710" max="8956" width="11.42578125" style="11"/>
    <col min="8957" max="8957" width="11.42578125" style="11" customWidth="1"/>
    <col min="8958" max="8958" width="12.140625" style="11" customWidth="1"/>
    <col min="8959" max="8959" width="11.7109375" style="11" customWidth="1"/>
    <col min="8960" max="8960" width="14.42578125" style="11" customWidth="1"/>
    <col min="8961" max="8961" width="11" style="11" customWidth="1"/>
    <col min="8962" max="8962" width="17" style="11" bestFit="1" customWidth="1"/>
    <col min="8963" max="8963" width="15.7109375" style="11" customWidth="1"/>
    <col min="8964" max="8964" width="13.28515625" style="11" bestFit="1" customWidth="1"/>
    <col min="8965" max="8965" width="17.140625" style="11" customWidth="1"/>
    <col min="8966" max="9212" width="11.42578125" style="11"/>
    <col min="9213" max="9213" width="11.42578125" style="11" customWidth="1"/>
    <col min="9214" max="9214" width="12.140625" style="11" customWidth="1"/>
    <col min="9215" max="9215" width="11.7109375" style="11" customWidth="1"/>
    <col min="9216" max="9216" width="14.42578125" style="11" customWidth="1"/>
    <col min="9217" max="9217" width="11" style="11" customWidth="1"/>
    <col min="9218" max="9218" width="17" style="11" bestFit="1" customWidth="1"/>
    <col min="9219" max="9219" width="15.7109375" style="11" customWidth="1"/>
    <col min="9220" max="9220" width="13.28515625" style="11" bestFit="1" customWidth="1"/>
    <col min="9221" max="9221" width="17.140625" style="11" customWidth="1"/>
    <col min="9222" max="9468" width="11.42578125" style="11"/>
    <col min="9469" max="9469" width="11.42578125" style="11" customWidth="1"/>
    <col min="9470" max="9470" width="12.140625" style="11" customWidth="1"/>
    <col min="9471" max="9471" width="11.7109375" style="11" customWidth="1"/>
    <col min="9472" max="9472" width="14.42578125" style="11" customWidth="1"/>
    <col min="9473" max="9473" width="11" style="11" customWidth="1"/>
    <col min="9474" max="9474" width="17" style="11" bestFit="1" customWidth="1"/>
    <col min="9475" max="9475" width="15.7109375" style="11" customWidth="1"/>
    <col min="9476" max="9476" width="13.28515625" style="11" bestFit="1" customWidth="1"/>
    <col min="9477" max="9477" width="17.140625" style="11" customWidth="1"/>
    <col min="9478" max="9724" width="11.42578125" style="11"/>
    <col min="9725" max="9725" width="11.42578125" style="11" customWidth="1"/>
    <col min="9726" max="9726" width="12.140625" style="11" customWidth="1"/>
    <col min="9727" max="9727" width="11.7109375" style="11" customWidth="1"/>
    <col min="9728" max="9728" width="14.42578125" style="11" customWidth="1"/>
    <col min="9729" max="9729" width="11" style="11" customWidth="1"/>
    <col min="9730" max="9730" width="17" style="11" bestFit="1" customWidth="1"/>
    <col min="9731" max="9731" width="15.7109375" style="11" customWidth="1"/>
    <col min="9732" max="9732" width="13.28515625" style="11" bestFit="1" customWidth="1"/>
    <col min="9733" max="9733" width="17.140625" style="11" customWidth="1"/>
    <col min="9734" max="9980" width="11.42578125" style="11"/>
    <col min="9981" max="9981" width="11.42578125" style="11" customWidth="1"/>
    <col min="9982" max="9982" width="12.140625" style="11" customWidth="1"/>
    <col min="9983" max="9983" width="11.7109375" style="11" customWidth="1"/>
    <col min="9984" max="9984" width="14.42578125" style="11" customWidth="1"/>
    <col min="9985" max="9985" width="11" style="11" customWidth="1"/>
    <col min="9986" max="9986" width="17" style="11" bestFit="1" customWidth="1"/>
    <col min="9987" max="9987" width="15.7109375" style="11" customWidth="1"/>
    <col min="9988" max="9988" width="13.28515625" style="11" bestFit="1" customWidth="1"/>
    <col min="9989" max="9989" width="17.140625" style="11" customWidth="1"/>
    <col min="9990" max="10236" width="11.42578125" style="11"/>
    <col min="10237" max="10237" width="11.42578125" style="11" customWidth="1"/>
    <col min="10238" max="10238" width="12.140625" style="11" customWidth="1"/>
    <col min="10239" max="10239" width="11.7109375" style="11" customWidth="1"/>
    <col min="10240" max="10240" width="14.42578125" style="11" customWidth="1"/>
    <col min="10241" max="10241" width="11" style="11" customWidth="1"/>
    <col min="10242" max="10242" width="17" style="11" bestFit="1" customWidth="1"/>
    <col min="10243" max="10243" width="15.7109375" style="11" customWidth="1"/>
    <col min="10244" max="10244" width="13.28515625" style="11" bestFit="1" customWidth="1"/>
    <col min="10245" max="10245" width="17.140625" style="11" customWidth="1"/>
    <col min="10246" max="10492" width="11.42578125" style="11"/>
    <col min="10493" max="10493" width="11.42578125" style="11" customWidth="1"/>
    <col min="10494" max="10494" width="12.140625" style="11" customWidth="1"/>
    <col min="10495" max="10495" width="11.7109375" style="11" customWidth="1"/>
    <col min="10496" max="10496" width="14.42578125" style="11" customWidth="1"/>
    <col min="10497" max="10497" width="11" style="11" customWidth="1"/>
    <col min="10498" max="10498" width="17" style="11" bestFit="1" customWidth="1"/>
    <col min="10499" max="10499" width="15.7109375" style="11" customWidth="1"/>
    <col min="10500" max="10500" width="13.28515625" style="11" bestFit="1" customWidth="1"/>
    <col min="10501" max="10501" width="17.140625" style="11" customWidth="1"/>
    <col min="10502" max="10748" width="11.42578125" style="11"/>
    <col min="10749" max="10749" width="11.42578125" style="11" customWidth="1"/>
    <col min="10750" max="10750" width="12.140625" style="11" customWidth="1"/>
    <col min="10751" max="10751" width="11.7109375" style="11" customWidth="1"/>
    <col min="10752" max="10752" width="14.42578125" style="11" customWidth="1"/>
    <col min="10753" max="10753" width="11" style="11" customWidth="1"/>
    <col min="10754" max="10754" width="17" style="11" bestFit="1" customWidth="1"/>
    <col min="10755" max="10755" width="15.7109375" style="11" customWidth="1"/>
    <col min="10756" max="10756" width="13.28515625" style="11" bestFit="1" customWidth="1"/>
    <col min="10757" max="10757" width="17.140625" style="11" customWidth="1"/>
    <col min="10758" max="11004" width="11.42578125" style="11"/>
    <col min="11005" max="11005" width="11.42578125" style="11" customWidth="1"/>
    <col min="11006" max="11006" width="12.140625" style="11" customWidth="1"/>
    <col min="11007" max="11007" width="11.7109375" style="11" customWidth="1"/>
    <col min="11008" max="11008" width="14.42578125" style="11" customWidth="1"/>
    <col min="11009" max="11009" width="11" style="11" customWidth="1"/>
    <col min="11010" max="11010" width="17" style="11" bestFit="1" customWidth="1"/>
    <col min="11011" max="11011" width="15.7109375" style="11" customWidth="1"/>
    <col min="11012" max="11012" width="13.28515625" style="11" bestFit="1" customWidth="1"/>
    <col min="11013" max="11013" width="17.140625" style="11" customWidth="1"/>
    <col min="11014" max="11260" width="11.42578125" style="11"/>
    <col min="11261" max="11261" width="11.42578125" style="11" customWidth="1"/>
    <col min="11262" max="11262" width="12.140625" style="11" customWidth="1"/>
    <col min="11263" max="11263" width="11.7109375" style="11" customWidth="1"/>
    <col min="11264" max="11264" width="14.42578125" style="11" customWidth="1"/>
    <col min="11265" max="11265" width="11" style="11" customWidth="1"/>
    <col min="11266" max="11266" width="17" style="11" bestFit="1" customWidth="1"/>
    <col min="11267" max="11267" width="15.7109375" style="11" customWidth="1"/>
    <col min="11268" max="11268" width="13.28515625" style="11" bestFit="1" customWidth="1"/>
    <col min="11269" max="11269" width="17.140625" style="11" customWidth="1"/>
    <col min="11270" max="11516" width="11.42578125" style="11"/>
    <col min="11517" max="11517" width="11.42578125" style="11" customWidth="1"/>
    <col min="11518" max="11518" width="12.140625" style="11" customWidth="1"/>
    <col min="11519" max="11519" width="11.7109375" style="11" customWidth="1"/>
    <col min="11520" max="11520" width="14.42578125" style="11" customWidth="1"/>
    <col min="11521" max="11521" width="11" style="11" customWidth="1"/>
    <col min="11522" max="11522" width="17" style="11" bestFit="1" customWidth="1"/>
    <col min="11523" max="11523" width="15.7109375" style="11" customWidth="1"/>
    <col min="11524" max="11524" width="13.28515625" style="11" bestFit="1" customWidth="1"/>
    <col min="11525" max="11525" width="17.140625" style="11" customWidth="1"/>
    <col min="11526" max="11772" width="11.42578125" style="11"/>
    <col min="11773" max="11773" width="11.42578125" style="11" customWidth="1"/>
    <col min="11774" max="11774" width="12.140625" style="11" customWidth="1"/>
    <col min="11775" max="11775" width="11.7109375" style="11" customWidth="1"/>
    <col min="11776" max="11776" width="14.42578125" style="11" customWidth="1"/>
    <col min="11777" max="11777" width="11" style="11" customWidth="1"/>
    <col min="11778" max="11778" width="17" style="11" bestFit="1" customWidth="1"/>
    <col min="11779" max="11779" width="15.7109375" style="11" customWidth="1"/>
    <col min="11780" max="11780" width="13.28515625" style="11" bestFit="1" customWidth="1"/>
    <col min="11781" max="11781" width="17.140625" style="11" customWidth="1"/>
    <col min="11782" max="12028" width="11.42578125" style="11"/>
    <col min="12029" max="12029" width="11.42578125" style="11" customWidth="1"/>
    <col min="12030" max="12030" width="12.140625" style="11" customWidth="1"/>
    <col min="12031" max="12031" width="11.7109375" style="11" customWidth="1"/>
    <col min="12032" max="12032" width="14.42578125" style="11" customWidth="1"/>
    <col min="12033" max="12033" width="11" style="11" customWidth="1"/>
    <col min="12034" max="12034" width="17" style="11" bestFit="1" customWidth="1"/>
    <col min="12035" max="12035" width="15.7109375" style="11" customWidth="1"/>
    <col min="12036" max="12036" width="13.28515625" style="11" bestFit="1" customWidth="1"/>
    <col min="12037" max="12037" width="17.140625" style="11" customWidth="1"/>
    <col min="12038" max="12284" width="11.42578125" style="11"/>
    <col min="12285" max="12285" width="11.42578125" style="11" customWidth="1"/>
    <col min="12286" max="12286" width="12.140625" style="11" customWidth="1"/>
    <col min="12287" max="12287" width="11.7109375" style="11" customWidth="1"/>
    <col min="12288" max="12288" width="14.42578125" style="11" customWidth="1"/>
    <col min="12289" max="12289" width="11" style="11" customWidth="1"/>
    <col min="12290" max="12290" width="17" style="11" bestFit="1" customWidth="1"/>
    <col min="12291" max="12291" width="15.7109375" style="11" customWidth="1"/>
    <col min="12292" max="12292" width="13.28515625" style="11" bestFit="1" customWidth="1"/>
    <col min="12293" max="12293" width="17.140625" style="11" customWidth="1"/>
    <col min="12294" max="12540" width="11.42578125" style="11"/>
    <col min="12541" max="12541" width="11.42578125" style="11" customWidth="1"/>
    <col min="12542" max="12542" width="12.140625" style="11" customWidth="1"/>
    <col min="12543" max="12543" width="11.7109375" style="11" customWidth="1"/>
    <col min="12544" max="12544" width="14.42578125" style="11" customWidth="1"/>
    <col min="12545" max="12545" width="11" style="11" customWidth="1"/>
    <col min="12546" max="12546" width="17" style="11" bestFit="1" customWidth="1"/>
    <col min="12547" max="12547" width="15.7109375" style="11" customWidth="1"/>
    <col min="12548" max="12548" width="13.28515625" style="11" bestFit="1" customWidth="1"/>
    <col min="12549" max="12549" width="17.140625" style="11" customWidth="1"/>
    <col min="12550" max="12796" width="11.42578125" style="11"/>
    <col min="12797" max="12797" width="11.42578125" style="11" customWidth="1"/>
    <col min="12798" max="12798" width="12.140625" style="11" customWidth="1"/>
    <col min="12799" max="12799" width="11.7109375" style="11" customWidth="1"/>
    <col min="12800" max="12800" width="14.42578125" style="11" customWidth="1"/>
    <col min="12801" max="12801" width="11" style="11" customWidth="1"/>
    <col min="12802" max="12802" width="17" style="11" bestFit="1" customWidth="1"/>
    <col min="12803" max="12803" width="15.7109375" style="11" customWidth="1"/>
    <col min="12804" max="12804" width="13.28515625" style="11" bestFit="1" customWidth="1"/>
    <col min="12805" max="12805" width="17.140625" style="11" customWidth="1"/>
    <col min="12806" max="13052" width="11.42578125" style="11"/>
    <col min="13053" max="13053" width="11.42578125" style="11" customWidth="1"/>
    <col min="13054" max="13054" width="12.140625" style="11" customWidth="1"/>
    <col min="13055" max="13055" width="11.7109375" style="11" customWidth="1"/>
    <col min="13056" max="13056" width="14.42578125" style="11" customWidth="1"/>
    <col min="13057" max="13057" width="11" style="11" customWidth="1"/>
    <col min="13058" max="13058" width="17" style="11" bestFit="1" customWidth="1"/>
    <col min="13059" max="13059" width="15.7109375" style="11" customWidth="1"/>
    <col min="13060" max="13060" width="13.28515625" style="11" bestFit="1" customWidth="1"/>
    <col min="13061" max="13061" width="17.140625" style="11" customWidth="1"/>
    <col min="13062" max="13308" width="11.42578125" style="11"/>
    <col min="13309" max="13309" width="11.42578125" style="11" customWidth="1"/>
    <col min="13310" max="13310" width="12.140625" style="11" customWidth="1"/>
    <col min="13311" max="13311" width="11.7109375" style="11" customWidth="1"/>
    <col min="13312" max="13312" width="14.42578125" style="11" customWidth="1"/>
    <col min="13313" max="13313" width="11" style="11" customWidth="1"/>
    <col min="13314" max="13314" width="17" style="11" bestFit="1" customWidth="1"/>
    <col min="13315" max="13315" width="15.7109375" style="11" customWidth="1"/>
    <col min="13316" max="13316" width="13.28515625" style="11" bestFit="1" customWidth="1"/>
    <col min="13317" max="13317" width="17.140625" style="11" customWidth="1"/>
    <col min="13318" max="13564" width="11.42578125" style="11"/>
    <col min="13565" max="13565" width="11.42578125" style="11" customWidth="1"/>
    <col min="13566" max="13566" width="12.140625" style="11" customWidth="1"/>
    <col min="13567" max="13567" width="11.7109375" style="11" customWidth="1"/>
    <col min="13568" max="13568" width="14.42578125" style="11" customWidth="1"/>
    <col min="13569" max="13569" width="11" style="11" customWidth="1"/>
    <col min="13570" max="13570" width="17" style="11" bestFit="1" customWidth="1"/>
    <col min="13571" max="13571" width="15.7109375" style="11" customWidth="1"/>
    <col min="13572" max="13572" width="13.28515625" style="11" bestFit="1" customWidth="1"/>
    <col min="13573" max="13573" width="17.140625" style="11" customWidth="1"/>
    <col min="13574" max="13820" width="11.42578125" style="11"/>
    <col min="13821" max="13821" width="11.42578125" style="11" customWidth="1"/>
    <col min="13822" max="13822" width="12.140625" style="11" customWidth="1"/>
    <col min="13823" max="13823" width="11.7109375" style="11" customWidth="1"/>
    <col min="13824" max="13824" width="14.42578125" style="11" customWidth="1"/>
    <col min="13825" max="13825" width="11" style="11" customWidth="1"/>
    <col min="13826" max="13826" width="17" style="11" bestFit="1" customWidth="1"/>
    <col min="13827" max="13827" width="15.7109375" style="11" customWidth="1"/>
    <col min="13828" max="13828" width="13.28515625" style="11" bestFit="1" customWidth="1"/>
    <col min="13829" max="13829" width="17.140625" style="11" customWidth="1"/>
    <col min="13830" max="14076" width="11.42578125" style="11"/>
    <col min="14077" max="14077" width="11.42578125" style="11" customWidth="1"/>
    <col min="14078" max="14078" width="12.140625" style="11" customWidth="1"/>
    <col min="14079" max="14079" width="11.7109375" style="11" customWidth="1"/>
    <col min="14080" max="14080" width="14.42578125" style="11" customWidth="1"/>
    <col min="14081" max="14081" width="11" style="11" customWidth="1"/>
    <col min="14082" max="14082" width="17" style="11" bestFit="1" customWidth="1"/>
    <col min="14083" max="14083" width="15.7109375" style="11" customWidth="1"/>
    <col min="14084" max="14084" width="13.28515625" style="11" bestFit="1" customWidth="1"/>
    <col min="14085" max="14085" width="17.140625" style="11" customWidth="1"/>
    <col min="14086" max="14332" width="11.42578125" style="11"/>
    <col min="14333" max="14333" width="11.42578125" style="11" customWidth="1"/>
    <col min="14334" max="14334" width="12.140625" style="11" customWidth="1"/>
    <col min="14335" max="14335" width="11.7109375" style="11" customWidth="1"/>
    <col min="14336" max="14336" width="14.42578125" style="11" customWidth="1"/>
    <col min="14337" max="14337" width="11" style="11" customWidth="1"/>
    <col min="14338" max="14338" width="17" style="11" bestFit="1" customWidth="1"/>
    <col min="14339" max="14339" width="15.7109375" style="11" customWidth="1"/>
    <col min="14340" max="14340" width="13.28515625" style="11" bestFit="1" customWidth="1"/>
    <col min="14341" max="14341" width="17.140625" style="11" customWidth="1"/>
    <col min="14342" max="14588" width="11.42578125" style="11"/>
    <col min="14589" max="14589" width="11.42578125" style="11" customWidth="1"/>
    <col min="14590" max="14590" width="12.140625" style="11" customWidth="1"/>
    <col min="14591" max="14591" width="11.7109375" style="11" customWidth="1"/>
    <col min="14592" max="14592" width="14.42578125" style="11" customWidth="1"/>
    <col min="14593" max="14593" width="11" style="11" customWidth="1"/>
    <col min="14594" max="14594" width="17" style="11" bestFit="1" customWidth="1"/>
    <col min="14595" max="14595" width="15.7109375" style="11" customWidth="1"/>
    <col min="14596" max="14596" width="13.28515625" style="11" bestFit="1" customWidth="1"/>
    <col min="14597" max="14597" width="17.140625" style="11" customWidth="1"/>
    <col min="14598" max="14844" width="11.42578125" style="11"/>
    <col min="14845" max="14845" width="11.42578125" style="11" customWidth="1"/>
    <col min="14846" max="14846" width="12.140625" style="11" customWidth="1"/>
    <col min="14847" max="14847" width="11.7109375" style="11" customWidth="1"/>
    <col min="14848" max="14848" width="14.42578125" style="11" customWidth="1"/>
    <col min="14849" max="14849" width="11" style="11" customWidth="1"/>
    <col min="14850" max="14850" width="17" style="11" bestFit="1" customWidth="1"/>
    <col min="14851" max="14851" width="15.7109375" style="11" customWidth="1"/>
    <col min="14852" max="14852" width="13.28515625" style="11" bestFit="1" customWidth="1"/>
    <col min="14853" max="14853" width="17.140625" style="11" customWidth="1"/>
    <col min="14854" max="15100" width="11.42578125" style="11"/>
    <col min="15101" max="15101" width="11.42578125" style="11" customWidth="1"/>
    <col min="15102" max="15102" width="12.140625" style="11" customWidth="1"/>
    <col min="15103" max="15103" width="11.7109375" style="11" customWidth="1"/>
    <col min="15104" max="15104" width="14.42578125" style="11" customWidth="1"/>
    <col min="15105" max="15105" width="11" style="11" customWidth="1"/>
    <col min="15106" max="15106" width="17" style="11" bestFit="1" customWidth="1"/>
    <col min="15107" max="15107" width="15.7109375" style="11" customWidth="1"/>
    <col min="15108" max="15108" width="13.28515625" style="11" bestFit="1" customWidth="1"/>
    <col min="15109" max="15109" width="17.140625" style="11" customWidth="1"/>
    <col min="15110" max="15356" width="11.42578125" style="11"/>
    <col min="15357" max="15357" width="11.42578125" style="11" customWidth="1"/>
    <col min="15358" max="15358" width="12.140625" style="11" customWidth="1"/>
    <col min="15359" max="15359" width="11.7109375" style="11" customWidth="1"/>
    <col min="15360" max="15360" width="14.42578125" style="11" customWidth="1"/>
    <col min="15361" max="15361" width="11" style="11" customWidth="1"/>
    <col min="15362" max="15362" width="17" style="11" bestFit="1" customWidth="1"/>
    <col min="15363" max="15363" width="15.7109375" style="11" customWidth="1"/>
    <col min="15364" max="15364" width="13.28515625" style="11" bestFit="1" customWidth="1"/>
    <col min="15365" max="15365" width="17.140625" style="11" customWidth="1"/>
    <col min="15366" max="15612" width="11.42578125" style="11"/>
    <col min="15613" max="15613" width="11.42578125" style="11" customWidth="1"/>
    <col min="15614" max="15614" width="12.140625" style="11" customWidth="1"/>
    <col min="15615" max="15615" width="11.7109375" style="11" customWidth="1"/>
    <col min="15616" max="15616" width="14.42578125" style="11" customWidth="1"/>
    <col min="15617" max="15617" width="11" style="11" customWidth="1"/>
    <col min="15618" max="15618" width="17" style="11" bestFit="1" customWidth="1"/>
    <col min="15619" max="15619" width="15.7109375" style="11" customWidth="1"/>
    <col min="15620" max="15620" width="13.28515625" style="11" bestFit="1" customWidth="1"/>
    <col min="15621" max="15621" width="17.140625" style="11" customWidth="1"/>
    <col min="15622" max="15868" width="11.42578125" style="11"/>
    <col min="15869" max="15869" width="11.42578125" style="11" customWidth="1"/>
    <col min="15870" max="15870" width="12.140625" style="11" customWidth="1"/>
    <col min="15871" max="15871" width="11.7109375" style="11" customWidth="1"/>
    <col min="15872" max="15872" width="14.42578125" style="11" customWidth="1"/>
    <col min="15873" max="15873" width="11" style="11" customWidth="1"/>
    <col min="15874" max="15874" width="17" style="11" bestFit="1" customWidth="1"/>
    <col min="15875" max="15875" width="15.7109375" style="11" customWidth="1"/>
    <col min="15876" max="15876" width="13.28515625" style="11" bestFit="1" customWidth="1"/>
    <col min="15877" max="15877" width="17.140625" style="11" customWidth="1"/>
    <col min="15878" max="16124" width="11.42578125" style="11"/>
    <col min="16125" max="16125" width="11.42578125" style="11" customWidth="1"/>
    <col min="16126" max="16126" width="12.140625" style="11" customWidth="1"/>
    <col min="16127" max="16127" width="11.7109375" style="11" customWidth="1"/>
    <col min="16128" max="16128" width="14.42578125" style="11" customWidth="1"/>
    <col min="16129" max="16129" width="11" style="11" customWidth="1"/>
    <col min="16130" max="16130" width="17" style="11" bestFit="1" customWidth="1"/>
    <col min="16131" max="16131" width="15.7109375" style="11" customWidth="1"/>
    <col min="16132" max="16132" width="13.28515625" style="11" bestFit="1" customWidth="1"/>
    <col min="16133" max="16133" width="17.140625" style="11" customWidth="1"/>
    <col min="16134" max="16384" width="11.42578125" style="11"/>
  </cols>
  <sheetData>
    <row r="7" s="13" customFormat="1" ht="15" customHeight="1" x14ac:dyDescent="0.2"/>
    <row r="19" spans="2:7" ht="15" customHeight="1" x14ac:dyDescent="0.2">
      <c r="B19" s="17"/>
      <c r="C19" s="17"/>
      <c r="D19" s="17"/>
      <c r="E19" s="17"/>
      <c r="F19" s="17"/>
      <c r="G19" s="17"/>
    </row>
    <row r="20" spans="2:7" ht="15" customHeight="1" x14ac:dyDescent="0.2">
      <c r="G20" s="20"/>
    </row>
  </sheetData>
  <printOptions horizontalCentered="1"/>
  <pageMargins left="0.36" right="0.24" top="0.3" bottom="0.19" header="0" footer="0"/>
  <pageSetup paperSize="9" scale="5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E20"/>
  <sheetViews>
    <sheetView workbookViewId="0"/>
  </sheetViews>
  <sheetFormatPr baseColWidth="10" defaultColWidth="11.42578125" defaultRowHeight="15" customHeight="1" x14ac:dyDescent="0.2"/>
  <cols>
    <col min="1" max="1" width="15.28515625" style="11" bestFit="1" customWidth="1"/>
    <col min="2" max="6" width="10.7109375" style="11" customWidth="1"/>
    <col min="7" max="7" width="16.85546875" style="11" customWidth="1"/>
    <col min="8" max="8" width="4.85546875" style="11" customWidth="1"/>
    <col min="9" max="250" width="11.42578125" style="11"/>
    <col min="251" max="251" width="11.42578125" style="11" customWidth="1"/>
    <col min="252" max="252" width="12.140625" style="11" customWidth="1"/>
    <col min="253" max="253" width="11.7109375" style="11" customWidth="1"/>
    <col min="254" max="254" width="14.42578125" style="11" customWidth="1"/>
    <col min="255" max="255" width="11" style="11" customWidth="1"/>
    <col min="256" max="256" width="17" style="11" bestFit="1" customWidth="1"/>
    <col min="257" max="257" width="15.7109375" style="11" customWidth="1"/>
    <col min="258" max="258" width="13.28515625" style="11" bestFit="1" customWidth="1"/>
    <col min="259" max="259" width="17.140625" style="11" customWidth="1"/>
    <col min="260" max="506" width="11.42578125" style="11"/>
    <col min="507" max="507" width="11.42578125" style="11" customWidth="1"/>
    <col min="508" max="508" width="12.140625" style="11" customWidth="1"/>
    <col min="509" max="509" width="11.7109375" style="11" customWidth="1"/>
    <col min="510" max="510" width="14.42578125" style="11" customWidth="1"/>
    <col min="511" max="511" width="11" style="11" customWidth="1"/>
    <col min="512" max="512" width="17" style="11" bestFit="1" customWidth="1"/>
    <col min="513" max="513" width="15.7109375" style="11" customWidth="1"/>
    <col min="514" max="514" width="13.28515625" style="11" bestFit="1" customWidth="1"/>
    <col min="515" max="515" width="17.140625" style="11" customWidth="1"/>
    <col min="516" max="762" width="11.42578125" style="11"/>
    <col min="763" max="763" width="11.42578125" style="11" customWidth="1"/>
    <col min="764" max="764" width="12.140625" style="11" customWidth="1"/>
    <col min="765" max="765" width="11.7109375" style="11" customWidth="1"/>
    <col min="766" max="766" width="14.42578125" style="11" customWidth="1"/>
    <col min="767" max="767" width="11" style="11" customWidth="1"/>
    <col min="768" max="768" width="17" style="11" bestFit="1" customWidth="1"/>
    <col min="769" max="769" width="15.7109375" style="11" customWidth="1"/>
    <col min="770" max="770" width="13.28515625" style="11" bestFit="1" customWidth="1"/>
    <col min="771" max="771" width="17.140625" style="11" customWidth="1"/>
    <col min="772" max="1018" width="11.42578125" style="11"/>
    <col min="1019" max="1019" width="11.42578125" style="11" customWidth="1"/>
    <col min="1020" max="1020" width="12.140625" style="11" customWidth="1"/>
    <col min="1021" max="1021" width="11.7109375" style="11" customWidth="1"/>
    <col min="1022" max="1022" width="14.42578125" style="11" customWidth="1"/>
    <col min="1023" max="1023" width="11" style="11" customWidth="1"/>
    <col min="1024" max="1024" width="17" style="11" bestFit="1" customWidth="1"/>
    <col min="1025" max="1025" width="15.7109375" style="11" customWidth="1"/>
    <col min="1026" max="1026" width="13.28515625" style="11" bestFit="1" customWidth="1"/>
    <col min="1027" max="1027" width="17.140625" style="11" customWidth="1"/>
    <col min="1028" max="1274" width="11.42578125" style="11"/>
    <col min="1275" max="1275" width="11.42578125" style="11" customWidth="1"/>
    <col min="1276" max="1276" width="12.140625" style="11" customWidth="1"/>
    <col min="1277" max="1277" width="11.7109375" style="11" customWidth="1"/>
    <col min="1278" max="1278" width="14.42578125" style="11" customWidth="1"/>
    <col min="1279" max="1279" width="11" style="11" customWidth="1"/>
    <col min="1280" max="1280" width="17" style="11" bestFit="1" customWidth="1"/>
    <col min="1281" max="1281" width="15.7109375" style="11" customWidth="1"/>
    <col min="1282" max="1282" width="13.28515625" style="11" bestFit="1" customWidth="1"/>
    <col min="1283" max="1283" width="17.140625" style="11" customWidth="1"/>
    <col min="1284" max="1530" width="11.42578125" style="11"/>
    <col min="1531" max="1531" width="11.42578125" style="11" customWidth="1"/>
    <col min="1532" max="1532" width="12.140625" style="11" customWidth="1"/>
    <col min="1533" max="1533" width="11.7109375" style="11" customWidth="1"/>
    <col min="1534" max="1534" width="14.42578125" style="11" customWidth="1"/>
    <col min="1535" max="1535" width="11" style="11" customWidth="1"/>
    <col min="1536" max="1536" width="17" style="11" bestFit="1" customWidth="1"/>
    <col min="1537" max="1537" width="15.7109375" style="11" customWidth="1"/>
    <col min="1538" max="1538" width="13.28515625" style="11" bestFit="1" customWidth="1"/>
    <col min="1539" max="1539" width="17.140625" style="11" customWidth="1"/>
    <col min="1540" max="1786" width="11.42578125" style="11"/>
    <col min="1787" max="1787" width="11.42578125" style="11" customWidth="1"/>
    <col min="1788" max="1788" width="12.140625" style="11" customWidth="1"/>
    <col min="1789" max="1789" width="11.7109375" style="11" customWidth="1"/>
    <col min="1790" max="1790" width="14.42578125" style="11" customWidth="1"/>
    <col min="1791" max="1791" width="11" style="11" customWidth="1"/>
    <col min="1792" max="1792" width="17" style="11" bestFit="1" customWidth="1"/>
    <col min="1793" max="1793" width="15.7109375" style="11" customWidth="1"/>
    <col min="1794" max="1794" width="13.28515625" style="11" bestFit="1" customWidth="1"/>
    <col min="1795" max="1795" width="17.140625" style="11" customWidth="1"/>
    <col min="1796" max="2042" width="11.42578125" style="11"/>
    <col min="2043" max="2043" width="11.42578125" style="11" customWidth="1"/>
    <col min="2044" max="2044" width="12.140625" style="11" customWidth="1"/>
    <col min="2045" max="2045" width="11.7109375" style="11" customWidth="1"/>
    <col min="2046" max="2046" width="14.42578125" style="11" customWidth="1"/>
    <col min="2047" max="2047" width="11" style="11" customWidth="1"/>
    <col min="2048" max="2048" width="17" style="11" bestFit="1" customWidth="1"/>
    <col min="2049" max="2049" width="15.7109375" style="11" customWidth="1"/>
    <col min="2050" max="2050" width="13.28515625" style="11" bestFit="1" customWidth="1"/>
    <col min="2051" max="2051" width="17.140625" style="11" customWidth="1"/>
    <col min="2052" max="2298" width="11.42578125" style="11"/>
    <col min="2299" max="2299" width="11.42578125" style="11" customWidth="1"/>
    <col min="2300" max="2300" width="12.140625" style="11" customWidth="1"/>
    <col min="2301" max="2301" width="11.7109375" style="11" customWidth="1"/>
    <col min="2302" max="2302" width="14.42578125" style="11" customWidth="1"/>
    <col min="2303" max="2303" width="11" style="11" customWidth="1"/>
    <col min="2304" max="2304" width="17" style="11" bestFit="1" customWidth="1"/>
    <col min="2305" max="2305" width="15.7109375" style="11" customWidth="1"/>
    <col min="2306" max="2306" width="13.28515625" style="11" bestFit="1" customWidth="1"/>
    <col min="2307" max="2307" width="17.140625" style="11" customWidth="1"/>
    <col min="2308" max="2554" width="11.42578125" style="11"/>
    <col min="2555" max="2555" width="11.42578125" style="11" customWidth="1"/>
    <col min="2556" max="2556" width="12.140625" style="11" customWidth="1"/>
    <col min="2557" max="2557" width="11.7109375" style="11" customWidth="1"/>
    <col min="2558" max="2558" width="14.42578125" style="11" customWidth="1"/>
    <col min="2559" max="2559" width="11" style="11" customWidth="1"/>
    <col min="2560" max="2560" width="17" style="11" bestFit="1" customWidth="1"/>
    <col min="2561" max="2561" width="15.7109375" style="11" customWidth="1"/>
    <col min="2562" max="2562" width="13.28515625" style="11" bestFit="1" customWidth="1"/>
    <col min="2563" max="2563" width="17.140625" style="11" customWidth="1"/>
    <col min="2564" max="2810" width="11.42578125" style="11"/>
    <col min="2811" max="2811" width="11.42578125" style="11" customWidth="1"/>
    <col min="2812" max="2812" width="12.140625" style="11" customWidth="1"/>
    <col min="2813" max="2813" width="11.7109375" style="11" customWidth="1"/>
    <col min="2814" max="2814" width="14.42578125" style="11" customWidth="1"/>
    <col min="2815" max="2815" width="11" style="11" customWidth="1"/>
    <col min="2816" max="2816" width="17" style="11" bestFit="1" customWidth="1"/>
    <col min="2817" max="2817" width="15.7109375" style="11" customWidth="1"/>
    <col min="2818" max="2818" width="13.28515625" style="11" bestFit="1" customWidth="1"/>
    <col min="2819" max="2819" width="17.140625" style="11" customWidth="1"/>
    <col min="2820" max="3066" width="11.42578125" style="11"/>
    <col min="3067" max="3067" width="11.42578125" style="11" customWidth="1"/>
    <col min="3068" max="3068" width="12.140625" style="11" customWidth="1"/>
    <col min="3069" max="3069" width="11.7109375" style="11" customWidth="1"/>
    <col min="3070" max="3070" width="14.42578125" style="11" customWidth="1"/>
    <col min="3071" max="3071" width="11" style="11" customWidth="1"/>
    <col min="3072" max="3072" width="17" style="11" bestFit="1" customWidth="1"/>
    <col min="3073" max="3073" width="15.7109375" style="11" customWidth="1"/>
    <col min="3074" max="3074" width="13.28515625" style="11" bestFit="1" customWidth="1"/>
    <col min="3075" max="3075" width="17.140625" style="11" customWidth="1"/>
    <col min="3076" max="3322" width="11.42578125" style="11"/>
    <col min="3323" max="3323" width="11.42578125" style="11" customWidth="1"/>
    <col min="3324" max="3324" width="12.140625" style="11" customWidth="1"/>
    <col min="3325" max="3325" width="11.7109375" style="11" customWidth="1"/>
    <col min="3326" max="3326" width="14.42578125" style="11" customWidth="1"/>
    <col min="3327" max="3327" width="11" style="11" customWidth="1"/>
    <col min="3328" max="3328" width="17" style="11" bestFit="1" customWidth="1"/>
    <col min="3329" max="3329" width="15.7109375" style="11" customWidth="1"/>
    <col min="3330" max="3330" width="13.28515625" style="11" bestFit="1" customWidth="1"/>
    <col min="3331" max="3331" width="17.140625" style="11" customWidth="1"/>
    <col min="3332" max="3578" width="11.42578125" style="11"/>
    <col min="3579" max="3579" width="11.42578125" style="11" customWidth="1"/>
    <col min="3580" max="3580" width="12.140625" style="11" customWidth="1"/>
    <col min="3581" max="3581" width="11.7109375" style="11" customWidth="1"/>
    <col min="3582" max="3582" width="14.42578125" style="11" customWidth="1"/>
    <col min="3583" max="3583" width="11" style="11" customWidth="1"/>
    <col min="3584" max="3584" width="17" style="11" bestFit="1" customWidth="1"/>
    <col min="3585" max="3585" width="15.7109375" style="11" customWidth="1"/>
    <col min="3586" max="3586" width="13.28515625" style="11" bestFit="1" customWidth="1"/>
    <col min="3587" max="3587" width="17.140625" style="11" customWidth="1"/>
    <col min="3588" max="3834" width="11.42578125" style="11"/>
    <col min="3835" max="3835" width="11.42578125" style="11" customWidth="1"/>
    <col min="3836" max="3836" width="12.140625" style="11" customWidth="1"/>
    <col min="3837" max="3837" width="11.7109375" style="11" customWidth="1"/>
    <col min="3838" max="3838" width="14.42578125" style="11" customWidth="1"/>
    <col min="3839" max="3839" width="11" style="11" customWidth="1"/>
    <col min="3840" max="3840" width="17" style="11" bestFit="1" customWidth="1"/>
    <col min="3841" max="3841" width="15.7109375" style="11" customWidth="1"/>
    <col min="3842" max="3842" width="13.28515625" style="11" bestFit="1" customWidth="1"/>
    <col min="3843" max="3843" width="17.140625" style="11" customWidth="1"/>
    <col min="3844" max="4090" width="11.42578125" style="11"/>
    <col min="4091" max="4091" width="11.42578125" style="11" customWidth="1"/>
    <col min="4092" max="4092" width="12.140625" style="11" customWidth="1"/>
    <col min="4093" max="4093" width="11.7109375" style="11" customWidth="1"/>
    <col min="4094" max="4094" width="14.42578125" style="11" customWidth="1"/>
    <col min="4095" max="4095" width="11" style="11" customWidth="1"/>
    <col min="4096" max="4096" width="17" style="11" bestFit="1" customWidth="1"/>
    <col min="4097" max="4097" width="15.7109375" style="11" customWidth="1"/>
    <col min="4098" max="4098" width="13.28515625" style="11" bestFit="1" customWidth="1"/>
    <col min="4099" max="4099" width="17.140625" style="11" customWidth="1"/>
    <col min="4100" max="4346" width="11.42578125" style="11"/>
    <col min="4347" max="4347" width="11.42578125" style="11" customWidth="1"/>
    <col min="4348" max="4348" width="12.140625" style="11" customWidth="1"/>
    <col min="4349" max="4349" width="11.7109375" style="11" customWidth="1"/>
    <col min="4350" max="4350" width="14.42578125" style="11" customWidth="1"/>
    <col min="4351" max="4351" width="11" style="11" customWidth="1"/>
    <col min="4352" max="4352" width="17" style="11" bestFit="1" customWidth="1"/>
    <col min="4353" max="4353" width="15.7109375" style="11" customWidth="1"/>
    <col min="4354" max="4354" width="13.28515625" style="11" bestFit="1" customWidth="1"/>
    <col min="4355" max="4355" width="17.140625" style="11" customWidth="1"/>
    <col min="4356" max="4602" width="11.42578125" style="11"/>
    <col min="4603" max="4603" width="11.42578125" style="11" customWidth="1"/>
    <col min="4604" max="4604" width="12.140625" style="11" customWidth="1"/>
    <col min="4605" max="4605" width="11.7109375" style="11" customWidth="1"/>
    <col min="4606" max="4606" width="14.42578125" style="11" customWidth="1"/>
    <col min="4607" max="4607" width="11" style="11" customWidth="1"/>
    <col min="4608" max="4608" width="17" style="11" bestFit="1" customWidth="1"/>
    <col min="4609" max="4609" width="15.7109375" style="11" customWidth="1"/>
    <col min="4610" max="4610" width="13.28515625" style="11" bestFit="1" customWidth="1"/>
    <col min="4611" max="4611" width="17.140625" style="11" customWidth="1"/>
    <col min="4612" max="4858" width="11.42578125" style="11"/>
    <col min="4859" max="4859" width="11.42578125" style="11" customWidth="1"/>
    <col min="4860" max="4860" width="12.140625" style="11" customWidth="1"/>
    <col min="4861" max="4861" width="11.7109375" style="11" customWidth="1"/>
    <col min="4862" max="4862" width="14.42578125" style="11" customWidth="1"/>
    <col min="4863" max="4863" width="11" style="11" customWidth="1"/>
    <col min="4864" max="4864" width="17" style="11" bestFit="1" customWidth="1"/>
    <col min="4865" max="4865" width="15.7109375" style="11" customWidth="1"/>
    <col min="4866" max="4866" width="13.28515625" style="11" bestFit="1" customWidth="1"/>
    <col min="4867" max="4867" width="17.140625" style="11" customWidth="1"/>
    <col min="4868" max="5114" width="11.42578125" style="11"/>
    <col min="5115" max="5115" width="11.42578125" style="11" customWidth="1"/>
    <col min="5116" max="5116" width="12.140625" style="11" customWidth="1"/>
    <col min="5117" max="5117" width="11.7109375" style="11" customWidth="1"/>
    <col min="5118" max="5118" width="14.42578125" style="11" customWidth="1"/>
    <col min="5119" max="5119" width="11" style="11" customWidth="1"/>
    <col min="5120" max="5120" width="17" style="11" bestFit="1" customWidth="1"/>
    <col min="5121" max="5121" width="15.7109375" style="11" customWidth="1"/>
    <col min="5122" max="5122" width="13.28515625" style="11" bestFit="1" customWidth="1"/>
    <col min="5123" max="5123" width="17.140625" style="11" customWidth="1"/>
    <col min="5124" max="5370" width="11.42578125" style="11"/>
    <col min="5371" max="5371" width="11.42578125" style="11" customWidth="1"/>
    <col min="5372" max="5372" width="12.140625" style="11" customWidth="1"/>
    <col min="5373" max="5373" width="11.7109375" style="11" customWidth="1"/>
    <col min="5374" max="5374" width="14.42578125" style="11" customWidth="1"/>
    <col min="5375" max="5375" width="11" style="11" customWidth="1"/>
    <col min="5376" max="5376" width="17" style="11" bestFit="1" customWidth="1"/>
    <col min="5377" max="5377" width="15.7109375" style="11" customWidth="1"/>
    <col min="5378" max="5378" width="13.28515625" style="11" bestFit="1" customWidth="1"/>
    <col min="5379" max="5379" width="17.140625" style="11" customWidth="1"/>
    <col min="5380" max="5626" width="11.42578125" style="11"/>
    <col min="5627" max="5627" width="11.42578125" style="11" customWidth="1"/>
    <col min="5628" max="5628" width="12.140625" style="11" customWidth="1"/>
    <col min="5629" max="5629" width="11.7109375" style="11" customWidth="1"/>
    <col min="5630" max="5630" width="14.42578125" style="11" customWidth="1"/>
    <col min="5631" max="5631" width="11" style="11" customWidth="1"/>
    <col min="5632" max="5632" width="17" style="11" bestFit="1" customWidth="1"/>
    <col min="5633" max="5633" width="15.7109375" style="11" customWidth="1"/>
    <col min="5634" max="5634" width="13.28515625" style="11" bestFit="1" customWidth="1"/>
    <col min="5635" max="5635" width="17.140625" style="11" customWidth="1"/>
    <col min="5636" max="5882" width="11.42578125" style="11"/>
    <col min="5883" max="5883" width="11.42578125" style="11" customWidth="1"/>
    <col min="5884" max="5884" width="12.140625" style="11" customWidth="1"/>
    <col min="5885" max="5885" width="11.7109375" style="11" customWidth="1"/>
    <col min="5886" max="5886" width="14.42578125" style="11" customWidth="1"/>
    <col min="5887" max="5887" width="11" style="11" customWidth="1"/>
    <col min="5888" max="5888" width="17" style="11" bestFit="1" customWidth="1"/>
    <col min="5889" max="5889" width="15.7109375" style="11" customWidth="1"/>
    <col min="5890" max="5890" width="13.28515625" style="11" bestFit="1" customWidth="1"/>
    <col min="5891" max="5891" width="17.140625" style="11" customWidth="1"/>
    <col min="5892" max="6138" width="11.42578125" style="11"/>
    <col min="6139" max="6139" width="11.42578125" style="11" customWidth="1"/>
    <col min="6140" max="6140" width="12.140625" style="11" customWidth="1"/>
    <col min="6141" max="6141" width="11.7109375" style="11" customWidth="1"/>
    <col min="6142" max="6142" width="14.42578125" style="11" customWidth="1"/>
    <col min="6143" max="6143" width="11" style="11" customWidth="1"/>
    <col min="6144" max="6144" width="17" style="11" bestFit="1" customWidth="1"/>
    <col min="6145" max="6145" width="15.7109375" style="11" customWidth="1"/>
    <col min="6146" max="6146" width="13.28515625" style="11" bestFit="1" customWidth="1"/>
    <col min="6147" max="6147" width="17.140625" style="11" customWidth="1"/>
    <col min="6148" max="6394" width="11.42578125" style="11"/>
    <col min="6395" max="6395" width="11.42578125" style="11" customWidth="1"/>
    <col min="6396" max="6396" width="12.140625" style="11" customWidth="1"/>
    <col min="6397" max="6397" width="11.7109375" style="11" customWidth="1"/>
    <col min="6398" max="6398" width="14.42578125" style="11" customWidth="1"/>
    <col min="6399" max="6399" width="11" style="11" customWidth="1"/>
    <col min="6400" max="6400" width="17" style="11" bestFit="1" customWidth="1"/>
    <col min="6401" max="6401" width="15.7109375" style="11" customWidth="1"/>
    <col min="6402" max="6402" width="13.28515625" style="11" bestFit="1" customWidth="1"/>
    <col min="6403" max="6403" width="17.140625" style="11" customWidth="1"/>
    <col min="6404" max="6650" width="11.42578125" style="11"/>
    <col min="6651" max="6651" width="11.42578125" style="11" customWidth="1"/>
    <col min="6652" max="6652" width="12.140625" style="11" customWidth="1"/>
    <col min="6653" max="6653" width="11.7109375" style="11" customWidth="1"/>
    <col min="6654" max="6654" width="14.42578125" style="11" customWidth="1"/>
    <col min="6655" max="6655" width="11" style="11" customWidth="1"/>
    <col min="6656" max="6656" width="17" style="11" bestFit="1" customWidth="1"/>
    <col min="6657" max="6657" width="15.7109375" style="11" customWidth="1"/>
    <col min="6658" max="6658" width="13.28515625" style="11" bestFit="1" customWidth="1"/>
    <col min="6659" max="6659" width="17.140625" style="11" customWidth="1"/>
    <col min="6660" max="6906" width="11.42578125" style="11"/>
    <col min="6907" max="6907" width="11.42578125" style="11" customWidth="1"/>
    <col min="6908" max="6908" width="12.140625" style="11" customWidth="1"/>
    <col min="6909" max="6909" width="11.7109375" style="11" customWidth="1"/>
    <col min="6910" max="6910" width="14.42578125" style="11" customWidth="1"/>
    <col min="6911" max="6911" width="11" style="11" customWidth="1"/>
    <col min="6912" max="6912" width="17" style="11" bestFit="1" customWidth="1"/>
    <col min="6913" max="6913" width="15.7109375" style="11" customWidth="1"/>
    <col min="6914" max="6914" width="13.28515625" style="11" bestFit="1" customWidth="1"/>
    <col min="6915" max="6915" width="17.140625" style="11" customWidth="1"/>
    <col min="6916" max="7162" width="11.42578125" style="11"/>
    <col min="7163" max="7163" width="11.42578125" style="11" customWidth="1"/>
    <col min="7164" max="7164" width="12.140625" style="11" customWidth="1"/>
    <col min="7165" max="7165" width="11.7109375" style="11" customWidth="1"/>
    <col min="7166" max="7166" width="14.42578125" style="11" customWidth="1"/>
    <col min="7167" max="7167" width="11" style="11" customWidth="1"/>
    <col min="7168" max="7168" width="17" style="11" bestFit="1" customWidth="1"/>
    <col min="7169" max="7169" width="15.7109375" style="11" customWidth="1"/>
    <col min="7170" max="7170" width="13.28515625" style="11" bestFit="1" customWidth="1"/>
    <col min="7171" max="7171" width="17.140625" style="11" customWidth="1"/>
    <col min="7172" max="7418" width="11.42578125" style="11"/>
    <col min="7419" max="7419" width="11.42578125" style="11" customWidth="1"/>
    <col min="7420" max="7420" width="12.140625" style="11" customWidth="1"/>
    <col min="7421" max="7421" width="11.7109375" style="11" customWidth="1"/>
    <col min="7422" max="7422" width="14.42578125" style="11" customWidth="1"/>
    <col min="7423" max="7423" width="11" style="11" customWidth="1"/>
    <col min="7424" max="7424" width="17" style="11" bestFit="1" customWidth="1"/>
    <col min="7425" max="7425" width="15.7109375" style="11" customWidth="1"/>
    <col min="7426" max="7426" width="13.28515625" style="11" bestFit="1" customWidth="1"/>
    <col min="7427" max="7427" width="17.140625" style="11" customWidth="1"/>
    <col min="7428" max="7674" width="11.42578125" style="11"/>
    <col min="7675" max="7675" width="11.42578125" style="11" customWidth="1"/>
    <col min="7676" max="7676" width="12.140625" style="11" customWidth="1"/>
    <col min="7677" max="7677" width="11.7109375" style="11" customWidth="1"/>
    <col min="7678" max="7678" width="14.42578125" style="11" customWidth="1"/>
    <col min="7679" max="7679" width="11" style="11" customWidth="1"/>
    <col min="7680" max="7680" width="17" style="11" bestFit="1" customWidth="1"/>
    <col min="7681" max="7681" width="15.7109375" style="11" customWidth="1"/>
    <col min="7682" max="7682" width="13.28515625" style="11" bestFit="1" customWidth="1"/>
    <col min="7683" max="7683" width="17.140625" style="11" customWidth="1"/>
    <col min="7684" max="7930" width="11.42578125" style="11"/>
    <col min="7931" max="7931" width="11.42578125" style="11" customWidth="1"/>
    <col min="7932" max="7932" width="12.140625" style="11" customWidth="1"/>
    <col min="7933" max="7933" width="11.7109375" style="11" customWidth="1"/>
    <col min="7934" max="7934" width="14.42578125" style="11" customWidth="1"/>
    <col min="7935" max="7935" width="11" style="11" customWidth="1"/>
    <col min="7936" max="7936" width="17" style="11" bestFit="1" customWidth="1"/>
    <col min="7937" max="7937" width="15.7109375" style="11" customWidth="1"/>
    <col min="7938" max="7938" width="13.28515625" style="11" bestFit="1" customWidth="1"/>
    <col min="7939" max="7939" width="17.140625" style="11" customWidth="1"/>
    <col min="7940" max="8186" width="11.42578125" style="11"/>
    <col min="8187" max="8187" width="11.42578125" style="11" customWidth="1"/>
    <col min="8188" max="8188" width="12.140625" style="11" customWidth="1"/>
    <col min="8189" max="8189" width="11.7109375" style="11" customWidth="1"/>
    <col min="8190" max="8190" width="14.42578125" style="11" customWidth="1"/>
    <col min="8191" max="8191" width="11" style="11" customWidth="1"/>
    <col min="8192" max="8192" width="17" style="11" bestFit="1" customWidth="1"/>
    <col min="8193" max="8193" width="15.7109375" style="11" customWidth="1"/>
    <col min="8194" max="8194" width="13.28515625" style="11" bestFit="1" customWidth="1"/>
    <col min="8195" max="8195" width="17.140625" style="11" customWidth="1"/>
    <col min="8196" max="8442" width="11.42578125" style="11"/>
    <col min="8443" max="8443" width="11.42578125" style="11" customWidth="1"/>
    <col min="8444" max="8444" width="12.140625" style="11" customWidth="1"/>
    <col min="8445" max="8445" width="11.7109375" style="11" customWidth="1"/>
    <col min="8446" max="8446" width="14.42578125" style="11" customWidth="1"/>
    <col min="8447" max="8447" width="11" style="11" customWidth="1"/>
    <col min="8448" max="8448" width="17" style="11" bestFit="1" customWidth="1"/>
    <col min="8449" max="8449" width="15.7109375" style="11" customWidth="1"/>
    <col min="8450" max="8450" width="13.28515625" style="11" bestFit="1" customWidth="1"/>
    <col min="8451" max="8451" width="17.140625" style="11" customWidth="1"/>
    <col min="8452" max="8698" width="11.42578125" style="11"/>
    <col min="8699" max="8699" width="11.42578125" style="11" customWidth="1"/>
    <col min="8700" max="8700" width="12.140625" style="11" customWidth="1"/>
    <col min="8701" max="8701" width="11.7109375" style="11" customWidth="1"/>
    <col min="8702" max="8702" width="14.42578125" style="11" customWidth="1"/>
    <col min="8703" max="8703" width="11" style="11" customWidth="1"/>
    <col min="8704" max="8704" width="17" style="11" bestFit="1" customWidth="1"/>
    <col min="8705" max="8705" width="15.7109375" style="11" customWidth="1"/>
    <col min="8706" max="8706" width="13.28515625" style="11" bestFit="1" customWidth="1"/>
    <col min="8707" max="8707" width="17.140625" style="11" customWidth="1"/>
    <col min="8708" max="8954" width="11.42578125" style="11"/>
    <col min="8955" max="8955" width="11.42578125" style="11" customWidth="1"/>
    <col min="8956" max="8956" width="12.140625" style="11" customWidth="1"/>
    <col min="8957" max="8957" width="11.7109375" style="11" customWidth="1"/>
    <col min="8958" max="8958" width="14.42578125" style="11" customWidth="1"/>
    <col min="8959" max="8959" width="11" style="11" customWidth="1"/>
    <col min="8960" max="8960" width="17" style="11" bestFit="1" customWidth="1"/>
    <col min="8961" max="8961" width="15.7109375" style="11" customWidth="1"/>
    <col min="8962" max="8962" width="13.28515625" style="11" bestFit="1" customWidth="1"/>
    <col min="8963" max="8963" width="17.140625" style="11" customWidth="1"/>
    <col min="8964" max="9210" width="11.42578125" style="11"/>
    <col min="9211" max="9211" width="11.42578125" style="11" customWidth="1"/>
    <col min="9212" max="9212" width="12.140625" style="11" customWidth="1"/>
    <col min="9213" max="9213" width="11.7109375" style="11" customWidth="1"/>
    <col min="9214" max="9214" width="14.42578125" style="11" customWidth="1"/>
    <col min="9215" max="9215" width="11" style="11" customWidth="1"/>
    <col min="9216" max="9216" width="17" style="11" bestFit="1" customWidth="1"/>
    <col min="9217" max="9217" width="15.7109375" style="11" customWidth="1"/>
    <col min="9218" max="9218" width="13.28515625" style="11" bestFit="1" customWidth="1"/>
    <col min="9219" max="9219" width="17.140625" style="11" customWidth="1"/>
    <col min="9220" max="9466" width="11.42578125" style="11"/>
    <col min="9467" max="9467" width="11.42578125" style="11" customWidth="1"/>
    <col min="9468" max="9468" width="12.140625" style="11" customWidth="1"/>
    <col min="9469" max="9469" width="11.7109375" style="11" customWidth="1"/>
    <col min="9470" max="9470" width="14.42578125" style="11" customWidth="1"/>
    <col min="9471" max="9471" width="11" style="11" customWidth="1"/>
    <col min="9472" max="9472" width="17" style="11" bestFit="1" customWidth="1"/>
    <col min="9473" max="9473" width="15.7109375" style="11" customWidth="1"/>
    <col min="9474" max="9474" width="13.28515625" style="11" bestFit="1" customWidth="1"/>
    <col min="9475" max="9475" width="17.140625" style="11" customWidth="1"/>
    <col min="9476" max="9722" width="11.42578125" style="11"/>
    <col min="9723" max="9723" width="11.42578125" style="11" customWidth="1"/>
    <col min="9724" max="9724" width="12.140625" style="11" customWidth="1"/>
    <col min="9725" max="9725" width="11.7109375" style="11" customWidth="1"/>
    <col min="9726" max="9726" width="14.42578125" style="11" customWidth="1"/>
    <col min="9727" max="9727" width="11" style="11" customWidth="1"/>
    <col min="9728" max="9728" width="17" style="11" bestFit="1" customWidth="1"/>
    <col min="9729" max="9729" width="15.7109375" style="11" customWidth="1"/>
    <col min="9730" max="9730" width="13.28515625" style="11" bestFit="1" customWidth="1"/>
    <col min="9731" max="9731" width="17.140625" style="11" customWidth="1"/>
    <col min="9732" max="9978" width="11.42578125" style="11"/>
    <col min="9979" max="9979" width="11.42578125" style="11" customWidth="1"/>
    <col min="9980" max="9980" width="12.140625" style="11" customWidth="1"/>
    <col min="9981" max="9981" width="11.7109375" style="11" customWidth="1"/>
    <col min="9982" max="9982" width="14.42578125" style="11" customWidth="1"/>
    <col min="9983" max="9983" width="11" style="11" customWidth="1"/>
    <col min="9984" max="9984" width="17" style="11" bestFit="1" customWidth="1"/>
    <col min="9985" max="9985" width="15.7109375" style="11" customWidth="1"/>
    <col min="9986" max="9986" width="13.28515625" style="11" bestFit="1" customWidth="1"/>
    <col min="9987" max="9987" width="17.140625" style="11" customWidth="1"/>
    <col min="9988" max="10234" width="11.42578125" style="11"/>
    <col min="10235" max="10235" width="11.42578125" style="11" customWidth="1"/>
    <col min="10236" max="10236" width="12.140625" style="11" customWidth="1"/>
    <col min="10237" max="10237" width="11.7109375" style="11" customWidth="1"/>
    <col min="10238" max="10238" width="14.42578125" style="11" customWidth="1"/>
    <col min="10239" max="10239" width="11" style="11" customWidth="1"/>
    <col min="10240" max="10240" width="17" style="11" bestFit="1" customWidth="1"/>
    <col min="10241" max="10241" width="15.7109375" style="11" customWidth="1"/>
    <col min="10242" max="10242" width="13.28515625" style="11" bestFit="1" customWidth="1"/>
    <col min="10243" max="10243" width="17.140625" style="11" customWidth="1"/>
    <col min="10244" max="10490" width="11.42578125" style="11"/>
    <col min="10491" max="10491" width="11.42578125" style="11" customWidth="1"/>
    <col min="10492" max="10492" width="12.140625" style="11" customWidth="1"/>
    <col min="10493" max="10493" width="11.7109375" style="11" customWidth="1"/>
    <col min="10494" max="10494" width="14.42578125" style="11" customWidth="1"/>
    <col min="10495" max="10495" width="11" style="11" customWidth="1"/>
    <col min="10496" max="10496" width="17" style="11" bestFit="1" customWidth="1"/>
    <col min="10497" max="10497" width="15.7109375" style="11" customWidth="1"/>
    <col min="10498" max="10498" width="13.28515625" style="11" bestFit="1" customWidth="1"/>
    <col min="10499" max="10499" width="17.140625" style="11" customWidth="1"/>
    <col min="10500" max="10746" width="11.42578125" style="11"/>
    <col min="10747" max="10747" width="11.42578125" style="11" customWidth="1"/>
    <col min="10748" max="10748" width="12.140625" style="11" customWidth="1"/>
    <col min="10749" max="10749" width="11.7109375" style="11" customWidth="1"/>
    <col min="10750" max="10750" width="14.42578125" style="11" customWidth="1"/>
    <col min="10751" max="10751" width="11" style="11" customWidth="1"/>
    <col min="10752" max="10752" width="17" style="11" bestFit="1" customWidth="1"/>
    <col min="10753" max="10753" width="15.7109375" style="11" customWidth="1"/>
    <col min="10754" max="10754" width="13.28515625" style="11" bestFit="1" customWidth="1"/>
    <col min="10755" max="10755" width="17.140625" style="11" customWidth="1"/>
    <col min="10756" max="11002" width="11.42578125" style="11"/>
    <col min="11003" max="11003" width="11.42578125" style="11" customWidth="1"/>
    <col min="11004" max="11004" width="12.140625" style="11" customWidth="1"/>
    <col min="11005" max="11005" width="11.7109375" style="11" customWidth="1"/>
    <col min="11006" max="11006" width="14.42578125" style="11" customWidth="1"/>
    <col min="11007" max="11007" width="11" style="11" customWidth="1"/>
    <col min="11008" max="11008" width="17" style="11" bestFit="1" customWidth="1"/>
    <col min="11009" max="11009" width="15.7109375" style="11" customWidth="1"/>
    <col min="11010" max="11010" width="13.28515625" style="11" bestFit="1" customWidth="1"/>
    <col min="11011" max="11011" width="17.140625" style="11" customWidth="1"/>
    <col min="11012" max="11258" width="11.42578125" style="11"/>
    <col min="11259" max="11259" width="11.42578125" style="11" customWidth="1"/>
    <col min="11260" max="11260" width="12.140625" style="11" customWidth="1"/>
    <col min="11261" max="11261" width="11.7109375" style="11" customWidth="1"/>
    <col min="11262" max="11262" width="14.42578125" style="11" customWidth="1"/>
    <col min="11263" max="11263" width="11" style="11" customWidth="1"/>
    <col min="11264" max="11264" width="17" style="11" bestFit="1" customWidth="1"/>
    <col min="11265" max="11265" width="15.7109375" style="11" customWidth="1"/>
    <col min="11266" max="11266" width="13.28515625" style="11" bestFit="1" customWidth="1"/>
    <col min="11267" max="11267" width="17.140625" style="11" customWidth="1"/>
    <col min="11268" max="11514" width="11.42578125" style="11"/>
    <col min="11515" max="11515" width="11.42578125" style="11" customWidth="1"/>
    <col min="11516" max="11516" width="12.140625" style="11" customWidth="1"/>
    <col min="11517" max="11517" width="11.7109375" style="11" customWidth="1"/>
    <col min="11518" max="11518" width="14.42578125" style="11" customWidth="1"/>
    <col min="11519" max="11519" width="11" style="11" customWidth="1"/>
    <col min="11520" max="11520" width="17" style="11" bestFit="1" customWidth="1"/>
    <col min="11521" max="11521" width="15.7109375" style="11" customWidth="1"/>
    <col min="11522" max="11522" width="13.28515625" style="11" bestFit="1" customWidth="1"/>
    <col min="11523" max="11523" width="17.140625" style="11" customWidth="1"/>
    <col min="11524" max="11770" width="11.42578125" style="11"/>
    <col min="11771" max="11771" width="11.42578125" style="11" customWidth="1"/>
    <col min="11772" max="11772" width="12.140625" style="11" customWidth="1"/>
    <col min="11773" max="11773" width="11.7109375" style="11" customWidth="1"/>
    <col min="11774" max="11774" width="14.42578125" style="11" customWidth="1"/>
    <col min="11775" max="11775" width="11" style="11" customWidth="1"/>
    <col min="11776" max="11776" width="17" style="11" bestFit="1" customWidth="1"/>
    <col min="11777" max="11777" width="15.7109375" style="11" customWidth="1"/>
    <col min="11778" max="11778" width="13.28515625" style="11" bestFit="1" customWidth="1"/>
    <col min="11779" max="11779" width="17.140625" style="11" customWidth="1"/>
    <col min="11780" max="12026" width="11.42578125" style="11"/>
    <col min="12027" max="12027" width="11.42578125" style="11" customWidth="1"/>
    <col min="12028" max="12028" width="12.140625" style="11" customWidth="1"/>
    <col min="12029" max="12029" width="11.7109375" style="11" customWidth="1"/>
    <col min="12030" max="12030" width="14.42578125" style="11" customWidth="1"/>
    <col min="12031" max="12031" width="11" style="11" customWidth="1"/>
    <col min="12032" max="12032" width="17" style="11" bestFit="1" customWidth="1"/>
    <col min="12033" max="12033" width="15.7109375" style="11" customWidth="1"/>
    <col min="12034" max="12034" width="13.28515625" style="11" bestFit="1" customWidth="1"/>
    <col min="12035" max="12035" width="17.140625" style="11" customWidth="1"/>
    <col min="12036" max="12282" width="11.42578125" style="11"/>
    <col min="12283" max="12283" width="11.42578125" style="11" customWidth="1"/>
    <col min="12284" max="12284" width="12.140625" style="11" customWidth="1"/>
    <col min="12285" max="12285" width="11.7109375" style="11" customWidth="1"/>
    <col min="12286" max="12286" width="14.42578125" style="11" customWidth="1"/>
    <col min="12287" max="12287" width="11" style="11" customWidth="1"/>
    <col min="12288" max="12288" width="17" style="11" bestFit="1" customWidth="1"/>
    <col min="12289" max="12289" width="15.7109375" style="11" customWidth="1"/>
    <col min="12290" max="12290" width="13.28515625" style="11" bestFit="1" customWidth="1"/>
    <col min="12291" max="12291" width="17.140625" style="11" customWidth="1"/>
    <col min="12292" max="12538" width="11.42578125" style="11"/>
    <col min="12539" max="12539" width="11.42578125" style="11" customWidth="1"/>
    <col min="12540" max="12540" width="12.140625" style="11" customWidth="1"/>
    <col min="12541" max="12541" width="11.7109375" style="11" customWidth="1"/>
    <col min="12542" max="12542" width="14.42578125" style="11" customWidth="1"/>
    <col min="12543" max="12543" width="11" style="11" customWidth="1"/>
    <col min="12544" max="12544" width="17" style="11" bestFit="1" customWidth="1"/>
    <col min="12545" max="12545" width="15.7109375" style="11" customWidth="1"/>
    <col min="12546" max="12546" width="13.28515625" style="11" bestFit="1" customWidth="1"/>
    <col min="12547" max="12547" width="17.140625" style="11" customWidth="1"/>
    <col min="12548" max="12794" width="11.42578125" style="11"/>
    <col min="12795" max="12795" width="11.42578125" style="11" customWidth="1"/>
    <col min="12796" max="12796" width="12.140625" style="11" customWidth="1"/>
    <col min="12797" max="12797" width="11.7109375" style="11" customWidth="1"/>
    <col min="12798" max="12798" width="14.42578125" style="11" customWidth="1"/>
    <col min="12799" max="12799" width="11" style="11" customWidth="1"/>
    <col min="12800" max="12800" width="17" style="11" bestFit="1" customWidth="1"/>
    <col min="12801" max="12801" width="15.7109375" style="11" customWidth="1"/>
    <col min="12802" max="12802" width="13.28515625" style="11" bestFit="1" customWidth="1"/>
    <col min="12803" max="12803" width="17.140625" style="11" customWidth="1"/>
    <col min="12804" max="13050" width="11.42578125" style="11"/>
    <col min="13051" max="13051" width="11.42578125" style="11" customWidth="1"/>
    <col min="13052" max="13052" width="12.140625" style="11" customWidth="1"/>
    <col min="13053" max="13053" width="11.7109375" style="11" customWidth="1"/>
    <col min="13054" max="13054" width="14.42578125" style="11" customWidth="1"/>
    <col min="13055" max="13055" width="11" style="11" customWidth="1"/>
    <col min="13056" max="13056" width="17" style="11" bestFit="1" customWidth="1"/>
    <col min="13057" max="13057" width="15.7109375" style="11" customWidth="1"/>
    <col min="13058" max="13058" width="13.28515625" style="11" bestFit="1" customWidth="1"/>
    <col min="13059" max="13059" width="17.140625" style="11" customWidth="1"/>
    <col min="13060" max="13306" width="11.42578125" style="11"/>
    <col min="13307" max="13307" width="11.42578125" style="11" customWidth="1"/>
    <col min="13308" max="13308" width="12.140625" style="11" customWidth="1"/>
    <col min="13309" max="13309" width="11.7109375" style="11" customWidth="1"/>
    <col min="13310" max="13310" width="14.42578125" style="11" customWidth="1"/>
    <col min="13311" max="13311" width="11" style="11" customWidth="1"/>
    <col min="13312" max="13312" width="17" style="11" bestFit="1" customWidth="1"/>
    <col min="13313" max="13313" width="15.7109375" style="11" customWidth="1"/>
    <col min="13314" max="13314" width="13.28515625" style="11" bestFit="1" customWidth="1"/>
    <col min="13315" max="13315" width="17.140625" style="11" customWidth="1"/>
    <col min="13316" max="13562" width="11.42578125" style="11"/>
    <col min="13563" max="13563" width="11.42578125" style="11" customWidth="1"/>
    <col min="13564" max="13564" width="12.140625" style="11" customWidth="1"/>
    <col min="13565" max="13565" width="11.7109375" style="11" customWidth="1"/>
    <col min="13566" max="13566" width="14.42578125" style="11" customWidth="1"/>
    <col min="13567" max="13567" width="11" style="11" customWidth="1"/>
    <col min="13568" max="13568" width="17" style="11" bestFit="1" customWidth="1"/>
    <col min="13569" max="13569" width="15.7109375" style="11" customWidth="1"/>
    <col min="13570" max="13570" width="13.28515625" style="11" bestFit="1" customWidth="1"/>
    <col min="13571" max="13571" width="17.140625" style="11" customWidth="1"/>
    <col min="13572" max="13818" width="11.42578125" style="11"/>
    <col min="13819" max="13819" width="11.42578125" style="11" customWidth="1"/>
    <col min="13820" max="13820" width="12.140625" style="11" customWidth="1"/>
    <col min="13821" max="13821" width="11.7109375" style="11" customWidth="1"/>
    <col min="13822" max="13822" width="14.42578125" style="11" customWidth="1"/>
    <col min="13823" max="13823" width="11" style="11" customWidth="1"/>
    <col min="13824" max="13824" width="17" style="11" bestFit="1" customWidth="1"/>
    <col min="13825" max="13825" width="15.7109375" style="11" customWidth="1"/>
    <col min="13826" max="13826" width="13.28515625" style="11" bestFit="1" customWidth="1"/>
    <col min="13827" max="13827" width="17.140625" style="11" customWidth="1"/>
    <col min="13828" max="14074" width="11.42578125" style="11"/>
    <col min="14075" max="14075" width="11.42578125" style="11" customWidth="1"/>
    <col min="14076" max="14076" width="12.140625" style="11" customWidth="1"/>
    <col min="14077" max="14077" width="11.7109375" style="11" customWidth="1"/>
    <col min="14078" max="14078" width="14.42578125" style="11" customWidth="1"/>
    <col min="14079" max="14079" width="11" style="11" customWidth="1"/>
    <col min="14080" max="14080" width="17" style="11" bestFit="1" customWidth="1"/>
    <col min="14081" max="14081" width="15.7109375" style="11" customWidth="1"/>
    <col min="14082" max="14082" width="13.28515625" style="11" bestFit="1" customWidth="1"/>
    <col min="14083" max="14083" width="17.140625" style="11" customWidth="1"/>
    <col min="14084" max="14330" width="11.42578125" style="11"/>
    <col min="14331" max="14331" width="11.42578125" style="11" customWidth="1"/>
    <col min="14332" max="14332" width="12.140625" style="11" customWidth="1"/>
    <col min="14333" max="14333" width="11.7109375" style="11" customWidth="1"/>
    <col min="14334" max="14334" width="14.42578125" style="11" customWidth="1"/>
    <col min="14335" max="14335" width="11" style="11" customWidth="1"/>
    <col min="14336" max="14336" width="17" style="11" bestFit="1" customWidth="1"/>
    <col min="14337" max="14337" width="15.7109375" style="11" customWidth="1"/>
    <col min="14338" max="14338" width="13.28515625" style="11" bestFit="1" customWidth="1"/>
    <col min="14339" max="14339" width="17.140625" style="11" customWidth="1"/>
    <col min="14340" max="14586" width="11.42578125" style="11"/>
    <col min="14587" max="14587" width="11.42578125" style="11" customWidth="1"/>
    <col min="14588" max="14588" width="12.140625" style="11" customWidth="1"/>
    <col min="14589" max="14589" width="11.7109375" style="11" customWidth="1"/>
    <col min="14590" max="14590" width="14.42578125" style="11" customWidth="1"/>
    <col min="14591" max="14591" width="11" style="11" customWidth="1"/>
    <col min="14592" max="14592" width="17" style="11" bestFit="1" customWidth="1"/>
    <col min="14593" max="14593" width="15.7109375" style="11" customWidth="1"/>
    <col min="14594" max="14594" width="13.28515625" style="11" bestFit="1" customWidth="1"/>
    <col min="14595" max="14595" width="17.140625" style="11" customWidth="1"/>
    <col min="14596" max="14842" width="11.42578125" style="11"/>
    <col min="14843" max="14843" width="11.42578125" style="11" customWidth="1"/>
    <col min="14844" max="14844" width="12.140625" style="11" customWidth="1"/>
    <col min="14845" max="14845" width="11.7109375" style="11" customWidth="1"/>
    <col min="14846" max="14846" width="14.42578125" style="11" customWidth="1"/>
    <col min="14847" max="14847" width="11" style="11" customWidth="1"/>
    <col min="14848" max="14848" width="17" style="11" bestFit="1" customWidth="1"/>
    <col min="14849" max="14849" width="15.7109375" style="11" customWidth="1"/>
    <col min="14850" max="14850" width="13.28515625" style="11" bestFit="1" customWidth="1"/>
    <col min="14851" max="14851" width="17.140625" style="11" customWidth="1"/>
    <col min="14852" max="15098" width="11.42578125" style="11"/>
    <col min="15099" max="15099" width="11.42578125" style="11" customWidth="1"/>
    <col min="15100" max="15100" width="12.140625" style="11" customWidth="1"/>
    <col min="15101" max="15101" width="11.7109375" style="11" customWidth="1"/>
    <col min="15102" max="15102" width="14.42578125" style="11" customWidth="1"/>
    <col min="15103" max="15103" width="11" style="11" customWidth="1"/>
    <col min="15104" max="15104" width="17" style="11" bestFit="1" customWidth="1"/>
    <col min="15105" max="15105" width="15.7109375" style="11" customWidth="1"/>
    <col min="15106" max="15106" width="13.28515625" style="11" bestFit="1" customWidth="1"/>
    <col min="15107" max="15107" width="17.140625" style="11" customWidth="1"/>
    <col min="15108" max="15354" width="11.42578125" style="11"/>
    <col min="15355" max="15355" width="11.42578125" style="11" customWidth="1"/>
    <col min="15356" max="15356" width="12.140625" style="11" customWidth="1"/>
    <col min="15357" max="15357" width="11.7109375" style="11" customWidth="1"/>
    <col min="15358" max="15358" width="14.42578125" style="11" customWidth="1"/>
    <col min="15359" max="15359" width="11" style="11" customWidth="1"/>
    <col min="15360" max="15360" width="17" style="11" bestFit="1" customWidth="1"/>
    <col min="15361" max="15361" width="15.7109375" style="11" customWidth="1"/>
    <col min="15362" max="15362" width="13.28515625" style="11" bestFit="1" customWidth="1"/>
    <col min="15363" max="15363" width="17.140625" style="11" customWidth="1"/>
    <col min="15364" max="15610" width="11.42578125" style="11"/>
    <col min="15611" max="15611" width="11.42578125" style="11" customWidth="1"/>
    <col min="15612" max="15612" width="12.140625" style="11" customWidth="1"/>
    <col min="15613" max="15613" width="11.7109375" style="11" customWidth="1"/>
    <col min="15614" max="15614" width="14.42578125" style="11" customWidth="1"/>
    <col min="15615" max="15615" width="11" style="11" customWidth="1"/>
    <col min="15616" max="15616" width="17" style="11" bestFit="1" customWidth="1"/>
    <col min="15617" max="15617" width="15.7109375" style="11" customWidth="1"/>
    <col min="15618" max="15618" width="13.28515625" style="11" bestFit="1" customWidth="1"/>
    <col min="15619" max="15619" width="17.140625" style="11" customWidth="1"/>
    <col min="15620" max="15866" width="11.42578125" style="11"/>
    <col min="15867" max="15867" width="11.42578125" style="11" customWidth="1"/>
    <col min="15868" max="15868" width="12.140625" style="11" customWidth="1"/>
    <col min="15869" max="15869" width="11.7109375" style="11" customWidth="1"/>
    <col min="15870" max="15870" width="14.42578125" style="11" customWidth="1"/>
    <col min="15871" max="15871" width="11" style="11" customWidth="1"/>
    <col min="15872" max="15872" width="17" style="11" bestFit="1" customWidth="1"/>
    <col min="15873" max="15873" width="15.7109375" style="11" customWidth="1"/>
    <col min="15874" max="15874" width="13.28515625" style="11" bestFit="1" customWidth="1"/>
    <col min="15875" max="15875" width="17.140625" style="11" customWidth="1"/>
    <col min="15876" max="16122" width="11.42578125" style="11"/>
    <col min="16123" max="16123" width="11.42578125" style="11" customWidth="1"/>
    <col min="16124" max="16124" width="12.140625" style="11" customWidth="1"/>
    <col min="16125" max="16125" width="11.7109375" style="11" customWidth="1"/>
    <col min="16126" max="16126" width="14.42578125" style="11" customWidth="1"/>
    <col min="16127" max="16127" width="11" style="11" customWidth="1"/>
    <col min="16128" max="16128" width="17" style="11" bestFit="1" customWidth="1"/>
    <col min="16129" max="16129" width="15.7109375" style="11" customWidth="1"/>
    <col min="16130" max="16130" width="13.28515625" style="11" bestFit="1" customWidth="1"/>
    <col min="16131" max="16131" width="17.140625" style="11" customWidth="1"/>
    <col min="16132" max="16384" width="11.42578125" style="11"/>
  </cols>
  <sheetData>
    <row r="7" s="13" customFormat="1" ht="15" customHeight="1" x14ac:dyDescent="0.2"/>
    <row r="19" spans="2:5" ht="15" customHeight="1" x14ac:dyDescent="0.2">
      <c r="B19" s="17"/>
      <c r="C19" s="17"/>
      <c r="D19" s="17"/>
      <c r="E19" s="17"/>
    </row>
    <row r="20" spans="2:5" ht="15" customHeight="1" x14ac:dyDescent="0.2">
      <c r="E20" s="20"/>
    </row>
  </sheetData>
  <printOptions horizontalCentered="1"/>
  <pageMargins left="0.36" right="0.24" top="0.3" bottom="0.19" header="0" footer="0"/>
  <pageSetup paperSize="9" scale="5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24"/>
  <sheetViews>
    <sheetView workbookViewId="0"/>
  </sheetViews>
  <sheetFormatPr baseColWidth="10" defaultRowHeight="12.75" x14ac:dyDescent="0.2"/>
  <cols>
    <col min="1" max="1" width="11.42578125" style="22"/>
    <col min="2" max="2" width="40.5703125" style="22" bestFit="1" customWidth="1"/>
    <col min="3" max="6" width="15.7109375" style="22" customWidth="1"/>
    <col min="7" max="256" width="11.42578125" style="22"/>
    <col min="257" max="257" width="40.5703125" style="22" bestFit="1" customWidth="1"/>
    <col min="258" max="258" width="16.85546875" style="22" customWidth="1"/>
    <col min="259" max="259" width="15.42578125" style="22" bestFit="1" customWidth="1"/>
    <col min="260" max="260" width="16.140625" style="22" bestFit="1" customWidth="1"/>
    <col min="261" max="261" width="13.5703125" style="22" customWidth="1"/>
    <col min="262" max="262" width="16.5703125" style="22" customWidth="1"/>
    <col min="263" max="512" width="11.42578125" style="22"/>
    <col min="513" max="513" width="40.5703125" style="22" bestFit="1" customWidth="1"/>
    <col min="514" max="514" width="16.85546875" style="22" customWidth="1"/>
    <col min="515" max="515" width="15.42578125" style="22" bestFit="1" customWidth="1"/>
    <col min="516" max="516" width="16.140625" style="22" bestFit="1" customWidth="1"/>
    <col min="517" max="517" width="13.5703125" style="22" customWidth="1"/>
    <col min="518" max="518" width="16.5703125" style="22" customWidth="1"/>
    <col min="519" max="768" width="11.42578125" style="22"/>
    <col min="769" max="769" width="40.5703125" style="22" bestFit="1" customWidth="1"/>
    <col min="770" max="770" width="16.85546875" style="22" customWidth="1"/>
    <col min="771" max="771" width="15.42578125" style="22" bestFit="1" customWidth="1"/>
    <col min="772" max="772" width="16.140625" style="22" bestFit="1" customWidth="1"/>
    <col min="773" max="773" width="13.5703125" style="22" customWidth="1"/>
    <col min="774" max="774" width="16.5703125" style="22" customWidth="1"/>
    <col min="775" max="1024" width="11.42578125" style="22"/>
    <col min="1025" max="1025" width="40.5703125" style="22" bestFit="1" customWidth="1"/>
    <col min="1026" max="1026" width="16.85546875" style="22" customWidth="1"/>
    <col min="1027" max="1027" width="15.42578125" style="22" bestFit="1" customWidth="1"/>
    <col min="1028" max="1028" width="16.140625" style="22" bestFit="1" customWidth="1"/>
    <col min="1029" max="1029" width="13.5703125" style="22" customWidth="1"/>
    <col min="1030" max="1030" width="16.5703125" style="22" customWidth="1"/>
    <col min="1031" max="1280" width="11.42578125" style="22"/>
    <col min="1281" max="1281" width="40.5703125" style="22" bestFit="1" customWidth="1"/>
    <col min="1282" max="1282" width="16.85546875" style="22" customWidth="1"/>
    <col min="1283" max="1283" width="15.42578125" style="22" bestFit="1" customWidth="1"/>
    <col min="1284" max="1284" width="16.140625" style="22" bestFit="1" customWidth="1"/>
    <col min="1285" max="1285" width="13.5703125" style="22" customWidth="1"/>
    <col min="1286" max="1286" width="16.5703125" style="22" customWidth="1"/>
    <col min="1287" max="1536" width="11.42578125" style="22"/>
    <col min="1537" max="1537" width="40.5703125" style="22" bestFit="1" customWidth="1"/>
    <col min="1538" max="1538" width="16.85546875" style="22" customWidth="1"/>
    <col min="1539" max="1539" width="15.42578125" style="22" bestFit="1" customWidth="1"/>
    <col min="1540" max="1540" width="16.140625" style="22" bestFit="1" customWidth="1"/>
    <col min="1541" max="1541" width="13.5703125" style="22" customWidth="1"/>
    <col min="1542" max="1542" width="16.5703125" style="22" customWidth="1"/>
    <col min="1543" max="1792" width="11.42578125" style="22"/>
    <col min="1793" max="1793" width="40.5703125" style="22" bestFit="1" customWidth="1"/>
    <col min="1794" max="1794" width="16.85546875" style="22" customWidth="1"/>
    <col min="1795" max="1795" width="15.42578125" style="22" bestFit="1" customWidth="1"/>
    <col min="1796" max="1796" width="16.140625" style="22" bestFit="1" customWidth="1"/>
    <col min="1797" max="1797" width="13.5703125" style="22" customWidth="1"/>
    <col min="1798" max="1798" width="16.5703125" style="22" customWidth="1"/>
    <col min="1799" max="2048" width="11.42578125" style="22"/>
    <col min="2049" max="2049" width="40.5703125" style="22" bestFit="1" customWidth="1"/>
    <col min="2050" max="2050" width="16.85546875" style="22" customWidth="1"/>
    <col min="2051" max="2051" width="15.42578125" style="22" bestFit="1" customWidth="1"/>
    <col min="2052" max="2052" width="16.140625" style="22" bestFit="1" customWidth="1"/>
    <col min="2053" max="2053" width="13.5703125" style="22" customWidth="1"/>
    <col min="2054" max="2054" width="16.5703125" style="22" customWidth="1"/>
    <col min="2055" max="2304" width="11.42578125" style="22"/>
    <col min="2305" max="2305" width="40.5703125" style="22" bestFit="1" customWidth="1"/>
    <col min="2306" max="2306" width="16.85546875" style="22" customWidth="1"/>
    <col min="2307" max="2307" width="15.42578125" style="22" bestFit="1" customWidth="1"/>
    <col min="2308" max="2308" width="16.140625" style="22" bestFit="1" customWidth="1"/>
    <col min="2309" max="2309" width="13.5703125" style="22" customWidth="1"/>
    <col min="2310" max="2310" width="16.5703125" style="22" customWidth="1"/>
    <col min="2311" max="2560" width="11.42578125" style="22"/>
    <col min="2561" max="2561" width="40.5703125" style="22" bestFit="1" customWidth="1"/>
    <col min="2562" max="2562" width="16.85546875" style="22" customWidth="1"/>
    <col min="2563" max="2563" width="15.42578125" style="22" bestFit="1" customWidth="1"/>
    <col min="2564" max="2564" width="16.140625" style="22" bestFit="1" customWidth="1"/>
    <col min="2565" max="2565" width="13.5703125" style="22" customWidth="1"/>
    <col min="2566" max="2566" width="16.5703125" style="22" customWidth="1"/>
    <col min="2567" max="2816" width="11.42578125" style="22"/>
    <col min="2817" max="2817" width="40.5703125" style="22" bestFit="1" customWidth="1"/>
    <col min="2818" max="2818" width="16.85546875" style="22" customWidth="1"/>
    <col min="2819" max="2819" width="15.42578125" style="22" bestFit="1" customWidth="1"/>
    <col min="2820" max="2820" width="16.140625" style="22" bestFit="1" customWidth="1"/>
    <col min="2821" max="2821" width="13.5703125" style="22" customWidth="1"/>
    <col min="2822" max="2822" width="16.5703125" style="22" customWidth="1"/>
    <col min="2823" max="3072" width="11.42578125" style="22"/>
    <col min="3073" max="3073" width="40.5703125" style="22" bestFit="1" customWidth="1"/>
    <col min="3074" max="3074" width="16.85546875" style="22" customWidth="1"/>
    <col min="3075" max="3075" width="15.42578125" style="22" bestFit="1" customWidth="1"/>
    <col min="3076" max="3076" width="16.140625" style="22" bestFit="1" customWidth="1"/>
    <col min="3077" max="3077" width="13.5703125" style="22" customWidth="1"/>
    <col min="3078" max="3078" width="16.5703125" style="22" customWidth="1"/>
    <col min="3079" max="3328" width="11.42578125" style="22"/>
    <col min="3329" max="3329" width="40.5703125" style="22" bestFit="1" customWidth="1"/>
    <col min="3330" max="3330" width="16.85546875" style="22" customWidth="1"/>
    <col min="3331" max="3331" width="15.42578125" style="22" bestFit="1" customWidth="1"/>
    <col min="3332" max="3332" width="16.140625" style="22" bestFit="1" customWidth="1"/>
    <col min="3333" max="3333" width="13.5703125" style="22" customWidth="1"/>
    <col min="3334" max="3334" width="16.5703125" style="22" customWidth="1"/>
    <col min="3335" max="3584" width="11.42578125" style="22"/>
    <col min="3585" max="3585" width="40.5703125" style="22" bestFit="1" customWidth="1"/>
    <col min="3586" max="3586" width="16.85546875" style="22" customWidth="1"/>
    <col min="3587" max="3587" width="15.42578125" style="22" bestFit="1" customWidth="1"/>
    <col min="3588" max="3588" width="16.140625" style="22" bestFit="1" customWidth="1"/>
    <col min="3589" max="3589" width="13.5703125" style="22" customWidth="1"/>
    <col min="3590" max="3590" width="16.5703125" style="22" customWidth="1"/>
    <col min="3591" max="3840" width="11.42578125" style="22"/>
    <col min="3841" max="3841" width="40.5703125" style="22" bestFit="1" customWidth="1"/>
    <col min="3842" max="3842" width="16.85546875" style="22" customWidth="1"/>
    <col min="3843" max="3843" width="15.42578125" style="22" bestFit="1" customWidth="1"/>
    <col min="3844" max="3844" width="16.140625" style="22" bestFit="1" customWidth="1"/>
    <col min="3845" max="3845" width="13.5703125" style="22" customWidth="1"/>
    <col min="3846" max="3846" width="16.5703125" style="22" customWidth="1"/>
    <col min="3847" max="4096" width="11.42578125" style="22"/>
    <col min="4097" max="4097" width="40.5703125" style="22" bestFit="1" customWidth="1"/>
    <col min="4098" max="4098" width="16.85546875" style="22" customWidth="1"/>
    <col min="4099" max="4099" width="15.42578125" style="22" bestFit="1" customWidth="1"/>
    <col min="4100" max="4100" width="16.140625" style="22" bestFit="1" customWidth="1"/>
    <col min="4101" max="4101" width="13.5703125" style="22" customWidth="1"/>
    <col min="4102" max="4102" width="16.5703125" style="22" customWidth="1"/>
    <col min="4103" max="4352" width="11.42578125" style="22"/>
    <col min="4353" max="4353" width="40.5703125" style="22" bestFit="1" customWidth="1"/>
    <col min="4354" max="4354" width="16.85546875" style="22" customWidth="1"/>
    <col min="4355" max="4355" width="15.42578125" style="22" bestFit="1" customWidth="1"/>
    <col min="4356" max="4356" width="16.140625" style="22" bestFit="1" customWidth="1"/>
    <col min="4357" max="4357" width="13.5703125" style="22" customWidth="1"/>
    <col min="4358" max="4358" width="16.5703125" style="22" customWidth="1"/>
    <col min="4359" max="4608" width="11.42578125" style="22"/>
    <col min="4609" max="4609" width="40.5703125" style="22" bestFit="1" customWidth="1"/>
    <col min="4610" max="4610" width="16.85546875" style="22" customWidth="1"/>
    <col min="4611" max="4611" width="15.42578125" style="22" bestFit="1" customWidth="1"/>
    <col min="4612" max="4612" width="16.140625" style="22" bestFit="1" customWidth="1"/>
    <col min="4613" max="4613" width="13.5703125" style="22" customWidth="1"/>
    <col min="4614" max="4614" width="16.5703125" style="22" customWidth="1"/>
    <col min="4615" max="4864" width="11.42578125" style="22"/>
    <col min="4865" max="4865" width="40.5703125" style="22" bestFit="1" customWidth="1"/>
    <col min="4866" max="4866" width="16.85546875" style="22" customWidth="1"/>
    <col min="4867" max="4867" width="15.42578125" style="22" bestFit="1" customWidth="1"/>
    <col min="4868" max="4868" width="16.140625" style="22" bestFit="1" customWidth="1"/>
    <col min="4869" max="4869" width="13.5703125" style="22" customWidth="1"/>
    <col min="4870" max="4870" width="16.5703125" style="22" customWidth="1"/>
    <col min="4871" max="5120" width="11.42578125" style="22"/>
    <col min="5121" max="5121" width="40.5703125" style="22" bestFit="1" customWidth="1"/>
    <col min="5122" max="5122" width="16.85546875" style="22" customWidth="1"/>
    <col min="5123" max="5123" width="15.42578125" style="22" bestFit="1" customWidth="1"/>
    <col min="5124" max="5124" width="16.140625" style="22" bestFit="1" customWidth="1"/>
    <col min="5125" max="5125" width="13.5703125" style="22" customWidth="1"/>
    <col min="5126" max="5126" width="16.5703125" style="22" customWidth="1"/>
    <col min="5127" max="5376" width="11.42578125" style="22"/>
    <col min="5377" max="5377" width="40.5703125" style="22" bestFit="1" customWidth="1"/>
    <col min="5378" max="5378" width="16.85546875" style="22" customWidth="1"/>
    <col min="5379" max="5379" width="15.42578125" style="22" bestFit="1" customWidth="1"/>
    <col min="5380" max="5380" width="16.140625" style="22" bestFit="1" customWidth="1"/>
    <col min="5381" max="5381" width="13.5703125" style="22" customWidth="1"/>
    <col min="5382" max="5382" width="16.5703125" style="22" customWidth="1"/>
    <col min="5383" max="5632" width="11.42578125" style="22"/>
    <col min="5633" max="5633" width="40.5703125" style="22" bestFit="1" customWidth="1"/>
    <col min="5634" max="5634" width="16.85546875" style="22" customWidth="1"/>
    <col min="5635" max="5635" width="15.42578125" style="22" bestFit="1" customWidth="1"/>
    <col min="5636" max="5636" width="16.140625" style="22" bestFit="1" customWidth="1"/>
    <col min="5637" max="5637" width="13.5703125" style="22" customWidth="1"/>
    <col min="5638" max="5638" width="16.5703125" style="22" customWidth="1"/>
    <col min="5639" max="5888" width="11.42578125" style="22"/>
    <col min="5889" max="5889" width="40.5703125" style="22" bestFit="1" customWidth="1"/>
    <col min="5890" max="5890" width="16.85546875" style="22" customWidth="1"/>
    <col min="5891" max="5891" width="15.42578125" style="22" bestFit="1" customWidth="1"/>
    <col min="5892" max="5892" width="16.140625" style="22" bestFit="1" customWidth="1"/>
    <col min="5893" max="5893" width="13.5703125" style="22" customWidth="1"/>
    <col min="5894" max="5894" width="16.5703125" style="22" customWidth="1"/>
    <col min="5895" max="6144" width="11.42578125" style="22"/>
    <col min="6145" max="6145" width="40.5703125" style="22" bestFit="1" customWidth="1"/>
    <col min="6146" max="6146" width="16.85546875" style="22" customWidth="1"/>
    <col min="6147" max="6147" width="15.42578125" style="22" bestFit="1" customWidth="1"/>
    <col min="6148" max="6148" width="16.140625" style="22" bestFit="1" customWidth="1"/>
    <col min="6149" max="6149" width="13.5703125" style="22" customWidth="1"/>
    <col min="6150" max="6150" width="16.5703125" style="22" customWidth="1"/>
    <col min="6151" max="6400" width="11.42578125" style="22"/>
    <col min="6401" max="6401" width="40.5703125" style="22" bestFit="1" customWidth="1"/>
    <col min="6402" max="6402" width="16.85546875" style="22" customWidth="1"/>
    <col min="6403" max="6403" width="15.42578125" style="22" bestFit="1" customWidth="1"/>
    <col min="6404" max="6404" width="16.140625" style="22" bestFit="1" customWidth="1"/>
    <col min="6405" max="6405" width="13.5703125" style="22" customWidth="1"/>
    <col min="6406" max="6406" width="16.5703125" style="22" customWidth="1"/>
    <col min="6407" max="6656" width="11.42578125" style="22"/>
    <col min="6657" max="6657" width="40.5703125" style="22" bestFit="1" customWidth="1"/>
    <col min="6658" max="6658" width="16.85546875" style="22" customWidth="1"/>
    <col min="6659" max="6659" width="15.42578125" style="22" bestFit="1" customWidth="1"/>
    <col min="6660" max="6660" width="16.140625" style="22" bestFit="1" customWidth="1"/>
    <col min="6661" max="6661" width="13.5703125" style="22" customWidth="1"/>
    <col min="6662" max="6662" width="16.5703125" style="22" customWidth="1"/>
    <col min="6663" max="6912" width="11.42578125" style="22"/>
    <col min="6913" max="6913" width="40.5703125" style="22" bestFit="1" customWidth="1"/>
    <col min="6914" max="6914" width="16.85546875" style="22" customWidth="1"/>
    <col min="6915" max="6915" width="15.42578125" style="22" bestFit="1" customWidth="1"/>
    <col min="6916" max="6916" width="16.140625" style="22" bestFit="1" customWidth="1"/>
    <col min="6917" max="6917" width="13.5703125" style="22" customWidth="1"/>
    <col min="6918" max="6918" width="16.5703125" style="22" customWidth="1"/>
    <col min="6919" max="7168" width="11.42578125" style="22"/>
    <col min="7169" max="7169" width="40.5703125" style="22" bestFit="1" customWidth="1"/>
    <col min="7170" max="7170" width="16.85546875" style="22" customWidth="1"/>
    <col min="7171" max="7171" width="15.42578125" style="22" bestFit="1" customWidth="1"/>
    <col min="7172" max="7172" width="16.140625" style="22" bestFit="1" customWidth="1"/>
    <col min="7173" max="7173" width="13.5703125" style="22" customWidth="1"/>
    <col min="7174" max="7174" width="16.5703125" style="22" customWidth="1"/>
    <col min="7175" max="7424" width="11.42578125" style="22"/>
    <col min="7425" max="7425" width="40.5703125" style="22" bestFit="1" customWidth="1"/>
    <col min="7426" max="7426" width="16.85546875" style="22" customWidth="1"/>
    <col min="7427" max="7427" width="15.42578125" style="22" bestFit="1" customWidth="1"/>
    <col min="7428" max="7428" width="16.140625" style="22" bestFit="1" customWidth="1"/>
    <col min="7429" max="7429" width="13.5703125" style="22" customWidth="1"/>
    <col min="7430" max="7430" width="16.5703125" style="22" customWidth="1"/>
    <col min="7431" max="7680" width="11.42578125" style="22"/>
    <col min="7681" max="7681" width="40.5703125" style="22" bestFit="1" customWidth="1"/>
    <col min="7682" max="7682" width="16.85546875" style="22" customWidth="1"/>
    <col min="7683" max="7683" width="15.42578125" style="22" bestFit="1" customWidth="1"/>
    <col min="7684" max="7684" width="16.140625" style="22" bestFit="1" customWidth="1"/>
    <col min="7685" max="7685" width="13.5703125" style="22" customWidth="1"/>
    <col min="7686" max="7686" width="16.5703125" style="22" customWidth="1"/>
    <col min="7687" max="7936" width="11.42578125" style="22"/>
    <col min="7937" max="7937" width="40.5703125" style="22" bestFit="1" customWidth="1"/>
    <col min="7938" max="7938" width="16.85546875" style="22" customWidth="1"/>
    <col min="7939" max="7939" width="15.42578125" style="22" bestFit="1" customWidth="1"/>
    <col min="7940" max="7940" width="16.140625" style="22" bestFit="1" customWidth="1"/>
    <col min="7941" max="7941" width="13.5703125" style="22" customWidth="1"/>
    <col min="7942" max="7942" width="16.5703125" style="22" customWidth="1"/>
    <col min="7943" max="8192" width="11.42578125" style="22"/>
    <col min="8193" max="8193" width="40.5703125" style="22" bestFit="1" customWidth="1"/>
    <col min="8194" max="8194" width="16.85546875" style="22" customWidth="1"/>
    <col min="8195" max="8195" width="15.42578125" style="22" bestFit="1" customWidth="1"/>
    <col min="8196" max="8196" width="16.140625" style="22" bestFit="1" customWidth="1"/>
    <col min="8197" max="8197" width="13.5703125" style="22" customWidth="1"/>
    <col min="8198" max="8198" width="16.5703125" style="22" customWidth="1"/>
    <col min="8199" max="8448" width="11.42578125" style="22"/>
    <col min="8449" max="8449" width="40.5703125" style="22" bestFit="1" customWidth="1"/>
    <col min="8450" max="8450" width="16.85546875" style="22" customWidth="1"/>
    <col min="8451" max="8451" width="15.42578125" style="22" bestFit="1" customWidth="1"/>
    <col min="8452" max="8452" width="16.140625" style="22" bestFit="1" customWidth="1"/>
    <col min="8453" max="8453" width="13.5703125" style="22" customWidth="1"/>
    <col min="8454" max="8454" width="16.5703125" style="22" customWidth="1"/>
    <col min="8455" max="8704" width="11.42578125" style="22"/>
    <col min="8705" max="8705" width="40.5703125" style="22" bestFit="1" customWidth="1"/>
    <col min="8706" max="8706" width="16.85546875" style="22" customWidth="1"/>
    <col min="8707" max="8707" width="15.42578125" style="22" bestFit="1" customWidth="1"/>
    <col min="8708" max="8708" width="16.140625" style="22" bestFit="1" customWidth="1"/>
    <col min="8709" max="8709" width="13.5703125" style="22" customWidth="1"/>
    <col min="8710" max="8710" width="16.5703125" style="22" customWidth="1"/>
    <col min="8711" max="8960" width="11.42578125" style="22"/>
    <col min="8961" max="8961" width="40.5703125" style="22" bestFit="1" customWidth="1"/>
    <col min="8962" max="8962" width="16.85546875" style="22" customWidth="1"/>
    <col min="8963" max="8963" width="15.42578125" style="22" bestFit="1" customWidth="1"/>
    <col min="8964" max="8964" width="16.140625" style="22" bestFit="1" customWidth="1"/>
    <col min="8965" max="8965" width="13.5703125" style="22" customWidth="1"/>
    <col min="8966" max="8966" width="16.5703125" style="22" customWidth="1"/>
    <col min="8967" max="9216" width="11.42578125" style="22"/>
    <col min="9217" max="9217" width="40.5703125" style="22" bestFit="1" customWidth="1"/>
    <col min="9218" max="9218" width="16.85546875" style="22" customWidth="1"/>
    <col min="9219" max="9219" width="15.42578125" style="22" bestFit="1" customWidth="1"/>
    <col min="9220" max="9220" width="16.140625" style="22" bestFit="1" customWidth="1"/>
    <col min="9221" max="9221" width="13.5703125" style="22" customWidth="1"/>
    <col min="9222" max="9222" width="16.5703125" style="22" customWidth="1"/>
    <col min="9223" max="9472" width="11.42578125" style="22"/>
    <col min="9473" max="9473" width="40.5703125" style="22" bestFit="1" customWidth="1"/>
    <col min="9474" max="9474" width="16.85546875" style="22" customWidth="1"/>
    <col min="9475" max="9475" width="15.42578125" style="22" bestFit="1" customWidth="1"/>
    <col min="9476" max="9476" width="16.140625" style="22" bestFit="1" customWidth="1"/>
    <col min="9477" max="9477" width="13.5703125" style="22" customWidth="1"/>
    <col min="9478" max="9478" width="16.5703125" style="22" customWidth="1"/>
    <col min="9479" max="9728" width="11.42578125" style="22"/>
    <col min="9729" max="9729" width="40.5703125" style="22" bestFit="1" customWidth="1"/>
    <col min="9730" max="9730" width="16.85546875" style="22" customWidth="1"/>
    <col min="9731" max="9731" width="15.42578125" style="22" bestFit="1" customWidth="1"/>
    <col min="9732" max="9732" width="16.140625" style="22" bestFit="1" customWidth="1"/>
    <col min="9733" max="9733" width="13.5703125" style="22" customWidth="1"/>
    <col min="9734" max="9734" width="16.5703125" style="22" customWidth="1"/>
    <col min="9735" max="9984" width="11.42578125" style="22"/>
    <col min="9985" max="9985" width="40.5703125" style="22" bestFit="1" customWidth="1"/>
    <col min="9986" max="9986" width="16.85546875" style="22" customWidth="1"/>
    <col min="9987" max="9987" width="15.42578125" style="22" bestFit="1" customWidth="1"/>
    <col min="9988" max="9988" width="16.140625" style="22" bestFit="1" customWidth="1"/>
    <col min="9989" max="9989" width="13.5703125" style="22" customWidth="1"/>
    <col min="9990" max="9990" width="16.5703125" style="22" customWidth="1"/>
    <col min="9991" max="10240" width="11.42578125" style="22"/>
    <col min="10241" max="10241" width="40.5703125" style="22" bestFit="1" customWidth="1"/>
    <col min="10242" max="10242" width="16.85546875" style="22" customWidth="1"/>
    <col min="10243" max="10243" width="15.42578125" style="22" bestFit="1" customWidth="1"/>
    <col min="10244" max="10244" width="16.140625" style="22" bestFit="1" customWidth="1"/>
    <col min="10245" max="10245" width="13.5703125" style="22" customWidth="1"/>
    <col min="10246" max="10246" width="16.5703125" style="22" customWidth="1"/>
    <col min="10247" max="10496" width="11.42578125" style="22"/>
    <col min="10497" max="10497" width="40.5703125" style="22" bestFit="1" customWidth="1"/>
    <col min="10498" max="10498" width="16.85546875" style="22" customWidth="1"/>
    <col min="10499" max="10499" width="15.42578125" style="22" bestFit="1" customWidth="1"/>
    <col min="10500" max="10500" width="16.140625" style="22" bestFit="1" customWidth="1"/>
    <col min="10501" max="10501" width="13.5703125" style="22" customWidth="1"/>
    <col min="10502" max="10502" width="16.5703125" style="22" customWidth="1"/>
    <col min="10503" max="10752" width="11.42578125" style="22"/>
    <col min="10753" max="10753" width="40.5703125" style="22" bestFit="1" customWidth="1"/>
    <col min="10754" max="10754" width="16.85546875" style="22" customWidth="1"/>
    <col min="10755" max="10755" width="15.42578125" style="22" bestFit="1" customWidth="1"/>
    <col min="10756" max="10756" width="16.140625" style="22" bestFit="1" customWidth="1"/>
    <col min="10757" max="10757" width="13.5703125" style="22" customWidth="1"/>
    <col min="10758" max="10758" width="16.5703125" style="22" customWidth="1"/>
    <col min="10759" max="11008" width="11.42578125" style="22"/>
    <col min="11009" max="11009" width="40.5703125" style="22" bestFit="1" customWidth="1"/>
    <col min="11010" max="11010" width="16.85546875" style="22" customWidth="1"/>
    <col min="11011" max="11011" width="15.42578125" style="22" bestFit="1" customWidth="1"/>
    <col min="11012" max="11012" width="16.140625" style="22" bestFit="1" customWidth="1"/>
    <col min="11013" max="11013" width="13.5703125" style="22" customWidth="1"/>
    <col min="11014" max="11014" width="16.5703125" style="22" customWidth="1"/>
    <col min="11015" max="11264" width="11.42578125" style="22"/>
    <col min="11265" max="11265" width="40.5703125" style="22" bestFit="1" customWidth="1"/>
    <col min="11266" max="11266" width="16.85546875" style="22" customWidth="1"/>
    <col min="11267" max="11267" width="15.42578125" style="22" bestFit="1" customWidth="1"/>
    <col min="11268" max="11268" width="16.140625" style="22" bestFit="1" customWidth="1"/>
    <col min="11269" max="11269" width="13.5703125" style="22" customWidth="1"/>
    <col min="11270" max="11270" width="16.5703125" style="22" customWidth="1"/>
    <col min="11271" max="11520" width="11.42578125" style="22"/>
    <col min="11521" max="11521" width="40.5703125" style="22" bestFit="1" customWidth="1"/>
    <col min="11522" max="11522" width="16.85546875" style="22" customWidth="1"/>
    <col min="11523" max="11523" width="15.42578125" style="22" bestFit="1" customWidth="1"/>
    <col min="11524" max="11524" width="16.140625" style="22" bestFit="1" customWidth="1"/>
    <col min="11525" max="11525" width="13.5703125" style="22" customWidth="1"/>
    <col min="11526" max="11526" width="16.5703125" style="22" customWidth="1"/>
    <col min="11527" max="11776" width="11.42578125" style="22"/>
    <col min="11777" max="11777" width="40.5703125" style="22" bestFit="1" customWidth="1"/>
    <col min="11778" max="11778" width="16.85546875" style="22" customWidth="1"/>
    <col min="11779" max="11779" width="15.42578125" style="22" bestFit="1" customWidth="1"/>
    <col min="11780" max="11780" width="16.140625" style="22" bestFit="1" customWidth="1"/>
    <col min="11781" max="11781" width="13.5703125" style="22" customWidth="1"/>
    <col min="11782" max="11782" width="16.5703125" style="22" customWidth="1"/>
    <col min="11783" max="12032" width="11.42578125" style="22"/>
    <col min="12033" max="12033" width="40.5703125" style="22" bestFit="1" customWidth="1"/>
    <col min="12034" max="12034" width="16.85546875" style="22" customWidth="1"/>
    <col min="12035" max="12035" width="15.42578125" style="22" bestFit="1" customWidth="1"/>
    <col min="12036" max="12036" width="16.140625" style="22" bestFit="1" customWidth="1"/>
    <col min="12037" max="12037" width="13.5703125" style="22" customWidth="1"/>
    <col min="12038" max="12038" width="16.5703125" style="22" customWidth="1"/>
    <col min="12039" max="12288" width="11.42578125" style="22"/>
    <col min="12289" max="12289" width="40.5703125" style="22" bestFit="1" customWidth="1"/>
    <col min="12290" max="12290" width="16.85546875" style="22" customWidth="1"/>
    <col min="12291" max="12291" width="15.42578125" style="22" bestFit="1" customWidth="1"/>
    <col min="12292" max="12292" width="16.140625" style="22" bestFit="1" customWidth="1"/>
    <col min="12293" max="12293" width="13.5703125" style="22" customWidth="1"/>
    <col min="12294" max="12294" width="16.5703125" style="22" customWidth="1"/>
    <col min="12295" max="12544" width="11.42578125" style="22"/>
    <col min="12545" max="12545" width="40.5703125" style="22" bestFit="1" customWidth="1"/>
    <col min="12546" max="12546" width="16.85546875" style="22" customWidth="1"/>
    <col min="12547" max="12547" width="15.42578125" style="22" bestFit="1" customWidth="1"/>
    <col min="12548" max="12548" width="16.140625" style="22" bestFit="1" customWidth="1"/>
    <col min="12549" max="12549" width="13.5703125" style="22" customWidth="1"/>
    <col min="12550" max="12550" width="16.5703125" style="22" customWidth="1"/>
    <col min="12551" max="12800" width="11.42578125" style="22"/>
    <col min="12801" max="12801" width="40.5703125" style="22" bestFit="1" customWidth="1"/>
    <col min="12802" max="12802" width="16.85546875" style="22" customWidth="1"/>
    <col min="12803" max="12803" width="15.42578125" style="22" bestFit="1" customWidth="1"/>
    <col min="12804" max="12804" width="16.140625" style="22" bestFit="1" customWidth="1"/>
    <col min="12805" max="12805" width="13.5703125" style="22" customWidth="1"/>
    <col min="12806" max="12806" width="16.5703125" style="22" customWidth="1"/>
    <col min="12807" max="13056" width="11.42578125" style="22"/>
    <col min="13057" max="13057" width="40.5703125" style="22" bestFit="1" customWidth="1"/>
    <col min="13058" max="13058" width="16.85546875" style="22" customWidth="1"/>
    <col min="13059" max="13059" width="15.42578125" style="22" bestFit="1" customWidth="1"/>
    <col min="13060" max="13060" width="16.140625" style="22" bestFit="1" customWidth="1"/>
    <col min="13061" max="13061" width="13.5703125" style="22" customWidth="1"/>
    <col min="13062" max="13062" width="16.5703125" style="22" customWidth="1"/>
    <col min="13063" max="13312" width="11.42578125" style="22"/>
    <col min="13313" max="13313" width="40.5703125" style="22" bestFit="1" customWidth="1"/>
    <col min="13314" max="13314" width="16.85546875" style="22" customWidth="1"/>
    <col min="13315" max="13315" width="15.42578125" style="22" bestFit="1" customWidth="1"/>
    <col min="13316" max="13316" width="16.140625" style="22" bestFit="1" customWidth="1"/>
    <col min="13317" max="13317" width="13.5703125" style="22" customWidth="1"/>
    <col min="13318" max="13318" width="16.5703125" style="22" customWidth="1"/>
    <col min="13319" max="13568" width="11.42578125" style="22"/>
    <col min="13569" max="13569" width="40.5703125" style="22" bestFit="1" customWidth="1"/>
    <col min="13570" max="13570" width="16.85546875" style="22" customWidth="1"/>
    <col min="13571" max="13571" width="15.42578125" style="22" bestFit="1" customWidth="1"/>
    <col min="13572" max="13572" width="16.140625" style="22" bestFit="1" customWidth="1"/>
    <col min="13573" max="13573" width="13.5703125" style="22" customWidth="1"/>
    <col min="13574" max="13574" width="16.5703125" style="22" customWidth="1"/>
    <col min="13575" max="13824" width="11.42578125" style="22"/>
    <col min="13825" max="13825" width="40.5703125" style="22" bestFit="1" customWidth="1"/>
    <col min="13826" max="13826" width="16.85546875" style="22" customWidth="1"/>
    <col min="13827" max="13827" width="15.42578125" style="22" bestFit="1" customWidth="1"/>
    <col min="13828" max="13828" width="16.140625" style="22" bestFit="1" customWidth="1"/>
    <col min="13829" max="13829" width="13.5703125" style="22" customWidth="1"/>
    <col min="13830" max="13830" width="16.5703125" style="22" customWidth="1"/>
    <col min="13831" max="14080" width="11.42578125" style="22"/>
    <col min="14081" max="14081" width="40.5703125" style="22" bestFit="1" customWidth="1"/>
    <col min="14082" max="14082" width="16.85546875" style="22" customWidth="1"/>
    <col min="14083" max="14083" width="15.42578125" style="22" bestFit="1" customWidth="1"/>
    <col min="14084" max="14084" width="16.140625" style="22" bestFit="1" customWidth="1"/>
    <col min="14085" max="14085" width="13.5703125" style="22" customWidth="1"/>
    <col min="14086" max="14086" width="16.5703125" style="22" customWidth="1"/>
    <col min="14087" max="14336" width="11.42578125" style="22"/>
    <col min="14337" max="14337" width="40.5703125" style="22" bestFit="1" customWidth="1"/>
    <col min="14338" max="14338" width="16.85546875" style="22" customWidth="1"/>
    <col min="14339" max="14339" width="15.42578125" style="22" bestFit="1" customWidth="1"/>
    <col min="14340" max="14340" width="16.140625" style="22" bestFit="1" customWidth="1"/>
    <col min="14341" max="14341" width="13.5703125" style="22" customWidth="1"/>
    <col min="14342" max="14342" width="16.5703125" style="22" customWidth="1"/>
    <col min="14343" max="14592" width="11.42578125" style="22"/>
    <col min="14593" max="14593" width="40.5703125" style="22" bestFit="1" customWidth="1"/>
    <col min="14594" max="14594" width="16.85546875" style="22" customWidth="1"/>
    <col min="14595" max="14595" width="15.42578125" style="22" bestFit="1" customWidth="1"/>
    <col min="14596" max="14596" width="16.140625" style="22" bestFit="1" customWidth="1"/>
    <col min="14597" max="14597" width="13.5703125" style="22" customWidth="1"/>
    <col min="14598" max="14598" width="16.5703125" style="22" customWidth="1"/>
    <col min="14599" max="14848" width="11.42578125" style="22"/>
    <col min="14849" max="14849" width="40.5703125" style="22" bestFit="1" customWidth="1"/>
    <col min="14850" max="14850" width="16.85546875" style="22" customWidth="1"/>
    <col min="14851" max="14851" width="15.42578125" style="22" bestFit="1" customWidth="1"/>
    <col min="14852" max="14852" width="16.140625" style="22" bestFit="1" customWidth="1"/>
    <col min="14853" max="14853" width="13.5703125" style="22" customWidth="1"/>
    <col min="14854" max="14854" width="16.5703125" style="22" customWidth="1"/>
    <col min="14855" max="15104" width="11.42578125" style="22"/>
    <col min="15105" max="15105" width="40.5703125" style="22" bestFit="1" customWidth="1"/>
    <col min="15106" max="15106" width="16.85546875" style="22" customWidth="1"/>
    <col min="15107" max="15107" width="15.42578125" style="22" bestFit="1" customWidth="1"/>
    <col min="15108" max="15108" width="16.140625" style="22" bestFit="1" customWidth="1"/>
    <col min="15109" max="15109" width="13.5703125" style="22" customWidth="1"/>
    <col min="15110" max="15110" width="16.5703125" style="22" customWidth="1"/>
    <col min="15111" max="15360" width="11.42578125" style="22"/>
    <col min="15361" max="15361" width="40.5703125" style="22" bestFit="1" customWidth="1"/>
    <col min="15362" max="15362" width="16.85546875" style="22" customWidth="1"/>
    <col min="15363" max="15363" width="15.42578125" style="22" bestFit="1" customWidth="1"/>
    <col min="15364" max="15364" width="16.140625" style="22" bestFit="1" customWidth="1"/>
    <col min="15365" max="15365" width="13.5703125" style="22" customWidth="1"/>
    <col min="15366" max="15366" width="16.5703125" style="22" customWidth="1"/>
    <col min="15367" max="15616" width="11.42578125" style="22"/>
    <col min="15617" max="15617" width="40.5703125" style="22" bestFit="1" customWidth="1"/>
    <col min="15618" max="15618" width="16.85546875" style="22" customWidth="1"/>
    <col min="15619" max="15619" width="15.42578125" style="22" bestFit="1" customWidth="1"/>
    <col min="15620" max="15620" width="16.140625" style="22" bestFit="1" customWidth="1"/>
    <col min="15621" max="15621" width="13.5703125" style="22" customWidth="1"/>
    <col min="15622" max="15622" width="16.5703125" style="22" customWidth="1"/>
    <col min="15623" max="15872" width="11.42578125" style="22"/>
    <col min="15873" max="15873" width="40.5703125" style="22" bestFit="1" customWidth="1"/>
    <col min="15874" max="15874" width="16.85546875" style="22" customWidth="1"/>
    <col min="15875" max="15875" width="15.42578125" style="22" bestFit="1" customWidth="1"/>
    <col min="15876" max="15876" width="16.140625" style="22" bestFit="1" customWidth="1"/>
    <col min="15877" max="15877" width="13.5703125" style="22" customWidth="1"/>
    <col min="15878" max="15878" width="16.5703125" style="22" customWidth="1"/>
    <col min="15879" max="16128" width="11.42578125" style="22"/>
    <col min="16129" max="16129" width="40.5703125" style="22" bestFit="1" customWidth="1"/>
    <col min="16130" max="16130" width="16.85546875" style="22" customWidth="1"/>
    <col min="16131" max="16131" width="15.42578125" style="22" bestFit="1" customWidth="1"/>
    <col min="16132" max="16132" width="16.140625" style="22" bestFit="1" customWidth="1"/>
    <col min="16133" max="16133" width="13.5703125" style="22" customWidth="1"/>
    <col min="16134" max="16134" width="16.5703125" style="22" customWidth="1"/>
    <col min="16135" max="16384" width="11.42578125" style="22"/>
  </cols>
  <sheetData>
    <row r="1" spans="1:6" s="21" customFormat="1" ht="15.95" customHeight="1" x14ac:dyDescent="0.2"/>
    <row r="3" spans="1:6" ht="18" customHeight="1" x14ac:dyDescent="0.2"/>
    <row r="4" spans="1:6" ht="18" customHeight="1" x14ac:dyDescent="0.2"/>
    <row r="5" spans="1:6" ht="18" customHeight="1" x14ac:dyDescent="0.2"/>
    <row r="6" spans="1:6" ht="18" customHeight="1" x14ac:dyDescent="0.2"/>
    <row r="7" spans="1:6" ht="18" customHeight="1" x14ac:dyDescent="0.2"/>
    <row r="8" spans="1:6" ht="18" customHeight="1" x14ac:dyDescent="0.2"/>
    <row r="9" spans="1:6" ht="18" customHeight="1" x14ac:dyDescent="0.2">
      <c r="A9" s="21"/>
      <c r="B9" s="21"/>
      <c r="C9" s="24"/>
      <c r="D9" s="24"/>
      <c r="E9" s="24"/>
      <c r="F9" s="24"/>
    </row>
    <row r="10" spans="1:6" ht="18" customHeight="1" x14ac:dyDescent="0.2">
      <c r="C10" s="23"/>
      <c r="F10" s="23"/>
    </row>
    <row r="11" spans="1:6" ht="18" customHeight="1" x14ac:dyDescent="0.2"/>
    <row r="12" spans="1:6" ht="18" customHeight="1" x14ac:dyDescent="0.2"/>
    <row r="13" spans="1:6" ht="18" customHeight="1" x14ac:dyDescent="0.2"/>
    <row r="14" spans="1:6" ht="18" customHeight="1" x14ac:dyDescent="0.2"/>
    <row r="15" spans="1:6" ht="18" customHeight="1" x14ac:dyDescent="0.2"/>
    <row r="16" spans="1:6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  <pageSetUpPr fitToPage="1"/>
  </sheetPr>
  <dimension ref="A1:AS22"/>
  <sheetViews>
    <sheetView zoomScale="80" zoomScaleNormal="80" workbookViewId="0">
      <selection activeCell="M21" sqref="B2:M21"/>
    </sheetView>
  </sheetViews>
  <sheetFormatPr baseColWidth="10" defaultColWidth="9.140625" defaultRowHeight="21" customHeight="1" x14ac:dyDescent="0.25"/>
  <cols>
    <col min="1" max="1" width="3.28515625" style="342" customWidth="1"/>
    <col min="2" max="2" width="23.7109375" style="342" customWidth="1"/>
    <col min="3" max="4" width="12.7109375" style="342" customWidth="1"/>
    <col min="5" max="5" width="14.7109375" style="342" hidden="1" customWidth="1"/>
    <col min="6" max="6" width="4.85546875" style="342" bestFit="1" customWidth="1"/>
    <col min="7" max="9" width="14.7109375" style="342" hidden="1" customWidth="1"/>
    <col min="10" max="11" width="16.42578125" style="342" hidden="1" customWidth="1"/>
    <col min="12" max="13" width="13.7109375" style="342" customWidth="1"/>
    <col min="14" max="43" width="14.7109375" style="342" hidden="1" customWidth="1"/>
    <col min="44" max="44" width="9.140625" style="342"/>
    <col min="45" max="16384" width="9.140625" style="307"/>
  </cols>
  <sheetData>
    <row r="1" spans="1:45" ht="21" customHeight="1" x14ac:dyDescent="0.25">
      <c r="B1" s="344">
        <v>23</v>
      </c>
      <c r="C1" s="344">
        <v>12</v>
      </c>
      <c r="D1" s="344">
        <v>12</v>
      </c>
      <c r="E1" s="344"/>
      <c r="F1" s="344">
        <v>4</v>
      </c>
      <c r="G1" s="344"/>
      <c r="H1" s="344"/>
      <c r="I1" s="344"/>
      <c r="J1" s="344"/>
      <c r="K1" s="344"/>
      <c r="L1" s="344">
        <v>13</v>
      </c>
      <c r="M1" s="344">
        <v>13</v>
      </c>
    </row>
    <row r="2" spans="1:45" ht="21" customHeight="1" x14ac:dyDescent="0.25">
      <c r="A2" s="361"/>
      <c r="B2" s="344"/>
      <c r="C2" s="432" t="s">
        <v>1158</v>
      </c>
      <c r="D2" s="432" t="s">
        <v>1294</v>
      </c>
      <c r="E2" s="344"/>
      <c r="F2" s="344"/>
      <c r="G2" s="344"/>
      <c r="H2" s="344"/>
      <c r="I2" s="344"/>
      <c r="J2" s="344"/>
      <c r="K2" s="344"/>
      <c r="L2" s="344"/>
      <c r="M2" s="545" t="s">
        <v>1152</v>
      </c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</row>
    <row r="3" spans="1:45" ht="21" customHeight="1" x14ac:dyDescent="0.25">
      <c r="A3" s="361"/>
      <c r="B3" s="433" t="s">
        <v>1293</v>
      </c>
      <c r="C3" s="548">
        <v>40</v>
      </c>
      <c r="D3" s="548">
        <v>20</v>
      </c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</row>
    <row r="4" spans="1:45" ht="21" customHeight="1" x14ac:dyDescent="0.25">
      <c r="A4" s="361"/>
      <c r="B4" s="433" t="s">
        <v>924</v>
      </c>
      <c r="C4" s="549">
        <f>1/C3</f>
        <v>2.5000000000000001E-2</v>
      </c>
      <c r="D4" s="549">
        <f>1/D3</f>
        <v>0.05</v>
      </c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</row>
    <row r="5" spans="1:45" ht="21" customHeight="1" x14ac:dyDescent="0.25">
      <c r="A5" s="361"/>
      <c r="B5" s="433" t="s">
        <v>925</v>
      </c>
      <c r="C5" s="550">
        <f>+C8*C4</f>
        <v>75000</v>
      </c>
      <c r="D5" s="550">
        <f>+C15*D4</f>
        <v>150000</v>
      </c>
      <c r="E5" s="344"/>
      <c r="F5" s="344"/>
      <c r="G5" s="344"/>
      <c r="H5" s="344"/>
      <c r="I5" s="344"/>
      <c r="J5" s="344"/>
      <c r="K5" s="344"/>
      <c r="L5" s="396"/>
      <c r="M5" s="43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</row>
    <row r="6" spans="1:45" ht="21" customHeight="1" x14ac:dyDescent="0.25">
      <c r="A6" s="371"/>
      <c r="B6" s="435"/>
      <c r="C6" s="436">
        <v>1</v>
      </c>
      <c r="D6" s="436">
        <f>+C6+1</f>
        <v>2</v>
      </c>
      <c r="E6" s="436">
        <f t="shared" ref="E6:AQ6" si="0">+D6+1</f>
        <v>3</v>
      </c>
      <c r="F6" s="436"/>
      <c r="G6" s="436">
        <f>+E6+1</f>
        <v>4</v>
      </c>
      <c r="H6" s="436">
        <f t="shared" si="0"/>
        <v>5</v>
      </c>
      <c r="I6" s="436">
        <f t="shared" si="0"/>
        <v>6</v>
      </c>
      <c r="J6" s="436">
        <f t="shared" si="0"/>
        <v>7</v>
      </c>
      <c r="K6" s="436">
        <f t="shared" si="0"/>
        <v>8</v>
      </c>
      <c r="L6" s="437">
        <f t="shared" si="0"/>
        <v>9</v>
      </c>
      <c r="M6" s="438">
        <f t="shared" si="0"/>
        <v>10</v>
      </c>
      <c r="N6" s="436">
        <f t="shared" si="0"/>
        <v>11</v>
      </c>
      <c r="O6" s="436">
        <f t="shared" si="0"/>
        <v>12</v>
      </c>
      <c r="P6" s="436">
        <f t="shared" si="0"/>
        <v>13</v>
      </c>
      <c r="Q6" s="436">
        <f t="shared" si="0"/>
        <v>14</v>
      </c>
      <c r="R6" s="436">
        <f t="shared" si="0"/>
        <v>15</v>
      </c>
      <c r="S6" s="436">
        <f t="shared" si="0"/>
        <v>16</v>
      </c>
      <c r="T6" s="436">
        <f t="shared" si="0"/>
        <v>17</v>
      </c>
      <c r="U6" s="436">
        <f t="shared" si="0"/>
        <v>18</v>
      </c>
      <c r="V6" s="436">
        <f t="shared" si="0"/>
        <v>19</v>
      </c>
      <c r="W6" s="436">
        <f t="shared" si="0"/>
        <v>20</v>
      </c>
      <c r="X6" s="436">
        <f t="shared" si="0"/>
        <v>21</v>
      </c>
      <c r="Y6" s="436">
        <f t="shared" si="0"/>
        <v>22</v>
      </c>
      <c r="Z6" s="436">
        <f t="shared" si="0"/>
        <v>23</v>
      </c>
      <c r="AA6" s="436">
        <f t="shared" si="0"/>
        <v>24</v>
      </c>
      <c r="AB6" s="436">
        <f t="shared" si="0"/>
        <v>25</v>
      </c>
      <c r="AC6" s="436">
        <f t="shared" si="0"/>
        <v>26</v>
      </c>
      <c r="AD6" s="436">
        <f t="shared" si="0"/>
        <v>27</v>
      </c>
      <c r="AE6" s="436">
        <f t="shared" si="0"/>
        <v>28</v>
      </c>
      <c r="AF6" s="436">
        <f t="shared" si="0"/>
        <v>29</v>
      </c>
      <c r="AG6" s="436">
        <f t="shared" si="0"/>
        <v>30</v>
      </c>
      <c r="AH6" s="436">
        <f t="shared" si="0"/>
        <v>31</v>
      </c>
      <c r="AI6" s="436">
        <f t="shared" si="0"/>
        <v>32</v>
      </c>
      <c r="AJ6" s="436">
        <f t="shared" si="0"/>
        <v>33</v>
      </c>
      <c r="AK6" s="436">
        <f t="shared" si="0"/>
        <v>34</v>
      </c>
      <c r="AL6" s="436">
        <f t="shared" si="0"/>
        <v>35</v>
      </c>
      <c r="AM6" s="436">
        <f t="shared" si="0"/>
        <v>36</v>
      </c>
      <c r="AN6" s="436">
        <f t="shared" si="0"/>
        <v>37</v>
      </c>
      <c r="AO6" s="436">
        <f t="shared" si="0"/>
        <v>38</v>
      </c>
      <c r="AP6" s="436">
        <f t="shared" si="0"/>
        <v>39</v>
      </c>
      <c r="AQ6" s="436">
        <f t="shared" si="0"/>
        <v>40</v>
      </c>
      <c r="AR6" s="344"/>
    </row>
    <row r="7" spans="1:45" ht="21" customHeight="1" x14ac:dyDescent="0.25">
      <c r="A7" s="435"/>
      <c r="B7" s="371" t="s">
        <v>926</v>
      </c>
      <c r="C7" s="436">
        <v>2005</v>
      </c>
      <c r="D7" s="436">
        <f>+C7+1</f>
        <v>2006</v>
      </c>
      <c r="E7" s="436">
        <f t="shared" ref="E7:AQ7" si="1">+D7+1</f>
        <v>2007</v>
      </c>
      <c r="F7" s="436" t="s">
        <v>1292</v>
      </c>
      <c r="G7" s="436">
        <f>+E7+1</f>
        <v>2008</v>
      </c>
      <c r="H7" s="436">
        <f t="shared" si="1"/>
        <v>2009</v>
      </c>
      <c r="I7" s="436">
        <f t="shared" si="1"/>
        <v>2010</v>
      </c>
      <c r="J7" s="436">
        <f t="shared" si="1"/>
        <v>2011</v>
      </c>
      <c r="K7" s="436">
        <f t="shared" si="1"/>
        <v>2012</v>
      </c>
      <c r="L7" s="437">
        <f t="shared" si="1"/>
        <v>2013</v>
      </c>
      <c r="M7" s="438">
        <f t="shared" si="1"/>
        <v>2014</v>
      </c>
      <c r="N7" s="436">
        <f t="shared" si="1"/>
        <v>2015</v>
      </c>
      <c r="O7" s="436">
        <f t="shared" si="1"/>
        <v>2016</v>
      </c>
      <c r="P7" s="436">
        <f t="shared" si="1"/>
        <v>2017</v>
      </c>
      <c r="Q7" s="436">
        <f t="shared" si="1"/>
        <v>2018</v>
      </c>
      <c r="R7" s="436">
        <f t="shared" si="1"/>
        <v>2019</v>
      </c>
      <c r="S7" s="436">
        <f t="shared" si="1"/>
        <v>2020</v>
      </c>
      <c r="T7" s="436">
        <f t="shared" si="1"/>
        <v>2021</v>
      </c>
      <c r="U7" s="436">
        <f t="shared" si="1"/>
        <v>2022</v>
      </c>
      <c r="V7" s="436">
        <f t="shared" si="1"/>
        <v>2023</v>
      </c>
      <c r="W7" s="436">
        <f t="shared" si="1"/>
        <v>2024</v>
      </c>
      <c r="X7" s="436">
        <f t="shared" si="1"/>
        <v>2025</v>
      </c>
      <c r="Y7" s="436">
        <f t="shared" si="1"/>
        <v>2026</v>
      </c>
      <c r="Z7" s="436">
        <f t="shared" si="1"/>
        <v>2027</v>
      </c>
      <c r="AA7" s="436">
        <f t="shared" si="1"/>
        <v>2028</v>
      </c>
      <c r="AB7" s="436">
        <f t="shared" si="1"/>
        <v>2029</v>
      </c>
      <c r="AC7" s="436">
        <f t="shared" si="1"/>
        <v>2030</v>
      </c>
      <c r="AD7" s="436">
        <f t="shared" si="1"/>
        <v>2031</v>
      </c>
      <c r="AE7" s="436">
        <f t="shared" si="1"/>
        <v>2032</v>
      </c>
      <c r="AF7" s="436">
        <f t="shared" si="1"/>
        <v>2033</v>
      </c>
      <c r="AG7" s="436">
        <f t="shared" si="1"/>
        <v>2034</v>
      </c>
      <c r="AH7" s="436">
        <f t="shared" si="1"/>
        <v>2035</v>
      </c>
      <c r="AI7" s="436">
        <f t="shared" si="1"/>
        <v>2036</v>
      </c>
      <c r="AJ7" s="436">
        <f t="shared" si="1"/>
        <v>2037</v>
      </c>
      <c r="AK7" s="436">
        <f t="shared" si="1"/>
        <v>2038</v>
      </c>
      <c r="AL7" s="436">
        <f t="shared" si="1"/>
        <v>2039</v>
      </c>
      <c r="AM7" s="436">
        <f t="shared" si="1"/>
        <v>2040</v>
      </c>
      <c r="AN7" s="436">
        <f t="shared" si="1"/>
        <v>2041</v>
      </c>
      <c r="AO7" s="436">
        <f t="shared" si="1"/>
        <v>2042</v>
      </c>
      <c r="AP7" s="436">
        <f t="shared" si="1"/>
        <v>2043</v>
      </c>
      <c r="AQ7" s="436">
        <f t="shared" si="1"/>
        <v>2044</v>
      </c>
      <c r="AR7" s="439"/>
      <c r="AS7" s="308"/>
    </row>
    <row r="8" spans="1:45" ht="21" customHeight="1" x14ac:dyDescent="0.25">
      <c r="A8" s="366"/>
      <c r="B8" s="366" t="s">
        <v>923</v>
      </c>
      <c r="C8" s="402">
        <v>3000000</v>
      </c>
      <c r="D8" s="402">
        <f>+C8</f>
        <v>3000000</v>
      </c>
      <c r="E8" s="402">
        <f t="shared" ref="E8:AQ8" si="2">+D8</f>
        <v>3000000</v>
      </c>
      <c r="F8" s="436" t="s">
        <v>1292</v>
      </c>
      <c r="G8" s="402">
        <f>+E8</f>
        <v>3000000</v>
      </c>
      <c r="H8" s="402">
        <f t="shared" si="2"/>
        <v>3000000</v>
      </c>
      <c r="I8" s="402">
        <f t="shared" si="2"/>
        <v>3000000</v>
      </c>
      <c r="J8" s="402">
        <f t="shared" si="2"/>
        <v>3000000</v>
      </c>
      <c r="K8" s="402">
        <f t="shared" si="2"/>
        <v>3000000</v>
      </c>
      <c r="L8" s="440">
        <f t="shared" si="2"/>
        <v>3000000</v>
      </c>
      <c r="M8" s="355">
        <f t="shared" si="2"/>
        <v>3000000</v>
      </c>
      <c r="N8" s="402">
        <f t="shared" si="2"/>
        <v>3000000</v>
      </c>
      <c r="O8" s="402">
        <f t="shared" si="2"/>
        <v>3000000</v>
      </c>
      <c r="P8" s="402">
        <f t="shared" si="2"/>
        <v>3000000</v>
      </c>
      <c r="Q8" s="402">
        <f t="shared" si="2"/>
        <v>3000000</v>
      </c>
      <c r="R8" s="402">
        <f t="shared" si="2"/>
        <v>3000000</v>
      </c>
      <c r="S8" s="402">
        <f t="shared" si="2"/>
        <v>3000000</v>
      </c>
      <c r="T8" s="402">
        <f t="shared" si="2"/>
        <v>3000000</v>
      </c>
      <c r="U8" s="402">
        <f t="shared" si="2"/>
        <v>3000000</v>
      </c>
      <c r="V8" s="402">
        <f t="shared" si="2"/>
        <v>3000000</v>
      </c>
      <c r="W8" s="402">
        <f t="shared" si="2"/>
        <v>3000000</v>
      </c>
      <c r="X8" s="402">
        <f t="shared" si="2"/>
        <v>3000000</v>
      </c>
      <c r="Y8" s="402">
        <f t="shared" si="2"/>
        <v>3000000</v>
      </c>
      <c r="Z8" s="402">
        <f t="shared" si="2"/>
        <v>3000000</v>
      </c>
      <c r="AA8" s="402">
        <f t="shared" si="2"/>
        <v>3000000</v>
      </c>
      <c r="AB8" s="402">
        <f t="shared" si="2"/>
        <v>3000000</v>
      </c>
      <c r="AC8" s="402">
        <f t="shared" si="2"/>
        <v>3000000</v>
      </c>
      <c r="AD8" s="402">
        <f t="shared" si="2"/>
        <v>3000000</v>
      </c>
      <c r="AE8" s="402">
        <f t="shared" si="2"/>
        <v>3000000</v>
      </c>
      <c r="AF8" s="402">
        <f t="shared" si="2"/>
        <v>3000000</v>
      </c>
      <c r="AG8" s="402">
        <f t="shared" si="2"/>
        <v>3000000</v>
      </c>
      <c r="AH8" s="402">
        <f t="shared" si="2"/>
        <v>3000000</v>
      </c>
      <c r="AI8" s="402">
        <f t="shared" si="2"/>
        <v>3000000</v>
      </c>
      <c r="AJ8" s="402">
        <f t="shared" si="2"/>
        <v>3000000</v>
      </c>
      <c r="AK8" s="402">
        <f t="shared" si="2"/>
        <v>3000000</v>
      </c>
      <c r="AL8" s="402">
        <f t="shared" si="2"/>
        <v>3000000</v>
      </c>
      <c r="AM8" s="402">
        <f t="shared" si="2"/>
        <v>3000000</v>
      </c>
      <c r="AN8" s="402">
        <f t="shared" si="2"/>
        <v>3000000</v>
      </c>
      <c r="AO8" s="402">
        <f t="shared" si="2"/>
        <v>3000000</v>
      </c>
      <c r="AP8" s="402">
        <f t="shared" si="2"/>
        <v>3000000</v>
      </c>
      <c r="AQ8" s="402">
        <f t="shared" si="2"/>
        <v>3000000</v>
      </c>
      <c r="AR8" s="344"/>
    </row>
    <row r="9" spans="1:45" ht="21" customHeight="1" x14ac:dyDescent="0.25">
      <c r="A9" s="366"/>
      <c r="B9" s="366" t="s">
        <v>1291</v>
      </c>
      <c r="C9" s="402">
        <f>+-$C$5*C6</f>
        <v>-75000</v>
      </c>
      <c r="D9" s="402">
        <f>+-$C$5*D6</f>
        <v>-150000</v>
      </c>
      <c r="E9" s="402">
        <f t="shared" ref="E9:T9" si="3">+-$C$5*E6</f>
        <v>-225000</v>
      </c>
      <c r="F9" s="436" t="s">
        <v>1292</v>
      </c>
      <c r="G9" s="402">
        <f t="shared" si="3"/>
        <v>-300000</v>
      </c>
      <c r="H9" s="402">
        <f t="shared" si="3"/>
        <v>-375000</v>
      </c>
      <c r="I9" s="402">
        <f t="shared" si="3"/>
        <v>-450000</v>
      </c>
      <c r="J9" s="402">
        <f t="shared" si="3"/>
        <v>-525000</v>
      </c>
      <c r="K9" s="402">
        <f t="shared" si="3"/>
        <v>-600000</v>
      </c>
      <c r="L9" s="440">
        <f t="shared" si="3"/>
        <v>-675000</v>
      </c>
      <c r="M9" s="355">
        <f t="shared" si="3"/>
        <v>-750000</v>
      </c>
      <c r="N9" s="402">
        <f t="shared" si="3"/>
        <v>-825000</v>
      </c>
      <c r="O9" s="402">
        <f t="shared" si="3"/>
        <v>-900000</v>
      </c>
      <c r="P9" s="402">
        <f t="shared" si="3"/>
        <v>-975000</v>
      </c>
      <c r="Q9" s="402">
        <f t="shared" si="3"/>
        <v>-1050000</v>
      </c>
      <c r="R9" s="402">
        <f t="shared" si="3"/>
        <v>-1125000</v>
      </c>
      <c r="S9" s="402">
        <f t="shared" si="3"/>
        <v>-1200000</v>
      </c>
      <c r="T9" s="402">
        <f t="shared" si="3"/>
        <v>-1275000</v>
      </c>
      <c r="U9" s="402">
        <f t="shared" ref="U9:AQ9" si="4">+-$C$5*U6</f>
        <v>-1350000</v>
      </c>
      <c r="V9" s="402">
        <f t="shared" si="4"/>
        <v>-1425000</v>
      </c>
      <c r="W9" s="402">
        <f t="shared" si="4"/>
        <v>-1500000</v>
      </c>
      <c r="X9" s="402">
        <f t="shared" si="4"/>
        <v>-1575000</v>
      </c>
      <c r="Y9" s="402">
        <f t="shared" si="4"/>
        <v>-1650000</v>
      </c>
      <c r="Z9" s="402">
        <f t="shared" si="4"/>
        <v>-1725000</v>
      </c>
      <c r="AA9" s="402">
        <f t="shared" si="4"/>
        <v>-1800000</v>
      </c>
      <c r="AB9" s="402">
        <f t="shared" si="4"/>
        <v>-1875000</v>
      </c>
      <c r="AC9" s="402">
        <f t="shared" si="4"/>
        <v>-1950000</v>
      </c>
      <c r="AD9" s="402">
        <f t="shared" si="4"/>
        <v>-2025000</v>
      </c>
      <c r="AE9" s="402">
        <f t="shared" si="4"/>
        <v>-2100000</v>
      </c>
      <c r="AF9" s="402">
        <f t="shared" si="4"/>
        <v>-2175000</v>
      </c>
      <c r="AG9" s="402">
        <f t="shared" si="4"/>
        <v>-2250000</v>
      </c>
      <c r="AH9" s="402">
        <f t="shared" si="4"/>
        <v>-2325000</v>
      </c>
      <c r="AI9" s="402">
        <f t="shared" si="4"/>
        <v>-2400000</v>
      </c>
      <c r="AJ9" s="402">
        <f t="shared" si="4"/>
        <v>-2475000</v>
      </c>
      <c r="AK9" s="402">
        <f t="shared" si="4"/>
        <v>-2550000</v>
      </c>
      <c r="AL9" s="402">
        <f t="shared" si="4"/>
        <v>-2625000</v>
      </c>
      <c r="AM9" s="402">
        <f t="shared" si="4"/>
        <v>-2700000</v>
      </c>
      <c r="AN9" s="402">
        <f t="shared" si="4"/>
        <v>-2775000</v>
      </c>
      <c r="AO9" s="402">
        <f t="shared" si="4"/>
        <v>-2850000</v>
      </c>
      <c r="AP9" s="402">
        <f t="shared" si="4"/>
        <v>-2925000</v>
      </c>
      <c r="AQ9" s="402">
        <f t="shared" si="4"/>
        <v>-3000000</v>
      </c>
      <c r="AR9" s="344"/>
    </row>
    <row r="10" spans="1:45" s="309" customFormat="1" ht="21" customHeight="1" thickBot="1" x14ac:dyDescent="0.3">
      <c r="A10" s="371"/>
      <c r="B10" s="441" t="s">
        <v>1360</v>
      </c>
      <c r="C10" s="442">
        <f>+C8+C9</f>
        <v>2925000</v>
      </c>
      <c r="D10" s="442">
        <f t="shared" ref="D10:AQ10" si="5">+D8+D9</f>
        <v>2850000</v>
      </c>
      <c r="E10" s="442">
        <f t="shared" si="5"/>
        <v>2775000</v>
      </c>
      <c r="F10" s="443" t="s">
        <v>1292</v>
      </c>
      <c r="G10" s="442">
        <f t="shared" si="5"/>
        <v>2700000</v>
      </c>
      <c r="H10" s="442">
        <f t="shared" si="5"/>
        <v>2625000</v>
      </c>
      <c r="I10" s="442">
        <f t="shared" si="5"/>
        <v>2550000</v>
      </c>
      <c r="J10" s="442">
        <f t="shared" si="5"/>
        <v>2475000</v>
      </c>
      <c r="K10" s="442">
        <f t="shared" si="5"/>
        <v>2400000</v>
      </c>
      <c r="L10" s="444">
        <f t="shared" si="5"/>
        <v>2325000</v>
      </c>
      <c r="M10" s="445">
        <f t="shared" si="5"/>
        <v>2250000</v>
      </c>
      <c r="N10" s="446">
        <f t="shared" si="5"/>
        <v>2175000</v>
      </c>
      <c r="O10" s="446">
        <f t="shared" si="5"/>
        <v>2100000</v>
      </c>
      <c r="P10" s="446">
        <f t="shared" si="5"/>
        <v>2025000</v>
      </c>
      <c r="Q10" s="446">
        <f t="shared" si="5"/>
        <v>1950000</v>
      </c>
      <c r="R10" s="446">
        <f t="shared" si="5"/>
        <v>1875000</v>
      </c>
      <c r="S10" s="446">
        <f t="shared" si="5"/>
        <v>1800000</v>
      </c>
      <c r="T10" s="446">
        <f t="shared" si="5"/>
        <v>1725000</v>
      </c>
      <c r="U10" s="446">
        <f t="shared" si="5"/>
        <v>1650000</v>
      </c>
      <c r="V10" s="446">
        <f t="shared" si="5"/>
        <v>1575000</v>
      </c>
      <c r="W10" s="446">
        <f t="shared" si="5"/>
        <v>1500000</v>
      </c>
      <c r="X10" s="446">
        <f t="shared" si="5"/>
        <v>1425000</v>
      </c>
      <c r="Y10" s="446">
        <f t="shared" si="5"/>
        <v>1350000</v>
      </c>
      <c r="Z10" s="446">
        <f t="shared" si="5"/>
        <v>1275000</v>
      </c>
      <c r="AA10" s="446">
        <f t="shared" si="5"/>
        <v>1200000</v>
      </c>
      <c r="AB10" s="446">
        <f t="shared" si="5"/>
        <v>1125000</v>
      </c>
      <c r="AC10" s="446">
        <f t="shared" si="5"/>
        <v>1050000</v>
      </c>
      <c r="AD10" s="446">
        <f t="shared" si="5"/>
        <v>975000</v>
      </c>
      <c r="AE10" s="446">
        <f t="shared" si="5"/>
        <v>900000</v>
      </c>
      <c r="AF10" s="446">
        <f t="shared" si="5"/>
        <v>825000</v>
      </c>
      <c r="AG10" s="446">
        <f t="shared" si="5"/>
        <v>750000</v>
      </c>
      <c r="AH10" s="446">
        <f t="shared" si="5"/>
        <v>675000</v>
      </c>
      <c r="AI10" s="446">
        <f t="shared" si="5"/>
        <v>600000</v>
      </c>
      <c r="AJ10" s="446">
        <f t="shared" si="5"/>
        <v>525000</v>
      </c>
      <c r="AK10" s="446">
        <f t="shared" si="5"/>
        <v>450000</v>
      </c>
      <c r="AL10" s="446">
        <f t="shared" si="5"/>
        <v>375000</v>
      </c>
      <c r="AM10" s="446">
        <f t="shared" si="5"/>
        <v>300000</v>
      </c>
      <c r="AN10" s="446">
        <f t="shared" si="5"/>
        <v>225000</v>
      </c>
      <c r="AO10" s="446">
        <f t="shared" si="5"/>
        <v>150000</v>
      </c>
      <c r="AP10" s="446">
        <f t="shared" si="5"/>
        <v>75000</v>
      </c>
      <c r="AQ10" s="446">
        <f t="shared" si="5"/>
        <v>0</v>
      </c>
      <c r="AR10" s="361"/>
    </row>
    <row r="11" spans="1:45" ht="21" customHeight="1" x14ac:dyDescent="0.25">
      <c r="A11" s="361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410"/>
      <c r="M11" s="355"/>
      <c r="N11" s="344" t="s">
        <v>929</v>
      </c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</row>
    <row r="12" spans="1:45" ht="21" hidden="1" customHeight="1" x14ac:dyDescent="0.25">
      <c r="A12" s="361"/>
      <c r="B12" s="344"/>
      <c r="C12" s="344"/>
      <c r="D12" s="361"/>
      <c r="E12" s="344"/>
      <c r="F12" s="344"/>
      <c r="G12" s="344"/>
      <c r="H12" s="344"/>
      <c r="I12" s="344"/>
      <c r="J12" s="344"/>
      <c r="K12" s="344"/>
      <c r="L12" s="410"/>
      <c r="M12" s="447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</row>
    <row r="13" spans="1:45" ht="21" customHeight="1" x14ac:dyDescent="0.25">
      <c r="A13" s="371"/>
      <c r="B13" s="435"/>
      <c r="C13" s="436">
        <v>1</v>
      </c>
      <c r="D13" s="436">
        <f>+C13+1</f>
        <v>2</v>
      </c>
      <c r="E13" s="436">
        <f t="shared" ref="E13:AQ13" si="6">+D13+1</f>
        <v>3</v>
      </c>
      <c r="F13" s="436" t="s">
        <v>1292</v>
      </c>
      <c r="G13" s="436">
        <f>+E13+1</f>
        <v>4</v>
      </c>
      <c r="H13" s="436">
        <f t="shared" si="6"/>
        <v>5</v>
      </c>
      <c r="I13" s="436">
        <f t="shared" si="6"/>
        <v>6</v>
      </c>
      <c r="J13" s="436">
        <f t="shared" si="6"/>
        <v>7</v>
      </c>
      <c r="K13" s="436">
        <f t="shared" si="6"/>
        <v>8</v>
      </c>
      <c r="L13" s="437">
        <f t="shared" si="6"/>
        <v>9</v>
      </c>
      <c r="M13" s="438">
        <f t="shared" si="6"/>
        <v>10</v>
      </c>
      <c r="N13" s="436">
        <f t="shared" si="6"/>
        <v>11</v>
      </c>
      <c r="O13" s="436">
        <f t="shared" si="6"/>
        <v>12</v>
      </c>
      <c r="P13" s="436">
        <f t="shared" si="6"/>
        <v>13</v>
      </c>
      <c r="Q13" s="436">
        <f t="shared" si="6"/>
        <v>14</v>
      </c>
      <c r="R13" s="436">
        <f t="shared" si="6"/>
        <v>15</v>
      </c>
      <c r="S13" s="436">
        <f t="shared" si="6"/>
        <v>16</v>
      </c>
      <c r="T13" s="436">
        <f t="shared" si="6"/>
        <v>17</v>
      </c>
      <c r="U13" s="436">
        <f t="shared" si="6"/>
        <v>18</v>
      </c>
      <c r="V13" s="436">
        <f t="shared" si="6"/>
        <v>19</v>
      </c>
      <c r="W13" s="436">
        <f t="shared" si="6"/>
        <v>20</v>
      </c>
      <c r="X13" s="436">
        <f t="shared" si="6"/>
        <v>21</v>
      </c>
      <c r="Y13" s="436">
        <f t="shared" si="6"/>
        <v>22</v>
      </c>
      <c r="Z13" s="436">
        <f t="shared" si="6"/>
        <v>23</v>
      </c>
      <c r="AA13" s="436">
        <f t="shared" si="6"/>
        <v>24</v>
      </c>
      <c r="AB13" s="436">
        <f t="shared" si="6"/>
        <v>25</v>
      </c>
      <c r="AC13" s="436">
        <f t="shared" si="6"/>
        <v>26</v>
      </c>
      <c r="AD13" s="436">
        <f t="shared" si="6"/>
        <v>27</v>
      </c>
      <c r="AE13" s="436">
        <f t="shared" si="6"/>
        <v>28</v>
      </c>
      <c r="AF13" s="436">
        <f t="shared" si="6"/>
        <v>29</v>
      </c>
      <c r="AG13" s="436">
        <f t="shared" si="6"/>
        <v>30</v>
      </c>
      <c r="AH13" s="436">
        <f t="shared" si="6"/>
        <v>31</v>
      </c>
      <c r="AI13" s="436">
        <f t="shared" si="6"/>
        <v>32</v>
      </c>
      <c r="AJ13" s="436">
        <f t="shared" si="6"/>
        <v>33</v>
      </c>
      <c r="AK13" s="436">
        <f t="shared" si="6"/>
        <v>34</v>
      </c>
      <c r="AL13" s="436">
        <f t="shared" si="6"/>
        <v>35</v>
      </c>
      <c r="AM13" s="436">
        <f t="shared" si="6"/>
        <v>36</v>
      </c>
      <c r="AN13" s="436">
        <f t="shared" si="6"/>
        <v>37</v>
      </c>
      <c r="AO13" s="436">
        <f t="shared" si="6"/>
        <v>38</v>
      </c>
      <c r="AP13" s="436">
        <f t="shared" si="6"/>
        <v>39</v>
      </c>
      <c r="AQ13" s="436">
        <f t="shared" si="6"/>
        <v>40</v>
      </c>
      <c r="AR13" s="344"/>
    </row>
    <row r="14" spans="1:45" ht="21" customHeight="1" x14ac:dyDescent="0.25">
      <c r="A14" s="435"/>
      <c r="B14" s="371" t="s">
        <v>926</v>
      </c>
      <c r="C14" s="436">
        <v>2005</v>
      </c>
      <c r="D14" s="436">
        <f>+C14+1</f>
        <v>2006</v>
      </c>
      <c r="E14" s="436">
        <f t="shared" ref="E14:AQ14" si="7">+D14+1</f>
        <v>2007</v>
      </c>
      <c r="F14" s="436" t="s">
        <v>1292</v>
      </c>
      <c r="G14" s="436">
        <f>+E14+1</f>
        <v>2008</v>
      </c>
      <c r="H14" s="436">
        <f t="shared" si="7"/>
        <v>2009</v>
      </c>
      <c r="I14" s="436">
        <f t="shared" si="7"/>
        <v>2010</v>
      </c>
      <c r="J14" s="436">
        <f t="shared" si="7"/>
        <v>2011</v>
      </c>
      <c r="K14" s="436">
        <f t="shared" si="7"/>
        <v>2012</v>
      </c>
      <c r="L14" s="437">
        <f t="shared" si="7"/>
        <v>2013</v>
      </c>
      <c r="M14" s="438">
        <f t="shared" si="7"/>
        <v>2014</v>
      </c>
      <c r="N14" s="436">
        <f t="shared" si="7"/>
        <v>2015</v>
      </c>
      <c r="O14" s="436">
        <f t="shared" si="7"/>
        <v>2016</v>
      </c>
      <c r="P14" s="436">
        <f t="shared" si="7"/>
        <v>2017</v>
      </c>
      <c r="Q14" s="436">
        <f t="shared" si="7"/>
        <v>2018</v>
      </c>
      <c r="R14" s="436">
        <f t="shared" si="7"/>
        <v>2019</v>
      </c>
      <c r="S14" s="436">
        <f t="shared" si="7"/>
        <v>2020</v>
      </c>
      <c r="T14" s="436">
        <f t="shared" si="7"/>
        <v>2021</v>
      </c>
      <c r="U14" s="436">
        <f t="shared" si="7"/>
        <v>2022</v>
      </c>
      <c r="V14" s="436">
        <f t="shared" si="7"/>
        <v>2023</v>
      </c>
      <c r="W14" s="436">
        <f t="shared" si="7"/>
        <v>2024</v>
      </c>
      <c r="X14" s="436">
        <f t="shared" si="7"/>
        <v>2025</v>
      </c>
      <c r="Y14" s="436">
        <f t="shared" si="7"/>
        <v>2026</v>
      </c>
      <c r="Z14" s="436">
        <f t="shared" si="7"/>
        <v>2027</v>
      </c>
      <c r="AA14" s="436">
        <f t="shared" si="7"/>
        <v>2028</v>
      </c>
      <c r="AB14" s="436">
        <f t="shared" si="7"/>
        <v>2029</v>
      </c>
      <c r="AC14" s="436">
        <f t="shared" si="7"/>
        <v>2030</v>
      </c>
      <c r="AD14" s="436">
        <f t="shared" si="7"/>
        <v>2031</v>
      </c>
      <c r="AE14" s="436">
        <f t="shared" si="7"/>
        <v>2032</v>
      </c>
      <c r="AF14" s="436">
        <f t="shared" si="7"/>
        <v>2033</v>
      </c>
      <c r="AG14" s="436">
        <f t="shared" si="7"/>
        <v>2034</v>
      </c>
      <c r="AH14" s="436">
        <f t="shared" si="7"/>
        <v>2035</v>
      </c>
      <c r="AI14" s="436">
        <f t="shared" si="7"/>
        <v>2036</v>
      </c>
      <c r="AJ14" s="436">
        <f t="shared" si="7"/>
        <v>2037</v>
      </c>
      <c r="AK14" s="436">
        <f t="shared" si="7"/>
        <v>2038</v>
      </c>
      <c r="AL14" s="436">
        <f t="shared" si="7"/>
        <v>2039</v>
      </c>
      <c r="AM14" s="436">
        <f t="shared" si="7"/>
        <v>2040</v>
      </c>
      <c r="AN14" s="436">
        <f t="shared" si="7"/>
        <v>2041</v>
      </c>
      <c r="AO14" s="436">
        <f t="shared" si="7"/>
        <v>2042</v>
      </c>
      <c r="AP14" s="436">
        <f t="shared" si="7"/>
        <v>2043</v>
      </c>
      <c r="AQ14" s="436">
        <f t="shared" si="7"/>
        <v>2044</v>
      </c>
      <c r="AR14" s="439"/>
      <c r="AS14" s="308"/>
    </row>
    <row r="15" spans="1:45" ht="21" customHeight="1" x14ac:dyDescent="0.25">
      <c r="A15" s="366"/>
      <c r="B15" s="366" t="s">
        <v>923</v>
      </c>
      <c r="C15" s="402">
        <v>3000000</v>
      </c>
      <c r="D15" s="402">
        <f>+C15</f>
        <v>3000000</v>
      </c>
      <c r="E15" s="402">
        <f t="shared" ref="E15:AQ15" si="8">+D15</f>
        <v>3000000</v>
      </c>
      <c r="F15" s="436" t="s">
        <v>1292</v>
      </c>
      <c r="G15" s="402">
        <f>+E15</f>
        <v>3000000</v>
      </c>
      <c r="H15" s="402">
        <f t="shared" si="8"/>
        <v>3000000</v>
      </c>
      <c r="I15" s="402">
        <f t="shared" si="8"/>
        <v>3000000</v>
      </c>
      <c r="J15" s="402">
        <f t="shared" si="8"/>
        <v>3000000</v>
      </c>
      <c r="K15" s="402">
        <f t="shared" si="8"/>
        <v>3000000</v>
      </c>
      <c r="L15" s="440">
        <f t="shared" si="8"/>
        <v>3000000</v>
      </c>
      <c r="M15" s="355">
        <f t="shared" si="8"/>
        <v>3000000</v>
      </c>
      <c r="N15" s="402">
        <f t="shared" si="8"/>
        <v>3000000</v>
      </c>
      <c r="O15" s="402">
        <f t="shared" si="8"/>
        <v>3000000</v>
      </c>
      <c r="P15" s="402">
        <f t="shared" si="8"/>
        <v>3000000</v>
      </c>
      <c r="Q15" s="402">
        <f t="shared" si="8"/>
        <v>3000000</v>
      </c>
      <c r="R15" s="402">
        <f t="shared" si="8"/>
        <v>3000000</v>
      </c>
      <c r="S15" s="402">
        <f t="shared" si="8"/>
        <v>3000000</v>
      </c>
      <c r="T15" s="402">
        <f t="shared" si="8"/>
        <v>3000000</v>
      </c>
      <c r="U15" s="402">
        <f t="shared" si="8"/>
        <v>3000000</v>
      </c>
      <c r="V15" s="402">
        <f t="shared" si="8"/>
        <v>3000000</v>
      </c>
      <c r="W15" s="402">
        <f t="shared" si="8"/>
        <v>3000000</v>
      </c>
      <c r="X15" s="402">
        <f t="shared" si="8"/>
        <v>3000000</v>
      </c>
      <c r="Y15" s="402">
        <f t="shared" si="8"/>
        <v>3000000</v>
      </c>
      <c r="Z15" s="402">
        <f t="shared" si="8"/>
        <v>3000000</v>
      </c>
      <c r="AA15" s="402">
        <f t="shared" si="8"/>
        <v>3000000</v>
      </c>
      <c r="AB15" s="402">
        <f t="shared" si="8"/>
        <v>3000000</v>
      </c>
      <c r="AC15" s="402">
        <f t="shared" si="8"/>
        <v>3000000</v>
      </c>
      <c r="AD15" s="402">
        <f t="shared" si="8"/>
        <v>3000000</v>
      </c>
      <c r="AE15" s="402">
        <f t="shared" si="8"/>
        <v>3000000</v>
      </c>
      <c r="AF15" s="402">
        <f t="shared" si="8"/>
        <v>3000000</v>
      </c>
      <c r="AG15" s="402">
        <f t="shared" si="8"/>
        <v>3000000</v>
      </c>
      <c r="AH15" s="402">
        <f t="shared" si="8"/>
        <v>3000000</v>
      </c>
      <c r="AI15" s="402">
        <f t="shared" si="8"/>
        <v>3000000</v>
      </c>
      <c r="AJ15" s="402">
        <f t="shared" si="8"/>
        <v>3000000</v>
      </c>
      <c r="AK15" s="402">
        <f t="shared" si="8"/>
        <v>3000000</v>
      </c>
      <c r="AL15" s="402">
        <f t="shared" si="8"/>
        <v>3000000</v>
      </c>
      <c r="AM15" s="402">
        <f t="shared" si="8"/>
        <v>3000000</v>
      </c>
      <c r="AN15" s="402">
        <f t="shared" si="8"/>
        <v>3000000</v>
      </c>
      <c r="AO15" s="402">
        <f t="shared" si="8"/>
        <v>3000000</v>
      </c>
      <c r="AP15" s="402">
        <f t="shared" si="8"/>
        <v>3000000</v>
      </c>
      <c r="AQ15" s="402">
        <f t="shared" si="8"/>
        <v>3000000</v>
      </c>
      <c r="AR15" s="344"/>
    </row>
    <row r="16" spans="1:45" ht="21" customHeight="1" x14ac:dyDescent="0.25">
      <c r="A16" s="366"/>
      <c r="B16" s="366" t="s">
        <v>1291</v>
      </c>
      <c r="C16" s="402">
        <f>+-$D$5*C13</f>
        <v>-150000</v>
      </c>
      <c r="D16" s="402">
        <f>+-$D$5*D13</f>
        <v>-300000</v>
      </c>
      <c r="E16" s="402">
        <f>+-$D$5*E13</f>
        <v>-450000</v>
      </c>
      <c r="F16" s="436" t="s">
        <v>1292</v>
      </c>
      <c r="G16" s="402">
        <f t="shared" ref="G16:W16" si="9">+-$D$5*G13</f>
        <v>-600000</v>
      </c>
      <c r="H16" s="402">
        <f t="shared" si="9"/>
        <v>-750000</v>
      </c>
      <c r="I16" s="402">
        <f t="shared" si="9"/>
        <v>-900000</v>
      </c>
      <c r="J16" s="402">
        <f t="shared" si="9"/>
        <v>-1050000</v>
      </c>
      <c r="K16" s="402">
        <f t="shared" si="9"/>
        <v>-1200000</v>
      </c>
      <c r="L16" s="440">
        <f t="shared" si="9"/>
        <v>-1350000</v>
      </c>
      <c r="M16" s="355">
        <f t="shared" si="9"/>
        <v>-1500000</v>
      </c>
      <c r="N16" s="402">
        <f t="shared" si="9"/>
        <v>-1650000</v>
      </c>
      <c r="O16" s="402">
        <f t="shared" si="9"/>
        <v>-1800000</v>
      </c>
      <c r="P16" s="402">
        <f t="shared" si="9"/>
        <v>-1950000</v>
      </c>
      <c r="Q16" s="402">
        <f t="shared" si="9"/>
        <v>-2100000</v>
      </c>
      <c r="R16" s="402">
        <f t="shared" si="9"/>
        <v>-2250000</v>
      </c>
      <c r="S16" s="402">
        <f t="shared" si="9"/>
        <v>-2400000</v>
      </c>
      <c r="T16" s="402">
        <f t="shared" si="9"/>
        <v>-2550000</v>
      </c>
      <c r="U16" s="402">
        <f t="shared" si="9"/>
        <v>-2700000</v>
      </c>
      <c r="V16" s="402">
        <f t="shared" si="9"/>
        <v>-2850000</v>
      </c>
      <c r="W16" s="402">
        <f t="shared" si="9"/>
        <v>-3000000</v>
      </c>
      <c r="X16" s="402">
        <f>+W16</f>
        <v>-3000000</v>
      </c>
      <c r="Y16" s="402">
        <f t="shared" ref="Y16:AQ16" si="10">+X16</f>
        <v>-3000000</v>
      </c>
      <c r="Z16" s="402">
        <f t="shared" si="10"/>
        <v>-3000000</v>
      </c>
      <c r="AA16" s="402">
        <f t="shared" si="10"/>
        <v>-3000000</v>
      </c>
      <c r="AB16" s="402">
        <f t="shared" si="10"/>
        <v>-3000000</v>
      </c>
      <c r="AC16" s="402">
        <f t="shared" si="10"/>
        <v>-3000000</v>
      </c>
      <c r="AD16" s="402">
        <f t="shared" si="10"/>
        <v>-3000000</v>
      </c>
      <c r="AE16" s="402">
        <f t="shared" si="10"/>
        <v>-3000000</v>
      </c>
      <c r="AF16" s="402">
        <f t="shared" si="10"/>
        <v>-3000000</v>
      </c>
      <c r="AG16" s="402">
        <f t="shared" si="10"/>
        <v>-3000000</v>
      </c>
      <c r="AH16" s="402">
        <f t="shared" si="10"/>
        <v>-3000000</v>
      </c>
      <c r="AI16" s="402">
        <f t="shared" si="10"/>
        <v>-3000000</v>
      </c>
      <c r="AJ16" s="402">
        <f t="shared" si="10"/>
        <v>-3000000</v>
      </c>
      <c r="AK16" s="402">
        <f t="shared" si="10"/>
        <v>-3000000</v>
      </c>
      <c r="AL16" s="402">
        <f t="shared" si="10"/>
        <v>-3000000</v>
      </c>
      <c r="AM16" s="402">
        <f t="shared" si="10"/>
        <v>-3000000</v>
      </c>
      <c r="AN16" s="402">
        <f t="shared" si="10"/>
        <v>-3000000</v>
      </c>
      <c r="AO16" s="402">
        <f t="shared" si="10"/>
        <v>-3000000</v>
      </c>
      <c r="AP16" s="402">
        <f t="shared" si="10"/>
        <v>-3000000</v>
      </c>
      <c r="AQ16" s="402">
        <f t="shared" si="10"/>
        <v>-3000000</v>
      </c>
      <c r="AR16" s="344"/>
    </row>
    <row r="17" spans="1:44" s="309" customFormat="1" ht="21" customHeight="1" thickBot="1" x14ac:dyDescent="0.3">
      <c r="A17" s="371"/>
      <c r="B17" s="441" t="s">
        <v>1361</v>
      </c>
      <c r="C17" s="442">
        <f>+C15+C16</f>
        <v>2850000</v>
      </c>
      <c r="D17" s="442">
        <f t="shared" ref="D17" si="11">+D15+D16</f>
        <v>2700000</v>
      </c>
      <c r="E17" s="442">
        <f t="shared" ref="E17" si="12">+E15+E16</f>
        <v>2550000</v>
      </c>
      <c r="F17" s="443" t="s">
        <v>1292</v>
      </c>
      <c r="G17" s="442">
        <f t="shared" ref="G17" si="13">+G15+G16</f>
        <v>2400000</v>
      </c>
      <c r="H17" s="442">
        <f t="shared" ref="H17" si="14">+H15+H16</f>
        <v>2250000</v>
      </c>
      <c r="I17" s="442">
        <f t="shared" ref="I17" si="15">+I15+I16</f>
        <v>2100000</v>
      </c>
      <c r="J17" s="442">
        <f t="shared" ref="J17" si="16">+J15+J16</f>
        <v>1950000</v>
      </c>
      <c r="K17" s="442">
        <f t="shared" ref="K17" si="17">+K15+K16</f>
        <v>1800000</v>
      </c>
      <c r="L17" s="444">
        <f t="shared" ref="L17" si="18">+L15+L16</f>
        <v>1650000</v>
      </c>
      <c r="M17" s="445">
        <f t="shared" ref="M17" si="19">+M15+M16</f>
        <v>1500000</v>
      </c>
      <c r="N17" s="446">
        <f t="shared" ref="N17" si="20">+N15+N16</f>
        <v>1350000</v>
      </c>
      <c r="O17" s="446">
        <f t="shared" ref="O17" si="21">+O15+O16</f>
        <v>1200000</v>
      </c>
      <c r="P17" s="446">
        <f t="shared" ref="P17" si="22">+P15+P16</f>
        <v>1050000</v>
      </c>
      <c r="Q17" s="446">
        <f t="shared" ref="Q17" si="23">+Q15+Q16</f>
        <v>900000</v>
      </c>
      <c r="R17" s="446">
        <f t="shared" ref="R17" si="24">+R15+R16</f>
        <v>750000</v>
      </c>
      <c r="S17" s="446">
        <f t="shared" ref="S17" si="25">+S15+S16</f>
        <v>600000</v>
      </c>
      <c r="T17" s="446">
        <f t="shared" ref="T17" si="26">+T15+T16</f>
        <v>450000</v>
      </c>
      <c r="U17" s="446">
        <f t="shared" ref="U17" si="27">+U15+U16</f>
        <v>300000</v>
      </c>
      <c r="V17" s="446">
        <f t="shared" ref="V17" si="28">+V15+V16</f>
        <v>150000</v>
      </c>
      <c r="W17" s="446">
        <f t="shared" ref="W17" si="29">+W15+W16</f>
        <v>0</v>
      </c>
      <c r="X17" s="446">
        <f t="shared" ref="X17" si="30">+X15+X16</f>
        <v>0</v>
      </c>
      <c r="Y17" s="446">
        <f t="shared" ref="Y17" si="31">+Y15+Y16</f>
        <v>0</v>
      </c>
      <c r="Z17" s="446">
        <f t="shared" ref="Z17" si="32">+Z15+Z16</f>
        <v>0</v>
      </c>
      <c r="AA17" s="446">
        <f t="shared" ref="AA17" si="33">+AA15+AA16</f>
        <v>0</v>
      </c>
      <c r="AB17" s="446">
        <f t="shared" ref="AB17" si="34">+AB15+AB16</f>
        <v>0</v>
      </c>
      <c r="AC17" s="446">
        <f t="shared" ref="AC17" si="35">+AC15+AC16</f>
        <v>0</v>
      </c>
      <c r="AD17" s="446">
        <f t="shared" ref="AD17" si="36">+AD15+AD16</f>
        <v>0</v>
      </c>
      <c r="AE17" s="446">
        <f t="shared" ref="AE17" si="37">+AE15+AE16</f>
        <v>0</v>
      </c>
      <c r="AF17" s="446">
        <f t="shared" ref="AF17" si="38">+AF15+AF16</f>
        <v>0</v>
      </c>
      <c r="AG17" s="446">
        <f t="shared" ref="AG17" si="39">+AG15+AG16</f>
        <v>0</v>
      </c>
      <c r="AH17" s="446">
        <f t="shared" ref="AH17" si="40">+AH15+AH16</f>
        <v>0</v>
      </c>
      <c r="AI17" s="446">
        <f t="shared" ref="AI17" si="41">+AI15+AI16</f>
        <v>0</v>
      </c>
      <c r="AJ17" s="446">
        <f t="shared" ref="AJ17" si="42">+AJ15+AJ16</f>
        <v>0</v>
      </c>
      <c r="AK17" s="446">
        <f t="shared" ref="AK17" si="43">+AK15+AK16</f>
        <v>0</v>
      </c>
      <c r="AL17" s="446">
        <f t="shared" ref="AL17" si="44">+AL15+AL16</f>
        <v>0</v>
      </c>
      <c r="AM17" s="446">
        <f t="shared" ref="AM17" si="45">+AM15+AM16</f>
        <v>0</v>
      </c>
      <c r="AN17" s="446">
        <f t="shared" ref="AN17" si="46">+AN15+AN16</f>
        <v>0</v>
      </c>
      <c r="AO17" s="446">
        <f t="shared" ref="AO17" si="47">+AO15+AO16</f>
        <v>0</v>
      </c>
      <c r="AP17" s="446">
        <f t="shared" ref="AP17" si="48">+AP15+AP16</f>
        <v>0</v>
      </c>
      <c r="AQ17" s="446">
        <f t="shared" ref="AQ17" si="49">+AQ15+AQ16</f>
        <v>0</v>
      </c>
      <c r="AR17" s="361"/>
    </row>
    <row r="18" spans="1:44" ht="21" customHeight="1" x14ac:dyDescent="0.25">
      <c r="A18" s="361"/>
      <c r="B18" s="361" t="s">
        <v>928</v>
      </c>
      <c r="C18" s="344"/>
      <c r="D18" s="344"/>
      <c r="E18" s="344"/>
      <c r="F18" s="436"/>
      <c r="G18" s="344"/>
      <c r="H18" s="344"/>
      <c r="I18" s="344"/>
      <c r="J18" s="344"/>
      <c r="K18" s="344"/>
      <c r="L18" s="410"/>
      <c r="M18" s="355"/>
      <c r="N18" s="344" t="s">
        <v>930</v>
      </c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</row>
    <row r="19" spans="1:44" s="309" customFormat="1" ht="21" customHeight="1" thickBot="1" x14ac:dyDescent="0.3">
      <c r="A19" s="371"/>
      <c r="B19" s="448" t="s">
        <v>1295</v>
      </c>
      <c r="C19" s="449">
        <v>0</v>
      </c>
      <c r="D19" s="449">
        <f>+C21</f>
        <v>75000</v>
      </c>
      <c r="E19" s="449">
        <f t="shared" ref="E19:AQ19" si="50">+D21</f>
        <v>150000</v>
      </c>
      <c r="F19" s="450" t="s">
        <v>1292</v>
      </c>
      <c r="G19" s="449">
        <f>+E21</f>
        <v>225000</v>
      </c>
      <c r="H19" s="449">
        <f t="shared" si="50"/>
        <v>300000</v>
      </c>
      <c r="I19" s="449">
        <f t="shared" si="50"/>
        <v>375000</v>
      </c>
      <c r="J19" s="449">
        <f t="shared" si="50"/>
        <v>450000</v>
      </c>
      <c r="K19" s="449">
        <f t="shared" si="50"/>
        <v>525000</v>
      </c>
      <c r="L19" s="451">
        <f t="shared" si="50"/>
        <v>600000</v>
      </c>
      <c r="M19" s="452">
        <f t="shared" si="50"/>
        <v>675000</v>
      </c>
      <c r="N19" s="446">
        <f t="shared" si="50"/>
        <v>750000</v>
      </c>
      <c r="O19" s="446">
        <f t="shared" si="50"/>
        <v>825000</v>
      </c>
      <c r="P19" s="446">
        <f t="shared" si="50"/>
        <v>900000</v>
      </c>
      <c r="Q19" s="446">
        <f t="shared" si="50"/>
        <v>975000</v>
      </c>
      <c r="R19" s="446">
        <f t="shared" si="50"/>
        <v>1050000</v>
      </c>
      <c r="S19" s="446">
        <f t="shared" si="50"/>
        <v>1125000</v>
      </c>
      <c r="T19" s="446">
        <f t="shared" si="50"/>
        <v>1200000</v>
      </c>
      <c r="U19" s="446">
        <f t="shared" si="50"/>
        <v>1275000</v>
      </c>
      <c r="V19" s="446">
        <f t="shared" si="50"/>
        <v>1350000</v>
      </c>
      <c r="W19" s="446">
        <f t="shared" si="50"/>
        <v>1425000</v>
      </c>
      <c r="X19" s="446">
        <f t="shared" si="50"/>
        <v>1500000</v>
      </c>
      <c r="Y19" s="446">
        <f t="shared" si="50"/>
        <v>1425000</v>
      </c>
      <c r="Z19" s="446">
        <f t="shared" si="50"/>
        <v>1350000</v>
      </c>
      <c r="AA19" s="446">
        <f t="shared" si="50"/>
        <v>1275000</v>
      </c>
      <c r="AB19" s="446">
        <f t="shared" si="50"/>
        <v>1200000</v>
      </c>
      <c r="AC19" s="446">
        <f t="shared" si="50"/>
        <v>1125000</v>
      </c>
      <c r="AD19" s="446">
        <f t="shared" si="50"/>
        <v>1050000</v>
      </c>
      <c r="AE19" s="446">
        <f t="shared" si="50"/>
        <v>975000</v>
      </c>
      <c r="AF19" s="446">
        <f t="shared" si="50"/>
        <v>900000</v>
      </c>
      <c r="AG19" s="446">
        <f t="shared" si="50"/>
        <v>825000</v>
      </c>
      <c r="AH19" s="446">
        <f t="shared" si="50"/>
        <v>750000</v>
      </c>
      <c r="AI19" s="446">
        <f t="shared" si="50"/>
        <v>675000</v>
      </c>
      <c r="AJ19" s="446">
        <f t="shared" si="50"/>
        <v>600000</v>
      </c>
      <c r="AK19" s="446">
        <f t="shared" si="50"/>
        <v>525000</v>
      </c>
      <c r="AL19" s="446">
        <f t="shared" si="50"/>
        <v>450000</v>
      </c>
      <c r="AM19" s="446">
        <f t="shared" si="50"/>
        <v>375000</v>
      </c>
      <c r="AN19" s="446">
        <f t="shared" si="50"/>
        <v>300000</v>
      </c>
      <c r="AO19" s="446">
        <f t="shared" si="50"/>
        <v>225000</v>
      </c>
      <c r="AP19" s="446">
        <f t="shared" si="50"/>
        <v>150000</v>
      </c>
      <c r="AQ19" s="446">
        <f t="shared" si="50"/>
        <v>75000</v>
      </c>
      <c r="AR19" s="361"/>
    </row>
    <row r="20" spans="1:44" s="309" customFormat="1" ht="21" customHeight="1" thickBot="1" x14ac:dyDescent="0.3">
      <c r="A20" s="371"/>
      <c r="B20" s="410" t="s">
        <v>911</v>
      </c>
      <c r="C20" s="402">
        <f>-C16+C9</f>
        <v>75000</v>
      </c>
      <c r="D20" s="402">
        <f>-D16+D9-C20</f>
        <v>75000</v>
      </c>
      <c r="E20" s="402">
        <f>-E16+E9-D20-C20</f>
        <v>75000</v>
      </c>
      <c r="F20" s="436" t="s">
        <v>1292</v>
      </c>
      <c r="G20" s="402">
        <f>-G16+G9-E20-D20-C20</f>
        <v>75000</v>
      </c>
      <c r="H20" s="402">
        <f>-H16+H9-SUM($C20:G20)</f>
        <v>75000</v>
      </c>
      <c r="I20" s="402">
        <f>-I16+I9-SUM($C20:H20)</f>
        <v>75000</v>
      </c>
      <c r="J20" s="402">
        <f>-J16+J9-SUM($C20:I20)</f>
        <v>75000</v>
      </c>
      <c r="K20" s="402">
        <f>-K16+K9-SUM($C20:J20)</f>
        <v>75000</v>
      </c>
      <c r="L20" s="440">
        <f>-L16+L9-SUM($C20:K20)</f>
        <v>75000</v>
      </c>
      <c r="M20" s="453">
        <f>-M16+M9-SUM($C20:L20)</f>
        <v>75000</v>
      </c>
      <c r="N20" s="454">
        <f>-N16+N9-SUM($C20:M20)</f>
        <v>75000</v>
      </c>
      <c r="O20" s="454">
        <f>-O16+O9-SUM($C20:N20)</f>
        <v>75000</v>
      </c>
      <c r="P20" s="454">
        <f>-P16+P9-SUM($C20:O20)</f>
        <v>75000</v>
      </c>
      <c r="Q20" s="454">
        <f>-Q16+Q9-SUM($C20:P20)</f>
        <v>75000</v>
      </c>
      <c r="R20" s="454">
        <f>-R16+R9-SUM($C20:Q20)</f>
        <v>75000</v>
      </c>
      <c r="S20" s="454">
        <f>-S16+S9-SUM($C20:R20)</f>
        <v>75000</v>
      </c>
      <c r="T20" s="454">
        <f>-T16+T9-SUM($C20:S20)</f>
        <v>75000</v>
      </c>
      <c r="U20" s="454">
        <f>-U16+U9-SUM($C20:T20)</f>
        <v>75000</v>
      </c>
      <c r="V20" s="454">
        <f>-V16+V9-SUM($C20:U20)</f>
        <v>75000</v>
      </c>
      <c r="W20" s="454">
        <f>-W16+W9-SUM($C20:V20)</f>
        <v>75000</v>
      </c>
      <c r="X20" s="454">
        <f>-X16+X9-SUM($C20:W20)</f>
        <v>-75000</v>
      </c>
      <c r="Y20" s="454">
        <f>-Y16+Y9-SUM($C20:X20)</f>
        <v>-75000</v>
      </c>
      <c r="Z20" s="454">
        <f>-Z16+Z9-SUM($C20:Y20)</f>
        <v>-75000</v>
      </c>
      <c r="AA20" s="454">
        <f>-AA16+AA9-SUM($C20:Z20)</f>
        <v>-75000</v>
      </c>
      <c r="AB20" s="454">
        <f>-AB16+AB9-SUM($C20:AA20)</f>
        <v>-75000</v>
      </c>
      <c r="AC20" s="454">
        <f>-AC16+AC9-SUM($C20:AB20)</f>
        <v>-75000</v>
      </c>
      <c r="AD20" s="454">
        <f>-AD16+AD9-SUM($C20:AC20)</f>
        <v>-75000</v>
      </c>
      <c r="AE20" s="454">
        <f>-AE16+AE9-SUM($C20:AD20)</f>
        <v>-75000</v>
      </c>
      <c r="AF20" s="454">
        <f>-AF16+AF9-SUM($C20:AE20)</f>
        <v>-75000</v>
      </c>
      <c r="AG20" s="454">
        <f>-AG16+AG9-SUM($C20:AF20)</f>
        <v>-75000</v>
      </c>
      <c r="AH20" s="454">
        <f>-AH16+AH9-SUM($C20:AG20)</f>
        <v>-75000</v>
      </c>
      <c r="AI20" s="454">
        <f>-AI16+AI9-SUM($C20:AH20)</f>
        <v>-75000</v>
      </c>
      <c r="AJ20" s="454">
        <f>-AJ16+AJ9-SUM($C20:AI20)</f>
        <v>-75000</v>
      </c>
      <c r="AK20" s="454">
        <f>-AK16+AK9-SUM($C20:AJ20)</f>
        <v>-75000</v>
      </c>
      <c r="AL20" s="454">
        <f>-AL16+AL9-SUM($C20:AK20)</f>
        <v>-75000</v>
      </c>
      <c r="AM20" s="454">
        <f>-AM16+AM9-SUM($C20:AL20)</f>
        <v>-75000</v>
      </c>
      <c r="AN20" s="454">
        <f>-AN16+AN9-SUM($C20:AM20)</f>
        <v>-75000</v>
      </c>
      <c r="AO20" s="454">
        <f>-AO16+AO9-SUM($C20:AN20)</f>
        <v>-75000</v>
      </c>
      <c r="AP20" s="454">
        <f>-AP16+AP9-SUM($C20:AO20)</f>
        <v>-75000</v>
      </c>
      <c r="AQ20" s="454">
        <f>-AQ16+AQ9-SUM($C20:AP20)</f>
        <v>-75000</v>
      </c>
      <c r="AR20" s="361"/>
    </row>
    <row r="21" spans="1:44" s="309" customFormat="1" ht="21" customHeight="1" thickBot="1" x14ac:dyDescent="0.3">
      <c r="A21" s="371"/>
      <c r="B21" s="455" t="s">
        <v>1362</v>
      </c>
      <c r="C21" s="456">
        <f>SUM(C19:C20)</f>
        <v>75000</v>
      </c>
      <c r="D21" s="456">
        <f>+D19+D20</f>
        <v>150000</v>
      </c>
      <c r="E21" s="456">
        <f t="shared" ref="E21:AQ21" si="51">+E19+E20</f>
        <v>225000</v>
      </c>
      <c r="F21" s="457" t="s">
        <v>1292</v>
      </c>
      <c r="G21" s="456">
        <f t="shared" si="51"/>
        <v>300000</v>
      </c>
      <c r="H21" s="456">
        <f t="shared" si="51"/>
        <v>375000</v>
      </c>
      <c r="I21" s="456">
        <f t="shared" si="51"/>
        <v>450000</v>
      </c>
      <c r="J21" s="456">
        <f t="shared" si="51"/>
        <v>525000</v>
      </c>
      <c r="K21" s="456">
        <f t="shared" si="51"/>
        <v>600000</v>
      </c>
      <c r="L21" s="458">
        <f t="shared" si="51"/>
        <v>675000</v>
      </c>
      <c r="M21" s="459">
        <f t="shared" si="51"/>
        <v>750000</v>
      </c>
      <c r="N21" s="446">
        <f t="shared" si="51"/>
        <v>825000</v>
      </c>
      <c r="O21" s="446">
        <f t="shared" si="51"/>
        <v>900000</v>
      </c>
      <c r="P21" s="446">
        <f t="shared" si="51"/>
        <v>975000</v>
      </c>
      <c r="Q21" s="446">
        <f t="shared" si="51"/>
        <v>1050000</v>
      </c>
      <c r="R21" s="446">
        <f t="shared" si="51"/>
        <v>1125000</v>
      </c>
      <c r="S21" s="446">
        <f t="shared" si="51"/>
        <v>1200000</v>
      </c>
      <c r="T21" s="446">
        <f t="shared" si="51"/>
        <v>1275000</v>
      </c>
      <c r="U21" s="446">
        <f t="shared" si="51"/>
        <v>1350000</v>
      </c>
      <c r="V21" s="446">
        <f t="shared" si="51"/>
        <v>1425000</v>
      </c>
      <c r="W21" s="460">
        <f t="shared" si="51"/>
        <v>1500000</v>
      </c>
      <c r="X21" s="446">
        <f t="shared" si="51"/>
        <v>1425000</v>
      </c>
      <c r="Y21" s="446">
        <f t="shared" si="51"/>
        <v>1350000</v>
      </c>
      <c r="Z21" s="446">
        <f t="shared" si="51"/>
        <v>1275000</v>
      </c>
      <c r="AA21" s="446">
        <f t="shared" si="51"/>
        <v>1200000</v>
      </c>
      <c r="AB21" s="446">
        <f t="shared" si="51"/>
        <v>1125000</v>
      </c>
      <c r="AC21" s="446">
        <f t="shared" si="51"/>
        <v>1050000</v>
      </c>
      <c r="AD21" s="446">
        <f t="shared" si="51"/>
        <v>975000</v>
      </c>
      <c r="AE21" s="446">
        <f t="shared" si="51"/>
        <v>900000</v>
      </c>
      <c r="AF21" s="446">
        <f t="shared" si="51"/>
        <v>825000</v>
      </c>
      <c r="AG21" s="446">
        <f t="shared" si="51"/>
        <v>750000</v>
      </c>
      <c r="AH21" s="446">
        <f t="shared" si="51"/>
        <v>675000</v>
      </c>
      <c r="AI21" s="446">
        <f t="shared" si="51"/>
        <v>600000</v>
      </c>
      <c r="AJ21" s="446">
        <f t="shared" si="51"/>
        <v>525000</v>
      </c>
      <c r="AK21" s="446">
        <f t="shared" si="51"/>
        <v>450000</v>
      </c>
      <c r="AL21" s="446">
        <f t="shared" si="51"/>
        <v>375000</v>
      </c>
      <c r="AM21" s="446">
        <f t="shared" si="51"/>
        <v>300000</v>
      </c>
      <c r="AN21" s="446">
        <f t="shared" si="51"/>
        <v>225000</v>
      </c>
      <c r="AO21" s="446">
        <f t="shared" si="51"/>
        <v>150000</v>
      </c>
      <c r="AP21" s="446">
        <f t="shared" si="51"/>
        <v>75000</v>
      </c>
      <c r="AQ21" s="446">
        <f t="shared" si="51"/>
        <v>0</v>
      </c>
      <c r="AR21" s="361"/>
    </row>
    <row r="22" spans="1:44" ht="21" customHeight="1" x14ac:dyDescent="0.25">
      <c r="A22" s="361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344"/>
    </row>
  </sheetData>
  <printOptions horizontalCentered="1"/>
  <pageMargins left="0.35433070866141736" right="0.23622047244094491" top="0.59" bottom="0.19685039370078741" header="0.47" footer="0"/>
  <pageSetup paperSize="9" scale="69" fitToWidth="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V23"/>
  <sheetViews>
    <sheetView zoomScale="70" zoomScaleNormal="70" workbookViewId="0">
      <selection activeCell="B3" sqref="B3:M22"/>
    </sheetView>
  </sheetViews>
  <sheetFormatPr baseColWidth="10" defaultColWidth="9.140625" defaultRowHeight="21" customHeight="1" x14ac:dyDescent="0.2"/>
  <cols>
    <col min="1" max="1" width="3.28515625" style="11" customWidth="1"/>
    <col min="2" max="2" width="24.28515625" style="11" customWidth="1"/>
    <col min="3" max="4" width="14.7109375" style="11" customWidth="1"/>
    <col min="5" max="5" width="2.7109375" style="11" bestFit="1" customWidth="1"/>
    <col min="6" max="11" width="10.5703125" style="11" hidden="1" customWidth="1"/>
    <col min="12" max="13" width="14.7109375" style="11" customWidth="1"/>
    <col min="14" max="14" width="12" style="11" hidden="1" customWidth="1"/>
    <col min="15" max="15" width="10.7109375" style="11" hidden="1" customWidth="1"/>
    <col min="16" max="16" width="1.85546875" style="11" hidden="1" customWidth="1"/>
    <col min="17" max="17" width="11.28515625" style="11" hidden="1" customWidth="1"/>
    <col min="18" max="18" width="11.7109375" style="11" hidden="1" customWidth="1"/>
    <col min="19" max="19" width="0.5703125" style="11" hidden="1" customWidth="1"/>
    <col min="20" max="20" width="12.140625" style="11" hidden="1" customWidth="1"/>
    <col min="21" max="21" width="1" style="11" hidden="1" customWidth="1"/>
    <col min="22" max="22" width="3.28515625" style="11" hidden="1" customWidth="1"/>
    <col min="23" max="24" width="0" style="11" hidden="1" customWidth="1"/>
    <col min="25" max="16384" width="9.140625" style="11"/>
  </cols>
  <sheetData>
    <row r="1" spans="1:22" ht="21" customHeight="1" x14ac:dyDescent="0.2">
      <c r="A1" s="191" t="s">
        <v>993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5"/>
      <c r="V1" s="47"/>
    </row>
    <row r="2" spans="1:22" ht="21" customHeight="1" x14ac:dyDescent="0.25">
      <c r="A2" s="194"/>
      <c r="B2" s="361"/>
      <c r="C2" s="439"/>
      <c r="D2" s="439"/>
      <c r="E2" s="344"/>
      <c r="F2" s="344"/>
      <c r="G2" s="344"/>
      <c r="H2" s="344"/>
      <c r="I2" s="344"/>
      <c r="J2" s="344"/>
      <c r="K2" s="344"/>
      <c r="L2" s="344"/>
      <c r="M2" s="545"/>
      <c r="N2" s="190"/>
      <c r="O2" s="190"/>
      <c r="P2" s="190"/>
      <c r="Q2" s="190"/>
      <c r="R2" s="190"/>
      <c r="S2" s="190"/>
      <c r="T2" s="190"/>
      <c r="U2" s="195"/>
      <c r="V2" s="47"/>
    </row>
    <row r="3" spans="1:22" ht="21" customHeight="1" x14ac:dyDescent="0.25">
      <c r="A3" s="194"/>
      <c r="B3" s="361"/>
      <c r="C3" s="432" t="s">
        <v>1158</v>
      </c>
      <c r="D3" s="432" t="s">
        <v>1294</v>
      </c>
      <c r="E3" s="344"/>
      <c r="F3" s="344"/>
      <c r="G3" s="344"/>
      <c r="H3" s="344"/>
      <c r="I3" s="344"/>
      <c r="J3" s="344"/>
      <c r="K3" s="344"/>
      <c r="L3" s="344"/>
      <c r="M3" s="545" t="s">
        <v>1153</v>
      </c>
      <c r="N3" s="190"/>
      <c r="O3" s="190"/>
      <c r="P3" s="190"/>
      <c r="Q3" s="190"/>
      <c r="R3" s="190"/>
      <c r="S3" s="190"/>
      <c r="T3" s="190"/>
      <c r="U3" s="195"/>
      <c r="V3" s="47"/>
    </row>
    <row r="4" spans="1:22" ht="21" customHeight="1" x14ac:dyDescent="0.2">
      <c r="A4" s="194"/>
      <c r="B4" s="461" t="s">
        <v>1296</v>
      </c>
      <c r="C4" s="551">
        <v>15</v>
      </c>
      <c r="D4" s="551">
        <v>3</v>
      </c>
      <c r="E4" s="344"/>
      <c r="F4" s="344"/>
      <c r="G4" s="344"/>
      <c r="H4" s="344"/>
      <c r="I4" s="344"/>
      <c r="J4" s="344"/>
      <c r="K4" s="344"/>
      <c r="L4" s="344"/>
      <c r="M4" s="344"/>
      <c r="N4" s="190"/>
      <c r="O4" s="190"/>
      <c r="P4" s="190"/>
      <c r="Q4" s="190"/>
      <c r="R4" s="190"/>
      <c r="S4" s="190"/>
      <c r="T4" s="190"/>
      <c r="U4" s="195"/>
      <c r="V4" s="47"/>
    </row>
    <row r="5" spans="1:22" ht="21" customHeight="1" x14ac:dyDescent="0.2">
      <c r="A5" s="194"/>
      <c r="B5" s="461" t="s">
        <v>924</v>
      </c>
      <c r="C5" s="552">
        <f>1/C4</f>
        <v>6.6666666666666666E-2</v>
      </c>
      <c r="D5" s="552">
        <f>1/D4</f>
        <v>0.33333333333333331</v>
      </c>
      <c r="E5" s="344"/>
      <c r="F5" s="344"/>
      <c r="G5" s="344"/>
      <c r="H5" s="344"/>
      <c r="I5" s="344"/>
      <c r="J5" s="344"/>
      <c r="K5" s="344"/>
      <c r="L5" s="344"/>
      <c r="M5" s="344"/>
      <c r="N5" s="190"/>
      <c r="O5" s="190"/>
      <c r="P5" s="190"/>
      <c r="Q5" s="190"/>
      <c r="R5" s="190"/>
      <c r="S5" s="190"/>
      <c r="T5" s="190"/>
      <c r="U5" s="195"/>
      <c r="V5" s="47"/>
    </row>
    <row r="6" spans="1:22" ht="21" customHeight="1" x14ac:dyDescent="0.25">
      <c r="A6" s="194"/>
      <c r="B6" s="461" t="s">
        <v>1298</v>
      </c>
      <c r="C6" s="553">
        <f>+C11*C5</f>
        <v>400000</v>
      </c>
      <c r="D6" s="553">
        <f>+C16*D5</f>
        <v>2000000</v>
      </c>
      <c r="E6" s="344"/>
      <c r="F6" s="344"/>
      <c r="G6" s="344"/>
      <c r="H6" s="344"/>
      <c r="I6" s="344"/>
      <c r="J6" s="344"/>
      <c r="K6" s="344"/>
      <c r="L6" s="361"/>
      <c r="M6" s="344"/>
      <c r="N6" s="190"/>
      <c r="O6" s="190"/>
      <c r="P6" s="190"/>
      <c r="Q6" s="190"/>
      <c r="R6" s="190"/>
      <c r="S6" s="190"/>
      <c r="T6" s="190"/>
      <c r="U6" s="195"/>
      <c r="V6" s="47"/>
    </row>
    <row r="7" spans="1:22" ht="21" hidden="1" customHeight="1" x14ac:dyDescent="0.2">
      <c r="A7" s="194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462"/>
      <c r="M7" s="463"/>
      <c r="N7" s="190"/>
      <c r="O7" s="190"/>
      <c r="P7" s="190"/>
      <c r="Q7" s="190"/>
      <c r="R7" s="190"/>
      <c r="S7" s="190"/>
      <c r="T7" s="201"/>
      <c r="U7" s="195"/>
      <c r="V7" s="47"/>
    </row>
    <row r="8" spans="1:22" ht="21" hidden="1" customHeight="1" x14ac:dyDescent="0.25">
      <c r="A8" s="196"/>
      <c r="B8" s="435"/>
      <c r="C8" s="436">
        <v>1</v>
      </c>
      <c r="D8" s="436">
        <f>+C8+1</f>
        <v>2</v>
      </c>
      <c r="E8" s="436"/>
      <c r="F8" s="436">
        <f>+D8+1</f>
        <v>3</v>
      </c>
      <c r="G8" s="436">
        <f t="shared" ref="G8:R10" si="0">+F8+1</f>
        <v>4</v>
      </c>
      <c r="H8" s="436">
        <f t="shared" si="0"/>
        <v>5</v>
      </c>
      <c r="I8" s="436">
        <f t="shared" si="0"/>
        <v>6</v>
      </c>
      <c r="J8" s="436">
        <f t="shared" si="0"/>
        <v>7</v>
      </c>
      <c r="K8" s="436">
        <f t="shared" si="0"/>
        <v>8</v>
      </c>
      <c r="L8" s="464">
        <f t="shared" si="0"/>
        <v>9</v>
      </c>
      <c r="M8" s="465">
        <f t="shared" si="0"/>
        <v>10</v>
      </c>
      <c r="N8" s="198">
        <f>+M8+1</f>
        <v>11</v>
      </c>
      <c r="O8" s="198">
        <f t="shared" si="0"/>
        <v>12</v>
      </c>
      <c r="P8" s="198"/>
      <c r="Q8" s="198">
        <f>+O8+1</f>
        <v>13</v>
      </c>
      <c r="R8" s="198">
        <f t="shared" si="0"/>
        <v>14</v>
      </c>
      <c r="S8" s="198"/>
      <c r="T8" s="198">
        <f>+R8+1</f>
        <v>15</v>
      </c>
      <c r="U8" s="195"/>
      <c r="V8" s="47"/>
    </row>
    <row r="9" spans="1:22" ht="21" customHeight="1" x14ac:dyDescent="0.25">
      <c r="A9" s="196"/>
      <c r="B9" s="435"/>
      <c r="C9" s="436">
        <v>1</v>
      </c>
      <c r="D9" s="436">
        <f>+C9+1</f>
        <v>2</v>
      </c>
      <c r="E9" s="436" t="s">
        <v>1297</v>
      </c>
      <c r="F9" s="436">
        <f>+D9+1</f>
        <v>3</v>
      </c>
      <c r="G9" s="436">
        <f t="shared" si="0"/>
        <v>4</v>
      </c>
      <c r="H9" s="436">
        <f t="shared" si="0"/>
        <v>5</v>
      </c>
      <c r="I9" s="436">
        <f t="shared" si="0"/>
        <v>6</v>
      </c>
      <c r="J9" s="436">
        <f t="shared" si="0"/>
        <v>7</v>
      </c>
      <c r="K9" s="436">
        <f t="shared" si="0"/>
        <v>8</v>
      </c>
      <c r="L9" s="436">
        <f t="shared" si="0"/>
        <v>9</v>
      </c>
      <c r="M9" s="436">
        <f t="shared" si="0"/>
        <v>10</v>
      </c>
      <c r="N9" s="198">
        <f>+M9+1</f>
        <v>11</v>
      </c>
      <c r="O9" s="198">
        <f t="shared" si="0"/>
        <v>12</v>
      </c>
      <c r="P9" s="198"/>
      <c r="Q9" s="198">
        <f>+O9+1</f>
        <v>13</v>
      </c>
      <c r="R9" s="198">
        <f t="shared" si="0"/>
        <v>14</v>
      </c>
      <c r="S9" s="198"/>
      <c r="T9" s="198">
        <f>+R9+1</f>
        <v>15</v>
      </c>
      <c r="U9" s="195"/>
      <c r="V9" s="47"/>
    </row>
    <row r="10" spans="1:22" ht="21" customHeight="1" x14ac:dyDescent="0.25">
      <c r="A10" s="197"/>
      <c r="B10" s="371" t="s">
        <v>926</v>
      </c>
      <c r="C10" s="436">
        <v>2005</v>
      </c>
      <c r="D10" s="436">
        <f>+C10+1</f>
        <v>2006</v>
      </c>
      <c r="E10" s="436" t="s">
        <v>1297</v>
      </c>
      <c r="F10" s="436">
        <f>+D10+1</f>
        <v>2007</v>
      </c>
      <c r="G10" s="436">
        <f t="shared" si="0"/>
        <v>2008</v>
      </c>
      <c r="H10" s="436">
        <f t="shared" si="0"/>
        <v>2009</v>
      </c>
      <c r="I10" s="436">
        <f t="shared" si="0"/>
        <v>2010</v>
      </c>
      <c r="J10" s="436">
        <f t="shared" si="0"/>
        <v>2011</v>
      </c>
      <c r="K10" s="436">
        <f t="shared" si="0"/>
        <v>2012</v>
      </c>
      <c r="L10" s="436">
        <f t="shared" si="0"/>
        <v>2013</v>
      </c>
      <c r="M10" s="436">
        <f t="shared" si="0"/>
        <v>2014</v>
      </c>
      <c r="N10" s="198">
        <f>+M10+1</f>
        <v>2015</v>
      </c>
      <c r="O10" s="198">
        <f t="shared" si="0"/>
        <v>2016</v>
      </c>
      <c r="P10" s="198"/>
      <c r="Q10" s="198">
        <f>+O10+1</f>
        <v>2017</v>
      </c>
      <c r="R10" s="198">
        <f t="shared" si="0"/>
        <v>2018</v>
      </c>
      <c r="S10" s="198"/>
      <c r="T10" s="198">
        <f>+R10+1</f>
        <v>2019</v>
      </c>
      <c r="U10" s="195"/>
      <c r="V10" s="47"/>
    </row>
    <row r="11" spans="1:22" ht="21" customHeight="1" x14ac:dyDescent="0.25">
      <c r="A11" s="199"/>
      <c r="B11" s="366" t="s">
        <v>923</v>
      </c>
      <c r="C11" s="402">
        <v>6000000</v>
      </c>
      <c r="D11" s="402">
        <f>+C11</f>
        <v>6000000</v>
      </c>
      <c r="E11" s="436" t="s">
        <v>1297</v>
      </c>
      <c r="F11" s="402">
        <f>+D11</f>
        <v>6000000</v>
      </c>
      <c r="G11" s="402">
        <f t="shared" ref="G11:R11" si="1">+F11</f>
        <v>6000000</v>
      </c>
      <c r="H11" s="402">
        <f t="shared" si="1"/>
        <v>6000000</v>
      </c>
      <c r="I11" s="402">
        <f t="shared" si="1"/>
        <v>6000000</v>
      </c>
      <c r="J11" s="402">
        <f t="shared" si="1"/>
        <v>6000000</v>
      </c>
      <c r="K11" s="402">
        <f t="shared" si="1"/>
        <v>6000000</v>
      </c>
      <c r="L11" s="402">
        <f t="shared" si="1"/>
        <v>6000000</v>
      </c>
      <c r="M11" s="402">
        <f t="shared" si="1"/>
        <v>6000000</v>
      </c>
      <c r="N11" s="193">
        <f>+M11</f>
        <v>6000000</v>
      </c>
      <c r="O11" s="193">
        <f t="shared" si="1"/>
        <v>6000000</v>
      </c>
      <c r="P11" s="193"/>
      <c r="Q11" s="193">
        <f>+O11</f>
        <v>6000000</v>
      </c>
      <c r="R11" s="193">
        <f t="shared" si="1"/>
        <v>6000000</v>
      </c>
      <c r="S11" s="193"/>
      <c r="T11" s="193">
        <f>+R11</f>
        <v>6000000</v>
      </c>
      <c r="U11" s="195"/>
      <c r="V11" s="47"/>
    </row>
    <row r="12" spans="1:22" ht="21" customHeight="1" x14ac:dyDescent="0.25">
      <c r="A12" s="199"/>
      <c r="B12" s="366" t="s">
        <v>1291</v>
      </c>
      <c r="C12" s="402">
        <f>+-$C$6*C8</f>
        <v>-400000</v>
      </c>
      <c r="D12" s="402">
        <f>+-$C$6*D8</f>
        <v>-800000</v>
      </c>
      <c r="E12" s="436" t="s">
        <v>1297</v>
      </c>
      <c r="F12" s="402">
        <f t="shared" ref="F12:T12" si="2">+-$C$6*F8</f>
        <v>-1200000</v>
      </c>
      <c r="G12" s="402">
        <f t="shared" si="2"/>
        <v>-1600000</v>
      </c>
      <c r="H12" s="402">
        <f t="shared" si="2"/>
        <v>-2000000</v>
      </c>
      <c r="I12" s="402">
        <f t="shared" si="2"/>
        <v>-2400000</v>
      </c>
      <c r="J12" s="402">
        <f t="shared" si="2"/>
        <v>-2800000</v>
      </c>
      <c r="K12" s="402">
        <f t="shared" si="2"/>
        <v>-3200000</v>
      </c>
      <c r="L12" s="402">
        <f t="shared" si="2"/>
        <v>-3600000</v>
      </c>
      <c r="M12" s="402">
        <f>+-$C$6*M8</f>
        <v>-4000000</v>
      </c>
      <c r="N12" s="193">
        <f t="shared" si="2"/>
        <v>-4400000</v>
      </c>
      <c r="O12" s="193">
        <f t="shared" si="2"/>
        <v>-4800000</v>
      </c>
      <c r="P12" s="193"/>
      <c r="Q12" s="193">
        <f t="shared" si="2"/>
        <v>-5200000</v>
      </c>
      <c r="R12" s="193">
        <f t="shared" si="2"/>
        <v>-5600000</v>
      </c>
      <c r="S12" s="193"/>
      <c r="T12" s="202">
        <f t="shared" si="2"/>
        <v>-6000000</v>
      </c>
      <c r="U12" s="195"/>
      <c r="V12" s="47"/>
    </row>
    <row r="13" spans="1:22" s="13" customFormat="1" ht="21" customHeight="1" thickBot="1" x14ac:dyDescent="0.3">
      <c r="A13" s="196"/>
      <c r="B13" s="441" t="s">
        <v>1360</v>
      </c>
      <c r="C13" s="442">
        <f>+C11+C12</f>
        <v>5600000</v>
      </c>
      <c r="D13" s="442">
        <f t="shared" ref="D13:T13" si="3">+D11+D12</f>
        <v>5200000</v>
      </c>
      <c r="E13" s="443" t="s">
        <v>1297</v>
      </c>
      <c r="F13" s="442">
        <f t="shared" si="3"/>
        <v>4800000</v>
      </c>
      <c r="G13" s="442">
        <f t="shared" si="3"/>
        <v>4400000</v>
      </c>
      <c r="H13" s="442">
        <f t="shared" si="3"/>
        <v>4000000</v>
      </c>
      <c r="I13" s="442">
        <f t="shared" si="3"/>
        <v>3600000</v>
      </c>
      <c r="J13" s="442">
        <f t="shared" si="3"/>
        <v>3200000</v>
      </c>
      <c r="K13" s="442">
        <f t="shared" si="3"/>
        <v>2800000</v>
      </c>
      <c r="L13" s="442">
        <f t="shared" si="3"/>
        <v>2400000</v>
      </c>
      <c r="M13" s="466">
        <f t="shared" si="3"/>
        <v>2000000</v>
      </c>
      <c r="N13" s="200">
        <f t="shared" si="3"/>
        <v>1600000</v>
      </c>
      <c r="O13" s="200">
        <f t="shared" si="3"/>
        <v>1200000</v>
      </c>
      <c r="P13" s="200"/>
      <c r="Q13" s="200">
        <f t="shared" si="3"/>
        <v>800000</v>
      </c>
      <c r="R13" s="200">
        <f t="shared" si="3"/>
        <v>400000</v>
      </c>
      <c r="S13" s="200"/>
      <c r="T13" s="200">
        <f t="shared" si="3"/>
        <v>0</v>
      </c>
      <c r="U13" s="195"/>
      <c r="V13" s="48"/>
    </row>
    <row r="14" spans="1:22" ht="21" customHeight="1" x14ac:dyDescent="0.25">
      <c r="A14" s="196"/>
      <c r="B14" s="435"/>
      <c r="C14" s="436">
        <v>1</v>
      </c>
      <c r="D14" s="436">
        <f>+C14+1</f>
        <v>2</v>
      </c>
      <c r="E14" s="436" t="s">
        <v>1297</v>
      </c>
      <c r="F14" s="436">
        <f>+D14+1</f>
        <v>3</v>
      </c>
      <c r="G14" s="436">
        <f t="shared" ref="G14:R15" si="4">+F14+1</f>
        <v>4</v>
      </c>
      <c r="H14" s="436">
        <f t="shared" si="4"/>
        <v>5</v>
      </c>
      <c r="I14" s="436">
        <f t="shared" si="4"/>
        <v>6</v>
      </c>
      <c r="J14" s="436">
        <f t="shared" si="4"/>
        <v>7</v>
      </c>
      <c r="K14" s="436">
        <f t="shared" si="4"/>
        <v>8</v>
      </c>
      <c r="L14" s="436">
        <f t="shared" si="4"/>
        <v>9</v>
      </c>
      <c r="M14" s="436">
        <f t="shared" si="4"/>
        <v>10</v>
      </c>
      <c r="N14" s="198">
        <f>+M14+1</f>
        <v>11</v>
      </c>
      <c r="O14" s="198">
        <f t="shared" si="4"/>
        <v>12</v>
      </c>
      <c r="P14" s="198"/>
      <c r="Q14" s="198">
        <f>+O14+1</f>
        <v>13</v>
      </c>
      <c r="R14" s="198">
        <f t="shared" si="4"/>
        <v>14</v>
      </c>
      <c r="S14" s="198"/>
      <c r="T14" s="198">
        <f>+R14+1</f>
        <v>15</v>
      </c>
      <c r="U14" s="195"/>
      <c r="V14" s="47"/>
    </row>
    <row r="15" spans="1:22" ht="21" customHeight="1" x14ac:dyDescent="0.25">
      <c r="A15" s="197"/>
      <c r="B15" s="371" t="s">
        <v>926</v>
      </c>
      <c r="C15" s="436">
        <v>2005</v>
      </c>
      <c r="D15" s="436">
        <f>+C15+1</f>
        <v>2006</v>
      </c>
      <c r="E15" s="436" t="s">
        <v>1297</v>
      </c>
      <c r="F15" s="436">
        <f>+D15+1</f>
        <v>2007</v>
      </c>
      <c r="G15" s="436">
        <f t="shared" si="4"/>
        <v>2008</v>
      </c>
      <c r="H15" s="436">
        <f t="shared" si="4"/>
        <v>2009</v>
      </c>
      <c r="I15" s="436">
        <f t="shared" si="4"/>
        <v>2010</v>
      </c>
      <c r="J15" s="436">
        <f t="shared" si="4"/>
        <v>2011</v>
      </c>
      <c r="K15" s="436">
        <f t="shared" si="4"/>
        <v>2012</v>
      </c>
      <c r="L15" s="436">
        <f t="shared" si="4"/>
        <v>2013</v>
      </c>
      <c r="M15" s="436">
        <f t="shared" si="4"/>
        <v>2014</v>
      </c>
      <c r="N15" s="198">
        <f>+M15+1</f>
        <v>2015</v>
      </c>
      <c r="O15" s="198">
        <f t="shared" si="4"/>
        <v>2016</v>
      </c>
      <c r="P15" s="198"/>
      <c r="Q15" s="198">
        <f>+O15+1</f>
        <v>2017</v>
      </c>
      <c r="R15" s="198">
        <f t="shared" si="4"/>
        <v>2018</v>
      </c>
      <c r="S15" s="198"/>
      <c r="T15" s="198">
        <f>+R15+1</f>
        <v>2019</v>
      </c>
      <c r="U15" s="195"/>
      <c r="V15" s="47"/>
    </row>
    <row r="16" spans="1:22" ht="21" customHeight="1" x14ac:dyDescent="0.25">
      <c r="A16" s="199"/>
      <c r="B16" s="366" t="s">
        <v>923</v>
      </c>
      <c r="C16" s="402">
        <f>+C11</f>
        <v>6000000</v>
      </c>
      <c r="D16" s="402">
        <f>+C16</f>
        <v>6000000</v>
      </c>
      <c r="E16" s="436" t="s">
        <v>1297</v>
      </c>
      <c r="F16" s="402">
        <f>+D16</f>
        <v>6000000</v>
      </c>
      <c r="G16" s="402">
        <f t="shared" ref="G16:R16" si="5">+F16</f>
        <v>6000000</v>
      </c>
      <c r="H16" s="402">
        <f t="shared" si="5"/>
        <v>6000000</v>
      </c>
      <c r="I16" s="402">
        <f t="shared" si="5"/>
        <v>6000000</v>
      </c>
      <c r="J16" s="402">
        <f t="shared" si="5"/>
        <v>6000000</v>
      </c>
      <c r="K16" s="402">
        <f t="shared" si="5"/>
        <v>6000000</v>
      </c>
      <c r="L16" s="402">
        <f t="shared" si="5"/>
        <v>6000000</v>
      </c>
      <c r="M16" s="402">
        <f t="shared" si="5"/>
        <v>6000000</v>
      </c>
      <c r="N16" s="193">
        <f>+M16</f>
        <v>6000000</v>
      </c>
      <c r="O16" s="193">
        <f t="shared" si="5"/>
        <v>6000000</v>
      </c>
      <c r="P16" s="193"/>
      <c r="Q16" s="193">
        <f>+O16</f>
        <v>6000000</v>
      </c>
      <c r="R16" s="193">
        <f t="shared" si="5"/>
        <v>6000000</v>
      </c>
      <c r="S16" s="193"/>
      <c r="T16" s="193">
        <f>+R16</f>
        <v>6000000</v>
      </c>
      <c r="U16" s="195"/>
      <c r="V16" s="47"/>
    </row>
    <row r="17" spans="1:22" ht="21" customHeight="1" x14ac:dyDescent="0.2">
      <c r="A17" s="199"/>
      <c r="B17" s="366" t="s">
        <v>1291</v>
      </c>
      <c r="C17" s="402">
        <f>+-$D$6*C14</f>
        <v>-2000000</v>
      </c>
      <c r="D17" s="402">
        <f>+-$D$6*D14</f>
        <v>-4000000</v>
      </c>
      <c r="E17" s="467" t="s">
        <v>1297</v>
      </c>
      <c r="F17" s="402">
        <f>+-$D$6*F14</f>
        <v>-6000000</v>
      </c>
      <c r="G17" s="402">
        <f>+F17</f>
        <v>-6000000</v>
      </c>
      <c r="H17" s="402">
        <f t="shared" ref="H17:R17" si="6">+G17</f>
        <v>-6000000</v>
      </c>
      <c r="I17" s="402">
        <f t="shared" si="6"/>
        <v>-6000000</v>
      </c>
      <c r="J17" s="402">
        <f t="shared" si="6"/>
        <v>-6000000</v>
      </c>
      <c r="K17" s="402">
        <f t="shared" si="6"/>
        <v>-6000000</v>
      </c>
      <c r="L17" s="402">
        <f t="shared" si="6"/>
        <v>-6000000</v>
      </c>
      <c r="M17" s="402">
        <f t="shared" si="6"/>
        <v>-6000000</v>
      </c>
      <c r="N17" s="193">
        <f>+M17</f>
        <v>-6000000</v>
      </c>
      <c r="O17" s="193">
        <f t="shared" si="6"/>
        <v>-6000000</v>
      </c>
      <c r="P17" s="193"/>
      <c r="Q17" s="193">
        <f>+O17</f>
        <v>-6000000</v>
      </c>
      <c r="R17" s="193">
        <f t="shared" si="6"/>
        <v>-6000000</v>
      </c>
      <c r="S17" s="193"/>
      <c r="T17" s="193">
        <f>+R17</f>
        <v>-6000000</v>
      </c>
      <c r="U17" s="195"/>
      <c r="V17" s="47"/>
    </row>
    <row r="18" spans="1:22" s="13" customFormat="1" ht="21" customHeight="1" thickBot="1" x14ac:dyDescent="0.3">
      <c r="A18" s="196"/>
      <c r="B18" s="441" t="s">
        <v>1361</v>
      </c>
      <c r="C18" s="442">
        <f>+C16+C17</f>
        <v>4000000</v>
      </c>
      <c r="D18" s="442">
        <f t="shared" ref="D18:T18" si="7">+D16+D17</f>
        <v>2000000</v>
      </c>
      <c r="E18" s="443" t="s">
        <v>1297</v>
      </c>
      <c r="F18" s="442">
        <f t="shared" si="7"/>
        <v>0</v>
      </c>
      <c r="G18" s="442">
        <f t="shared" si="7"/>
        <v>0</v>
      </c>
      <c r="H18" s="442">
        <f t="shared" si="7"/>
        <v>0</v>
      </c>
      <c r="I18" s="442">
        <f t="shared" si="7"/>
        <v>0</v>
      </c>
      <c r="J18" s="442">
        <f t="shared" si="7"/>
        <v>0</v>
      </c>
      <c r="K18" s="442">
        <f t="shared" si="7"/>
        <v>0</v>
      </c>
      <c r="L18" s="442">
        <f t="shared" si="7"/>
        <v>0</v>
      </c>
      <c r="M18" s="466">
        <f t="shared" si="7"/>
        <v>0</v>
      </c>
      <c r="N18" s="200">
        <f t="shared" si="7"/>
        <v>0</v>
      </c>
      <c r="O18" s="200">
        <f t="shared" si="7"/>
        <v>0</v>
      </c>
      <c r="P18" s="200"/>
      <c r="Q18" s="200">
        <f t="shared" si="7"/>
        <v>0</v>
      </c>
      <c r="R18" s="200">
        <f t="shared" si="7"/>
        <v>0</v>
      </c>
      <c r="S18" s="200"/>
      <c r="T18" s="200">
        <f t="shared" si="7"/>
        <v>0</v>
      </c>
      <c r="U18" s="195"/>
      <c r="V18" s="48"/>
    </row>
    <row r="19" spans="1:22" ht="21" customHeight="1" x14ac:dyDescent="0.25">
      <c r="A19" s="194"/>
      <c r="B19" s="361" t="s">
        <v>928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190"/>
      <c r="O19" s="190"/>
      <c r="P19" s="190"/>
      <c r="Q19" s="190"/>
      <c r="R19" s="190"/>
      <c r="S19" s="190"/>
      <c r="T19" s="190"/>
      <c r="U19" s="195"/>
      <c r="V19" s="47"/>
    </row>
    <row r="20" spans="1:22" s="13" customFormat="1" ht="21" customHeight="1" thickBot="1" x14ac:dyDescent="0.3">
      <c r="A20" s="196"/>
      <c r="B20" s="448" t="s">
        <v>1295</v>
      </c>
      <c r="C20" s="468">
        <v>0</v>
      </c>
      <c r="D20" s="468">
        <f>+C22</f>
        <v>1600000</v>
      </c>
      <c r="E20" s="450" t="s">
        <v>1297</v>
      </c>
      <c r="F20" s="468">
        <f>+D22</f>
        <v>3200000</v>
      </c>
      <c r="G20" s="468">
        <f t="shared" ref="G20:R20" si="8">+F22</f>
        <v>4800000</v>
      </c>
      <c r="H20" s="468">
        <f t="shared" si="8"/>
        <v>4400000</v>
      </c>
      <c r="I20" s="468">
        <f t="shared" si="8"/>
        <v>4000000</v>
      </c>
      <c r="J20" s="468">
        <f t="shared" si="8"/>
        <v>3600000</v>
      </c>
      <c r="K20" s="468">
        <f t="shared" si="8"/>
        <v>3200000</v>
      </c>
      <c r="L20" s="468">
        <f t="shared" si="8"/>
        <v>2800000</v>
      </c>
      <c r="M20" s="469">
        <f t="shared" si="8"/>
        <v>2400000</v>
      </c>
      <c r="N20" s="200">
        <f>+M22</f>
        <v>2000000</v>
      </c>
      <c r="O20" s="200">
        <f t="shared" si="8"/>
        <v>1600000</v>
      </c>
      <c r="P20" s="200"/>
      <c r="Q20" s="200">
        <f>+O22</f>
        <v>1200000</v>
      </c>
      <c r="R20" s="200">
        <f t="shared" si="8"/>
        <v>800000</v>
      </c>
      <c r="S20" s="200"/>
      <c r="T20" s="200">
        <f>+R22</f>
        <v>400000</v>
      </c>
      <c r="U20" s="195"/>
      <c r="V20" s="48"/>
    </row>
    <row r="21" spans="1:22" s="13" customFormat="1" ht="21" customHeight="1" thickBot="1" x14ac:dyDescent="0.25">
      <c r="A21" s="196"/>
      <c r="B21" s="410" t="s">
        <v>992</v>
      </c>
      <c r="C21" s="402">
        <f>-C17+C12</f>
        <v>1600000</v>
      </c>
      <c r="D21" s="402">
        <f>+D22-D20</f>
        <v>1600000</v>
      </c>
      <c r="E21" s="467" t="s">
        <v>1297</v>
      </c>
      <c r="F21" s="402">
        <f t="shared" ref="F21:T21" si="9">+F22-F20</f>
        <v>1600000</v>
      </c>
      <c r="G21" s="402">
        <f t="shared" si="9"/>
        <v>-400000</v>
      </c>
      <c r="H21" s="402">
        <f t="shared" si="9"/>
        <v>-400000</v>
      </c>
      <c r="I21" s="402">
        <f t="shared" si="9"/>
        <v>-400000</v>
      </c>
      <c r="J21" s="402">
        <f t="shared" si="9"/>
        <v>-400000</v>
      </c>
      <c r="K21" s="402">
        <f t="shared" si="9"/>
        <v>-400000</v>
      </c>
      <c r="L21" s="402">
        <f t="shared" si="9"/>
        <v>-400000</v>
      </c>
      <c r="M21" s="355">
        <f t="shared" si="9"/>
        <v>-400000</v>
      </c>
      <c r="N21" s="203">
        <f t="shared" si="9"/>
        <v>-400000</v>
      </c>
      <c r="O21" s="203">
        <f t="shared" si="9"/>
        <v>-400000</v>
      </c>
      <c r="P21" s="200"/>
      <c r="Q21" s="203">
        <f t="shared" si="9"/>
        <v>-400000</v>
      </c>
      <c r="R21" s="203">
        <f t="shared" si="9"/>
        <v>-400000</v>
      </c>
      <c r="S21" s="200"/>
      <c r="T21" s="203">
        <f t="shared" si="9"/>
        <v>-400000</v>
      </c>
      <c r="U21" s="195"/>
      <c r="V21" s="48"/>
    </row>
    <row r="22" spans="1:22" s="13" customFormat="1" ht="21" customHeight="1" thickBot="1" x14ac:dyDescent="0.3">
      <c r="A22" s="196"/>
      <c r="B22" s="455" t="s">
        <v>1362</v>
      </c>
      <c r="C22" s="470">
        <f>+C13-C18</f>
        <v>1600000</v>
      </c>
      <c r="D22" s="470">
        <f>+D13-D18</f>
        <v>3200000</v>
      </c>
      <c r="E22" s="457" t="s">
        <v>1297</v>
      </c>
      <c r="F22" s="470">
        <f t="shared" ref="F22:O22" si="10">+F13-F18</f>
        <v>4800000</v>
      </c>
      <c r="G22" s="456">
        <f t="shared" si="10"/>
        <v>4400000</v>
      </c>
      <c r="H22" s="456">
        <f t="shared" si="10"/>
        <v>4000000</v>
      </c>
      <c r="I22" s="456">
        <f t="shared" si="10"/>
        <v>3600000</v>
      </c>
      <c r="J22" s="456">
        <f t="shared" si="10"/>
        <v>3200000</v>
      </c>
      <c r="K22" s="456">
        <f t="shared" si="10"/>
        <v>2800000</v>
      </c>
      <c r="L22" s="470">
        <f t="shared" si="10"/>
        <v>2400000</v>
      </c>
      <c r="M22" s="471">
        <f t="shared" si="10"/>
        <v>2000000</v>
      </c>
      <c r="N22" s="200">
        <f t="shared" si="10"/>
        <v>1600000</v>
      </c>
      <c r="O22" s="200">
        <f t="shared" si="10"/>
        <v>1200000</v>
      </c>
      <c r="P22" s="200"/>
      <c r="Q22" s="200">
        <f>+Q13-Q18</f>
        <v>800000</v>
      </c>
      <c r="R22" s="200">
        <f>+R13-R18</f>
        <v>400000</v>
      </c>
      <c r="S22" s="200"/>
      <c r="T22" s="200">
        <f>+T13-T18</f>
        <v>0</v>
      </c>
      <c r="U22" s="195"/>
      <c r="V22" s="48"/>
    </row>
    <row r="23" spans="1:22" ht="21" customHeight="1" x14ac:dyDescent="0.2">
      <c r="A23" s="194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5"/>
      <c r="V23" s="47"/>
    </row>
  </sheetData>
  <printOptions horizontalCentered="1"/>
  <pageMargins left="0.35433070866141736" right="0.23622047244094491" top="0.31496062992125984" bottom="0.19685039370078741" header="0" footer="0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0000"/>
  </sheetPr>
  <dimension ref="A1:L105"/>
  <sheetViews>
    <sheetView tabSelected="1" topLeftCell="A18" zoomScale="80" zoomScaleNormal="80" workbookViewId="0">
      <selection activeCell="I25" sqref="B25:I37"/>
    </sheetView>
  </sheetViews>
  <sheetFormatPr baseColWidth="10" defaultRowHeight="15.95" customHeight="1" x14ac:dyDescent="0.2"/>
  <cols>
    <col min="1" max="1" width="10.5703125" style="490" customWidth="1"/>
    <col min="2" max="2" width="13.7109375" style="490" customWidth="1"/>
    <col min="3" max="3" width="1.7109375" style="490" customWidth="1"/>
    <col min="4" max="4" width="4.7109375" style="490" customWidth="1"/>
    <col min="5" max="7" width="13.7109375" style="490" customWidth="1"/>
    <col min="8" max="8" width="1.7109375" style="490" customWidth="1"/>
    <col min="9" max="9" width="4.7109375" style="490" customWidth="1"/>
    <col min="10" max="10" width="13.7109375" style="490" customWidth="1"/>
    <col min="11" max="11" width="11.28515625" style="22" bestFit="1" customWidth="1"/>
    <col min="12" max="245" width="11.42578125" style="22"/>
    <col min="246" max="246" width="40.5703125" style="22" bestFit="1" customWidth="1"/>
    <col min="247" max="247" width="16.85546875" style="22" customWidth="1"/>
    <col min="248" max="248" width="15.42578125" style="22" bestFit="1" customWidth="1"/>
    <col min="249" max="249" width="16.140625" style="22" bestFit="1" customWidth="1"/>
    <col min="250" max="250" width="13.5703125" style="22" customWidth="1"/>
    <col min="251" max="251" width="16.5703125" style="22" customWidth="1"/>
    <col min="252" max="501" width="11.42578125" style="22"/>
    <col min="502" max="502" width="40.5703125" style="22" bestFit="1" customWidth="1"/>
    <col min="503" max="503" width="16.85546875" style="22" customWidth="1"/>
    <col min="504" max="504" width="15.42578125" style="22" bestFit="1" customWidth="1"/>
    <col min="505" max="505" width="16.140625" style="22" bestFit="1" customWidth="1"/>
    <col min="506" max="506" width="13.5703125" style="22" customWidth="1"/>
    <col min="507" max="507" width="16.5703125" style="22" customWidth="1"/>
    <col min="508" max="757" width="11.42578125" style="22"/>
    <col min="758" max="758" width="40.5703125" style="22" bestFit="1" customWidth="1"/>
    <col min="759" max="759" width="16.85546875" style="22" customWidth="1"/>
    <col min="760" max="760" width="15.42578125" style="22" bestFit="1" customWidth="1"/>
    <col min="761" max="761" width="16.140625" style="22" bestFit="1" customWidth="1"/>
    <col min="762" max="762" width="13.5703125" style="22" customWidth="1"/>
    <col min="763" max="763" width="16.5703125" style="22" customWidth="1"/>
    <col min="764" max="1013" width="11.42578125" style="22"/>
    <col min="1014" max="1014" width="40.5703125" style="22" bestFit="1" customWidth="1"/>
    <col min="1015" max="1015" width="16.85546875" style="22" customWidth="1"/>
    <col min="1016" max="1016" width="15.42578125" style="22" bestFit="1" customWidth="1"/>
    <col min="1017" max="1017" width="16.140625" style="22" bestFit="1" customWidth="1"/>
    <col min="1018" max="1018" width="13.5703125" style="22" customWidth="1"/>
    <col min="1019" max="1019" width="16.5703125" style="22" customWidth="1"/>
    <col min="1020" max="1269" width="11.42578125" style="22"/>
    <col min="1270" max="1270" width="40.5703125" style="22" bestFit="1" customWidth="1"/>
    <col min="1271" max="1271" width="16.85546875" style="22" customWidth="1"/>
    <col min="1272" max="1272" width="15.42578125" style="22" bestFit="1" customWidth="1"/>
    <col min="1273" max="1273" width="16.140625" style="22" bestFit="1" customWidth="1"/>
    <col min="1274" max="1274" width="13.5703125" style="22" customWidth="1"/>
    <col min="1275" max="1275" width="16.5703125" style="22" customWidth="1"/>
    <col min="1276" max="1525" width="11.42578125" style="22"/>
    <col min="1526" max="1526" width="40.5703125" style="22" bestFit="1" customWidth="1"/>
    <col min="1527" max="1527" width="16.85546875" style="22" customWidth="1"/>
    <col min="1528" max="1528" width="15.42578125" style="22" bestFit="1" customWidth="1"/>
    <col min="1529" max="1529" width="16.140625" style="22" bestFit="1" customWidth="1"/>
    <col min="1530" max="1530" width="13.5703125" style="22" customWidth="1"/>
    <col min="1531" max="1531" width="16.5703125" style="22" customWidth="1"/>
    <col min="1532" max="1781" width="11.42578125" style="22"/>
    <col min="1782" max="1782" width="40.5703125" style="22" bestFit="1" customWidth="1"/>
    <col min="1783" max="1783" width="16.85546875" style="22" customWidth="1"/>
    <col min="1784" max="1784" width="15.42578125" style="22" bestFit="1" customWidth="1"/>
    <col min="1785" max="1785" width="16.140625" style="22" bestFit="1" customWidth="1"/>
    <col min="1786" max="1786" width="13.5703125" style="22" customWidth="1"/>
    <col min="1787" max="1787" width="16.5703125" style="22" customWidth="1"/>
    <col min="1788" max="2037" width="11.42578125" style="22"/>
    <col min="2038" max="2038" width="40.5703125" style="22" bestFit="1" customWidth="1"/>
    <col min="2039" max="2039" width="16.85546875" style="22" customWidth="1"/>
    <col min="2040" max="2040" width="15.42578125" style="22" bestFit="1" customWidth="1"/>
    <col min="2041" max="2041" width="16.140625" style="22" bestFit="1" customWidth="1"/>
    <col min="2042" max="2042" width="13.5703125" style="22" customWidth="1"/>
    <col min="2043" max="2043" width="16.5703125" style="22" customWidth="1"/>
    <col min="2044" max="2293" width="11.42578125" style="22"/>
    <col min="2294" max="2294" width="40.5703125" style="22" bestFit="1" customWidth="1"/>
    <col min="2295" max="2295" width="16.85546875" style="22" customWidth="1"/>
    <col min="2296" max="2296" width="15.42578125" style="22" bestFit="1" customWidth="1"/>
    <col min="2297" max="2297" width="16.140625" style="22" bestFit="1" customWidth="1"/>
    <col min="2298" max="2298" width="13.5703125" style="22" customWidth="1"/>
    <col min="2299" max="2299" width="16.5703125" style="22" customWidth="1"/>
    <col min="2300" max="2549" width="11.42578125" style="22"/>
    <col min="2550" max="2550" width="40.5703125" style="22" bestFit="1" customWidth="1"/>
    <col min="2551" max="2551" width="16.85546875" style="22" customWidth="1"/>
    <col min="2552" max="2552" width="15.42578125" style="22" bestFit="1" customWidth="1"/>
    <col min="2553" max="2553" width="16.140625" style="22" bestFit="1" customWidth="1"/>
    <col min="2554" max="2554" width="13.5703125" style="22" customWidth="1"/>
    <col min="2555" max="2555" width="16.5703125" style="22" customWidth="1"/>
    <col min="2556" max="2805" width="11.42578125" style="22"/>
    <col min="2806" max="2806" width="40.5703125" style="22" bestFit="1" customWidth="1"/>
    <col min="2807" max="2807" width="16.85546875" style="22" customWidth="1"/>
    <col min="2808" max="2808" width="15.42578125" style="22" bestFit="1" customWidth="1"/>
    <col min="2809" max="2809" width="16.140625" style="22" bestFit="1" customWidth="1"/>
    <col min="2810" max="2810" width="13.5703125" style="22" customWidth="1"/>
    <col min="2811" max="2811" width="16.5703125" style="22" customWidth="1"/>
    <col min="2812" max="3061" width="11.42578125" style="22"/>
    <col min="3062" max="3062" width="40.5703125" style="22" bestFit="1" customWidth="1"/>
    <col min="3063" max="3063" width="16.85546875" style="22" customWidth="1"/>
    <col min="3064" max="3064" width="15.42578125" style="22" bestFit="1" customWidth="1"/>
    <col min="3065" max="3065" width="16.140625" style="22" bestFit="1" customWidth="1"/>
    <col min="3066" max="3066" width="13.5703125" style="22" customWidth="1"/>
    <col min="3067" max="3067" width="16.5703125" style="22" customWidth="1"/>
    <col min="3068" max="3317" width="11.42578125" style="22"/>
    <col min="3318" max="3318" width="40.5703125" style="22" bestFit="1" customWidth="1"/>
    <col min="3319" max="3319" width="16.85546875" style="22" customWidth="1"/>
    <col min="3320" max="3320" width="15.42578125" style="22" bestFit="1" customWidth="1"/>
    <col min="3321" max="3321" width="16.140625" style="22" bestFit="1" customWidth="1"/>
    <col min="3322" max="3322" width="13.5703125" style="22" customWidth="1"/>
    <col min="3323" max="3323" width="16.5703125" style="22" customWidth="1"/>
    <col min="3324" max="3573" width="11.42578125" style="22"/>
    <col min="3574" max="3574" width="40.5703125" style="22" bestFit="1" customWidth="1"/>
    <col min="3575" max="3575" width="16.85546875" style="22" customWidth="1"/>
    <col min="3576" max="3576" width="15.42578125" style="22" bestFit="1" customWidth="1"/>
    <col min="3577" max="3577" width="16.140625" style="22" bestFit="1" customWidth="1"/>
    <col min="3578" max="3578" width="13.5703125" style="22" customWidth="1"/>
    <col min="3579" max="3579" width="16.5703125" style="22" customWidth="1"/>
    <col min="3580" max="3829" width="11.42578125" style="22"/>
    <col min="3830" max="3830" width="40.5703125" style="22" bestFit="1" customWidth="1"/>
    <col min="3831" max="3831" width="16.85546875" style="22" customWidth="1"/>
    <col min="3832" max="3832" width="15.42578125" style="22" bestFit="1" customWidth="1"/>
    <col min="3833" max="3833" width="16.140625" style="22" bestFit="1" customWidth="1"/>
    <col min="3834" max="3834" width="13.5703125" style="22" customWidth="1"/>
    <col min="3835" max="3835" width="16.5703125" style="22" customWidth="1"/>
    <col min="3836" max="4085" width="11.42578125" style="22"/>
    <col min="4086" max="4086" width="40.5703125" style="22" bestFit="1" customWidth="1"/>
    <col min="4087" max="4087" width="16.85546875" style="22" customWidth="1"/>
    <col min="4088" max="4088" width="15.42578125" style="22" bestFit="1" customWidth="1"/>
    <col min="4089" max="4089" width="16.140625" style="22" bestFit="1" customWidth="1"/>
    <col min="4090" max="4090" width="13.5703125" style="22" customWidth="1"/>
    <col min="4091" max="4091" width="16.5703125" style="22" customWidth="1"/>
    <col min="4092" max="4341" width="11.42578125" style="22"/>
    <col min="4342" max="4342" width="40.5703125" style="22" bestFit="1" customWidth="1"/>
    <col min="4343" max="4343" width="16.85546875" style="22" customWidth="1"/>
    <col min="4344" max="4344" width="15.42578125" style="22" bestFit="1" customWidth="1"/>
    <col min="4345" max="4345" width="16.140625" style="22" bestFit="1" customWidth="1"/>
    <col min="4346" max="4346" width="13.5703125" style="22" customWidth="1"/>
    <col min="4347" max="4347" width="16.5703125" style="22" customWidth="1"/>
    <col min="4348" max="4597" width="11.42578125" style="22"/>
    <col min="4598" max="4598" width="40.5703125" style="22" bestFit="1" customWidth="1"/>
    <col min="4599" max="4599" width="16.85546875" style="22" customWidth="1"/>
    <col min="4600" max="4600" width="15.42578125" style="22" bestFit="1" customWidth="1"/>
    <col min="4601" max="4601" width="16.140625" style="22" bestFit="1" customWidth="1"/>
    <col min="4602" max="4602" width="13.5703125" style="22" customWidth="1"/>
    <col min="4603" max="4603" width="16.5703125" style="22" customWidth="1"/>
    <col min="4604" max="4853" width="11.42578125" style="22"/>
    <col min="4854" max="4854" width="40.5703125" style="22" bestFit="1" customWidth="1"/>
    <col min="4855" max="4855" width="16.85546875" style="22" customWidth="1"/>
    <col min="4856" max="4856" width="15.42578125" style="22" bestFit="1" customWidth="1"/>
    <col min="4857" max="4857" width="16.140625" style="22" bestFit="1" customWidth="1"/>
    <col min="4858" max="4858" width="13.5703125" style="22" customWidth="1"/>
    <col min="4859" max="4859" width="16.5703125" style="22" customWidth="1"/>
    <col min="4860" max="5109" width="11.42578125" style="22"/>
    <col min="5110" max="5110" width="40.5703125" style="22" bestFit="1" customWidth="1"/>
    <col min="5111" max="5111" width="16.85546875" style="22" customWidth="1"/>
    <col min="5112" max="5112" width="15.42578125" style="22" bestFit="1" customWidth="1"/>
    <col min="5113" max="5113" width="16.140625" style="22" bestFit="1" customWidth="1"/>
    <col min="5114" max="5114" width="13.5703125" style="22" customWidth="1"/>
    <col min="5115" max="5115" width="16.5703125" style="22" customWidth="1"/>
    <col min="5116" max="5365" width="11.42578125" style="22"/>
    <col min="5366" max="5366" width="40.5703125" style="22" bestFit="1" customWidth="1"/>
    <col min="5367" max="5367" width="16.85546875" style="22" customWidth="1"/>
    <col min="5368" max="5368" width="15.42578125" style="22" bestFit="1" customWidth="1"/>
    <col min="5369" max="5369" width="16.140625" style="22" bestFit="1" customWidth="1"/>
    <col min="5370" max="5370" width="13.5703125" style="22" customWidth="1"/>
    <col min="5371" max="5371" width="16.5703125" style="22" customWidth="1"/>
    <col min="5372" max="5621" width="11.42578125" style="22"/>
    <col min="5622" max="5622" width="40.5703125" style="22" bestFit="1" customWidth="1"/>
    <col min="5623" max="5623" width="16.85546875" style="22" customWidth="1"/>
    <col min="5624" max="5624" width="15.42578125" style="22" bestFit="1" customWidth="1"/>
    <col min="5625" max="5625" width="16.140625" style="22" bestFit="1" customWidth="1"/>
    <col min="5626" max="5626" width="13.5703125" style="22" customWidth="1"/>
    <col min="5627" max="5627" width="16.5703125" style="22" customWidth="1"/>
    <col min="5628" max="5877" width="11.42578125" style="22"/>
    <col min="5878" max="5878" width="40.5703125" style="22" bestFit="1" customWidth="1"/>
    <col min="5879" max="5879" width="16.85546875" style="22" customWidth="1"/>
    <col min="5880" max="5880" width="15.42578125" style="22" bestFit="1" customWidth="1"/>
    <col min="5881" max="5881" width="16.140625" style="22" bestFit="1" customWidth="1"/>
    <col min="5882" max="5882" width="13.5703125" style="22" customWidth="1"/>
    <col min="5883" max="5883" width="16.5703125" style="22" customWidth="1"/>
    <col min="5884" max="6133" width="11.42578125" style="22"/>
    <col min="6134" max="6134" width="40.5703125" style="22" bestFit="1" customWidth="1"/>
    <col min="6135" max="6135" width="16.85546875" style="22" customWidth="1"/>
    <col min="6136" max="6136" width="15.42578125" style="22" bestFit="1" customWidth="1"/>
    <col min="6137" max="6137" width="16.140625" style="22" bestFit="1" customWidth="1"/>
    <col min="6138" max="6138" width="13.5703125" style="22" customWidth="1"/>
    <col min="6139" max="6139" width="16.5703125" style="22" customWidth="1"/>
    <col min="6140" max="6389" width="11.42578125" style="22"/>
    <col min="6390" max="6390" width="40.5703125" style="22" bestFit="1" customWidth="1"/>
    <col min="6391" max="6391" width="16.85546875" style="22" customWidth="1"/>
    <col min="6392" max="6392" width="15.42578125" style="22" bestFit="1" customWidth="1"/>
    <col min="6393" max="6393" width="16.140625" style="22" bestFit="1" customWidth="1"/>
    <col min="6394" max="6394" width="13.5703125" style="22" customWidth="1"/>
    <col min="6395" max="6395" width="16.5703125" style="22" customWidth="1"/>
    <col min="6396" max="6645" width="11.42578125" style="22"/>
    <col min="6646" max="6646" width="40.5703125" style="22" bestFit="1" customWidth="1"/>
    <col min="6647" max="6647" width="16.85546875" style="22" customWidth="1"/>
    <col min="6648" max="6648" width="15.42578125" style="22" bestFit="1" customWidth="1"/>
    <col min="6649" max="6649" width="16.140625" style="22" bestFit="1" customWidth="1"/>
    <col min="6650" max="6650" width="13.5703125" style="22" customWidth="1"/>
    <col min="6651" max="6651" width="16.5703125" style="22" customWidth="1"/>
    <col min="6652" max="6901" width="11.42578125" style="22"/>
    <col min="6902" max="6902" width="40.5703125" style="22" bestFit="1" customWidth="1"/>
    <col min="6903" max="6903" width="16.85546875" style="22" customWidth="1"/>
    <col min="6904" max="6904" width="15.42578125" style="22" bestFit="1" customWidth="1"/>
    <col min="6905" max="6905" width="16.140625" style="22" bestFit="1" customWidth="1"/>
    <col min="6906" max="6906" width="13.5703125" style="22" customWidth="1"/>
    <col min="6907" max="6907" width="16.5703125" style="22" customWidth="1"/>
    <col min="6908" max="7157" width="11.42578125" style="22"/>
    <col min="7158" max="7158" width="40.5703125" style="22" bestFit="1" customWidth="1"/>
    <col min="7159" max="7159" width="16.85546875" style="22" customWidth="1"/>
    <col min="7160" max="7160" width="15.42578125" style="22" bestFit="1" customWidth="1"/>
    <col min="7161" max="7161" width="16.140625" style="22" bestFit="1" customWidth="1"/>
    <col min="7162" max="7162" width="13.5703125" style="22" customWidth="1"/>
    <col min="7163" max="7163" width="16.5703125" style="22" customWidth="1"/>
    <col min="7164" max="7413" width="11.42578125" style="22"/>
    <col min="7414" max="7414" width="40.5703125" style="22" bestFit="1" customWidth="1"/>
    <col min="7415" max="7415" width="16.85546875" style="22" customWidth="1"/>
    <col min="7416" max="7416" width="15.42578125" style="22" bestFit="1" customWidth="1"/>
    <col min="7417" max="7417" width="16.140625" style="22" bestFit="1" customWidth="1"/>
    <col min="7418" max="7418" width="13.5703125" style="22" customWidth="1"/>
    <col min="7419" max="7419" width="16.5703125" style="22" customWidth="1"/>
    <col min="7420" max="7669" width="11.42578125" style="22"/>
    <col min="7670" max="7670" width="40.5703125" style="22" bestFit="1" customWidth="1"/>
    <col min="7671" max="7671" width="16.85546875" style="22" customWidth="1"/>
    <col min="7672" max="7672" width="15.42578125" style="22" bestFit="1" customWidth="1"/>
    <col min="7673" max="7673" width="16.140625" style="22" bestFit="1" customWidth="1"/>
    <col min="7674" max="7674" width="13.5703125" style="22" customWidth="1"/>
    <col min="7675" max="7675" width="16.5703125" style="22" customWidth="1"/>
    <col min="7676" max="7925" width="11.42578125" style="22"/>
    <col min="7926" max="7926" width="40.5703125" style="22" bestFit="1" customWidth="1"/>
    <col min="7927" max="7927" width="16.85546875" style="22" customWidth="1"/>
    <col min="7928" max="7928" width="15.42578125" style="22" bestFit="1" customWidth="1"/>
    <col min="7929" max="7929" width="16.140625" style="22" bestFit="1" customWidth="1"/>
    <col min="7930" max="7930" width="13.5703125" style="22" customWidth="1"/>
    <col min="7931" max="7931" width="16.5703125" style="22" customWidth="1"/>
    <col min="7932" max="8181" width="11.42578125" style="22"/>
    <col min="8182" max="8182" width="40.5703125" style="22" bestFit="1" customWidth="1"/>
    <col min="8183" max="8183" width="16.85546875" style="22" customWidth="1"/>
    <col min="8184" max="8184" width="15.42578125" style="22" bestFit="1" customWidth="1"/>
    <col min="8185" max="8185" width="16.140625" style="22" bestFit="1" customWidth="1"/>
    <col min="8186" max="8186" width="13.5703125" style="22" customWidth="1"/>
    <col min="8187" max="8187" width="16.5703125" style="22" customWidth="1"/>
    <col min="8188" max="8437" width="11.42578125" style="22"/>
    <col min="8438" max="8438" width="40.5703125" style="22" bestFit="1" customWidth="1"/>
    <col min="8439" max="8439" width="16.85546875" style="22" customWidth="1"/>
    <col min="8440" max="8440" width="15.42578125" style="22" bestFit="1" customWidth="1"/>
    <col min="8441" max="8441" width="16.140625" style="22" bestFit="1" customWidth="1"/>
    <col min="8442" max="8442" width="13.5703125" style="22" customWidth="1"/>
    <col min="8443" max="8443" width="16.5703125" style="22" customWidth="1"/>
    <col min="8444" max="8693" width="11.42578125" style="22"/>
    <col min="8694" max="8694" width="40.5703125" style="22" bestFit="1" customWidth="1"/>
    <col min="8695" max="8695" width="16.85546875" style="22" customWidth="1"/>
    <col min="8696" max="8696" width="15.42578125" style="22" bestFit="1" customWidth="1"/>
    <col min="8697" max="8697" width="16.140625" style="22" bestFit="1" customWidth="1"/>
    <col min="8698" max="8698" width="13.5703125" style="22" customWidth="1"/>
    <col min="8699" max="8699" width="16.5703125" style="22" customWidth="1"/>
    <col min="8700" max="8949" width="11.42578125" style="22"/>
    <col min="8950" max="8950" width="40.5703125" style="22" bestFit="1" customWidth="1"/>
    <col min="8951" max="8951" width="16.85546875" style="22" customWidth="1"/>
    <col min="8952" max="8952" width="15.42578125" style="22" bestFit="1" customWidth="1"/>
    <col min="8953" max="8953" width="16.140625" style="22" bestFit="1" customWidth="1"/>
    <col min="8954" max="8954" width="13.5703125" style="22" customWidth="1"/>
    <col min="8955" max="8955" width="16.5703125" style="22" customWidth="1"/>
    <col min="8956" max="9205" width="11.42578125" style="22"/>
    <col min="9206" max="9206" width="40.5703125" style="22" bestFit="1" customWidth="1"/>
    <col min="9207" max="9207" width="16.85546875" style="22" customWidth="1"/>
    <col min="9208" max="9208" width="15.42578125" style="22" bestFit="1" customWidth="1"/>
    <col min="9209" max="9209" width="16.140625" style="22" bestFit="1" customWidth="1"/>
    <col min="9210" max="9210" width="13.5703125" style="22" customWidth="1"/>
    <col min="9211" max="9211" width="16.5703125" style="22" customWidth="1"/>
    <col min="9212" max="9461" width="11.42578125" style="22"/>
    <col min="9462" max="9462" width="40.5703125" style="22" bestFit="1" customWidth="1"/>
    <col min="9463" max="9463" width="16.85546875" style="22" customWidth="1"/>
    <col min="9464" max="9464" width="15.42578125" style="22" bestFit="1" customWidth="1"/>
    <col min="9465" max="9465" width="16.140625" style="22" bestFit="1" customWidth="1"/>
    <col min="9466" max="9466" width="13.5703125" style="22" customWidth="1"/>
    <col min="9467" max="9467" width="16.5703125" style="22" customWidth="1"/>
    <col min="9468" max="9717" width="11.42578125" style="22"/>
    <col min="9718" max="9718" width="40.5703125" style="22" bestFit="1" customWidth="1"/>
    <col min="9719" max="9719" width="16.85546875" style="22" customWidth="1"/>
    <col min="9720" max="9720" width="15.42578125" style="22" bestFit="1" customWidth="1"/>
    <col min="9721" max="9721" width="16.140625" style="22" bestFit="1" customWidth="1"/>
    <col min="9722" max="9722" width="13.5703125" style="22" customWidth="1"/>
    <col min="9723" max="9723" width="16.5703125" style="22" customWidth="1"/>
    <col min="9724" max="9973" width="11.42578125" style="22"/>
    <col min="9974" max="9974" width="40.5703125" style="22" bestFit="1" customWidth="1"/>
    <col min="9975" max="9975" width="16.85546875" style="22" customWidth="1"/>
    <col min="9976" max="9976" width="15.42578125" style="22" bestFit="1" customWidth="1"/>
    <col min="9977" max="9977" width="16.140625" style="22" bestFit="1" customWidth="1"/>
    <col min="9978" max="9978" width="13.5703125" style="22" customWidth="1"/>
    <col min="9979" max="9979" width="16.5703125" style="22" customWidth="1"/>
    <col min="9980" max="10229" width="11.42578125" style="22"/>
    <col min="10230" max="10230" width="40.5703125" style="22" bestFit="1" customWidth="1"/>
    <col min="10231" max="10231" width="16.85546875" style="22" customWidth="1"/>
    <col min="10232" max="10232" width="15.42578125" style="22" bestFit="1" customWidth="1"/>
    <col min="10233" max="10233" width="16.140625" style="22" bestFit="1" customWidth="1"/>
    <col min="10234" max="10234" width="13.5703125" style="22" customWidth="1"/>
    <col min="10235" max="10235" width="16.5703125" style="22" customWidth="1"/>
    <col min="10236" max="10485" width="11.42578125" style="22"/>
    <col min="10486" max="10486" width="40.5703125" style="22" bestFit="1" customWidth="1"/>
    <col min="10487" max="10487" width="16.85546875" style="22" customWidth="1"/>
    <col min="10488" max="10488" width="15.42578125" style="22" bestFit="1" customWidth="1"/>
    <col min="10489" max="10489" width="16.140625" style="22" bestFit="1" customWidth="1"/>
    <col min="10490" max="10490" width="13.5703125" style="22" customWidth="1"/>
    <col min="10491" max="10491" width="16.5703125" style="22" customWidth="1"/>
    <col min="10492" max="10741" width="11.42578125" style="22"/>
    <col min="10742" max="10742" width="40.5703125" style="22" bestFit="1" customWidth="1"/>
    <col min="10743" max="10743" width="16.85546875" style="22" customWidth="1"/>
    <col min="10744" max="10744" width="15.42578125" style="22" bestFit="1" customWidth="1"/>
    <col min="10745" max="10745" width="16.140625" style="22" bestFit="1" customWidth="1"/>
    <col min="10746" max="10746" width="13.5703125" style="22" customWidth="1"/>
    <col min="10747" max="10747" width="16.5703125" style="22" customWidth="1"/>
    <col min="10748" max="10997" width="11.42578125" style="22"/>
    <col min="10998" max="10998" width="40.5703125" style="22" bestFit="1" customWidth="1"/>
    <col min="10999" max="10999" width="16.85546875" style="22" customWidth="1"/>
    <col min="11000" max="11000" width="15.42578125" style="22" bestFit="1" customWidth="1"/>
    <col min="11001" max="11001" width="16.140625" style="22" bestFit="1" customWidth="1"/>
    <col min="11002" max="11002" width="13.5703125" style="22" customWidth="1"/>
    <col min="11003" max="11003" width="16.5703125" style="22" customWidth="1"/>
    <col min="11004" max="11253" width="11.42578125" style="22"/>
    <col min="11254" max="11254" width="40.5703125" style="22" bestFit="1" customWidth="1"/>
    <col min="11255" max="11255" width="16.85546875" style="22" customWidth="1"/>
    <col min="11256" max="11256" width="15.42578125" style="22" bestFit="1" customWidth="1"/>
    <col min="11257" max="11257" width="16.140625" style="22" bestFit="1" customWidth="1"/>
    <col min="11258" max="11258" width="13.5703125" style="22" customWidth="1"/>
    <col min="11259" max="11259" width="16.5703125" style="22" customWidth="1"/>
    <col min="11260" max="11509" width="11.42578125" style="22"/>
    <col min="11510" max="11510" width="40.5703125" style="22" bestFit="1" customWidth="1"/>
    <col min="11511" max="11511" width="16.85546875" style="22" customWidth="1"/>
    <col min="11512" max="11512" width="15.42578125" style="22" bestFit="1" customWidth="1"/>
    <col min="11513" max="11513" width="16.140625" style="22" bestFit="1" customWidth="1"/>
    <col min="11514" max="11514" width="13.5703125" style="22" customWidth="1"/>
    <col min="11515" max="11515" width="16.5703125" style="22" customWidth="1"/>
    <col min="11516" max="11765" width="11.42578125" style="22"/>
    <col min="11766" max="11766" width="40.5703125" style="22" bestFit="1" customWidth="1"/>
    <col min="11767" max="11767" width="16.85546875" style="22" customWidth="1"/>
    <col min="11768" max="11768" width="15.42578125" style="22" bestFit="1" customWidth="1"/>
    <col min="11769" max="11769" width="16.140625" style="22" bestFit="1" customWidth="1"/>
    <col min="11770" max="11770" width="13.5703125" style="22" customWidth="1"/>
    <col min="11771" max="11771" width="16.5703125" style="22" customWidth="1"/>
    <col min="11772" max="12021" width="11.42578125" style="22"/>
    <col min="12022" max="12022" width="40.5703125" style="22" bestFit="1" customWidth="1"/>
    <col min="12023" max="12023" width="16.85546875" style="22" customWidth="1"/>
    <col min="12024" max="12024" width="15.42578125" style="22" bestFit="1" customWidth="1"/>
    <col min="12025" max="12025" width="16.140625" style="22" bestFit="1" customWidth="1"/>
    <col min="12026" max="12026" width="13.5703125" style="22" customWidth="1"/>
    <col min="12027" max="12027" width="16.5703125" style="22" customWidth="1"/>
    <col min="12028" max="12277" width="11.42578125" style="22"/>
    <col min="12278" max="12278" width="40.5703125" style="22" bestFit="1" customWidth="1"/>
    <col min="12279" max="12279" width="16.85546875" style="22" customWidth="1"/>
    <col min="12280" max="12280" width="15.42578125" style="22" bestFit="1" customWidth="1"/>
    <col min="12281" max="12281" width="16.140625" style="22" bestFit="1" customWidth="1"/>
    <col min="12282" max="12282" width="13.5703125" style="22" customWidth="1"/>
    <col min="12283" max="12283" width="16.5703125" style="22" customWidth="1"/>
    <col min="12284" max="12533" width="11.42578125" style="22"/>
    <col min="12534" max="12534" width="40.5703125" style="22" bestFit="1" customWidth="1"/>
    <col min="12535" max="12535" width="16.85546875" style="22" customWidth="1"/>
    <col min="12536" max="12536" width="15.42578125" style="22" bestFit="1" customWidth="1"/>
    <col min="12537" max="12537" width="16.140625" style="22" bestFit="1" customWidth="1"/>
    <col min="12538" max="12538" width="13.5703125" style="22" customWidth="1"/>
    <col min="12539" max="12539" width="16.5703125" style="22" customWidth="1"/>
    <col min="12540" max="12789" width="11.42578125" style="22"/>
    <col min="12790" max="12790" width="40.5703125" style="22" bestFit="1" customWidth="1"/>
    <col min="12791" max="12791" width="16.85546875" style="22" customWidth="1"/>
    <col min="12792" max="12792" width="15.42578125" style="22" bestFit="1" customWidth="1"/>
    <col min="12793" max="12793" width="16.140625" style="22" bestFit="1" customWidth="1"/>
    <col min="12794" max="12794" width="13.5703125" style="22" customWidth="1"/>
    <col min="12795" max="12795" width="16.5703125" style="22" customWidth="1"/>
    <col min="12796" max="13045" width="11.42578125" style="22"/>
    <col min="13046" max="13046" width="40.5703125" style="22" bestFit="1" customWidth="1"/>
    <col min="13047" max="13047" width="16.85546875" style="22" customWidth="1"/>
    <col min="13048" max="13048" width="15.42578125" style="22" bestFit="1" customWidth="1"/>
    <col min="13049" max="13049" width="16.140625" style="22" bestFit="1" customWidth="1"/>
    <col min="13050" max="13050" width="13.5703125" style="22" customWidth="1"/>
    <col min="13051" max="13051" width="16.5703125" style="22" customWidth="1"/>
    <col min="13052" max="13301" width="11.42578125" style="22"/>
    <col min="13302" max="13302" width="40.5703125" style="22" bestFit="1" customWidth="1"/>
    <col min="13303" max="13303" width="16.85546875" style="22" customWidth="1"/>
    <col min="13304" max="13304" width="15.42578125" style="22" bestFit="1" customWidth="1"/>
    <col min="13305" max="13305" width="16.140625" style="22" bestFit="1" customWidth="1"/>
    <col min="13306" max="13306" width="13.5703125" style="22" customWidth="1"/>
    <col min="13307" max="13307" width="16.5703125" style="22" customWidth="1"/>
    <col min="13308" max="13557" width="11.42578125" style="22"/>
    <col min="13558" max="13558" width="40.5703125" style="22" bestFit="1" customWidth="1"/>
    <col min="13559" max="13559" width="16.85546875" style="22" customWidth="1"/>
    <col min="13560" max="13560" width="15.42578125" style="22" bestFit="1" customWidth="1"/>
    <col min="13561" max="13561" width="16.140625" style="22" bestFit="1" customWidth="1"/>
    <col min="13562" max="13562" width="13.5703125" style="22" customWidth="1"/>
    <col min="13563" max="13563" width="16.5703125" style="22" customWidth="1"/>
    <col min="13564" max="13813" width="11.42578125" style="22"/>
    <col min="13814" max="13814" width="40.5703125" style="22" bestFit="1" customWidth="1"/>
    <col min="13815" max="13815" width="16.85546875" style="22" customWidth="1"/>
    <col min="13816" max="13816" width="15.42578125" style="22" bestFit="1" customWidth="1"/>
    <col min="13817" max="13817" width="16.140625" style="22" bestFit="1" customWidth="1"/>
    <col min="13818" max="13818" width="13.5703125" style="22" customWidth="1"/>
    <col min="13819" max="13819" width="16.5703125" style="22" customWidth="1"/>
    <col min="13820" max="14069" width="11.42578125" style="22"/>
    <col min="14070" max="14070" width="40.5703125" style="22" bestFit="1" customWidth="1"/>
    <col min="14071" max="14071" width="16.85546875" style="22" customWidth="1"/>
    <col min="14072" max="14072" width="15.42578125" style="22" bestFit="1" customWidth="1"/>
    <col min="14073" max="14073" width="16.140625" style="22" bestFit="1" customWidth="1"/>
    <col min="14074" max="14074" width="13.5703125" style="22" customWidth="1"/>
    <col min="14075" max="14075" width="16.5703125" style="22" customWidth="1"/>
    <col min="14076" max="14325" width="11.42578125" style="22"/>
    <col min="14326" max="14326" width="40.5703125" style="22" bestFit="1" customWidth="1"/>
    <col min="14327" max="14327" width="16.85546875" style="22" customWidth="1"/>
    <col min="14328" max="14328" width="15.42578125" style="22" bestFit="1" customWidth="1"/>
    <col min="14329" max="14329" width="16.140625" style="22" bestFit="1" customWidth="1"/>
    <col min="14330" max="14330" width="13.5703125" style="22" customWidth="1"/>
    <col min="14331" max="14331" width="16.5703125" style="22" customWidth="1"/>
    <col min="14332" max="14581" width="11.42578125" style="22"/>
    <col min="14582" max="14582" width="40.5703125" style="22" bestFit="1" customWidth="1"/>
    <col min="14583" max="14583" width="16.85546875" style="22" customWidth="1"/>
    <col min="14584" max="14584" width="15.42578125" style="22" bestFit="1" customWidth="1"/>
    <col min="14585" max="14585" width="16.140625" style="22" bestFit="1" customWidth="1"/>
    <col min="14586" max="14586" width="13.5703125" style="22" customWidth="1"/>
    <col min="14587" max="14587" width="16.5703125" style="22" customWidth="1"/>
    <col min="14588" max="14837" width="11.42578125" style="22"/>
    <col min="14838" max="14838" width="40.5703125" style="22" bestFit="1" customWidth="1"/>
    <col min="14839" max="14839" width="16.85546875" style="22" customWidth="1"/>
    <col min="14840" max="14840" width="15.42578125" style="22" bestFit="1" customWidth="1"/>
    <col min="14841" max="14841" width="16.140625" style="22" bestFit="1" customWidth="1"/>
    <col min="14842" max="14842" width="13.5703125" style="22" customWidth="1"/>
    <col min="14843" max="14843" width="16.5703125" style="22" customWidth="1"/>
    <col min="14844" max="15093" width="11.42578125" style="22"/>
    <col min="15094" max="15094" width="40.5703125" style="22" bestFit="1" customWidth="1"/>
    <col min="15095" max="15095" width="16.85546875" style="22" customWidth="1"/>
    <col min="15096" max="15096" width="15.42578125" style="22" bestFit="1" customWidth="1"/>
    <col min="15097" max="15097" width="16.140625" style="22" bestFit="1" customWidth="1"/>
    <col min="15098" max="15098" width="13.5703125" style="22" customWidth="1"/>
    <col min="15099" max="15099" width="16.5703125" style="22" customWidth="1"/>
    <col min="15100" max="15349" width="11.42578125" style="22"/>
    <col min="15350" max="15350" width="40.5703125" style="22" bestFit="1" customWidth="1"/>
    <col min="15351" max="15351" width="16.85546875" style="22" customWidth="1"/>
    <col min="15352" max="15352" width="15.42578125" style="22" bestFit="1" customWidth="1"/>
    <col min="15353" max="15353" width="16.140625" style="22" bestFit="1" customWidth="1"/>
    <col min="15354" max="15354" width="13.5703125" style="22" customWidth="1"/>
    <col min="15355" max="15355" width="16.5703125" style="22" customWidth="1"/>
    <col min="15356" max="15605" width="11.42578125" style="22"/>
    <col min="15606" max="15606" width="40.5703125" style="22" bestFit="1" customWidth="1"/>
    <col min="15607" max="15607" width="16.85546875" style="22" customWidth="1"/>
    <col min="15608" max="15608" width="15.42578125" style="22" bestFit="1" customWidth="1"/>
    <col min="15609" max="15609" width="16.140625" style="22" bestFit="1" customWidth="1"/>
    <col min="15610" max="15610" width="13.5703125" style="22" customWidth="1"/>
    <col min="15611" max="15611" width="16.5703125" style="22" customWidth="1"/>
    <col min="15612" max="15861" width="11.42578125" style="22"/>
    <col min="15862" max="15862" width="40.5703125" style="22" bestFit="1" customWidth="1"/>
    <col min="15863" max="15863" width="16.85546875" style="22" customWidth="1"/>
    <col min="15864" max="15864" width="15.42578125" style="22" bestFit="1" customWidth="1"/>
    <col min="15865" max="15865" width="16.140625" style="22" bestFit="1" customWidth="1"/>
    <col min="15866" max="15866" width="13.5703125" style="22" customWidth="1"/>
    <col min="15867" max="15867" width="16.5703125" style="22" customWidth="1"/>
    <col min="15868" max="16117" width="11.42578125" style="22"/>
    <col min="16118" max="16118" width="40.5703125" style="22" bestFit="1" customWidth="1"/>
    <col min="16119" max="16119" width="16.85546875" style="22" customWidth="1"/>
    <col min="16120" max="16120" width="15.42578125" style="22" bestFit="1" customWidth="1"/>
    <col min="16121" max="16121" width="16.140625" style="22" bestFit="1" customWidth="1"/>
    <col min="16122" max="16122" width="13.5703125" style="22" customWidth="1"/>
    <col min="16123" max="16123" width="16.5703125" style="22" customWidth="1"/>
    <col min="16124" max="16384" width="11.42578125" style="22"/>
  </cols>
  <sheetData>
    <row r="1" spans="1:12" ht="15.95" customHeight="1" x14ac:dyDescent="0.2">
      <c r="A1" s="472">
        <v>9.86</v>
      </c>
      <c r="B1" s="472">
        <v>9</v>
      </c>
      <c r="C1" s="472">
        <v>1</v>
      </c>
      <c r="D1" s="472">
        <v>4</v>
      </c>
      <c r="E1" s="472">
        <v>13</v>
      </c>
      <c r="F1" s="472">
        <v>13</v>
      </c>
      <c r="G1" s="472">
        <v>13</v>
      </c>
      <c r="H1" s="472">
        <v>1</v>
      </c>
      <c r="I1" s="472">
        <v>4</v>
      </c>
      <c r="J1" s="472">
        <v>13</v>
      </c>
    </row>
    <row r="2" spans="1:12" s="310" customFormat="1" ht="15.95" customHeight="1" thickBot="1" x14ac:dyDescent="0.25">
      <c r="A2" s="472"/>
      <c r="B2" s="472"/>
      <c r="C2" s="472"/>
      <c r="D2" s="472"/>
      <c r="E2" s="472"/>
      <c r="F2" s="472"/>
      <c r="G2" s="472"/>
      <c r="H2" s="472"/>
      <c r="I2" s="472"/>
      <c r="J2" s="472"/>
      <c r="K2" s="22"/>
      <c r="L2" s="311"/>
    </row>
    <row r="3" spans="1:12" s="310" customFormat="1" ht="15.95" customHeight="1" thickBot="1" x14ac:dyDescent="0.3">
      <c r="A3" s="472"/>
      <c r="B3" s="472"/>
      <c r="C3" s="472"/>
      <c r="D3" s="472"/>
      <c r="E3" s="584" t="s">
        <v>1384</v>
      </c>
      <c r="F3" s="585"/>
      <c r="G3" s="586"/>
      <c r="H3" s="472"/>
      <c r="I3" s="472"/>
      <c r="J3" s="472"/>
      <c r="K3" s="22"/>
      <c r="L3" s="311"/>
    </row>
    <row r="4" spans="1:12" s="310" customFormat="1" ht="15.95" customHeight="1" thickBot="1" x14ac:dyDescent="0.3">
      <c r="A4" s="473" t="s">
        <v>1301</v>
      </c>
      <c r="B4" s="474"/>
      <c r="C4" s="472"/>
      <c r="D4" s="472"/>
      <c r="E4" s="475" t="s">
        <v>953</v>
      </c>
      <c r="F4" s="476" t="s">
        <v>954</v>
      </c>
      <c r="G4" s="477" t="s">
        <v>952</v>
      </c>
      <c r="H4" s="472"/>
      <c r="I4" s="575" t="s">
        <v>955</v>
      </c>
      <c r="J4" s="576"/>
      <c r="K4" s="22"/>
    </row>
    <row r="5" spans="1:12" s="310" customFormat="1" ht="15.95" customHeight="1" x14ac:dyDescent="0.25">
      <c r="A5" s="478"/>
      <c r="B5" s="474" t="s">
        <v>946</v>
      </c>
      <c r="C5" s="472"/>
      <c r="D5" s="479">
        <v>1</v>
      </c>
      <c r="E5" s="480">
        <f t="shared" ref="E5:E11" si="0">-PPMT($B$9,D5,$D$11,$B$6,0,0)</f>
        <v>3466596.5889347801</v>
      </c>
      <c r="F5" s="480">
        <f t="shared" ref="F5:F11" si="1">-IPMT($B$9,D5,$D$11,$B$6,0,0)</f>
        <v>2100000</v>
      </c>
      <c r="G5" s="481">
        <f>+E5+F5</f>
        <v>5566596.5889347801</v>
      </c>
      <c r="H5" s="472"/>
      <c r="I5" s="482">
        <v>0</v>
      </c>
      <c r="J5" s="495">
        <f>+B8</f>
        <v>27000000</v>
      </c>
      <c r="K5" s="22"/>
    </row>
    <row r="6" spans="1:12" s="310" customFormat="1" ht="15.95" customHeight="1" x14ac:dyDescent="0.25">
      <c r="A6" s="473" t="s">
        <v>1299</v>
      </c>
      <c r="B6" s="483">
        <f>+B7/10%</f>
        <v>30000000</v>
      </c>
      <c r="C6" s="472"/>
      <c r="D6" s="482">
        <f>+D5+1</f>
        <v>2</v>
      </c>
      <c r="E6" s="480">
        <f t="shared" si="0"/>
        <v>3709258.3501602146</v>
      </c>
      <c r="F6" s="480">
        <f t="shared" si="1"/>
        <v>1857338.238774566</v>
      </c>
      <c r="G6" s="481">
        <f t="shared" ref="G6:G11" si="2">+E6+F6</f>
        <v>5566596.588934781</v>
      </c>
      <c r="H6" s="472"/>
      <c r="I6" s="482">
        <v>1</v>
      </c>
      <c r="J6" s="496">
        <f t="shared" ref="J6:J12" si="3">+-G5</f>
        <v>-5566596.5889347801</v>
      </c>
      <c r="K6" s="22"/>
    </row>
    <row r="7" spans="1:12" s="310" customFormat="1" ht="15.95" customHeight="1" x14ac:dyDescent="0.25">
      <c r="A7" s="473" t="s">
        <v>1300</v>
      </c>
      <c r="B7" s="483">
        <v>3000000</v>
      </c>
      <c r="C7" s="472"/>
      <c r="D7" s="482">
        <f t="shared" ref="D7:D11" si="4">+D6+1</f>
        <v>3</v>
      </c>
      <c r="E7" s="480">
        <f t="shared" si="0"/>
        <v>3968906.4346714295</v>
      </c>
      <c r="F7" s="480">
        <f t="shared" si="1"/>
        <v>1597690.1542633506</v>
      </c>
      <c r="G7" s="481">
        <f t="shared" si="2"/>
        <v>5566596.5889347801</v>
      </c>
      <c r="H7" s="472"/>
      <c r="I7" s="482">
        <f>+I6+1</f>
        <v>2</v>
      </c>
      <c r="J7" s="496">
        <f t="shared" si="3"/>
        <v>-5566596.588934781</v>
      </c>
      <c r="K7" s="22"/>
    </row>
    <row r="8" spans="1:12" s="310" customFormat="1" ht="15.95" customHeight="1" x14ac:dyDescent="0.25">
      <c r="A8" s="473" t="s">
        <v>927</v>
      </c>
      <c r="B8" s="483">
        <f>+B6-B7</f>
        <v>27000000</v>
      </c>
      <c r="C8" s="472"/>
      <c r="D8" s="482">
        <f t="shared" si="4"/>
        <v>4</v>
      </c>
      <c r="E8" s="480">
        <f t="shared" si="0"/>
        <v>4246729.8850984294</v>
      </c>
      <c r="F8" s="480">
        <f t="shared" si="1"/>
        <v>1319866.7038363505</v>
      </c>
      <c r="G8" s="481">
        <f t="shared" si="2"/>
        <v>5566596.5889347801</v>
      </c>
      <c r="H8" s="472"/>
      <c r="I8" s="482">
        <f t="shared" ref="I8:I12" si="5">+I7+1</f>
        <v>3</v>
      </c>
      <c r="J8" s="496">
        <f t="shared" si="3"/>
        <v>-5566596.5889347801</v>
      </c>
      <c r="K8" s="22"/>
    </row>
    <row r="9" spans="1:12" s="310" customFormat="1" ht="15.95" customHeight="1" x14ac:dyDescent="0.25">
      <c r="A9" s="473" t="s">
        <v>924</v>
      </c>
      <c r="B9" s="484">
        <v>7.0000000000000007E-2</v>
      </c>
      <c r="C9" s="472"/>
      <c r="D9" s="482">
        <f t="shared" si="4"/>
        <v>5</v>
      </c>
      <c r="E9" s="480">
        <f t="shared" si="0"/>
        <v>4544000.9770553196</v>
      </c>
      <c r="F9" s="480">
        <f t="shared" si="1"/>
        <v>1022595.6118794604</v>
      </c>
      <c r="G9" s="481">
        <f t="shared" si="2"/>
        <v>5566596.5889347801</v>
      </c>
      <c r="H9" s="472"/>
      <c r="I9" s="482">
        <f t="shared" si="5"/>
        <v>4</v>
      </c>
      <c r="J9" s="496">
        <f t="shared" si="3"/>
        <v>-5566596.5889347801</v>
      </c>
      <c r="K9" s="22"/>
    </row>
    <row r="10" spans="1:12" s="310" customFormat="1" ht="15.95" customHeight="1" x14ac:dyDescent="0.2">
      <c r="A10" s="472"/>
      <c r="B10" s="472"/>
      <c r="C10" s="472"/>
      <c r="D10" s="482">
        <f t="shared" si="4"/>
        <v>6</v>
      </c>
      <c r="E10" s="480">
        <f t="shared" si="0"/>
        <v>4862081.0454491926</v>
      </c>
      <c r="F10" s="480">
        <f t="shared" si="1"/>
        <v>704515.54348558804</v>
      </c>
      <c r="G10" s="481">
        <f t="shared" si="2"/>
        <v>5566596.588934781</v>
      </c>
      <c r="H10" s="472"/>
      <c r="I10" s="482">
        <f t="shared" si="5"/>
        <v>5</v>
      </c>
      <c r="J10" s="496">
        <f t="shared" si="3"/>
        <v>-5566596.5889347801</v>
      </c>
      <c r="K10" s="22"/>
    </row>
    <row r="11" spans="1:12" s="310" customFormat="1" ht="15.95" customHeight="1" thickBot="1" x14ac:dyDescent="0.25">
      <c r="A11" s="472"/>
      <c r="B11" s="472"/>
      <c r="C11" s="472"/>
      <c r="D11" s="485">
        <f t="shared" si="4"/>
        <v>7</v>
      </c>
      <c r="E11" s="480">
        <f t="shared" si="0"/>
        <v>5202426.7186306352</v>
      </c>
      <c r="F11" s="480">
        <f t="shared" si="1"/>
        <v>364169.87030414457</v>
      </c>
      <c r="G11" s="481">
        <f t="shared" si="2"/>
        <v>5566596.5889347801</v>
      </c>
      <c r="H11" s="472"/>
      <c r="I11" s="482">
        <f t="shared" si="5"/>
        <v>6</v>
      </c>
      <c r="J11" s="496">
        <f t="shared" si="3"/>
        <v>-5566596.588934781</v>
      </c>
      <c r="K11" s="22"/>
    </row>
    <row r="12" spans="1:12" s="310" customFormat="1" ht="15.95" customHeight="1" thickBot="1" x14ac:dyDescent="0.3">
      <c r="A12" s="472"/>
      <c r="B12" s="472"/>
      <c r="C12" s="472"/>
      <c r="D12" s="486"/>
      <c r="E12" s="487">
        <f>SUM(E5:E11)</f>
        <v>30000000</v>
      </c>
      <c r="F12" s="487">
        <f>SUM(F5:F11)</f>
        <v>8966176.1225434616</v>
      </c>
      <c r="G12" s="488">
        <f>SUM(G5:G11)</f>
        <v>38966176.122543462</v>
      </c>
      <c r="H12" s="472"/>
      <c r="I12" s="485">
        <f t="shared" si="5"/>
        <v>7</v>
      </c>
      <c r="J12" s="497">
        <f t="shared" si="3"/>
        <v>-5566596.5889347801</v>
      </c>
      <c r="K12" s="22"/>
    </row>
    <row r="13" spans="1:12" s="310" customFormat="1" ht="15.95" customHeight="1" thickBot="1" x14ac:dyDescent="0.3">
      <c r="A13" s="472"/>
      <c r="B13" s="472"/>
      <c r="C13" s="472"/>
      <c r="D13" s="472"/>
      <c r="E13" s="472"/>
      <c r="F13" s="472"/>
      <c r="G13" s="472"/>
      <c r="H13" s="472"/>
      <c r="I13" s="486"/>
      <c r="J13" s="489">
        <f>IRR(J5:J12)</f>
        <v>0.10112992891146866</v>
      </c>
      <c r="K13" s="22"/>
    </row>
    <row r="14" spans="1:12" s="310" customFormat="1" ht="15.95" customHeight="1" thickBot="1" x14ac:dyDescent="0.25">
      <c r="A14" s="472"/>
      <c r="B14" s="472"/>
      <c r="C14" s="472"/>
      <c r="D14" s="472"/>
      <c r="E14" s="472"/>
      <c r="F14" s="472"/>
      <c r="G14" s="472"/>
      <c r="H14" s="472"/>
      <c r="I14" s="472"/>
      <c r="J14" s="472"/>
      <c r="K14" s="22"/>
    </row>
    <row r="15" spans="1:12" s="310" customFormat="1" ht="15.95" customHeight="1" thickBot="1" x14ac:dyDescent="0.3">
      <c r="A15" s="473" t="s">
        <v>1302</v>
      </c>
      <c r="B15" s="474" t="s">
        <v>946</v>
      </c>
      <c r="C15" s="472"/>
      <c r="D15" s="472"/>
      <c r="E15" s="476" t="s">
        <v>953</v>
      </c>
      <c r="F15" s="476" t="s">
        <v>954</v>
      </c>
      <c r="G15" s="477" t="s">
        <v>952</v>
      </c>
      <c r="H15" s="472"/>
      <c r="I15" s="472"/>
      <c r="J15" s="476" t="s">
        <v>1031</v>
      </c>
      <c r="K15" s="22"/>
    </row>
    <row r="16" spans="1:12" s="310" customFormat="1" ht="15.95" customHeight="1" x14ac:dyDescent="0.25">
      <c r="A16" s="473" t="s">
        <v>1299</v>
      </c>
      <c r="B16" s="483">
        <f>B8</f>
        <v>27000000</v>
      </c>
      <c r="C16" s="472"/>
      <c r="D16" s="479">
        <v>1</v>
      </c>
      <c r="E16" s="480">
        <f t="shared" ref="E16:E22" si="6">-PPMT($B$17,D16,7,$B$16,0,0)</f>
        <v>2836088.5083251284</v>
      </c>
      <c r="F16" s="480">
        <f t="shared" ref="F16:F22" si="7">-IPMT($B$17,D16,7,$B$16,0,0)</f>
        <v>2730508.0806096536</v>
      </c>
      <c r="G16" s="480">
        <f t="shared" ref="G16:G22" si="8">+E16+F16</f>
        <v>5566596.588934782</v>
      </c>
      <c r="H16" s="472"/>
      <c r="I16" s="472"/>
      <c r="J16" s="480">
        <f t="shared" ref="J16:J22" si="9">+F16-F5</f>
        <v>630508.08060965361</v>
      </c>
      <c r="K16" s="22"/>
    </row>
    <row r="17" spans="1:11" s="310" customFormat="1" ht="15.95" customHeight="1" x14ac:dyDescent="0.25">
      <c r="A17" s="473" t="s">
        <v>924</v>
      </c>
      <c r="B17" s="484">
        <f>J13</f>
        <v>0.10112992891146866</v>
      </c>
      <c r="C17" s="472"/>
      <c r="D17" s="482">
        <f>+D16+1</f>
        <v>2</v>
      </c>
      <c r="E17" s="480">
        <f t="shared" si="6"/>
        <v>3122901.9375586812</v>
      </c>
      <c r="F17" s="480">
        <f t="shared" si="7"/>
        <v>2443694.6513760998</v>
      </c>
      <c r="G17" s="480">
        <f t="shared" si="8"/>
        <v>5566596.588934781</v>
      </c>
      <c r="H17" s="472"/>
      <c r="I17" s="472"/>
      <c r="J17" s="480">
        <f t="shared" si="9"/>
        <v>586356.41260153381</v>
      </c>
      <c r="K17" s="22"/>
    </row>
    <row r="18" spans="1:11" s="310" customFormat="1" ht="15.95" customHeight="1" x14ac:dyDescent="0.2">
      <c r="A18" s="472"/>
      <c r="B18" s="472"/>
      <c r="C18" s="472"/>
      <c r="D18" s="482">
        <f t="shared" ref="D18:D22" si="10">+D17+1</f>
        <v>3</v>
      </c>
      <c r="E18" s="480">
        <f t="shared" si="6"/>
        <v>3438720.7885014783</v>
      </c>
      <c r="F18" s="480">
        <f t="shared" si="7"/>
        <v>2127875.8004333032</v>
      </c>
      <c r="G18" s="480">
        <f t="shared" si="8"/>
        <v>5566596.588934781</v>
      </c>
      <c r="H18" s="472"/>
      <c r="I18" s="472"/>
      <c r="J18" s="480">
        <f t="shared" si="9"/>
        <v>530185.64616995258</v>
      </c>
      <c r="K18" s="22"/>
    </row>
    <row r="19" spans="1:11" ht="15.95" customHeight="1" x14ac:dyDescent="0.2">
      <c r="A19" s="472"/>
      <c r="B19" s="472"/>
      <c r="C19" s="472"/>
      <c r="D19" s="482">
        <f t="shared" si="10"/>
        <v>4</v>
      </c>
      <c r="E19" s="480">
        <f t="shared" si="6"/>
        <v>3786478.3773890221</v>
      </c>
      <c r="F19" s="480">
        <f t="shared" si="7"/>
        <v>1780118.2115457591</v>
      </c>
      <c r="G19" s="480">
        <f t="shared" si="8"/>
        <v>5566596.588934781</v>
      </c>
      <c r="H19" s="472"/>
      <c r="I19" s="472"/>
      <c r="J19" s="480">
        <f t="shared" si="9"/>
        <v>460251.50770940864</v>
      </c>
    </row>
    <row r="20" spans="1:11" ht="15.95" customHeight="1" x14ac:dyDescent="0.2">
      <c r="A20" s="472"/>
      <c r="B20" s="472"/>
      <c r="C20" s="472"/>
      <c r="D20" s="482">
        <f t="shared" si="10"/>
        <v>5</v>
      </c>
      <c r="E20" s="480">
        <f t="shared" si="6"/>
        <v>4169404.6665191869</v>
      </c>
      <c r="F20" s="480">
        <f t="shared" si="7"/>
        <v>1397191.9224155941</v>
      </c>
      <c r="G20" s="480">
        <f t="shared" si="8"/>
        <v>5566596.588934781</v>
      </c>
      <c r="H20" s="472"/>
      <c r="I20" s="472"/>
      <c r="J20" s="480">
        <f t="shared" si="9"/>
        <v>374596.31053613371</v>
      </c>
    </row>
    <row r="21" spans="1:11" ht="15.95" customHeight="1" x14ac:dyDescent="0.2">
      <c r="A21" s="472"/>
      <c r="B21" s="472"/>
      <c r="C21" s="472"/>
      <c r="D21" s="482">
        <f t="shared" si="10"/>
        <v>6</v>
      </c>
      <c r="E21" s="480">
        <f t="shared" si="6"/>
        <v>4591056.2640474178</v>
      </c>
      <c r="F21" s="480">
        <f t="shared" si="7"/>
        <v>975540.32488736324</v>
      </c>
      <c r="G21" s="480">
        <f t="shared" si="8"/>
        <v>5566596.588934781</v>
      </c>
      <c r="H21" s="472"/>
      <c r="I21" s="472"/>
      <c r="J21" s="480">
        <f t="shared" si="9"/>
        <v>271024.7814017752</v>
      </c>
    </row>
    <row r="22" spans="1:11" ht="15.95" customHeight="1" thickBot="1" x14ac:dyDescent="0.25">
      <c r="A22" s="472"/>
      <c r="B22" s="472"/>
      <c r="C22" s="472"/>
      <c r="D22" s="485">
        <f t="shared" si="10"/>
        <v>7</v>
      </c>
      <c r="E22" s="480">
        <f t="shared" si="6"/>
        <v>5055349.4576590862</v>
      </c>
      <c r="F22" s="480">
        <f t="shared" si="7"/>
        <v>511247.13127569493</v>
      </c>
      <c r="G22" s="480">
        <f t="shared" si="8"/>
        <v>5566596.588934781</v>
      </c>
      <c r="H22" s="472"/>
      <c r="I22" s="472"/>
      <c r="J22" s="480">
        <f t="shared" si="9"/>
        <v>147077.26097155036</v>
      </c>
    </row>
    <row r="23" spans="1:11" ht="15.95" customHeight="1" thickBot="1" x14ac:dyDescent="0.3">
      <c r="A23" s="472"/>
      <c r="B23" s="472"/>
      <c r="C23" s="472"/>
      <c r="D23" s="472"/>
      <c r="E23" s="487">
        <f>SUM(E16:E22)</f>
        <v>27000000</v>
      </c>
      <c r="F23" s="487">
        <f>SUM(F16:F22)</f>
        <v>11966176.122543467</v>
      </c>
      <c r="G23" s="487">
        <f>SUM(G16:G22)</f>
        <v>38966176.122543462</v>
      </c>
      <c r="H23" s="472"/>
      <c r="I23" s="472"/>
      <c r="J23" s="487">
        <f>SUM(J16:J22)</f>
        <v>3000000.0000000079</v>
      </c>
    </row>
    <row r="24" spans="1:11" ht="15.95" customHeight="1" x14ac:dyDescent="0.2">
      <c r="A24" s="472"/>
      <c r="B24" s="472"/>
      <c r="C24" s="472"/>
      <c r="D24" s="472"/>
      <c r="E24" s="472"/>
      <c r="F24" s="472"/>
      <c r="G24" s="472"/>
      <c r="H24" s="472"/>
      <c r="I24" s="472"/>
      <c r="J24" s="472"/>
    </row>
    <row r="25" spans="1:11" ht="15.95" customHeight="1" x14ac:dyDescent="0.25">
      <c r="A25" s="472"/>
      <c r="B25" s="472"/>
      <c r="C25" s="472"/>
      <c r="D25" s="472"/>
      <c r="E25" s="555" t="s">
        <v>1217</v>
      </c>
      <c r="F25" s="555" t="s">
        <v>1218</v>
      </c>
      <c r="G25" s="555" t="s">
        <v>1219</v>
      </c>
      <c r="H25" s="472"/>
      <c r="I25" s="555" t="s">
        <v>1154</v>
      </c>
      <c r="J25" s="472"/>
    </row>
    <row r="26" spans="1:11" ht="15.95" customHeight="1" x14ac:dyDescent="0.25">
      <c r="A26" s="472"/>
      <c r="B26" s="472"/>
      <c r="C26" s="472"/>
      <c r="D26" s="472"/>
      <c r="E26" s="555"/>
      <c r="F26" s="555"/>
      <c r="G26" s="555" t="s">
        <v>1385</v>
      </c>
      <c r="H26" s="472"/>
      <c r="I26" s="472"/>
      <c r="J26" s="472"/>
    </row>
    <row r="27" spans="1:11" ht="15.95" customHeight="1" x14ac:dyDescent="0.25">
      <c r="A27" s="472"/>
      <c r="B27" s="486" t="s">
        <v>1368</v>
      </c>
      <c r="C27" s="472"/>
      <c r="D27" s="472"/>
      <c r="E27" s="554">
        <f>+E23</f>
        <v>27000000</v>
      </c>
      <c r="F27" s="554">
        <f>+E12</f>
        <v>30000000</v>
      </c>
      <c r="G27" s="554">
        <f>+F27-E27</f>
        <v>3000000</v>
      </c>
      <c r="H27" s="472"/>
      <c r="I27" s="472"/>
      <c r="J27" s="472"/>
    </row>
    <row r="28" spans="1:11" ht="15.95" customHeight="1" x14ac:dyDescent="0.25">
      <c r="A28" s="472"/>
      <c r="B28" s="486"/>
      <c r="C28" s="472"/>
      <c r="D28" s="472"/>
      <c r="E28" s="554"/>
      <c r="F28" s="554"/>
      <c r="G28" s="554"/>
      <c r="H28" s="472"/>
      <c r="I28" s="472"/>
      <c r="J28" s="472"/>
    </row>
    <row r="29" spans="1:11" ht="15.95" customHeight="1" x14ac:dyDescent="0.25">
      <c r="A29" s="472"/>
      <c r="B29" s="486" t="s">
        <v>1369</v>
      </c>
      <c r="C29" s="472"/>
      <c r="D29" s="472"/>
      <c r="E29" s="554">
        <f>+E23-E16</f>
        <v>24163911.49167487</v>
      </c>
      <c r="F29" s="554">
        <f>+F27-E5</f>
        <v>26533403.411065221</v>
      </c>
      <c r="G29" s="554">
        <f>+F29-E29</f>
        <v>2369491.9193903506</v>
      </c>
      <c r="H29" s="472"/>
      <c r="I29" s="472"/>
      <c r="J29" s="472"/>
    </row>
    <row r="30" spans="1:11" ht="15.95" customHeight="1" x14ac:dyDescent="0.2">
      <c r="A30" s="472"/>
      <c r="B30" s="472"/>
      <c r="C30" s="472"/>
      <c r="D30" s="472"/>
      <c r="E30" s="472"/>
      <c r="F30" s="472"/>
      <c r="G30" s="472"/>
      <c r="H30" s="472"/>
      <c r="I30" s="472"/>
      <c r="J30" s="472"/>
    </row>
    <row r="31" spans="1:11" ht="15.95" customHeight="1" x14ac:dyDescent="0.2">
      <c r="A31" s="472"/>
      <c r="B31" s="472" t="s">
        <v>1386</v>
      </c>
      <c r="C31" s="472"/>
      <c r="D31" s="472"/>
      <c r="E31" s="472"/>
      <c r="F31" s="472"/>
      <c r="G31" s="472"/>
      <c r="H31" s="472"/>
      <c r="I31" s="472"/>
      <c r="J31" s="472"/>
    </row>
    <row r="32" spans="1:11" ht="15.95" customHeight="1" x14ac:dyDescent="0.2">
      <c r="A32" s="472"/>
      <c r="B32" s="472" t="s">
        <v>1387</v>
      </c>
      <c r="C32" s="472"/>
      <c r="D32" s="472"/>
      <c r="E32" s="472"/>
      <c r="F32" s="472"/>
      <c r="G32" s="472"/>
      <c r="H32" s="472"/>
      <c r="I32" s="472"/>
      <c r="J32" s="472"/>
    </row>
    <row r="33" spans="1:10" ht="15.95" customHeight="1" x14ac:dyDescent="0.2">
      <c r="A33" s="472"/>
      <c r="B33" s="587" t="s">
        <v>1391</v>
      </c>
      <c r="C33" s="472"/>
      <c r="D33" s="472"/>
      <c r="E33" s="472"/>
      <c r="F33" s="472"/>
      <c r="G33" s="472"/>
      <c r="H33" s="472"/>
      <c r="I33" s="472"/>
      <c r="J33" s="472"/>
    </row>
    <row r="34" spans="1:10" ht="15.95" customHeight="1" x14ac:dyDescent="0.2">
      <c r="A34" s="472"/>
      <c r="B34" s="472"/>
      <c r="C34" s="472"/>
      <c r="D34" s="472"/>
      <c r="E34" s="472"/>
      <c r="F34" s="472"/>
      <c r="G34" s="472"/>
      <c r="H34" s="472"/>
      <c r="I34" s="472"/>
      <c r="J34" s="472"/>
    </row>
    <row r="35" spans="1:10" ht="15.95" customHeight="1" x14ac:dyDescent="0.2">
      <c r="A35" s="472"/>
      <c r="B35" s="472" t="s">
        <v>1388</v>
      </c>
      <c r="C35" s="472"/>
      <c r="D35" s="472"/>
      <c r="E35" s="472"/>
      <c r="F35" s="472"/>
      <c r="G35" s="472"/>
      <c r="H35" s="472"/>
      <c r="I35" s="472"/>
      <c r="J35" s="472"/>
    </row>
    <row r="36" spans="1:10" ht="15.95" customHeight="1" x14ac:dyDescent="0.2">
      <c r="A36" s="472"/>
      <c r="B36" s="472" t="s">
        <v>1389</v>
      </c>
      <c r="C36" s="472"/>
      <c r="D36" s="472"/>
      <c r="E36" s="472"/>
      <c r="F36" s="472"/>
      <c r="G36" s="472"/>
      <c r="H36" s="472"/>
      <c r="I36" s="472"/>
      <c r="J36" s="472"/>
    </row>
    <row r="37" spans="1:10" ht="15.95" customHeight="1" x14ac:dyDescent="0.2">
      <c r="A37" s="472"/>
      <c r="B37" s="587" t="s">
        <v>1390</v>
      </c>
      <c r="C37" s="472"/>
      <c r="D37" s="472"/>
      <c r="E37" s="472"/>
      <c r="F37" s="472"/>
      <c r="G37" s="472"/>
      <c r="H37" s="472"/>
      <c r="I37" s="472"/>
      <c r="J37" s="472"/>
    </row>
    <row r="38" spans="1:10" ht="15.95" customHeight="1" x14ac:dyDescent="0.2">
      <c r="A38" s="472"/>
      <c r="B38" s="472"/>
      <c r="C38" s="472"/>
      <c r="D38" s="472"/>
      <c r="E38" s="472"/>
      <c r="F38" s="472"/>
      <c r="G38" s="472"/>
      <c r="H38" s="472"/>
      <c r="I38" s="472"/>
      <c r="J38" s="472"/>
    </row>
    <row r="39" spans="1:10" ht="15.95" customHeight="1" thickBot="1" x14ac:dyDescent="0.25">
      <c r="A39" s="472"/>
      <c r="B39" s="472"/>
      <c r="C39" s="472"/>
      <c r="D39" s="472"/>
      <c r="E39" s="472"/>
      <c r="F39" s="472"/>
      <c r="G39" s="472"/>
      <c r="H39" s="472"/>
      <c r="I39" s="472"/>
      <c r="J39" s="472"/>
    </row>
    <row r="40" spans="1:10" ht="15.95" customHeight="1" x14ac:dyDescent="0.25">
      <c r="A40" s="472"/>
      <c r="B40" s="472"/>
      <c r="C40" s="472"/>
      <c r="D40" s="472"/>
      <c r="E40" s="493" t="s">
        <v>954</v>
      </c>
      <c r="F40" s="493" t="s">
        <v>954</v>
      </c>
      <c r="G40" s="493" t="s">
        <v>1031</v>
      </c>
      <c r="H40" s="472"/>
      <c r="I40" s="472"/>
      <c r="J40" s="472"/>
    </row>
    <row r="41" spans="1:10" ht="15.95" customHeight="1" x14ac:dyDescent="0.25">
      <c r="A41" s="472"/>
      <c r="B41" s="472"/>
      <c r="C41" s="472"/>
      <c r="D41" s="472"/>
      <c r="E41" s="494" t="s">
        <v>1327</v>
      </c>
      <c r="F41" s="494" t="s">
        <v>1046</v>
      </c>
      <c r="G41" s="494" t="s">
        <v>1330</v>
      </c>
      <c r="H41" s="472"/>
      <c r="I41" s="472"/>
      <c r="J41" s="472"/>
    </row>
    <row r="42" spans="1:10" ht="15.95" customHeight="1" thickBot="1" x14ac:dyDescent="0.3">
      <c r="A42" s="472"/>
      <c r="B42" s="472"/>
      <c r="C42" s="472"/>
      <c r="D42" s="472"/>
      <c r="E42" s="492" t="s">
        <v>1328</v>
      </c>
      <c r="F42" s="492" t="s">
        <v>1329</v>
      </c>
      <c r="G42" s="492" t="s">
        <v>1331</v>
      </c>
      <c r="H42" s="472"/>
      <c r="I42" s="472"/>
      <c r="J42" s="472"/>
    </row>
    <row r="43" spans="1:10" ht="15.95" customHeight="1" x14ac:dyDescent="0.2">
      <c r="A43" s="472"/>
      <c r="B43" s="472"/>
      <c r="C43" s="472"/>
      <c r="D43" s="479">
        <v>1</v>
      </c>
      <c r="E43" s="480">
        <f>+F5</f>
        <v>2100000</v>
      </c>
      <c r="F43" s="480">
        <f>F16</f>
        <v>2730508.0806096536</v>
      </c>
      <c r="G43" s="480">
        <f t="shared" ref="G43:G49" si="11">+F43-E43</f>
        <v>630508.08060965361</v>
      </c>
      <c r="H43" s="472"/>
      <c r="I43" s="472"/>
      <c r="J43" s="472"/>
    </row>
    <row r="44" spans="1:10" ht="15.95" customHeight="1" x14ac:dyDescent="0.2">
      <c r="A44" s="472"/>
      <c r="B44" s="472"/>
      <c r="C44" s="472"/>
      <c r="D44" s="482">
        <f>+D43+1</f>
        <v>2</v>
      </c>
      <c r="E44" s="480">
        <f>+F6</f>
        <v>1857338.238774566</v>
      </c>
      <c r="F44" s="480">
        <f>F17</f>
        <v>2443694.6513760998</v>
      </c>
      <c r="G44" s="480">
        <f t="shared" si="11"/>
        <v>586356.41260153381</v>
      </c>
      <c r="H44" s="472"/>
      <c r="I44" s="472"/>
      <c r="J44" s="472"/>
    </row>
    <row r="45" spans="1:10" ht="15.95" customHeight="1" x14ac:dyDescent="0.2">
      <c r="A45" s="472"/>
      <c r="B45" s="472"/>
      <c r="C45" s="472"/>
      <c r="D45" s="482">
        <f t="shared" ref="D45:D49" si="12">+D44+1</f>
        <v>3</v>
      </c>
      <c r="E45" s="480">
        <f>+F7</f>
        <v>1597690.1542633506</v>
      </c>
      <c r="F45" s="480">
        <f>F18</f>
        <v>2127875.8004333032</v>
      </c>
      <c r="G45" s="480">
        <f t="shared" si="11"/>
        <v>530185.64616995258</v>
      </c>
      <c r="H45" s="472"/>
      <c r="I45" s="472"/>
      <c r="J45" s="472"/>
    </row>
    <row r="46" spans="1:10" ht="15.95" customHeight="1" x14ac:dyDescent="0.2">
      <c r="A46" s="472"/>
      <c r="B46" s="472"/>
      <c r="C46" s="472"/>
      <c r="D46" s="482">
        <f t="shared" si="12"/>
        <v>4</v>
      </c>
      <c r="E46" s="480">
        <f>+F8</f>
        <v>1319866.7038363505</v>
      </c>
      <c r="F46" s="480">
        <f>F19</f>
        <v>1780118.2115457591</v>
      </c>
      <c r="G46" s="480">
        <f t="shared" si="11"/>
        <v>460251.50770940864</v>
      </c>
      <c r="H46" s="472"/>
      <c r="I46" s="472"/>
      <c r="J46" s="472"/>
    </row>
    <row r="47" spans="1:10" ht="15.95" customHeight="1" x14ac:dyDescent="0.2">
      <c r="A47" s="472"/>
      <c r="B47" s="472"/>
      <c r="C47" s="472"/>
      <c r="D47" s="482">
        <f t="shared" si="12"/>
        <v>5</v>
      </c>
      <c r="E47" s="480">
        <f>+F9</f>
        <v>1022595.6118794604</v>
      </c>
      <c r="F47" s="480">
        <f>F20</f>
        <v>1397191.9224155941</v>
      </c>
      <c r="G47" s="480">
        <f t="shared" si="11"/>
        <v>374596.31053613371</v>
      </c>
      <c r="H47" s="472"/>
      <c r="I47" s="472"/>
      <c r="J47" s="472"/>
    </row>
    <row r="48" spans="1:10" ht="15.95" customHeight="1" x14ac:dyDescent="0.2">
      <c r="A48" s="472"/>
      <c r="B48" s="472"/>
      <c r="C48" s="472"/>
      <c r="D48" s="482">
        <f t="shared" si="12"/>
        <v>6</v>
      </c>
      <c r="E48" s="480">
        <f>+F10</f>
        <v>704515.54348558804</v>
      </c>
      <c r="F48" s="480">
        <f>F21</f>
        <v>975540.32488736324</v>
      </c>
      <c r="G48" s="480">
        <f t="shared" si="11"/>
        <v>271024.7814017752</v>
      </c>
      <c r="H48" s="472"/>
      <c r="I48" s="472"/>
      <c r="J48" s="472"/>
    </row>
    <row r="49" spans="1:10" ht="15.95" customHeight="1" thickBot="1" x14ac:dyDescent="0.25">
      <c r="A49" s="472"/>
      <c r="B49" s="472"/>
      <c r="C49" s="472"/>
      <c r="D49" s="485">
        <f t="shared" si="12"/>
        <v>7</v>
      </c>
      <c r="E49" s="480">
        <f>+F11</f>
        <v>364169.87030414457</v>
      </c>
      <c r="F49" s="480">
        <f>F22</f>
        <v>511247.13127569493</v>
      </c>
      <c r="G49" s="480">
        <f t="shared" si="11"/>
        <v>147077.26097155036</v>
      </c>
      <c r="H49" s="472"/>
      <c r="I49" s="472"/>
      <c r="J49" s="472"/>
    </row>
    <row r="50" spans="1:10" ht="15.95" customHeight="1" thickBot="1" x14ac:dyDescent="0.3">
      <c r="A50" s="472"/>
      <c r="B50" s="472"/>
      <c r="C50" s="472"/>
      <c r="D50" s="472"/>
      <c r="E50" s="487">
        <f>SUM(E43:E49)</f>
        <v>8966176.1225434616</v>
      </c>
      <c r="F50" s="487">
        <f>SUM(F43:F49)</f>
        <v>11966176.122543467</v>
      </c>
      <c r="G50" s="487">
        <f>SUM(G43:G49)</f>
        <v>3000000.0000000079</v>
      </c>
      <c r="H50" s="472"/>
      <c r="I50" s="472"/>
      <c r="J50" s="472"/>
    </row>
    <row r="51" spans="1:10" ht="15.95" customHeight="1" x14ac:dyDescent="0.2">
      <c r="A51" s="472"/>
      <c r="B51" s="472"/>
      <c r="C51" s="472"/>
      <c r="D51" s="472"/>
      <c r="E51" s="472"/>
      <c r="F51" s="472"/>
      <c r="G51" s="472"/>
      <c r="H51" s="472"/>
      <c r="I51" s="472"/>
      <c r="J51" s="472"/>
    </row>
    <row r="52" spans="1:10" ht="15.95" customHeight="1" x14ac:dyDescent="0.2">
      <c r="A52" s="472"/>
      <c r="B52" s="472"/>
      <c r="C52" s="472"/>
      <c r="D52" s="472" t="s">
        <v>1332</v>
      </c>
      <c r="E52" s="472"/>
      <c r="F52" s="472"/>
      <c r="G52" s="498">
        <f>J23</f>
        <v>3000000.0000000079</v>
      </c>
      <c r="H52" s="472"/>
      <c r="I52" s="472"/>
      <c r="J52" s="472"/>
    </row>
    <row r="53" spans="1:10" ht="15.95" customHeight="1" x14ac:dyDescent="0.2">
      <c r="A53" s="472"/>
      <c r="B53" s="472"/>
      <c r="C53" s="472"/>
      <c r="D53" s="472"/>
      <c r="E53" s="472"/>
      <c r="F53" s="472"/>
      <c r="G53" s="472"/>
      <c r="H53" s="472"/>
      <c r="I53" s="472"/>
      <c r="J53" s="472"/>
    </row>
    <row r="54" spans="1:10" ht="15.95" customHeight="1" x14ac:dyDescent="0.2">
      <c r="A54" s="472"/>
      <c r="B54" s="472"/>
      <c r="C54" s="472"/>
      <c r="D54" s="472" t="s">
        <v>1333</v>
      </c>
      <c r="E54" s="472"/>
      <c r="F54" s="472"/>
      <c r="G54" s="498">
        <f>-J16</f>
        <v>-630508.08060965361</v>
      </c>
      <c r="H54" s="472"/>
      <c r="I54" s="472"/>
      <c r="J54" s="472"/>
    </row>
    <row r="55" spans="1:10" ht="15.95" customHeight="1" x14ac:dyDescent="0.2">
      <c r="A55" s="472"/>
      <c r="B55" s="472"/>
      <c r="C55" s="472"/>
      <c r="D55" s="472"/>
      <c r="E55" s="472"/>
      <c r="F55" s="472"/>
      <c r="G55" s="472"/>
      <c r="H55" s="472"/>
      <c r="I55" s="472"/>
      <c r="J55" s="472"/>
    </row>
    <row r="56" spans="1:10" ht="15.95" customHeight="1" x14ac:dyDescent="0.2">
      <c r="A56" s="472"/>
      <c r="B56" s="472"/>
      <c r="C56" s="472"/>
      <c r="D56" s="472" t="s">
        <v>977</v>
      </c>
      <c r="E56" s="472"/>
      <c r="F56" s="472"/>
      <c r="G56" s="498">
        <f>+G52+G54</f>
        <v>2369491.9193903543</v>
      </c>
      <c r="H56" s="472"/>
      <c r="I56" s="472"/>
      <c r="J56" s="472"/>
    </row>
    <row r="57" spans="1:10" ht="15.95" customHeight="1" x14ac:dyDescent="0.2">
      <c r="A57" s="472"/>
      <c r="B57" s="472"/>
      <c r="C57" s="472"/>
      <c r="D57" s="472"/>
      <c r="E57" s="472"/>
      <c r="F57" s="472"/>
      <c r="G57" s="472"/>
      <c r="H57" s="472"/>
      <c r="I57" s="472"/>
      <c r="J57" s="472"/>
    </row>
    <row r="58" spans="1:10" ht="15.95" customHeight="1" x14ac:dyDescent="0.2">
      <c r="A58" s="472"/>
      <c r="B58" s="472"/>
      <c r="C58" s="472"/>
      <c r="D58" s="472"/>
      <c r="E58" s="472"/>
      <c r="F58" s="472"/>
      <c r="G58" s="472"/>
      <c r="H58" s="472"/>
      <c r="I58" s="472"/>
      <c r="J58" s="472"/>
    </row>
    <row r="59" spans="1:10" ht="15.95" customHeight="1" x14ac:dyDescent="0.2">
      <c r="A59" s="472"/>
      <c r="B59" s="472"/>
      <c r="C59" s="472"/>
      <c r="D59" s="472"/>
      <c r="E59" s="472"/>
      <c r="F59" s="472"/>
      <c r="G59" s="472"/>
      <c r="H59" s="472"/>
      <c r="I59" s="472"/>
      <c r="J59" s="472"/>
    </row>
    <row r="60" spans="1:10" ht="15.95" customHeight="1" x14ac:dyDescent="0.2">
      <c r="A60" s="472"/>
      <c r="B60" s="472"/>
      <c r="C60" s="472"/>
      <c r="D60" s="472"/>
      <c r="E60" s="472"/>
      <c r="F60" s="472"/>
      <c r="G60" s="472"/>
      <c r="H60" s="472"/>
      <c r="I60" s="472"/>
      <c r="J60" s="472"/>
    </row>
    <row r="90" spans="7:10" ht="15.95" customHeight="1" x14ac:dyDescent="0.2">
      <c r="G90" s="491"/>
      <c r="H90" s="491"/>
      <c r="I90" s="491"/>
      <c r="J90" s="491"/>
    </row>
    <row r="91" spans="7:10" ht="15.95" customHeight="1" x14ac:dyDescent="0.2">
      <c r="G91" s="491"/>
      <c r="H91" s="491"/>
      <c r="I91" s="491"/>
      <c r="J91" s="491"/>
    </row>
    <row r="92" spans="7:10" ht="15.95" customHeight="1" x14ac:dyDescent="0.2">
      <c r="G92" s="491"/>
      <c r="H92" s="491"/>
      <c r="I92" s="491"/>
      <c r="J92" s="491"/>
    </row>
    <row r="93" spans="7:10" ht="15.95" customHeight="1" x14ac:dyDescent="0.2">
      <c r="G93" s="491"/>
      <c r="H93" s="491"/>
      <c r="I93" s="491"/>
      <c r="J93" s="491"/>
    </row>
    <row r="94" spans="7:10" ht="15.95" customHeight="1" x14ac:dyDescent="0.2">
      <c r="G94" s="491"/>
      <c r="H94" s="491"/>
      <c r="I94" s="491"/>
      <c r="J94" s="491"/>
    </row>
    <row r="95" spans="7:10" ht="15.95" customHeight="1" x14ac:dyDescent="0.2">
      <c r="G95" s="491"/>
      <c r="H95" s="491"/>
      <c r="I95" s="491"/>
      <c r="J95" s="491"/>
    </row>
    <row r="96" spans="7:10" ht="15.95" customHeight="1" x14ac:dyDescent="0.2">
      <c r="G96" s="491"/>
      <c r="H96" s="491"/>
      <c r="I96" s="491"/>
      <c r="J96" s="491"/>
    </row>
    <row r="97" spans="7:10" ht="15.95" customHeight="1" x14ac:dyDescent="0.2">
      <c r="G97" s="491"/>
      <c r="H97" s="491"/>
      <c r="I97" s="491"/>
      <c r="J97" s="491"/>
    </row>
    <row r="98" spans="7:10" ht="15.95" customHeight="1" x14ac:dyDescent="0.2">
      <c r="G98" s="491"/>
      <c r="H98" s="491"/>
      <c r="I98" s="491"/>
      <c r="J98" s="491"/>
    </row>
    <row r="99" spans="7:10" ht="15.95" customHeight="1" x14ac:dyDescent="0.2">
      <c r="G99" s="491"/>
      <c r="H99" s="491"/>
      <c r="I99" s="491"/>
      <c r="J99" s="491"/>
    </row>
    <row r="100" spans="7:10" ht="15.95" customHeight="1" x14ac:dyDescent="0.2">
      <c r="G100" s="491"/>
      <c r="H100" s="491"/>
      <c r="I100" s="491"/>
      <c r="J100" s="491"/>
    </row>
    <row r="101" spans="7:10" ht="15.95" customHeight="1" x14ac:dyDescent="0.2">
      <c r="G101" s="491"/>
      <c r="H101" s="491"/>
      <c r="I101" s="491"/>
      <c r="J101" s="491"/>
    </row>
    <row r="102" spans="7:10" ht="15.95" customHeight="1" x14ac:dyDescent="0.2">
      <c r="G102" s="491"/>
      <c r="H102" s="491"/>
      <c r="I102" s="491"/>
      <c r="J102" s="491"/>
    </row>
    <row r="103" spans="7:10" ht="15.95" customHeight="1" x14ac:dyDescent="0.2">
      <c r="G103" s="491"/>
      <c r="H103" s="491"/>
      <c r="I103" s="491"/>
      <c r="J103" s="491"/>
    </row>
    <row r="104" spans="7:10" ht="15.95" customHeight="1" x14ac:dyDescent="0.2">
      <c r="G104" s="491"/>
      <c r="H104" s="491"/>
      <c r="I104" s="491"/>
      <c r="J104" s="491"/>
    </row>
    <row r="105" spans="7:10" ht="15.95" customHeight="1" x14ac:dyDescent="0.2">
      <c r="G105" s="491"/>
      <c r="H105" s="491"/>
      <c r="I105" s="491"/>
      <c r="J105" s="491"/>
    </row>
  </sheetData>
  <mergeCells count="2">
    <mergeCell ref="I4:J4"/>
    <mergeCell ref="E3:G3"/>
  </mergeCells>
  <pageMargins left="0.42" right="0.48" top="0.74803149606299213" bottom="0.39" header="0.31496062992125984" footer="0.31496062992125984"/>
  <pageSetup scale="92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Y43"/>
  <sheetViews>
    <sheetView topLeftCell="P3" zoomScaleNormal="100" workbookViewId="0">
      <selection activeCell="R12" sqref="R12"/>
    </sheetView>
  </sheetViews>
  <sheetFormatPr baseColWidth="10" defaultRowHeight="15" x14ac:dyDescent="0.25"/>
  <cols>
    <col min="1" max="2" width="11.42578125" style="114"/>
    <col min="3" max="3" width="3.85546875" style="114" bestFit="1" customWidth="1"/>
    <col min="4" max="4" width="9.140625" style="114" bestFit="1" customWidth="1"/>
    <col min="5" max="5" width="10.42578125" style="114" customWidth="1"/>
    <col min="6" max="6" width="0.42578125" style="114" customWidth="1"/>
    <col min="7" max="8" width="11.42578125" style="114"/>
    <col min="9" max="9" width="9" style="114" customWidth="1"/>
    <col min="10" max="10" width="10" style="114" bestFit="1" customWidth="1"/>
    <col min="11" max="11" width="9.140625" style="114" bestFit="1" customWidth="1"/>
    <col min="12" max="12" width="0.85546875" style="114" customWidth="1"/>
    <col min="13" max="16" width="11.42578125" style="114"/>
    <col min="17" max="17" width="14.140625" style="114" customWidth="1"/>
    <col min="18" max="16384" width="11.42578125" style="114"/>
  </cols>
  <sheetData>
    <row r="1" spans="1:25" x14ac:dyDescent="0.25">
      <c r="A1" s="277" t="s">
        <v>1253</v>
      </c>
      <c r="G1" s="277" t="s">
        <v>1261</v>
      </c>
      <c r="R1" s="277" t="s">
        <v>1267</v>
      </c>
    </row>
    <row r="3" spans="1:25" x14ac:dyDescent="0.25">
      <c r="A3" s="277" t="s">
        <v>1256</v>
      </c>
      <c r="G3" s="277" t="s">
        <v>1214</v>
      </c>
      <c r="J3" s="277">
        <v>900000</v>
      </c>
      <c r="K3" s="114">
        <f>+J3*30%</f>
        <v>270000</v>
      </c>
      <c r="M3" s="114" t="s">
        <v>1194</v>
      </c>
    </row>
    <row r="4" spans="1:25" x14ac:dyDescent="0.25">
      <c r="A4" s="277"/>
      <c r="D4" s="285" t="s">
        <v>1044</v>
      </c>
      <c r="E4" s="285" t="s">
        <v>1257</v>
      </c>
      <c r="M4" s="114" t="s">
        <v>1195</v>
      </c>
      <c r="R4" s="114" t="s">
        <v>1268</v>
      </c>
      <c r="W4" s="114" t="s">
        <v>1270</v>
      </c>
    </row>
    <row r="5" spans="1:25" x14ac:dyDescent="0.25">
      <c r="A5" s="277"/>
      <c r="D5" s="285" t="s">
        <v>1217</v>
      </c>
      <c r="E5" s="285" t="s">
        <v>1218</v>
      </c>
      <c r="G5" s="286" t="s">
        <v>1254</v>
      </c>
      <c r="H5" s="286"/>
      <c r="I5" s="286"/>
      <c r="J5" s="286">
        <f>+D7</f>
        <v>500000</v>
      </c>
      <c r="K5" s="114">
        <f t="shared" ref="K5:K6" si="0">+J5*30%</f>
        <v>150000</v>
      </c>
      <c r="M5" s="114" t="s">
        <v>1196</v>
      </c>
      <c r="R5" s="114" t="s">
        <v>1269</v>
      </c>
      <c r="T5" s="114">
        <v>900000</v>
      </c>
      <c r="W5" s="277" t="s">
        <v>1243</v>
      </c>
      <c r="X5" s="277"/>
      <c r="Y5" s="277">
        <v>1000000</v>
      </c>
    </row>
    <row r="6" spans="1:25" x14ac:dyDescent="0.25">
      <c r="A6" s="277" t="s">
        <v>1233</v>
      </c>
      <c r="B6" s="277"/>
      <c r="C6" s="277">
        <v>41</v>
      </c>
      <c r="D6" s="277">
        <v>0</v>
      </c>
      <c r="E6" s="277">
        <v>0</v>
      </c>
      <c r="G6" s="114" t="s">
        <v>1262</v>
      </c>
      <c r="J6" s="114">
        <v>200000</v>
      </c>
      <c r="K6" s="114">
        <f t="shared" si="0"/>
        <v>60000</v>
      </c>
      <c r="M6" s="114" t="s">
        <v>1213</v>
      </c>
      <c r="R6" s="277" t="s">
        <v>1252</v>
      </c>
      <c r="S6" s="277"/>
      <c r="T6" s="277">
        <f>+T5*30%</f>
        <v>270000</v>
      </c>
      <c r="W6" s="114" t="s">
        <v>1215</v>
      </c>
      <c r="Y6" s="277">
        <f>+Y5*30%</f>
        <v>300000</v>
      </c>
    </row>
    <row r="7" spans="1:25" x14ac:dyDescent="0.25">
      <c r="A7" s="114" t="s">
        <v>1254</v>
      </c>
      <c r="C7" s="277">
        <v>62</v>
      </c>
      <c r="D7" s="114">
        <v>500000</v>
      </c>
      <c r="E7" s="114">
        <v>0</v>
      </c>
      <c r="M7" s="114" t="s">
        <v>1213</v>
      </c>
      <c r="W7" s="114" t="s">
        <v>1271</v>
      </c>
      <c r="Y7" s="114">
        <f>-T6</f>
        <v>-270000</v>
      </c>
    </row>
    <row r="8" spans="1:25" x14ac:dyDescent="0.25">
      <c r="A8" s="114" t="s">
        <v>1255</v>
      </c>
      <c r="D8" s="114">
        <v>0</v>
      </c>
      <c r="E8" s="114">
        <v>0</v>
      </c>
      <c r="M8" s="114" t="s">
        <v>1213</v>
      </c>
      <c r="R8" s="277" t="s">
        <v>1273</v>
      </c>
      <c r="S8" s="277" t="s">
        <v>1275</v>
      </c>
      <c r="W8" s="277" t="s">
        <v>1272</v>
      </c>
      <c r="Y8" s="277">
        <f>+Y6+Y7</f>
        <v>30000</v>
      </c>
    </row>
    <row r="9" spans="1:25" x14ac:dyDescent="0.25">
      <c r="A9" s="277" t="s">
        <v>1235</v>
      </c>
      <c r="B9" s="277"/>
      <c r="C9" s="277">
        <v>41</v>
      </c>
      <c r="D9" s="277">
        <f>SUM(D6:D8)</f>
        <v>500000</v>
      </c>
      <c r="E9" s="277">
        <f>SUM(E6:E8)</f>
        <v>0</v>
      </c>
      <c r="G9" s="277" t="s">
        <v>1243</v>
      </c>
      <c r="J9" s="277">
        <f>SUM(J3:J8)</f>
        <v>1600000</v>
      </c>
      <c r="K9" s="277">
        <f>SUM(K3:K8)</f>
        <v>480000</v>
      </c>
      <c r="M9" s="114" t="s">
        <v>1213</v>
      </c>
      <c r="R9" s="114" t="s">
        <v>1274</v>
      </c>
      <c r="S9" s="277" t="s">
        <v>1276</v>
      </c>
    </row>
    <row r="10" spans="1:25" x14ac:dyDescent="0.25">
      <c r="A10" s="277" t="s">
        <v>1258</v>
      </c>
      <c r="D10" s="277">
        <f>D9-E9</f>
        <v>500000</v>
      </c>
      <c r="M10" s="277" t="s">
        <v>1214</v>
      </c>
      <c r="O10" s="277">
        <f>J3</f>
        <v>900000</v>
      </c>
    </row>
    <row r="11" spans="1:25" x14ac:dyDescent="0.25">
      <c r="A11" s="277" t="s">
        <v>240</v>
      </c>
      <c r="D11" s="277">
        <f>+D10*30%</f>
        <v>150000</v>
      </c>
      <c r="E11" s="277" t="s">
        <v>1259</v>
      </c>
      <c r="G11" s="277" t="s">
        <v>1263</v>
      </c>
      <c r="J11" s="277">
        <f>+J9*30%</f>
        <v>480000</v>
      </c>
      <c r="M11" s="114" t="s">
        <v>1198</v>
      </c>
      <c r="O11" s="277">
        <f>-J14+E15</f>
        <v>-330000</v>
      </c>
    </row>
    <row r="12" spans="1:25" x14ac:dyDescent="0.25">
      <c r="D12" s="277" t="s">
        <v>4</v>
      </c>
      <c r="M12" s="277" t="s">
        <v>1199</v>
      </c>
      <c r="O12" s="277">
        <f>+O10+O11</f>
        <v>570000</v>
      </c>
      <c r="R12" s="277">
        <v>2010</v>
      </c>
      <c r="S12" s="277">
        <f>+R12+1</f>
        <v>2011</v>
      </c>
      <c r="T12" s="277">
        <f t="shared" ref="T12:W12" si="1">+S12+1</f>
        <v>2012</v>
      </c>
      <c r="U12" s="277">
        <f t="shared" si="1"/>
        <v>2013</v>
      </c>
      <c r="V12" s="277">
        <f t="shared" si="1"/>
        <v>2014</v>
      </c>
      <c r="W12" s="277">
        <f t="shared" si="1"/>
        <v>2015</v>
      </c>
      <c r="X12" s="289" t="s">
        <v>1278</v>
      </c>
    </row>
    <row r="13" spans="1:25" x14ac:dyDescent="0.25">
      <c r="Q13" s="114" t="s">
        <v>1277</v>
      </c>
      <c r="R13" s="114">
        <v>100000</v>
      </c>
      <c r="S13" s="114">
        <v>200000</v>
      </c>
      <c r="T13" s="114">
        <v>140000</v>
      </c>
      <c r="U13" s="114">
        <v>140000</v>
      </c>
      <c r="V13" s="114">
        <v>140000</v>
      </c>
      <c r="W13" s="114">
        <v>140000</v>
      </c>
      <c r="X13" s="289"/>
    </row>
    <row r="14" spans="1:25" x14ac:dyDescent="0.25">
      <c r="A14" s="277" t="s">
        <v>1170</v>
      </c>
      <c r="B14" s="277"/>
      <c r="C14" s="277"/>
      <c r="D14" s="277">
        <f>+D11</f>
        <v>150000</v>
      </c>
      <c r="E14" s="277"/>
      <c r="G14" s="277" t="s">
        <v>1264</v>
      </c>
      <c r="H14" s="277"/>
      <c r="I14" s="277"/>
      <c r="J14" s="277">
        <f>+J11</f>
        <v>480000</v>
      </c>
      <c r="K14" s="277"/>
      <c r="Q14" s="114" t="s">
        <v>1203</v>
      </c>
      <c r="R14" s="277">
        <f>+R13*30%</f>
        <v>30000</v>
      </c>
      <c r="S14" s="277">
        <f t="shared" ref="S14:W14" si="2">+S13*30%</f>
        <v>60000</v>
      </c>
      <c r="T14" s="114">
        <f t="shared" si="2"/>
        <v>42000</v>
      </c>
      <c r="U14" s="114">
        <f t="shared" si="2"/>
        <v>42000</v>
      </c>
      <c r="V14" s="114">
        <f t="shared" si="2"/>
        <v>42000</v>
      </c>
      <c r="W14" s="114">
        <f t="shared" si="2"/>
        <v>42000</v>
      </c>
      <c r="X14" s="289"/>
    </row>
    <row r="15" spans="1:25" x14ac:dyDescent="0.25">
      <c r="A15" s="277" t="s">
        <v>1260</v>
      </c>
      <c r="B15" s="277"/>
      <c r="C15" s="277"/>
      <c r="D15" s="277"/>
      <c r="E15" s="277">
        <f>+D14</f>
        <v>150000</v>
      </c>
      <c r="G15" s="277" t="s">
        <v>1265</v>
      </c>
      <c r="H15" s="277"/>
      <c r="I15" s="277"/>
      <c r="J15" s="277"/>
      <c r="K15" s="277">
        <f>+J14</f>
        <v>480000</v>
      </c>
      <c r="X15" s="289"/>
    </row>
    <row r="16" spans="1:25" x14ac:dyDescent="0.25">
      <c r="W16" s="114">
        <f>+W14</f>
        <v>42000</v>
      </c>
      <c r="X16" s="290">
        <f>SUM(W16:W21)</f>
        <v>168000</v>
      </c>
    </row>
    <row r="17" spans="1:24" x14ac:dyDescent="0.25">
      <c r="W17" s="114">
        <f>+V14</f>
        <v>42000</v>
      </c>
      <c r="X17" s="289"/>
    </row>
    <row r="18" spans="1:24" x14ac:dyDescent="0.25">
      <c r="G18" s="277" t="s">
        <v>1214</v>
      </c>
      <c r="J18" s="114">
        <f>+J3</f>
        <v>900000</v>
      </c>
      <c r="W18" s="114">
        <f>+U14</f>
        <v>42000</v>
      </c>
    </row>
    <row r="19" spans="1:24" x14ac:dyDescent="0.25">
      <c r="G19" s="114" t="s">
        <v>1262</v>
      </c>
      <c r="J19" s="114">
        <f>+J6</f>
        <v>200000</v>
      </c>
      <c r="W19" s="114">
        <f>+T14</f>
        <v>42000</v>
      </c>
    </row>
    <row r="20" spans="1:24" x14ac:dyDescent="0.25">
      <c r="J20" s="277">
        <f>+J18+J19</f>
        <v>1100000</v>
      </c>
      <c r="W20" s="114">
        <v>0</v>
      </c>
    </row>
    <row r="21" spans="1:24" x14ac:dyDescent="0.25">
      <c r="J21" s="277">
        <f>+J20*30%</f>
        <v>330000</v>
      </c>
      <c r="W21" s="114">
        <v>0</v>
      </c>
    </row>
    <row r="23" spans="1:24" x14ac:dyDescent="0.25">
      <c r="A23" s="277" t="s">
        <v>1253</v>
      </c>
      <c r="G23" s="277" t="s">
        <v>1261</v>
      </c>
    </row>
    <row r="25" spans="1:24" x14ac:dyDescent="0.25">
      <c r="A25" s="277" t="s">
        <v>1256</v>
      </c>
      <c r="G25" s="277" t="s">
        <v>1214</v>
      </c>
      <c r="J25" s="277">
        <v>800000</v>
      </c>
      <c r="K25" s="277"/>
      <c r="M25" s="114" t="s">
        <v>1194</v>
      </c>
    </row>
    <row r="26" spans="1:24" x14ac:dyDescent="0.25">
      <c r="A26" s="277"/>
      <c r="D26" s="285" t="s">
        <v>1044</v>
      </c>
      <c r="E26" s="285" t="s">
        <v>1257</v>
      </c>
      <c r="M26" s="114" t="s">
        <v>1195</v>
      </c>
    </row>
    <row r="27" spans="1:24" x14ac:dyDescent="0.25">
      <c r="A27" s="277"/>
      <c r="D27" s="285" t="s">
        <v>1217</v>
      </c>
      <c r="E27" s="285" t="s">
        <v>1218</v>
      </c>
      <c r="G27" s="286" t="s">
        <v>1254</v>
      </c>
      <c r="H27" s="286"/>
      <c r="I27" s="286"/>
      <c r="J27" s="286">
        <f>+D29</f>
        <v>600000</v>
      </c>
      <c r="K27" s="288"/>
      <c r="M27" s="114" t="s">
        <v>1196</v>
      </c>
    </row>
    <row r="28" spans="1:24" x14ac:dyDescent="0.25">
      <c r="A28" s="277" t="s">
        <v>1233</v>
      </c>
      <c r="B28" s="277"/>
      <c r="C28" s="277"/>
      <c r="D28" s="277">
        <f>+D9</f>
        <v>500000</v>
      </c>
      <c r="E28" s="277">
        <v>0</v>
      </c>
      <c r="G28" s="286" t="s">
        <v>1266</v>
      </c>
      <c r="H28" s="286"/>
      <c r="I28" s="286"/>
      <c r="J28" s="286">
        <f>+D30</f>
        <v>-400000</v>
      </c>
      <c r="K28" s="288"/>
      <c r="M28" s="114" t="s">
        <v>1213</v>
      </c>
    </row>
    <row r="29" spans="1:24" x14ac:dyDescent="0.25">
      <c r="A29" s="114" t="s">
        <v>1254</v>
      </c>
      <c r="C29" s="277"/>
      <c r="D29" s="114">
        <v>600000</v>
      </c>
      <c r="E29" s="114">
        <v>0</v>
      </c>
      <c r="G29" s="114" t="s">
        <v>1262</v>
      </c>
      <c r="J29" s="114">
        <v>300000</v>
      </c>
      <c r="K29" s="288"/>
      <c r="M29" s="114" t="s">
        <v>1213</v>
      </c>
    </row>
    <row r="30" spans="1:24" x14ac:dyDescent="0.25">
      <c r="A30" s="114" t="s">
        <v>1255</v>
      </c>
      <c r="D30" s="114">
        <v>-400000</v>
      </c>
      <c r="E30" s="114">
        <v>0</v>
      </c>
      <c r="M30" s="114" t="s">
        <v>1213</v>
      </c>
    </row>
    <row r="31" spans="1:24" x14ac:dyDescent="0.25">
      <c r="A31" s="277" t="s">
        <v>1235</v>
      </c>
      <c r="B31" s="277"/>
      <c r="C31" s="277"/>
      <c r="D31" s="277">
        <f>SUM(D28:D30)</f>
        <v>700000</v>
      </c>
      <c r="E31" s="277">
        <f>SUM(E28:E30)</f>
        <v>0</v>
      </c>
      <c r="G31" s="277" t="s">
        <v>1243</v>
      </c>
      <c r="J31" s="277">
        <f>SUM(J25:J30)</f>
        <v>1300000</v>
      </c>
      <c r="K31" s="277"/>
      <c r="M31" s="114" t="s">
        <v>1213</v>
      </c>
    </row>
    <row r="32" spans="1:24" x14ac:dyDescent="0.25">
      <c r="A32" s="277" t="s">
        <v>1258</v>
      </c>
      <c r="D32" s="287">
        <f>D31-E31</f>
        <v>700000</v>
      </c>
      <c r="M32" s="277" t="s">
        <v>1214</v>
      </c>
      <c r="O32" s="277">
        <f>J25</f>
        <v>800000</v>
      </c>
    </row>
    <row r="33" spans="1:15" x14ac:dyDescent="0.25">
      <c r="A33" s="277" t="s">
        <v>240</v>
      </c>
      <c r="D33" s="277">
        <f>+D32*30%</f>
        <v>210000</v>
      </c>
      <c r="E33" s="277" t="s">
        <v>1259</v>
      </c>
      <c r="G33" s="277" t="s">
        <v>1263</v>
      </c>
      <c r="J33" s="277">
        <f>+J31*30%</f>
        <v>390000</v>
      </c>
      <c r="M33" s="114" t="s">
        <v>1198</v>
      </c>
      <c r="O33" s="277">
        <f>-J36+E37</f>
        <v>-330000</v>
      </c>
    </row>
    <row r="34" spans="1:15" x14ac:dyDescent="0.25">
      <c r="D34" s="277" t="s">
        <v>4</v>
      </c>
      <c r="M34" s="277" t="s">
        <v>1199</v>
      </c>
      <c r="O34" s="277">
        <f>+O32+O33</f>
        <v>470000</v>
      </c>
    </row>
    <row r="36" spans="1:15" x14ac:dyDescent="0.25">
      <c r="A36" s="277" t="s">
        <v>1170</v>
      </c>
      <c r="B36" s="277"/>
      <c r="C36" s="277"/>
      <c r="D36" s="277">
        <f>+D33-D14</f>
        <v>60000</v>
      </c>
      <c r="E36" s="277"/>
      <c r="G36" s="277" t="s">
        <v>1264</v>
      </c>
      <c r="H36" s="277"/>
      <c r="I36" s="277"/>
      <c r="J36" s="277">
        <f>+J33</f>
        <v>390000</v>
      </c>
      <c r="K36" s="277"/>
      <c r="M36" s="277" t="s">
        <v>1216</v>
      </c>
      <c r="O36" s="249">
        <f>-O33/O32</f>
        <v>0.41249999999999998</v>
      </c>
    </row>
    <row r="37" spans="1:15" x14ac:dyDescent="0.25">
      <c r="A37" s="277" t="s">
        <v>1260</v>
      </c>
      <c r="B37" s="277"/>
      <c r="C37" s="277"/>
      <c r="D37" s="277"/>
      <c r="E37" s="277">
        <f>+D36</f>
        <v>60000</v>
      </c>
      <c r="G37" s="277" t="s">
        <v>1265</v>
      </c>
      <c r="H37" s="277"/>
      <c r="I37" s="277"/>
      <c r="J37" s="277"/>
      <c r="K37" s="277">
        <f>+J36</f>
        <v>390000</v>
      </c>
    </row>
    <row r="40" spans="1:15" x14ac:dyDescent="0.25">
      <c r="G40" s="277" t="s">
        <v>1214</v>
      </c>
      <c r="J40" s="114">
        <f>+J25</f>
        <v>800000</v>
      </c>
    </row>
    <row r="41" spans="1:15" x14ac:dyDescent="0.25">
      <c r="G41" s="114" t="s">
        <v>1262</v>
      </c>
      <c r="J41" s="114">
        <f>+J29</f>
        <v>300000</v>
      </c>
    </row>
    <row r="42" spans="1:15" x14ac:dyDescent="0.25">
      <c r="J42" s="277">
        <f>+J40+J41</f>
        <v>1100000</v>
      </c>
    </row>
    <row r="43" spans="1:15" x14ac:dyDescent="0.25">
      <c r="J43" s="277">
        <f>+J42*30%</f>
        <v>330000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0000"/>
  </sheetPr>
  <dimension ref="A1:S71"/>
  <sheetViews>
    <sheetView zoomScale="120" zoomScaleNormal="120" workbookViewId="0">
      <selection activeCell="I17" sqref="I12:I17"/>
    </sheetView>
  </sheetViews>
  <sheetFormatPr baseColWidth="10" defaultRowHeight="15.95" customHeight="1" x14ac:dyDescent="0.2"/>
  <cols>
    <col min="1" max="1" width="2.85546875" style="26" customWidth="1"/>
    <col min="2" max="2" width="9.28515625" style="26" customWidth="1"/>
    <col min="3" max="3" width="3.5703125" style="26" customWidth="1"/>
    <col min="4" max="4" width="12.28515625" style="26" bestFit="1" customWidth="1"/>
    <col min="5" max="5" width="11.28515625" style="22" bestFit="1" customWidth="1"/>
    <col min="6" max="6" width="12.28515625" style="22" bestFit="1" customWidth="1"/>
    <col min="7" max="7" width="9.5703125" style="22" bestFit="1" customWidth="1"/>
    <col min="8" max="8" width="12.7109375" style="22" customWidth="1"/>
    <col min="9" max="9" width="12.85546875" style="22" bestFit="1" customWidth="1"/>
    <col min="10" max="10" width="12.28515625" style="22" customWidth="1"/>
    <col min="11" max="11" width="4.85546875" style="22" customWidth="1"/>
    <col min="12" max="252" width="11.42578125" style="22"/>
    <col min="253" max="253" width="40.5703125" style="22" bestFit="1" customWidth="1"/>
    <col min="254" max="254" width="16.85546875" style="22" customWidth="1"/>
    <col min="255" max="255" width="15.42578125" style="22" bestFit="1" customWidth="1"/>
    <col min="256" max="256" width="16.140625" style="22" bestFit="1" customWidth="1"/>
    <col min="257" max="257" width="13.5703125" style="22" customWidth="1"/>
    <col min="258" max="258" width="16.5703125" style="22" customWidth="1"/>
    <col min="259" max="508" width="11.42578125" style="22"/>
    <col min="509" max="509" width="40.5703125" style="22" bestFit="1" customWidth="1"/>
    <col min="510" max="510" width="16.85546875" style="22" customWidth="1"/>
    <col min="511" max="511" width="15.42578125" style="22" bestFit="1" customWidth="1"/>
    <col min="512" max="512" width="16.140625" style="22" bestFit="1" customWidth="1"/>
    <col min="513" max="513" width="13.5703125" style="22" customWidth="1"/>
    <col min="514" max="514" width="16.5703125" style="22" customWidth="1"/>
    <col min="515" max="764" width="11.42578125" style="22"/>
    <col min="765" max="765" width="40.5703125" style="22" bestFit="1" customWidth="1"/>
    <col min="766" max="766" width="16.85546875" style="22" customWidth="1"/>
    <col min="767" max="767" width="15.42578125" style="22" bestFit="1" customWidth="1"/>
    <col min="768" max="768" width="16.140625" style="22" bestFit="1" customWidth="1"/>
    <col min="769" max="769" width="13.5703125" style="22" customWidth="1"/>
    <col min="770" max="770" width="16.5703125" style="22" customWidth="1"/>
    <col min="771" max="1020" width="11.42578125" style="22"/>
    <col min="1021" max="1021" width="40.5703125" style="22" bestFit="1" customWidth="1"/>
    <col min="1022" max="1022" width="16.85546875" style="22" customWidth="1"/>
    <col min="1023" max="1023" width="15.42578125" style="22" bestFit="1" customWidth="1"/>
    <col min="1024" max="1024" width="16.140625" style="22" bestFit="1" customWidth="1"/>
    <col min="1025" max="1025" width="13.5703125" style="22" customWidth="1"/>
    <col min="1026" max="1026" width="16.5703125" style="22" customWidth="1"/>
    <col min="1027" max="1276" width="11.42578125" style="22"/>
    <col min="1277" max="1277" width="40.5703125" style="22" bestFit="1" customWidth="1"/>
    <col min="1278" max="1278" width="16.85546875" style="22" customWidth="1"/>
    <col min="1279" max="1279" width="15.42578125" style="22" bestFit="1" customWidth="1"/>
    <col min="1280" max="1280" width="16.140625" style="22" bestFit="1" customWidth="1"/>
    <col min="1281" max="1281" width="13.5703125" style="22" customWidth="1"/>
    <col min="1282" max="1282" width="16.5703125" style="22" customWidth="1"/>
    <col min="1283" max="1532" width="11.42578125" style="22"/>
    <col min="1533" max="1533" width="40.5703125" style="22" bestFit="1" customWidth="1"/>
    <col min="1534" max="1534" width="16.85546875" style="22" customWidth="1"/>
    <col min="1535" max="1535" width="15.42578125" style="22" bestFit="1" customWidth="1"/>
    <col min="1536" max="1536" width="16.140625" style="22" bestFit="1" customWidth="1"/>
    <col min="1537" max="1537" width="13.5703125" style="22" customWidth="1"/>
    <col min="1538" max="1538" width="16.5703125" style="22" customWidth="1"/>
    <col min="1539" max="1788" width="11.42578125" style="22"/>
    <col min="1789" max="1789" width="40.5703125" style="22" bestFit="1" customWidth="1"/>
    <col min="1790" max="1790" width="16.85546875" style="22" customWidth="1"/>
    <col min="1791" max="1791" width="15.42578125" style="22" bestFit="1" customWidth="1"/>
    <col min="1792" max="1792" width="16.140625" style="22" bestFit="1" customWidth="1"/>
    <col min="1793" max="1793" width="13.5703125" style="22" customWidth="1"/>
    <col min="1794" max="1794" width="16.5703125" style="22" customWidth="1"/>
    <col min="1795" max="2044" width="11.42578125" style="22"/>
    <col min="2045" max="2045" width="40.5703125" style="22" bestFit="1" customWidth="1"/>
    <col min="2046" max="2046" width="16.85546875" style="22" customWidth="1"/>
    <col min="2047" max="2047" width="15.42578125" style="22" bestFit="1" customWidth="1"/>
    <col min="2048" max="2048" width="16.140625" style="22" bestFit="1" customWidth="1"/>
    <col min="2049" max="2049" width="13.5703125" style="22" customWidth="1"/>
    <col min="2050" max="2050" width="16.5703125" style="22" customWidth="1"/>
    <col min="2051" max="2300" width="11.42578125" style="22"/>
    <col min="2301" max="2301" width="40.5703125" style="22" bestFit="1" customWidth="1"/>
    <col min="2302" max="2302" width="16.85546875" style="22" customWidth="1"/>
    <col min="2303" max="2303" width="15.42578125" style="22" bestFit="1" customWidth="1"/>
    <col min="2304" max="2304" width="16.140625" style="22" bestFit="1" customWidth="1"/>
    <col min="2305" max="2305" width="13.5703125" style="22" customWidth="1"/>
    <col min="2306" max="2306" width="16.5703125" style="22" customWidth="1"/>
    <col min="2307" max="2556" width="11.42578125" style="22"/>
    <col min="2557" max="2557" width="40.5703125" style="22" bestFit="1" customWidth="1"/>
    <col min="2558" max="2558" width="16.85546875" style="22" customWidth="1"/>
    <col min="2559" max="2559" width="15.42578125" style="22" bestFit="1" customWidth="1"/>
    <col min="2560" max="2560" width="16.140625" style="22" bestFit="1" customWidth="1"/>
    <col min="2561" max="2561" width="13.5703125" style="22" customWidth="1"/>
    <col min="2562" max="2562" width="16.5703125" style="22" customWidth="1"/>
    <col min="2563" max="2812" width="11.42578125" style="22"/>
    <col min="2813" max="2813" width="40.5703125" style="22" bestFit="1" customWidth="1"/>
    <col min="2814" max="2814" width="16.85546875" style="22" customWidth="1"/>
    <col min="2815" max="2815" width="15.42578125" style="22" bestFit="1" customWidth="1"/>
    <col min="2816" max="2816" width="16.140625" style="22" bestFit="1" customWidth="1"/>
    <col min="2817" max="2817" width="13.5703125" style="22" customWidth="1"/>
    <col min="2818" max="2818" width="16.5703125" style="22" customWidth="1"/>
    <col min="2819" max="3068" width="11.42578125" style="22"/>
    <col min="3069" max="3069" width="40.5703125" style="22" bestFit="1" customWidth="1"/>
    <col min="3070" max="3070" width="16.85546875" style="22" customWidth="1"/>
    <col min="3071" max="3071" width="15.42578125" style="22" bestFit="1" customWidth="1"/>
    <col min="3072" max="3072" width="16.140625" style="22" bestFit="1" customWidth="1"/>
    <col min="3073" max="3073" width="13.5703125" style="22" customWidth="1"/>
    <col min="3074" max="3074" width="16.5703125" style="22" customWidth="1"/>
    <col min="3075" max="3324" width="11.42578125" style="22"/>
    <col min="3325" max="3325" width="40.5703125" style="22" bestFit="1" customWidth="1"/>
    <col min="3326" max="3326" width="16.85546875" style="22" customWidth="1"/>
    <col min="3327" max="3327" width="15.42578125" style="22" bestFit="1" customWidth="1"/>
    <col min="3328" max="3328" width="16.140625" style="22" bestFit="1" customWidth="1"/>
    <col min="3329" max="3329" width="13.5703125" style="22" customWidth="1"/>
    <col min="3330" max="3330" width="16.5703125" style="22" customWidth="1"/>
    <col min="3331" max="3580" width="11.42578125" style="22"/>
    <col min="3581" max="3581" width="40.5703125" style="22" bestFit="1" customWidth="1"/>
    <col min="3582" max="3582" width="16.85546875" style="22" customWidth="1"/>
    <col min="3583" max="3583" width="15.42578125" style="22" bestFit="1" customWidth="1"/>
    <col min="3584" max="3584" width="16.140625" style="22" bestFit="1" customWidth="1"/>
    <col min="3585" max="3585" width="13.5703125" style="22" customWidth="1"/>
    <col min="3586" max="3586" width="16.5703125" style="22" customWidth="1"/>
    <col min="3587" max="3836" width="11.42578125" style="22"/>
    <col min="3837" max="3837" width="40.5703125" style="22" bestFit="1" customWidth="1"/>
    <col min="3838" max="3838" width="16.85546875" style="22" customWidth="1"/>
    <col min="3839" max="3839" width="15.42578125" style="22" bestFit="1" customWidth="1"/>
    <col min="3840" max="3840" width="16.140625" style="22" bestFit="1" customWidth="1"/>
    <col min="3841" max="3841" width="13.5703125" style="22" customWidth="1"/>
    <col min="3842" max="3842" width="16.5703125" style="22" customWidth="1"/>
    <col min="3843" max="4092" width="11.42578125" style="22"/>
    <col min="4093" max="4093" width="40.5703125" style="22" bestFit="1" customWidth="1"/>
    <col min="4094" max="4094" width="16.85546875" style="22" customWidth="1"/>
    <col min="4095" max="4095" width="15.42578125" style="22" bestFit="1" customWidth="1"/>
    <col min="4096" max="4096" width="16.140625" style="22" bestFit="1" customWidth="1"/>
    <col min="4097" max="4097" width="13.5703125" style="22" customWidth="1"/>
    <col min="4098" max="4098" width="16.5703125" style="22" customWidth="1"/>
    <col min="4099" max="4348" width="11.42578125" style="22"/>
    <col min="4349" max="4349" width="40.5703125" style="22" bestFit="1" customWidth="1"/>
    <col min="4350" max="4350" width="16.85546875" style="22" customWidth="1"/>
    <col min="4351" max="4351" width="15.42578125" style="22" bestFit="1" customWidth="1"/>
    <col min="4352" max="4352" width="16.140625" style="22" bestFit="1" customWidth="1"/>
    <col min="4353" max="4353" width="13.5703125" style="22" customWidth="1"/>
    <col min="4354" max="4354" width="16.5703125" style="22" customWidth="1"/>
    <col min="4355" max="4604" width="11.42578125" style="22"/>
    <col min="4605" max="4605" width="40.5703125" style="22" bestFit="1" customWidth="1"/>
    <col min="4606" max="4606" width="16.85546875" style="22" customWidth="1"/>
    <col min="4607" max="4607" width="15.42578125" style="22" bestFit="1" customWidth="1"/>
    <col min="4608" max="4608" width="16.140625" style="22" bestFit="1" customWidth="1"/>
    <col min="4609" max="4609" width="13.5703125" style="22" customWidth="1"/>
    <col min="4610" max="4610" width="16.5703125" style="22" customWidth="1"/>
    <col min="4611" max="4860" width="11.42578125" style="22"/>
    <col min="4861" max="4861" width="40.5703125" style="22" bestFit="1" customWidth="1"/>
    <col min="4862" max="4862" width="16.85546875" style="22" customWidth="1"/>
    <col min="4863" max="4863" width="15.42578125" style="22" bestFit="1" customWidth="1"/>
    <col min="4864" max="4864" width="16.140625" style="22" bestFit="1" customWidth="1"/>
    <col min="4865" max="4865" width="13.5703125" style="22" customWidth="1"/>
    <col min="4866" max="4866" width="16.5703125" style="22" customWidth="1"/>
    <col min="4867" max="5116" width="11.42578125" style="22"/>
    <col min="5117" max="5117" width="40.5703125" style="22" bestFit="1" customWidth="1"/>
    <col min="5118" max="5118" width="16.85546875" style="22" customWidth="1"/>
    <col min="5119" max="5119" width="15.42578125" style="22" bestFit="1" customWidth="1"/>
    <col min="5120" max="5120" width="16.140625" style="22" bestFit="1" customWidth="1"/>
    <col min="5121" max="5121" width="13.5703125" style="22" customWidth="1"/>
    <col min="5122" max="5122" width="16.5703125" style="22" customWidth="1"/>
    <col min="5123" max="5372" width="11.42578125" style="22"/>
    <col min="5373" max="5373" width="40.5703125" style="22" bestFit="1" customWidth="1"/>
    <col min="5374" max="5374" width="16.85546875" style="22" customWidth="1"/>
    <col min="5375" max="5375" width="15.42578125" style="22" bestFit="1" customWidth="1"/>
    <col min="5376" max="5376" width="16.140625" style="22" bestFit="1" customWidth="1"/>
    <col min="5377" max="5377" width="13.5703125" style="22" customWidth="1"/>
    <col min="5378" max="5378" width="16.5703125" style="22" customWidth="1"/>
    <col min="5379" max="5628" width="11.42578125" style="22"/>
    <col min="5629" max="5629" width="40.5703125" style="22" bestFit="1" customWidth="1"/>
    <col min="5630" max="5630" width="16.85546875" style="22" customWidth="1"/>
    <col min="5631" max="5631" width="15.42578125" style="22" bestFit="1" customWidth="1"/>
    <col min="5632" max="5632" width="16.140625" style="22" bestFit="1" customWidth="1"/>
    <col min="5633" max="5633" width="13.5703125" style="22" customWidth="1"/>
    <col min="5634" max="5634" width="16.5703125" style="22" customWidth="1"/>
    <col min="5635" max="5884" width="11.42578125" style="22"/>
    <col min="5885" max="5885" width="40.5703125" style="22" bestFit="1" customWidth="1"/>
    <col min="5886" max="5886" width="16.85546875" style="22" customWidth="1"/>
    <col min="5887" max="5887" width="15.42578125" style="22" bestFit="1" customWidth="1"/>
    <col min="5888" max="5888" width="16.140625" style="22" bestFit="1" customWidth="1"/>
    <col min="5889" max="5889" width="13.5703125" style="22" customWidth="1"/>
    <col min="5890" max="5890" width="16.5703125" style="22" customWidth="1"/>
    <col min="5891" max="6140" width="11.42578125" style="22"/>
    <col min="6141" max="6141" width="40.5703125" style="22" bestFit="1" customWidth="1"/>
    <col min="6142" max="6142" width="16.85546875" style="22" customWidth="1"/>
    <col min="6143" max="6143" width="15.42578125" style="22" bestFit="1" customWidth="1"/>
    <col min="6144" max="6144" width="16.140625" style="22" bestFit="1" customWidth="1"/>
    <col min="6145" max="6145" width="13.5703125" style="22" customWidth="1"/>
    <col min="6146" max="6146" width="16.5703125" style="22" customWidth="1"/>
    <col min="6147" max="6396" width="11.42578125" style="22"/>
    <col min="6397" max="6397" width="40.5703125" style="22" bestFit="1" customWidth="1"/>
    <col min="6398" max="6398" width="16.85546875" style="22" customWidth="1"/>
    <col min="6399" max="6399" width="15.42578125" style="22" bestFit="1" customWidth="1"/>
    <col min="6400" max="6400" width="16.140625" style="22" bestFit="1" customWidth="1"/>
    <col min="6401" max="6401" width="13.5703125" style="22" customWidth="1"/>
    <col min="6402" max="6402" width="16.5703125" style="22" customWidth="1"/>
    <col min="6403" max="6652" width="11.42578125" style="22"/>
    <col min="6653" max="6653" width="40.5703125" style="22" bestFit="1" customWidth="1"/>
    <col min="6654" max="6654" width="16.85546875" style="22" customWidth="1"/>
    <col min="6655" max="6655" width="15.42578125" style="22" bestFit="1" customWidth="1"/>
    <col min="6656" max="6656" width="16.140625" style="22" bestFit="1" customWidth="1"/>
    <col min="6657" max="6657" width="13.5703125" style="22" customWidth="1"/>
    <col min="6658" max="6658" width="16.5703125" style="22" customWidth="1"/>
    <col min="6659" max="6908" width="11.42578125" style="22"/>
    <col min="6909" max="6909" width="40.5703125" style="22" bestFit="1" customWidth="1"/>
    <col min="6910" max="6910" width="16.85546875" style="22" customWidth="1"/>
    <col min="6911" max="6911" width="15.42578125" style="22" bestFit="1" customWidth="1"/>
    <col min="6912" max="6912" width="16.140625" style="22" bestFit="1" customWidth="1"/>
    <col min="6913" max="6913" width="13.5703125" style="22" customWidth="1"/>
    <col min="6914" max="6914" width="16.5703125" style="22" customWidth="1"/>
    <col min="6915" max="7164" width="11.42578125" style="22"/>
    <col min="7165" max="7165" width="40.5703125" style="22" bestFit="1" customWidth="1"/>
    <col min="7166" max="7166" width="16.85546875" style="22" customWidth="1"/>
    <col min="7167" max="7167" width="15.42578125" style="22" bestFit="1" customWidth="1"/>
    <col min="7168" max="7168" width="16.140625" style="22" bestFit="1" customWidth="1"/>
    <col min="7169" max="7169" width="13.5703125" style="22" customWidth="1"/>
    <col min="7170" max="7170" width="16.5703125" style="22" customWidth="1"/>
    <col min="7171" max="7420" width="11.42578125" style="22"/>
    <col min="7421" max="7421" width="40.5703125" style="22" bestFit="1" customWidth="1"/>
    <col min="7422" max="7422" width="16.85546875" style="22" customWidth="1"/>
    <col min="7423" max="7423" width="15.42578125" style="22" bestFit="1" customWidth="1"/>
    <col min="7424" max="7424" width="16.140625" style="22" bestFit="1" customWidth="1"/>
    <col min="7425" max="7425" width="13.5703125" style="22" customWidth="1"/>
    <col min="7426" max="7426" width="16.5703125" style="22" customWidth="1"/>
    <col min="7427" max="7676" width="11.42578125" style="22"/>
    <col min="7677" max="7677" width="40.5703125" style="22" bestFit="1" customWidth="1"/>
    <col min="7678" max="7678" width="16.85546875" style="22" customWidth="1"/>
    <col min="7679" max="7679" width="15.42578125" style="22" bestFit="1" customWidth="1"/>
    <col min="7680" max="7680" width="16.140625" style="22" bestFit="1" customWidth="1"/>
    <col min="7681" max="7681" width="13.5703125" style="22" customWidth="1"/>
    <col min="7682" max="7682" width="16.5703125" style="22" customWidth="1"/>
    <col min="7683" max="7932" width="11.42578125" style="22"/>
    <col min="7933" max="7933" width="40.5703125" style="22" bestFit="1" customWidth="1"/>
    <col min="7934" max="7934" width="16.85546875" style="22" customWidth="1"/>
    <col min="7935" max="7935" width="15.42578125" style="22" bestFit="1" customWidth="1"/>
    <col min="7936" max="7936" width="16.140625" style="22" bestFit="1" customWidth="1"/>
    <col min="7937" max="7937" width="13.5703125" style="22" customWidth="1"/>
    <col min="7938" max="7938" width="16.5703125" style="22" customWidth="1"/>
    <col min="7939" max="8188" width="11.42578125" style="22"/>
    <col min="8189" max="8189" width="40.5703125" style="22" bestFit="1" customWidth="1"/>
    <col min="8190" max="8190" width="16.85546875" style="22" customWidth="1"/>
    <col min="8191" max="8191" width="15.42578125" style="22" bestFit="1" customWidth="1"/>
    <col min="8192" max="8192" width="16.140625" style="22" bestFit="1" customWidth="1"/>
    <col min="8193" max="8193" width="13.5703125" style="22" customWidth="1"/>
    <col min="8194" max="8194" width="16.5703125" style="22" customWidth="1"/>
    <col min="8195" max="8444" width="11.42578125" style="22"/>
    <col min="8445" max="8445" width="40.5703125" style="22" bestFit="1" customWidth="1"/>
    <col min="8446" max="8446" width="16.85546875" style="22" customWidth="1"/>
    <col min="8447" max="8447" width="15.42578125" style="22" bestFit="1" customWidth="1"/>
    <col min="8448" max="8448" width="16.140625" style="22" bestFit="1" customWidth="1"/>
    <col min="8449" max="8449" width="13.5703125" style="22" customWidth="1"/>
    <col min="8450" max="8450" width="16.5703125" style="22" customWidth="1"/>
    <col min="8451" max="8700" width="11.42578125" style="22"/>
    <col min="8701" max="8701" width="40.5703125" style="22" bestFit="1" customWidth="1"/>
    <col min="8702" max="8702" width="16.85546875" style="22" customWidth="1"/>
    <col min="8703" max="8703" width="15.42578125" style="22" bestFit="1" customWidth="1"/>
    <col min="8704" max="8704" width="16.140625" style="22" bestFit="1" customWidth="1"/>
    <col min="8705" max="8705" width="13.5703125" style="22" customWidth="1"/>
    <col min="8706" max="8706" width="16.5703125" style="22" customWidth="1"/>
    <col min="8707" max="8956" width="11.42578125" style="22"/>
    <col min="8957" max="8957" width="40.5703125" style="22" bestFit="1" customWidth="1"/>
    <col min="8958" max="8958" width="16.85546875" style="22" customWidth="1"/>
    <col min="8959" max="8959" width="15.42578125" style="22" bestFit="1" customWidth="1"/>
    <col min="8960" max="8960" width="16.140625" style="22" bestFit="1" customWidth="1"/>
    <col min="8961" max="8961" width="13.5703125" style="22" customWidth="1"/>
    <col min="8962" max="8962" width="16.5703125" style="22" customWidth="1"/>
    <col min="8963" max="9212" width="11.42578125" style="22"/>
    <col min="9213" max="9213" width="40.5703125" style="22" bestFit="1" customWidth="1"/>
    <col min="9214" max="9214" width="16.85546875" style="22" customWidth="1"/>
    <col min="9215" max="9215" width="15.42578125" style="22" bestFit="1" customWidth="1"/>
    <col min="9216" max="9216" width="16.140625" style="22" bestFit="1" customWidth="1"/>
    <col min="9217" max="9217" width="13.5703125" style="22" customWidth="1"/>
    <col min="9218" max="9218" width="16.5703125" style="22" customWidth="1"/>
    <col min="9219" max="9468" width="11.42578125" style="22"/>
    <col min="9469" max="9469" width="40.5703125" style="22" bestFit="1" customWidth="1"/>
    <col min="9470" max="9470" width="16.85546875" style="22" customWidth="1"/>
    <col min="9471" max="9471" width="15.42578125" style="22" bestFit="1" customWidth="1"/>
    <col min="9472" max="9472" width="16.140625" style="22" bestFit="1" customWidth="1"/>
    <col min="9473" max="9473" width="13.5703125" style="22" customWidth="1"/>
    <col min="9474" max="9474" width="16.5703125" style="22" customWidth="1"/>
    <col min="9475" max="9724" width="11.42578125" style="22"/>
    <col min="9725" max="9725" width="40.5703125" style="22" bestFit="1" customWidth="1"/>
    <col min="9726" max="9726" width="16.85546875" style="22" customWidth="1"/>
    <col min="9727" max="9727" width="15.42578125" style="22" bestFit="1" customWidth="1"/>
    <col min="9728" max="9728" width="16.140625" style="22" bestFit="1" customWidth="1"/>
    <col min="9729" max="9729" width="13.5703125" style="22" customWidth="1"/>
    <col min="9730" max="9730" width="16.5703125" style="22" customWidth="1"/>
    <col min="9731" max="9980" width="11.42578125" style="22"/>
    <col min="9981" max="9981" width="40.5703125" style="22" bestFit="1" customWidth="1"/>
    <col min="9982" max="9982" width="16.85546875" style="22" customWidth="1"/>
    <col min="9983" max="9983" width="15.42578125" style="22" bestFit="1" customWidth="1"/>
    <col min="9984" max="9984" width="16.140625" style="22" bestFit="1" customWidth="1"/>
    <col min="9985" max="9985" width="13.5703125" style="22" customWidth="1"/>
    <col min="9986" max="9986" width="16.5703125" style="22" customWidth="1"/>
    <col min="9987" max="10236" width="11.42578125" style="22"/>
    <col min="10237" max="10237" width="40.5703125" style="22" bestFit="1" customWidth="1"/>
    <col min="10238" max="10238" width="16.85546875" style="22" customWidth="1"/>
    <col min="10239" max="10239" width="15.42578125" style="22" bestFit="1" customWidth="1"/>
    <col min="10240" max="10240" width="16.140625" style="22" bestFit="1" customWidth="1"/>
    <col min="10241" max="10241" width="13.5703125" style="22" customWidth="1"/>
    <col min="10242" max="10242" width="16.5703125" style="22" customWidth="1"/>
    <col min="10243" max="10492" width="11.42578125" style="22"/>
    <col min="10493" max="10493" width="40.5703125" style="22" bestFit="1" customWidth="1"/>
    <col min="10494" max="10494" width="16.85546875" style="22" customWidth="1"/>
    <col min="10495" max="10495" width="15.42578125" style="22" bestFit="1" customWidth="1"/>
    <col min="10496" max="10496" width="16.140625" style="22" bestFit="1" customWidth="1"/>
    <col min="10497" max="10497" width="13.5703125" style="22" customWidth="1"/>
    <col min="10498" max="10498" width="16.5703125" style="22" customWidth="1"/>
    <col min="10499" max="10748" width="11.42578125" style="22"/>
    <col min="10749" max="10749" width="40.5703125" style="22" bestFit="1" customWidth="1"/>
    <col min="10750" max="10750" width="16.85546875" style="22" customWidth="1"/>
    <col min="10751" max="10751" width="15.42578125" style="22" bestFit="1" customWidth="1"/>
    <col min="10752" max="10752" width="16.140625" style="22" bestFit="1" customWidth="1"/>
    <col min="10753" max="10753" width="13.5703125" style="22" customWidth="1"/>
    <col min="10754" max="10754" width="16.5703125" style="22" customWidth="1"/>
    <col min="10755" max="11004" width="11.42578125" style="22"/>
    <col min="11005" max="11005" width="40.5703125" style="22" bestFit="1" customWidth="1"/>
    <col min="11006" max="11006" width="16.85546875" style="22" customWidth="1"/>
    <col min="11007" max="11007" width="15.42578125" style="22" bestFit="1" customWidth="1"/>
    <col min="11008" max="11008" width="16.140625" style="22" bestFit="1" customWidth="1"/>
    <col min="11009" max="11009" width="13.5703125" style="22" customWidth="1"/>
    <col min="11010" max="11010" width="16.5703125" style="22" customWidth="1"/>
    <col min="11011" max="11260" width="11.42578125" style="22"/>
    <col min="11261" max="11261" width="40.5703125" style="22" bestFit="1" customWidth="1"/>
    <col min="11262" max="11262" width="16.85546875" style="22" customWidth="1"/>
    <col min="11263" max="11263" width="15.42578125" style="22" bestFit="1" customWidth="1"/>
    <col min="11264" max="11264" width="16.140625" style="22" bestFit="1" customWidth="1"/>
    <col min="11265" max="11265" width="13.5703125" style="22" customWidth="1"/>
    <col min="11266" max="11266" width="16.5703125" style="22" customWidth="1"/>
    <col min="11267" max="11516" width="11.42578125" style="22"/>
    <col min="11517" max="11517" width="40.5703125" style="22" bestFit="1" customWidth="1"/>
    <col min="11518" max="11518" width="16.85546875" style="22" customWidth="1"/>
    <col min="11519" max="11519" width="15.42578125" style="22" bestFit="1" customWidth="1"/>
    <col min="11520" max="11520" width="16.140625" style="22" bestFit="1" customWidth="1"/>
    <col min="11521" max="11521" width="13.5703125" style="22" customWidth="1"/>
    <col min="11522" max="11522" width="16.5703125" style="22" customWidth="1"/>
    <col min="11523" max="11772" width="11.42578125" style="22"/>
    <col min="11773" max="11773" width="40.5703125" style="22" bestFit="1" customWidth="1"/>
    <col min="11774" max="11774" width="16.85546875" style="22" customWidth="1"/>
    <col min="11775" max="11775" width="15.42578125" style="22" bestFit="1" customWidth="1"/>
    <col min="11776" max="11776" width="16.140625" style="22" bestFit="1" customWidth="1"/>
    <col min="11777" max="11777" width="13.5703125" style="22" customWidth="1"/>
    <col min="11778" max="11778" width="16.5703125" style="22" customWidth="1"/>
    <col min="11779" max="12028" width="11.42578125" style="22"/>
    <col min="12029" max="12029" width="40.5703125" style="22" bestFit="1" customWidth="1"/>
    <col min="12030" max="12030" width="16.85546875" style="22" customWidth="1"/>
    <col min="12031" max="12031" width="15.42578125" style="22" bestFit="1" customWidth="1"/>
    <col min="12032" max="12032" width="16.140625" style="22" bestFit="1" customWidth="1"/>
    <col min="12033" max="12033" width="13.5703125" style="22" customWidth="1"/>
    <col min="12034" max="12034" width="16.5703125" style="22" customWidth="1"/>
    <col min="12035" max="12284" width="11.42578125" style="22"/>
    <col min="12285" max="12285" width="40.5703125" style="22" bestFit="1" customWidth="1"/>
    <col min="12286" max="12286" width="16.85546875" style="22" customWidth="1"/>
    <col min="12287" max="12287" width="15.42578125" style="22" bestFit="1" customWidth="1"/>
    <col min="12288" max="12288" width="16.140625" style="22" bestFit="1" customWidth="1"/>
    <col min="12289" max="12289" width="13.5703125" style="22" customWidth="1"/>
    <col min="12290" max="12290" width="16.5703125" style="22" customWidth="1"/>
    <col min="12291" max="12540" width="11.42578125" style="22"/>
    <col min="12541" max="12541" width="40.5703125" style="22" bestFit="1" customWidth="1"/>
    <col min="12542" max="12542" width="16.85546875" style="22" customWidth="1"/>
    <col min="12543" max="12543" width="15.42578125" style="22" bestFit="1" customWidth="1"/>
    <col min="12544" max="12544" width="16.140625" style="22" bestFit="1" customWidth="1"/>
    <col min="12545" max="12545" width="13.5703125" style="22" customWidth="1"/>
    <col min="12546" max="12546" width="16.5703125" style="22" customWidth="1"/>
    <col min="12547" max="12796" width="11.42578125" style="22"/>
    <col min="12797" max="12797" width="40.5703125" style="22" bestFit="1" customWidth="1"/>
    <col min="12798" max="12798" width="16.85546875" style="22" customWidth="1"/>
    <col min="12799" max="12799" width="15.42578125" style="22" bestFit="1" customWidth="1"/>
    <col min="12800" max="12800" width="16.140625" style="22" bestFit="1" customWidth="1"/>
    <col min="12801" max="12801" width="13.5703125" style="22" customWidth="1"/>
    <col min="12802" max="12802" width="16.5703125" style="22" customWidth="1"/>
    <col min="12803" max="13052" width="11.42578125" style="22"/>
    <col min="13053" max="13053" width="40.5703125" style="22" bestFit="1" customWidth="1"/>
    <col min="13054" max="13054" width="16.85546875" style="22" customWidth="1"/>
    <col min="13055" max="13055" width="15.42578125" style="22" bestFit="1" customWidth="1"/>
    <col min="13056" max="13056" width="16.140625" style="22" bestFit="1" customWidth="1"/>
    <col min="13057" max="13057" width="13.5703125" style="22" customWidth="1"/>
    <col min="13058" max="13058" width="16.5703125" style="22" customWidth="1"/>
    <col min="13059" max="13308" width="11.42578125" style="22"/>
    <col min="13309" max="13309" width="40.5703125" style="22" bestFit="1" customWidth="1"/>
    <col min="13310" max="13310" width="16.85546875" style="22" customWidth="1"/>
    <col min="13311" max="13311" width="15.42578125" style="22" bestFit="1" customWidth="1"/>
    <col min="13312" max="13312" width="16.140625" style="22" bestFit="1" customWidth="1"/>
    <col min="13313" max="13313" width="13.5703125" style="22" customWidth="1"/>
    <col min="13314" max="13314" width="16.5703125" style="22" customWidth="1"/>
    <col min="13315" max="13564" width="11.42578125" style="22"/>
    <col min="13565" max="13565" width="40.5703125" style="22" bestFit="1" customWidth="1"/>
    <col min="13566" max="13566" width="16.85546875" style="22" customWidth="1"/>
    <col min="13567" max="13567" width="15.42578125" style="22" bestFit="1" customWidth="1"/>
    <col min="13568" max="13568" width="16.140625" style="22" bestFit="1" customWidth="1"/>
    <col min="13569" max="13569" width="13.5703125" style="22" customWidth="1"/>
    <col min="13570" max="13570" width="16.5703125" style="22" customWidth="1"/>
    <col min="13571" max="13820" width="11.42578125" style="22"/>
    <col min="13821" max="13821" width="40.5703125" style="22" bestFit="1" customWidth="1"/>
    <col min="13822" max="13822" width="16.85546875" style="22" customWidth="1"/>
    <col min="13823" max="13823" width="15.42578125" style="22" bestFit="1" customWidth="1"/>
    <col min="13824" max="13824" width="16.140625" style="22" bestFit="1" customWidth="1"/>
    <col min="13825" max="13825" width="13.5703125" style="22" customWidth="1"/>
    <col min="13826" max="13826" width="16.5703125" style="22" customWidth="1"/>
    <col min="13827" max="14076" width="11.42578125" style="22"/>
    <col min="14077" max="14077" width="40.5703125" style="22" bestFit="1" customWidth="1"/>
    <col min="14078" max="14078" width="16.85546875" style="22" customWidth="1"/>
    <col min="14079" max="14079" width="15.42578125" style="22" bestFit="1" customWidth="1"/>
    <col min="14080" max="14080" width="16.140625" style="22" bestFit="1" customWidth="1"/>
    <col min="14081" max="14081" width="13.5703125" style="22" customWidth="1"/>
    <col min="14082" max="14082" width="16.5703125" style="22" customWidth="1"/>
    <col min="14083" max="14332" width="11.42578125" style="22"/>
    <col min="14333" max="14333" width="40.5703125" style="22" bestFit="1" customWidth="1"/>
    <col min="14334" max="14334" width="16.85546875" style="22" customWidth="1"/>
    <col min="14335" max="14335" width="15.42578125" style="22" bestFit="1" customWidth="1"/>
    <col min="14336" max="14336" width="16.140625" style="22" bestFit="1" customWidth="1"/>
    <col min="14337" max="14337" width="13.5703125" style="22" customWidth="1"/>
    <col min="14338" max="14338" width="16.5703125" style="22" customWidth="1"/>
    <col min="14339" max="14588" width="11.42578125" style="22"/>
    <col min="14589" max="14589" width="40.5703125" style="22" bestFit="1" customWidth="1"/>
    <col min="14590" max="14590" width="16.85546875" style="22" customWidth="1"/>
    <col min="14591" max="14591" width="15.42578125" style="22" bestFit="1" customWidth="1"/>
    <col min="14592" max="14592" width="16.140625" style="22" bestFit="1" customWidth="1"/>
    <col min="14593" max="14593" width="13.5703125" style="22" customWidth="1"/>
    <col min="14594" max="14594" width="16.5703125" style="22" customWidth="1"/>
    <col min="14595" max="14844" width="11.42578125" style="22"/>
    <col min="14845" max="14845" width="40.5703125" style="22" bestFit="1" customWidth="1"/>
    <col min="14846" max="14846" width="16.85546875" style="22" customWidth="1"/>
    <col min="14847" max="14847" width="15.42578125" style="22" bestFit="1" customWidth="1"/>
    <col min="14848" max="14848" width="16.140625" style="22" bestFit="1" customWidth="1"/>
    <col min="14849" max="14849" width="13.5703125" style="22" customWidth="1"/>
    <col min="14850" max="14850" width="16.5703125" style="22" customWidth="1"/>
    <col min="14851" max="15100" width="11.42578125" style="22"/>
    <col min="15101" max="15101" width="40.5703125" style="22" bestFit="1" customWidth="1"/>
    <col min="15102" max="15102" width="16.85546875" style="22" customWidth="1"/>
    <col min="15103" max="15103" width="15.42578125" style="22" bestFit="1" customWidth="1"/>
    <col min="15104" max="15104" width="16.140625" style="22" bestFit="1" customWidth="1"/>
    <col min="15105" max="15105" width="13.5703125" style="22" customWidth="1"/>
    <col min="15106" max="15106" width="16.5703125" style="22" customWidth="1"/>
    <col min="15107" max="15356" width="11.42578125" style="22"/>
    <col min="15357" max="15357" width="40.5703125" style="22" bestFit="1" customWidth="1"/>
    <col min="15358" max="15358" width="16.85546875" style="22" customWidth="1"/>
    <col min="15359" max="15359" width="15.42578125" style="22" bestFit="1" customWidth="1"/>
    <col min="15360" max="15360" width="16.140625" style="22" bestFit="1" customWidth="1"/>
    <col min="15361" max="15361" width="13.5703125" style="22" customWidth="1"/>
    <col min="15362" max="15362" width="16.5703125" style="22" customWidth="1"/>
    <col min="15363" max="15612" width="11.42578125" style="22"/>
    <col min="15613" max="15613" width="40.5703125" style="22" bestFit="1" customWidth="1"/>
    <col min="15614" max="15614" width="16.85546875" style="22" customWidth="1"/>
    <col min="15615" max="15615" width="15.42578125" style="22" bestFit="1" customWidth="1"/>
    <col min="15616" max="15616" width="16.140625" style="22" bestFit="1" customWidth="1"/>
    <col min="15617" max="15617" width="13.5703125" style="22" customWidth="1"/>
    <col min="15618" max="15618" width="16.5703125" style="22" customWidth="1"/>
    <col min="15619" max="15868" width="11.42578125" style="22"/>
    <col min="15869" max="15869" width="40.5703125" style="22" bestFit="1" customWidth="1"/>
    <col min="15870" max="15870" width="16.85546875" style="22" customWidth="1"/>
    <col min="15871" max="15871" width="15.42578125" style="22" bestFit="1" customWidth="1"/>
    <col min="15872" max="15872" width="16.140625" style="22" bestFit="1" customWidth="1"/>
    <col min="15873" max="15873" width="13.5703125" style="22" customWidth="1"/>
    <col min="15874" max="15874" width="16.5703125" style="22" customWidth="1"/>
    <col min="15875" max="16124" width="11.42578125" style="22"/>
    <col min="16125" max="16125" width="40.5703125" style="22" bestFit="1" customWidth="1"/>
    <col min="16126" max="16126" width="16.85546875" style="22" customWidth="1"/>
    <col min="16127" max="16127" width="15.42578125" style="22" bestFit="1" customWidth="1"/>
    <col min="16128" max="16128" width="16.140625" style="22" bestFit="1" customWidth="1"/>
    <col min="16129" max="16129" width="13.5703125" style="22" customWidth="1"/>
    <col min="16130" max="16130" width="16.5703125" style="22" customWidth="1"/>
    <col min="16131" max="16384" width="11.42578125" style="22"/>
  </cols>
  <sheetData>
    <row r="1" spans="1:19" ht="15.95" customHeight="1" x14ac:dyDescent="0.25">
      <c r="A1" s="82" t="s">
        <v>1039</v>
      </c>
      <c r="B1" s="82"/>
      <c r="C1" s="82"/>
      <c r="D1" s="82"/>
      <c r="E1" s="82"/>
      <c r="F1" s="82"/>
      <c r="G1" s="82"/>
      <c r="H1" s="82"/>
      <c r="I1" s="82"/>
      <c r="J1" s="82"/>
      <c r="K1" s="85"/>
    </row>
    <row r="2" spans="1:19" ht="15.95" customHeight="1" x14ac:dyDescent="0.25">
      <c r="A2" s="82" t="s">
        <v>1040</v>
      </c>
      <c r="B2" s="82"/>
      <c r="C2" s="82"/>
      <c r="D2" s="82"/>
      <c r="E2" s="82"/>
      <c r="F2" s="82"/>
      <c r="G2" s="82"/>
      <c r="H2" s="82"/>
      <c r="I2" s="82"/>
      <c r="J2" s="82"/>
      <c r="K2" s="85"/>
    </row>
    <row r="3" spans="1:19" ht="15.95" customHeight="1" thickBot="1" x14ac:dyDescent="0.25">
      <c r="I3" s="253"/>
      <c r="K3" s="85"/>
      <c r="P3" s="254"/>
      <c r="Q3" s="254"/>
      <c r="R3" s="254"/>
      <c r="S3" s="254"/>
    </row>
    <row r="4" spans="1:19" ht="15.95" customHeight="1" thickBot="1" x14ac:dyDescent="0.25">
      <c r="B4" s="65"/>
      <c r="C4" s="66"/>
      <c r="D4" s="67" t="s">
        <v>946</v>
      </c>
      <c r="J4" s="253"/>
      <c r="K4" s="85"/>
      <c r="P4" s="253"/>
      <c r="Q4" s="253"/>
      <c r="R4" s="253"/>
      <c r="S4" s="253"/>
    </row>
    <row r="5" spans="1:19" ht="15.95" customHeight="1" x14ac:dyDescent="0.2">
      <c r="B5" s="280" t="s">
        <v>947</v>
      </c>
      <c r="C5" s="281"/>
      <c r="D5" s="282">
        <v>27000000</v>
      </c>
      <c r="H5" s="258" t="s">
        <v>1180</v>
      </c>
      <c r="I5" s="259">
        <f>-F11</f>
        <v>5566596.588934782</v>
      </c>
      <c r="K5" s="85"/>
    </row>
    <row r="6" spans="1:19" ht="15.95" customHeight="1" x14ac:dyDescent="0.2">
      <c r="B6" s="280" t="s">
        <v>948</v>
      </c>
      <c r="C6" s="281"/>
      <c r="D6" s="282"/>
      <c r="H6" s="258" t="s">
        <v>1181</v>
      </c>
      <c r="I6" s="258">
        <v>7</v>
      </c>
      <c r="K6" s="85"/>
    </row>
    <row r="7" spans="1:19" ht="15.95" customHeight="1" x14ac:dyDescent="0.2">
      <c r="B7" s="28" t="s">
        <v>949</v>
      </c>
      <c r="C7" s="60"/>
      <c r="D7" s="61">
        <f>+D5-D6</f>
        <v>27000000</v>
      </c>
      <c r="H7" s="258" t="s">
        <v>1182</v>
      </c>
      <c r="I7" s="259">
        <f>D7</f>
        <v>27000000</v>
      </c>
      <c r="K7" s="85"/>
    </row>
    <row r="8" spans="1:19" ht="15.95" customHeight="1" thickBot="1" x14ac:dyDescent="0.25">
      <c r="B8" s="68" t="s">
        <v>950</v>
      </c>
      <c r="C8" s="69"/>
      <c r="D8" s="306">
        <v>0.10112992891146866</v>
      </c>
      <c r="H8" s="258" t="s">
        <v>950</v>
      </c>
      <c r="I8" s="260">
        <f>D29</f>
        <v>0.10112992891146866</v>
      </c>
      <c r="K8" s="85"/>
    </row>
    <row r="9" spans="1:19" ht="15.95" customHeight="1" thickBot="1" x14ac:dyDescent="0.25">
      <c r="K9" s="85"/>
    </row>
    <row r="10" spans="1:19" ht="15.95" customHeight="1" thickBot="1" x14ac:dyDescent="0.25">
      <c r="B10" s="577" t="s">
        <v>951</v>
      </c>
      <c r="C10" s="578"/>
      <c r="D10" s="53" t="s">
        <v>953</v>
      </c>
      <c r="E10" s="54" t="s">
        <v>954</v>
      </c>
      <c r="F10" s="55" t="s">
        <v>952</v>
      </c>
      <c r="K10" s="85"/>
    </row>
    <row r="11" spans="1:19" ht="15.95" customHeight="1" x14ac:dyDescent="0.2">
      <c r="B11" s="27"/>
      <c r="C11" s="58">
        <v>1</v>
      </c>
      <c r="D11" s="71">
        <f t="shared" ref="D11:D17" si="0">PPMT($D$8,C11,$C$17,$D$5,0,0)</f>
        <v>-2836088.5083251284</v>
      </c>
      <c r="E11" s="71">
        <f t="shared" ref="E11:E17" si="1">IPMT($D$8,C11,$C$17,$D$5,0,0)</f>
        <v>-2730508.0806096536</v>
      </c>
      <c r="F11" s="72">
        <f>+D11+E11</f>
        <v>-5566596.588934782</v>
      </c>
      <c r="H11" s="294">
        <f>+E11-'45111'!F5</f>
        <v>-4830508.0806096531</v>
      </c>
      <c r="I11" s="22">
        <v>2014</v>
      </c>
      <c r="K11" s="85"/>
    </row>
    <row r="12" spans="1:19" ht="15.95" customHeight="1" x14ac:dyDescent="0.2">
      <c r="B12" s="27"/>
      <c r="C12" s="56">
        <f>+C11+1</f>
        <v>2</v>
      </c>
      <c r="D12" s="71">
        <f t="shared" si="0"/>
        <v>-3122901.9375586812</v>
      </c>
      <c r="E12" s="71">
        <f t="shared" si="1"/>
        <v>-2443694.6513760998</v>
      </c>
      <c r="F12" s="72">
        <f t="shared" ref="F12:F17" si="2">+D12+E12</f>
        <v>-5566596.588934781</v>
      </c>
      <c r="H12" s="294">
        <f>+E12-'45111'!F6</f>
        <v>-4301032.8901506662</v>
      </c>
      <c r="I12" s="22">
        <f>+I11+1</f>
        <v>2015</v>
      </c>
      <c r="K12" s="85"/>
    </row>
    <row r="13" spans="1:19" ht="15.95" customHeight="1" x14ac:dyDescent="0.2">
      <c r="B13" s="27"/>
      <c r="C13" s="56">
        <f t="shared" ref="C13:C17" si="3">+C12+1</f>
        <v>3</v>
      </c>
      <c r="D13" s="71">
        <f t="shared" si="0"/>
        <v>-3438720.7885014783</v>
      </c>
      <c r="E13" s="71">
        <f t="shared" si="1"/>
        <v>-2127875.8004333032</v>
      </c>
      <c r="F13" s="72">
        <f t="shared" si="2"/>
        <v>-5566596.588934781</v>
      </c>
      <c r="H13" s="294">
        <f>+E13-'45111'!F7</f>
        <v>-3725565.9546966539</v>
      </c>
      <c r="I13" s="22">
        <f t="shared" ref="I13:I17" si="4">+I12+1</f>
        <v>2016</v>
      </c>
      <c r="K13" s="85"/>
    </row>
    <row r="14" spans="1:19" ht="15.95" customHeight="1" x14ac:dyDescent="0.2">
      <c r="B14" s="27"/>
      <c r="C14" s="56">
        <f t="shared" si="3"/>
        <v>4</v>
      </c>
      <c r="D14" s="71">
        <f t="shared" si="0"/>
        <v>-3786478.3773890221</v>
      </c>
      <c r="E14" s="71">
        <f t="shared" si="1"/>
        <v>-1780118.2115457591</v>
      </c>
      <c r="F14" s="72">
        <f t="shared" si="2"/>
        <v>-5566596.588934781</v>
      </c>
      <c r="H14" s="294">
        <f>+E14-'45111'!F8</f>
        <v>-3099984.9153821096</v>
      </c>
      <c r="I14" s="22">
        <f t="shared" si="4"/>
        <v>2017</v>
      </c>
      <c r="K14" s="85"/>
    </row>
    <row r="15" spans="1:19" ht="15.95" customHeight="1" x14ac:dyDescent="0.2">
      <c r="B15" s="27"/>
      <c r="C15" s="56">
        <f t="shared" si="3"/>
        <v>5</v>
      </c>
      <c r="D15" s="71">
        <f t="shared" si="0"/>
        <v>-4169404.6665191869</v>
      </c>
      <c r="E15" s="71">
        <f t="shared" si="1"/>
        <v>-1397191.9224155941</v>
      </c>
      <c r="F15" s="72">
        <f t="shared" si="2"/>
        <v>-5566596.588934781</v>
      </c>
      <c r="H15" s="294">
        <f>+E15-'45111'!F9</f>
        <v>-2419787.5342950546</v>
      </c>
      <c r="I15" s="22">
        <f t="shared" si="4"/>
        <v>2018</v>
      </c>
      <c r="K15" s="85"/>
    </row>
    <row r="16" spans="1:19" ht="15.95" customHeight="1" x14ac:dyDescent="0.2">
      <c r="B16" s="27"/>
      <c r="C16" s="56">
        <f t="shared" si="3"/>
        <v>6</v>
      </c>
      <c r="D16" s="71">
        <f t="shared" si="0"/>
        <v>-4591056.2640474178</v>
      </c>
      <c r="E16" s="71">
        <f t="shared" si="1"/>
        <v>-975540.32488736324</v>
      </c>
      <c r="F16" s="72">
        <f t="shared" si="2"/>
        <v>-5566596.588934781</v>
      </c>
      <c r="H16" s="294">
        <f>+E16-'45111'!F10</f>
        <v>-1680055.8683729512</v>
      </c>
      <c r="I16" s="22">
        <f t="shared" si="4"/>
        <v>2019</v>
      </c>
      <c r="K16" s="85"/>
    </row>
    <row r="17" spans="2:11" ht="15.95" customHeight="1" thickBot="1" x14ac:dyDescent="0.25">
      <c r="B17" s="27"/>
      <c r="C17" s="57">
        <f t="shared" si="3"/>
        <v>7</v>
      </c>
      <c r="D17" s="71">
        <f t="shared" si="0"/>
        <v>-5055349.4576590862</v>
      </c>
      <c r="E17" s="71">
        <f t="shared" si="1"/>
        <v>-511247.13127569493</v>
      </c>
      <c r="F17" s="72">
        <f t="shared" si="2"/>
        <v>-5566596.588934781</v>
      </c>
      <c r="H17" s="294">
        <f>+E17-'45111'!F11</f>
        <v>-875417.0015798395</v>
      </c>
      <c r="I17" s="22">
        <f t="shared" si="4"/>
        <v>2020</v>
      </c>
      <c r="K17" s="85"/>
    </row>
    <row r="18" spans="2:11" ht="15.95" customHeight="1" thickBot="1" x14ac:dyDescent="0.25">
      <c r="B18" s="27"/>
      <c r="D18" s="73">
        <f>SUM(D11:D17)</f>
        <v>-27000000</v>
      </c>
      <c r="E18" s="73">
        <f>SUM(E11:E17)</f>
        <v>-11966176.122543467</v>
      </c>
      <c r="F18" s="74">
        <f>SUM(F11:F17)</f>
        <v>-38966176.122543462</v>
      </c>
      <c r="H18" s="74">
        <f>SUM(H11:H17)</f>
        <v>-20932352.245086927</v>
      </c>
      <c r="K18" s="85"/>
    </row>
    <row r="19" spans="2:11" ht="15.95" customHeight="1" thickBot="1" x14ac:dyDescent="0.25">
      <c r="E19" s="211"/>
      <c r="K19" s="85"/>
    </row>
    <row r="20" spans="2:11" ht="15.95" customHeight="1" thickBot="1" x14ac:dyDescent="0.25">
      <c r="B20" s="562" t="s">
        <v>955</v>
      </c>
      <c r="C20" s="563"/>
      <c r="K20" s="85"/>
    </row>
    <row r="21" spans="2:11" ht="15.95" customHeight="1" x14ac:dyDescent="0.2">
      <c r="C21" s="56">
        <v>0</v>
      </c>
      <c r="D21" s="240">
        <f>+D7</f>
        <v>27000000</v>
      </c>
      <c r="K21" s="85"/>
    </row>
    <row r="22" spans="2:11" ht="15.95" customHeight="1" x14ac:dyDescent="0.2">
      <c r="C22" s="56">
        <v>1</v>
      </c>
      <c r="D22" s="241">
        <f t="shared" ref="D22:D28" si="5">+F11</f>
        <v>-5566596.588934782</v>
      </c>
      <c r="K22" s="85"/>
    </row>
    <row r="23" spans="2:11" ht="15.95" customHeight="1" x14ac:dyDescent="0.2">
      <c r="C23" s="56">
        <f>+C22+1</f>
        <v>2</v>
      </c>
      <c r="D23" s="241">
        <f t="shared" si="5"/>
        <v>-5566596.588934781</v>
      </c>
      <c r="K23" s="85"/>
    </row>
    <row r="24" spans="2:11" ht="15.95" customHeight="1" x14ac:dyDescent="0.2">
      <c r="C24" s="56">
        <f t="shared" ref="C24:C28" si="6">+C23+1</f>
        <v>3</v>
      </c>
      <c r="D24" s="241">
        <f t="shared" si="5"/>
        <v>-5566596.588934781</v>
      </c>
      <c r="K24" s="85"/>
    </row>
    <row r="25" spans="2:11" ht="15.95" customHeight="1" x14ac:dyDescent="0.2">
      <c r="C25" s="56">
        <f t="shared" si="6"/>
        <v>4</v>
      </c>
      <c r="D25" s="241">
        <f t="shared" si="5"/>
        <v>-5566596.588934781</v>
      </c>
      <c r="K25" s="85"/>
    </row>
    <row r="26" spans="2:11" ht="15.95" customHeight="1" x14ac:dyDescent="0.2">
      <c r="C26" s="56">
        <f t="shared" si="6"/>
        <v>5</v>
      </c>
      <c r="D26" s="241">
        <f t="shared" si="5"/>
        <v>-5566596.588934781</v>
      </c>
      <c r="K26" s="85"/>
    </row>
    <row r="27" spans="2:11" ht="15.95" customHeight="1" x14ac:dyDescent="0.2">
      <c r="C27" s="56">
        <f t="shared" si="6"/>
        <v>6</v>
      </c>
      <c r="D27" s="241">
        <f t="shared" si="5"/>
        <v>-5566596.588934781</v>
      </c>
      <c r="K27" s="85"/>
    </row>
    <row r="28" spans="2:11" ht="15.95" customHeight="1" thickBot="1" x14ac:dyDescent="0.25">
      <c r="C28" s="57">
        <f t="shared" si="6"/>
        <v>7</v>
      </c>
      <c r="D28" s="241">
        <f t="shared" si="5"/>
        <v>-5566596.588934781</v>
      </c>
      <c r="K28" s="85"/>
    </row>
    <row r="29" spans="2:11" ht="15.95" customHeight="1" thickBot="1" x14ac:dyDescent="0.25">
      <c r="D29" s="29">
        <f>IRR(D21:D28)</f>
        <v>0.10112992891146866</v>
      </c>
      <c r="K29" s="85"/>
    </row>
    <row r="30" spans="2:11" ht="15.95" customHeight="1" thickBot="1" x14ac:dyDescent="0.25">
      <c r="C30" s="59"/>
      <c r="D30" s="22"/>
      <c r="G30" s="54" t="s">
        <v>961</v>
      </c>
      <c r="K30" s="85"/>
    </row>
    <row r="31" spans="2:11" ht="15.95" customHeight="1" thickBot="1" x14ac:dyDescent="0.25">
      <c r="B31" s="562" t="s">
        <v>956</v>
      </c>
      <c r="C31" s="563"/>
      <c r="D31" s="295" t="s">
        <v>957</v>
      </c>
      <c r="E31" s="296" t="s">
        <v>959</v>
      </c>
      <c r="F31" s="296" t="s">
        <v>943</v>
      </c>
      <c r="G31" s="296" t="s">
        <v>958</v>
      </c>
      <c r="H31" s="55" t="s">
        <v>960</v>
      </c>
      <c r="I31" s="55" t="s">
        <v>961</v>
      </c>
      <c r="J31" s="54" t="s">
        <v>962</v>
      </c>
      <c r="K31" s="85"/>
    </row>
    <row r="32" spans="2:11" ht="15.95" customHeight="1" x14ac:dyDescent="0.2">
      <c r="C32" s="56">
        <v>0</v>
      </c>
      <c r="D32" s="297">
        <f>+D33</f>
        <v>27000000</v>
      </c>
      <c r="E32" s="298"/>
      <c r="F32" s="298"/>
      <c r="G32" s="299">
        <v>0</v>
      </c>
      <c r="H32" s="72">
        <v>30000000</v>
      </c>
      <c r="I32" s="72">
        <f>+H32-D32</f>
        <v>3000000</v>
      </c>
      <c r="J32" s="71"/>
      <c r="K32" s="85"/>
    </row>
    <row r="33" spans="2:11" ht="15.95" customHeight="1" x14ac:dyDescent="0.2">
      <c r="B33" s="81">
        <v>42004</v>
      </c>
      <c r="C33" s="56">
        <v>1</v>
      </c>
      <c r="D33" s="300">
        <f>D21</f>
        <v>27000000</v>
      </c>
      <c r="E33" s="299">
        <f>+ROUND(D33*$D$29,2)</f>
        <v>2730508.08</v>
      </c>
      <c r="F33" s="299">
        <f t="shared" ref="F33:F39" si="7">+F11</f>
        <v>-5566596.588934782</v>
      </c>
      <c r="G33" s="301">
        <f>SUM(D33:F33)</f>
        <v>24163911.491065215</v>
      </c>
      <c r="H33" s="72">
        <f>-D18+D11</f>
        <v>24163911.49167487</v>
      </c>
      <c r="I33" s="72">
        <f t="shared" ref="I33:I39" si="8">+H33-G33</f>
        <v>6.0965493321418762E-4</v>
      </c>
      <c r="J33" s="71">
        <f>+I32-I33</f>
        <v>2999999.9993903451</v>
      </c>
      <c r="K33" s="85"/>
    </row>
    <row r="34" spans="2:11" ht="15.95" customHeight="1" x14ac:dyDescent="0.2">
      <c r="B34" s="81">
        <v>42369</v>
      </c>
      <c r="C34" s="56">
        <f>+C33+1</f>
        <v>2</v>
      </c>
      <c r="D34" s="300">
        <f>+G33</f>
        <v>24163911.491065215</v>
      </c>
      <c r="E34" s="299">
        <f t="shared" ref="E34:E39" si="9">+ROUND(D34*$D$29,2)</f>
        <v>2443694.65</v>
      </c>
      <c r="F34" s="299">
        <f t="shared" si="7"/>
        <v>-5566596.588934781</v>
      </c>
      <c r="G34" s="301">
        <f>SUM(D34:F34)</f>
        <v>21041009.552130431</v>
      </c>
      <c r="H34" s="72">
        <f>+H33+D12</f>
        <v>21041009.554116189</v>
      </c>
      <c r="I34" s="72">
        <f t="shared" si="8"/>
        <v>1.9857585430145264E-3</v>
      </c>
      <c r="J34" s="71">
        <f t="shared" ref="J34:J39" si="10">+I33-I34</f>
        <v>-1.3761036098003387E-3</v>
      </c>
      <c r="K34" s="85"/>
    </row>
    <row r="35" spans="2:11" ht="15.95" customHeight="1" x14ac:dyDescent="0.2">
      <c r="B35" s="81">
        <v>42735</v>
      </c>
      <c r="C35" s="56">
        <f t="shared" ref="C35:C39" si="11">+C34+1</f>
        <v>3</v>
      </c>
      <c r="D35" s="300">
        <f t="shared" ref="D35:D39" si="12">+G34</f>
        <v>21041009.552130431</v>
      </c>
      <c r="E35" s="299">
        <f t="shared" si="9"/>
        <v>2127875.7999999998</v>
      </c>
      <c r="F35" s="299">
        <f t="shared" si="7"/>
        <v>-5566596.588934781</v>
      </c>
      <c r="G35" s="299">
        <f t="shared" ref="G35:G39" si="13">SUM(D35:F35)</f>
        <v>17602288.763195649</v>
      </c>
      <c r="H35" s="72">
        <f>+H34+D13</f>
        <v>17602288.765614711</v>
      </c>
      <c r="I35" s="72">
        <f t="shared" si="8"/>
        <v>2.4190619587898254E-3</v>
      </c>
      <c r="J35" s="71">
        <f t="shared" si="10"/>
        <v>-4.3330341577529907E-4</v>
      </c>
      <c r="K35" s="85"/>
    </row>
    <row r="36" spans="2:11" ht="15.95" customHeight="1" x14ac:dyDescent="0.2">
      <c r="B36" s="81">
        <v>43100</v>
      </c>
      <c r="C36" s="56">
        <f t="shared" si="11"/>
        <v>4</v>
      </c>
      <c r="D36" s="302">
        <f t="shared" si="12"/>
        <v>17602288.763195649</v>
      </c>
      <c r="E36" s="299">
        <f t="shared" si="9"/>
        <v>1780118.21</v>
      </c>
      <c r="F36" s="299">
        <f t="shared" si="7"/>
        <v>-5566596.588934781</v>
      </c>
      <c r="G36" s="299">
        <f t="shared" si="13"/>
        <v>13815810.384260869</v>
      </c>
      <c r="H36" s="72">
        <f>+H35+D14</f>
        <v>13815810.38822569</v>
      </c>
      <c r="I36" s="72">
        <f t="shared" si="8"/>
        <v>3.9648208767175674E-3</v>
      </c>
      <c r="J36" s="71">
        <f t="shared" si="10"/>
        <v>-1.545758917927742E-3</v>
      </c>
      <c r="K36" s="85"/>
    </row>
    <row r="37" spans="2:11" ht="15.95" customHeight="1" x14ac:dyDescent="0.2">
      <c r="B37" s="81">
        <v>43465</v>
      </c>
      <c r="C37" s="56">
        <f t="shared" si="11"/>
        <v>5</v>
      </c>
      <c r="D37" s="302">
        <f t="shared" si="12"/>
        <v>13815810.384260869</v>
      </c>
      <c r="E37" s="299">
        <f t="shared" si="9"/>
        <v>1397191.92</v>
      </c>
      <c r="F37" s="299">
        <f t="shared" si="7"/>
        <v>-5566596.588934781</v>
      </c>
      <c r="G37" s="299">
        <f t="shared" si="13"/>
        <v>9646405.7153260875</v>
      </c>
      <c r="H37" s="72">
        <f>+H36+D15</f>
        <v>9646405.7217065021</v>
      </c>
      <c r="I37" s="72">
        <f t="shared" si="8"/>
        <v>6.3804145902395248E-3</v>
      </c>
      <c r="J37" s="71">
        <f t="shared" si="10"/>
        <v>-2.4155937135219574E-3</v>
      </c>
      <c r="K37" s="85"/>
    </row>
    <row r="38" spans="2:11" ht="15.95" customHeight="1" x14ac:dyDescent="0.2">
      <c r="B38" s="81">
        <v>43830</v>
      </c>
      <c r="C38" s="56">
        <f t="shared" si="11"/>
        <v>6</v>
      </c>
      <c r="D38" s="302">
        <f t="shared" si="12"/>
        <v>9646405.7153260875</v>
      </c>
      <c r="E38" s="299">
        <f t="shared" si="9"/>
        <v>975540.32</v>
      </c>
      <c r="F38" s="299">
        <f t="shared" si="7"/>
        <v>-5566596.588934781</v>
      </c>
      <c r="G38" s="299">
        <f t="shared" si="13"/>
        <v>5055349.4463913068</v>
      </c>
      <c r="H38" s="72">
        <f>++H37+D16</f>
        <v>5055349.4576590843</v>
      </c>
      <c r="I38" s="72">
        <f t="shared" si="8"/>
        <v>1.1267777532339096E-2</v>
      </c>
      <c r="J38" s="71">
        <f t="shared" si="10"/>
        <v>-4.8873629420995712E-3</v>
      </c>
      <c r="K38" s="85"/>
    </row>
    <row r="39" spans="2:11" ht="15.95" customHeight="1" thickBot="1" x14ac:dyDescent="0.25">
      <c r="B39" s="81">
        <v>44196</v>
      </c>
      <c r="C39" s="57">
        <f t="shared" si="11"/>
        <v>7</v>
      </c>
      <c r="D39" s="303">
        <f t="shared" si="12"/>
        <v>5055349.4463913068</v>
      </c>
      <c r="E39" s="304">
        <f t="shared" si="9"/>
        <v>511247.13</v>
      </c>
      <c r="F39" s="304">
        <f t="shared" si="7"/>
        <v>-5566596.588934781</v>
      </c>
      <c r="G39" s="305">
        <f t="shared" si="13"/>
        <v>-1.2543474324047565E-2</v>
      </c>
      <c r="H39" s="76">
        <f>+H38+D17</f>
        <v>0</v>
      </c>
      <c r="I39" s="76">
        <f t="shared" si="8"/>
        <v>1.2543474324047565E-2</v>
      </c>
      <c r="J39" s="75">
        <f t="shared" si="10"/>
        <v>-1.2756967917084694E-3</v>
      </c>
      <c r="K39" s="85"/>
    </row>
    <row r="40" spans="2:11" ht="15.95" customHeight="1" thickBot="1" x14ac:dyDescent="0.25">
      <c r="E40" s="80">
        <f>SUM(E33:E39)</f>
        <v>11966176.110000001</v>
      </c>
      <c r="J40" s="80">
        <f>SUM(J33:J39)</f>
        <v>2999999.9874565257</v>
      </c>
      <c r="K40" s="85"/>
    </row>
    <row r="41" spans="2:11" ht="15.95" customHeight="1" thickBot="1" x14ac:dyDescent="0.25">
      <c r="J41" s="210"/>
      <c r="K41" s="85"/>
    </row>
    <row r="42" spans="2:11" ht="15.95" customHeight="1" thickBot="1" x14ac:dyDescent="0.25">
      <c r="B42" s="562" t="s">
        <v>1019</v>
      </c>
      <c r="C42" s="563"/>
      <c r="D42" s="62" t="s">
        <v>1018</v>
      </c>
      <c r="E42" s="62" t="s">
        <v>994</v>
      </c>
      <c r="F42" s="62" t="s">
        <v>961</v>
      </c>
      <c r="G42" s="62" t="s">
        <v>961</v>
      </c>
      <c r="H42" s="62" t="s">
        <v>995</v>
      </c>
      <c r="K42" s="85"/>
    </row>
    <row r="43" spans="2:11" ht="15.95" customHeight="1" x14ac:dyDescent="0.2">
      <c r="B43" s="81"/>
      <c r="D43" s="63">
        <v>0.3</v>
      </c>
      <c r="E43" s="37">
        <v>2014</v>
      </c>
      <c r="F43" s="212">
        <f>+E11+E33</f>
        <v>-6.096535362303257E-4</v>
      </c>
      <c r="G43" s="77"/>
      <c r="H43" s="77"/>
      <c r="K43" s="85"/>
    </row>
    <row r="44" spans="2:11" ht="15.95" customHeight="1" x14ac:dyDescent="0.2">
      <c r="B44" s="81"/>
      <c r="D44" s="63">
        <v>0.28000000000000003</v>
      </c>
      <c r="E44" s="37">
        <f t="shared" ref="E44:E49" si="14">+E43+1</f>
        <v>2015</v>
      </c>
      <c r="F44" s="212">
        <f t="shared" ref="F44:F49" si="15">+E12+E34</f>
        <v>-1.3760998845100403E-3</v>
      </c>
      <c r="G44" s="77">
        <f t="shared" ref="G44:G49" si="16">+F44</f>
        <v>-1.3760998845100403E-3</v>
      </c>
      <c r="H44" s="283">
        <f>+D44*G44</f>
        <v>-3.8530796766281131E-4</v>
      </c>
      <c r="K44" s="85"/>
    </row>
    <row r="45" spans="2:11" ht="15.95" customHeight="1" x14ac:dyDescent="0.2">
      <c r="B45" s="81"/>
      <c r="D45" s="63">
        <v>0.28000000000000003</v>
      </c>
      <c r="E45" s="37">
        <f t="shared" si="14"/>
        <v>2016</v>
      </c>
      <c r="F45" s="212">
        <f t="shared" si="15"/>
        <v>-4.3330341577529907E-4</v>
      </c>
      <c r="G45" s="77">
        <f t="shared" si="16"/>
        <v>-4.3330341577529907E-4</v>
      </c>
      <c r="H45" s="77">
        <f>+D45*G45</f>
        <v>-1.2132495641708375E-4</v>
      </c>
      <c r="K45" s="85"/>
    </row>
    <row r="46" spans="2:11" ht="15.95" customHeight="1" x14ac:dyDescent="0.2">
      <c r="B46" s="81"/>
      <c r="D46" s="63">
        <v>0.27</v>
      </c>
      <c r="E46" s="37">
        <f t="shared" si="14"/>
        <v>2017</v>
      </c>
      <c r="F46" s="212">
        <f t="shared" si="15"/>
        <v>-1.5457591507583857E-3</v>
      </c>
      <c r="G46" s="77">
        <f t="shared" si="16"/>
        <v>-1.5457591507583857E-3</v>
      </c>
      <c r="H46" s="77">
        <f t="shared" ref="H46:H49" si="17">+D46*G46</f>
        <v>-4.1735497070476417E-4</v>
      </c>
      <c r="K46" s="85"/>
    </row>
    <row r="47" spans="2:11" ht="15.95" customHeight="1" x14ac:dyDescent="0.2">
      <c r="B47" s="81"/>
      <c r="D47" s="63">
        <v>0.27</v>
      </c>
      <c r="E47" s="37">
        <f t="shared" si="14"/>
        <v>2018</v>
      </c>
      <c r="F47" s="212">
        <f t="shared" si="15"/>
        <v>-2.4155941791832447E-3</v>
      </c>
      <c r="G47" s="77">
        <f t="shared" si="16"/>
        <v>-2.4155941791832447E-3</v>
      </c>
      <c r="H47" s="77">
        <f t="shared" si="17"/>
        <v>-6.5221042837947606E-4</v>
      </c>
      <c r="K47" s="85"/>
    </row>
    <row r="48" spans="2:11" ht="15.95" customHeight="1" x14ac:dyDescent="0.2">
      <c r="B48" s="81"/>
      <c r="D48" s="63">
        <v>0.26</v>
      </c>
      <c r="E48" s="37">
        <f t="shared" si="14"/>
        <v>2019</v>
      </c>
      <c r="F48" s="212">
        <f t="shared" si="15"/>
        <v>-4.8873632913455367E-3</v>
      </c>
      <c r="G48" s="77">
        <f t="shared" si="16"/>
        <v>-4.8873632913455367E-3</v>
      </c>
      <c r="H48" s="77">
        <f t="shared" si="17"/>
        <v>-1.2707144557498396E-3</v>
      </c>
      <c r="K48" s="85"/>
    </row>
    <row r="49" spans="1:11" ht="15.95" customHeight="1" thickBot="1" x14ac:dyDescent="0.25">
      <c r="B49" s="81"/>
      <c r="D49" s="64">
        <v>0.26</v>
      </c>
      <c r="E49" s="38">
        <f t="shared" si="14"/>
        <v>2020</v>
      </c>
      <c r="F49" s="79">
        <f t="shared" si="15"/>
        <v>-1.2756949290633202E-3</v>
      </c>
      <c r="G49" s="78">
        <f t="shared" si="16"/>
        <v>-1.2756949290633202E-3</v>
      </c>
      <c r="H49" s="78">
        <f t="shared" si="17"/>
        <v>-3.3168068155646323E-4</v>
      </c>
      <c r="K49" s="85"/>
    </row>
    <row r="50" spans="1:11" ht="15.95" customHeight="1" thickBot="1" x14ac:dyDescent="0.25">
      <c r="D50" s="22"/>
      <c r="F50" s="79">
        <f>SUM(F43:F49)</f>
        <v>-1.2543468386866152E-2</v>
      </c>
      <c r="G50" s="79">
        <f>SUM(G43:G49)</f>
        <v>-1.1933814850635827E-2</v>
      </c>
      <c r="H50" s="79">
        <f>SUM(H43:H49)</f>
        <v>-3.1785934604704382E-3</v>
      </c>
      <c r="K50" s="85"/>
    </row>
    <row r="51" spans="1:11" ht="15.95" customHeight="1" x14ac:dyDescent="0.2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4" spans="1:11" ht="15.95" customHeight="1" x14ac:dyDescent="0.2">
      <c r="H54" s="291"/>
      <c r="I54" s="291"/>
      <c r="J54" s="291"/>
    </row>
    <row r="55" spans="1:11" ht="15.95" customHeight="1" x14ac:dyDescent="0.2">
      <c r="H55" s="291"/>
      <c r="I55" s="291"/>
      <c r="J55" s="291"/>
    </row>
    <row r="56" spans="1:11" ht="15.95" customHeight="1" x14ac:dyDescent="0.2">
      <c r="H56" s="291"/>
      <c r="I56" s="291"/>
      <c r="J56" s="291"/>
    </row>
    <row r="57" spans="1:11" ht="15.95" customHeight="1" x14ac:dyDescent="0.2">
      <c r="H57" s="291"/>
      <c r="I57" s="291"/>
      <c r="J57" s="291"/>
    </row>
    <row r="58" spans="1:11" ht="15.95" customHeight="1" x14ac:dyDescent="0.2">
      <c r="H58" s="291"/>
      <c r="I58" s="291"/>
      <c r="J58" s="291"/>
    </row>
    <row r="59" spans="1:11" ht="15.95" customHeight="1" x14ac:dyDescent="0.2">
      <c r="H59" s="291"/>
      <c r="I59" s="291"/>
      <c r="J59" s="291"/>
    </row>
    <row r="60" spans="1:11" ht="15.95" customHeight="1" x14ac:dyDescent="0.2">
      <c r="H60" s="291"/>
      <c r="I60" s="291"/>
      <c r="J60" s="291"/>
    </row>
    <row r="61" spans="1:11" ht="15.95" customHeight="1" x14ac:dyDescent="0.2">
      <c r="H61" s="291"/>
      <c r="I61" s="291"/>
      <c r="J61" s="291"/>
    </row>
    <row r="62" spans="1:11" ht="15.95" customHeight="1" x14ac:dyDescent="0.2">
      <c r="H62" s="291"/>
      <c r="I62" s="291"/>
      <c r="J62" s="291"/>
    </row>
    <row r="63" spans="1:11" ht="15.95" customHeight="1" x14ac:dyDescent="0.2">
      <c r="H63" s="291"/>
      <c r="I63" s="291"/>
      <c r="J63" s="291"/>
    </row>
    <row r="64" spans="1:11" ht="15.95" customHeight="1" x14ac:dyDescent="0.2">
      <c r="H64" s="291"/>
      <c r="I64" s="291"/>
      <c r="J64" s="291"/>
    </row>
    <row r="65" spans="8:10" ht="15.95" customHeight="1" x14ac:dyDescent="0.2">
      <c r="H65" s="291"/>
      <c r="I65" s="291"/>
      <c r="J65" s="291"/>
    </row>
    <row r="66" spans="8:10" ht="15.95" customHeight="1" x14ac:dyDescent="0.2">
      <c r="H66" s="291"/>
      <c r="I66" s="291"/>
      <c r="J66" s="291"/>
    </row>
    <row r="67" spans="8:10" ht="15.95" customHeight="1" x14ac:dyDescent="0.2">
      <c r="H67" s="291"/>
      <c r="I67" s="291"/>
      <c r="J67" s="291"/>
    </row>
    <row r="68" spans="8:10" ht="15.95" customHeight="1" x14ac:dyDescent="0.2">
      <c r="H68" s="291"/>
      <c r="I68" s="291"/>
      <c r="J68" s="291"/>
    </row>
    <row r="69" spans="8:10" ht="15.95" customHeight="1" x14ac:dyDescent="0.2">
      <c r="H69" s="291"/>
      <c r="I69" s="291"/>
      <c r="J69" s="291"/>
    </row>
    <row r="70" spans="8:10" ht="15.95" customHeight="1" x14ac:dyDescent="0.2">
      <c r="H70" s="291"/>
      <c r="I70" s="291"/>
      <c r="J70" s="291"/>
    </row>
    <row r="71" spans="8:10" ht="15.95" customHeight="1" x14ac:dyDescent="0.2">
      <c r="H71" s="291"/>
      <c r="I71" s="291"/>
      <c r="J71" s="291"/>
    </row>
  </sheetData>
  <mergeCells count="4">
    <mergeCell ref="B10:C10"/>
    <mergeCell ref="B20:C20"/>
    <mergeCell ref="B31:C31"/>
    <mergeCell ref="B42:C42"/>
  </mergeCells>
  <pageMargins left="0.42" right="0.48" top="0.74803149606299213" bottom="0.39" header="0.31496062992125984" footer="0.31496062992125984"/>
  <pageSetup scale="92" fitToWidth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FF0000"/>
  </sheetPr>
  <dimension ref="A1:K106"/>
  <sheetViews>
    <sheetView topLeftCell="A54" zoomScale="50" zoomScaleNormal="50" workbookViewId="0">
      <selection activeCell="A77" sqref="A77:I82"/>
    </sheetView>
  </sheetViews>
  <sheetFormatPr baseColWidth="10" defaultRowHeight="15" x14ac:dyDescent="0.25"/>
  <cols>
    <col min="1" max="1" width="5.85546875" style="502" customWidth="1"/>
    <col min="2" max="2" width="6.7109375" style="502" customWidth="1"/>
    <col min="3" max="3" width="9.5703125" style="502" customWidth="1"/>
    <col min="4" max="5" width="6.7109375" style="502" customWidth="1"/>
    <col min="6" max="9" width="12.7109375" style="502" customWidth="1"/>
    <col min="10" max="16384" width="11.42578125" style="86"/>
  </cols>
  <sheetData>
    <row r="1" spans="1:11" hidden="1" x14ac:dyDescent="0.25">
      <c r="A1" s="500" t="s">
        <v>1020</v>
      </c>
      <c r="B1" s="500"/>
      <c r="C1" s="500"/>
      <c r="D1" s="500"/>
      <c r="E1" s="500"/>
      <c r="F1" s="500"/>
      <c r="G1" s="500"/>
      <c r="H1" s="500"/>
      <c r="I1" s="500"/>
    </row>
    <row r="2" spans="1:11" hidden="1" x14ac:dyDescent="0.25">
      <c r="A2" s="499"/>
      <c r="B2" s="499"/>
      <c r="C2" s="499"/>
      <c r="D2" s="499"/>
      <c r="E2" s="499"/>
      <c r="F2" s="499"/>
      <c r="G2" s="499"/>
      <c r="H2" s="499"/>
      <c r="I2" s="499"/>
    </row>
    <row r="3" spans="1:11" ht="15" hidden="1" customHeight="1" x14ac:dyDescent="0.25">
      <c r="A3" s="499"/>
      <c r="B3" s="499"/>
      <c r="C3" s="499"/>
      <c r="D3" s="499"/>
      <c r="E3" s="579" t="s">
        <v>963</v>
      </c>
      <c r="F3" s="579"/>
      <c r="G3" s="579"/>
      <c r="H3" s="579"/>
      <c r="I3" s="499"/>
    </row>
    <row r="4" spans="1:11" hidden="1" x14ac:dyDescent="0.25">
      <c r="A4" s="499"/>
      <c r="B4" s="499"/>
      <c r="C4" s="499"/>
      <c r="D4" s="499"/>
      <c r="E4" s="503"/>
      <c r="F4" s="503"/>
      <c r="G4" s="503"/>
      <c r="H4" s="503"/>
      <c r="I4" s="499"/>
    </row>
    <row r="5" spans="1:11" x14ac:dyDescent="0.25">
      <c r="A5" s="499">
        <v>6</v>
      </c>
      <c r="B5" s="499">
        <v>6</v>
      </c>
      <c r="C5" s="499">
        <v>6</v>
      </c>
      <c r="D5" s="499">
        <v>6</v>
      </c>
      <c r="E5" s="499">
        <v>6</v>
      </c>
      <c r="F5" s="499">
        <v>12</v>
      </c>
      <c r="G5" s="499">
        <v>12</v>
      </c>
      <c r="H5" s="499">
        <v>12</v>
      </c>
      <c r="I5" s="499">
        <v>12</v>
      </c>
      <c r="J5" s="499"/>
    </row>
    <row r="6" spans="1:11" x14ac:dyDescent="0.25">
      <c r="A6" s="499"/>
      <c r="B6" s="499"/>
      <c r="C6" s="499"/>
      <c r="D6" s="499"/>
      <c r="E6" s="499"/>
      <c r="F6" s="504" t="s">
        <v>908</v>
      </c>
      <c r="G6" s="505"/>
      <c r="H6" s="505"/>
      <c r="I6" s="504" t="s">
        <v>908</v>
      </c>
      <c r="J6" s="499"/>
    </row>
    <row r="7" spans="1:11" x14ac:dyDescent="0.25">
      <c r="A7" s="499"/>
      <c r="B7" s="499"/>
      <c r="C7" s="499"/>
      <c r="D7" s="499"/>
      <c r="E7" s="499"/>
      <c r="F7" s="504" t="s">
        <v>909</v>
      </c>
      <c r="G7" s="504" t="s">
        <v>911</v>
      </c>
      <c r="H7" s="504" t="s">
        <v>912</v>
      </c>
      <c r="I7" s="504" t="s">
        <v>910</v>
      </c>
      <c r="J7" s="499"/>
    </row>
    <row r="8" spans="1:11" x14ac:dyDescent="0.25">
      <c r="A8" s="499"/>
      <c r="B8" s="499"/>
      <c r="C8" s="499"/>
      <c r="D8" s="499"/>
      <c r="E8" s="499"/>
      <c r="F8" s="506" t="s">
        <v>946</v>
      </c>
      <c r="G8" s="506" t="s">
        <v>946</v>
      </c>
      <c r="H8" s="506" t="s">
        <v>946</v>
      </c>
      <c r="I8" s="506" t="s">
        <v>946</v>
      </c>
      <c r="J8" s="499"/>
    </row>
    <row r="9" spans="1:11" x14ac:dyDescent="0.25">
      <c r="A9" s="332" t="s">
        <v>1364</v>
      </c>
      <c r="B9" s="501"/>
      <c r="C9" s="501"/>
      <c r="D9" s="501"/>
      <c r="E9" s="501"/>
      <c r="F9" s="501"/>
      <c r="G9" s="501"/>
      <c r="H9" s="501"/>
      <c r="I9" s="501"/>
      <c r="J9" s="499"/>
    </row>
    <row r="10" spans="1:11" s="257" customFormat="1" x14ac:dyDescent="0.25">
      <c r="A10" s="317" t="s">
        <v>1147</v>
      </c>
      <c r="B10" s="317" t="s">
        <v>1337</v>
      </c>
      <c r="C10" s="317"/>
      <c r="D10" s="499"/>
      <c r="E10" s="499"/>
      <c r="F10" s="319">
        <f>+VARIOS!C12</f>
        <v>153790.06</v>
      </c>
      <c r="G10" s="319">
        <f>+VARIOS!D12</f>
        <v>50000</v>
      </c>
      <c r="H10" s="402">
        <f>+VARIOS!E12</f>
        <v>-132881.77000000002</v>
      </c>
      <c r="I10" s="319">
        <f>SUM(F10:H10)</f>
        <v>70908.289999999979</v>
      </c>
      <c r="J10" s="499"/>
      <c r="K10" s="86"/>
    </row>
    <row r="11" spans="1:11" s="257" customFormat="1" x14ac:dyDescent="0.25">
      <c r="A11" s="317" t="s">
        <v>1148</v>
      </c>
      <c r="B11" s="317" t="s">
        <v>1336</v>
      </c>
      <c r="C11" s="317"/>
      <c r="D11" s="499"/>
      <c r="E11" s="499"/>
      <c r="F11" s="319">
        <f>+VARIOS!C20</f>
        <v>30000</v>
      </c>
      <c r="G11" s="319">
        <f>+VARIOS!D20</f>
        <v>27000</v>
      </c>
      <c r="H11" s="402">
        <f>+VARIOS!E20</f>
        <v>-7000</v>
      </c>
      <c r="I11" s="319">
        <f>SUM(F11:H11)</f>
        <v>50000</v>
      </c>
      <c r="J11" s="499"/>
      <c r="K11" s="86"/>
    </row>
    <row r="12" spans="1:11" s="257" customFormat="1" x14ac:dyDescent="0.25">
      <c r="A12" s="317" t="s">
        <v>1149</v>
      </c>
      <c r="B12" s="317" t="s">
        <v>1041</v>
      </c>
      <c r="C12" s="317"/>
      <c r="D12" s="499"/>
      <c r="E12" s="499"/>
      <c r="F12" s="319">
        <f>+VARIOS!C38</f>
        <v>1047000</v>
      </c>
      <c r="G12" s="319">
        <f>+VARIOS!D38</f>
        <v>264000</v>
      </c>
      <c r="H12" s="402">
        <f>+VARIOS!E38</f>
        <v>-215000</v>
      </c>
      <c r="I12" s="319">
        <f>SUM(F12:H12)</f>
        <v>1096000</v>
      </c>
      <c r="J12" s="499"/>
      <c r="K12" s="86"/>
    </row>
    <row r="13" spans="1:11" s="257" customFormat="1" x14ac:dyDescent="0.25">
      <c r="A13" s="317" t="s">
        <v>1150</v>
      </c>
      <c r="B13" s="317" t="s">
        <v>1313</v>
      </c>
      <c r="C13" s="317"/>
      <c r="D13" s="499"/>
      <c r="E13" s="499"/>
      <c r="F13" s="319">
        <f>+VARIOS!C56</f>
        <v>1171000</v>
      </c>
      <c r="G13" s="319">
        <f>+VARIOS!D56</f>
        <v>358000</v>
      </c>
      <c r="H13" s="402">
        <f>+VARIOS!E56</f>
        <v>-99000</v>
      </c>
      <c r="I13" s="319">
        <f>SUM(F13:H13)</f>
        <v>1430000</v>
      </c>
      <c r="J13" s="499"/>
      <c r="K13" s="86"/>
    </row>
    <row r="14" spans="1:11" s="257" customFormat="1" x14ac:dyDescent="0.25">
      <c r="A14" s="317" t="s">
        <v>1151</v>
      </c>
      <c r="B14" s="317" t="s">
        <v>1314</v>
      </c>
      <c r="C14" s="317"/>
      <c r="D14" s="499"/>
      <c r="E14" s="499"/>
      <c r="F14" s="319">
        <f>+VARIOS!C67</f>
        <v>53984.880000000005</v>
      </c>
      <c r="G14" s="319">
        <f>+VARIOS!D67</f>
        <v>209000</v>
      </c>
      <c r="H14" s="402">
        <f>+VARIOS!E67</f>
        <v>-19828.2</v>
      </c>
      <c r="I14" s="319">
        <f>SUM(F14:H14)</f>
        <v>243156.68</v>
      </c>
      <c r="J14" s="499"/>
      <c r="K14" s="86"/>
    </row>
    <row r="15" spans="1:11" x14ac:dyDescent="0.25">
      <c r="A15" s="499"/>
      <c r="B15" s="499"/>
      <c r="C15" s="499"/>
      <c r="D15" s="499"/>
      <c r="E15" s="499"/>
      <c r="F15" s="507">
        <f>SUM(F10:F14)</f>
        <v>2455774.94</v>
      </c>
      <c r="G15" s="499"/>
      <c r="H15" s="499"/>
      <c r="I15" s="507">
        <f>SUM(I10:I14)</f>
        <v>2890064.97</v>
      </c>
      <c r="J15" s="499"/>
    </row>
    <row r="16" spans="1:11" x14ac:dyDescent="0.25">
      <c r="A16" s="499"/>
      <c r="B16" s="499"/>
      <c r="C16" s="499"/>
      <c r="D16" s="499"/>
      <c r="E16" s="499"/>
      <c r="F16" s="499"/>
      <c r="G16" s="499"/>
      <c r="H16" s="499"/>
      <c r="I16" s="499"/>
      <c r="J16" s="499"/>
    </row>
    <row r="17" spans="1:10" x14ac:dyDescent="0.25">
      <c r="A17" s="332" t="s">
        <v>1363</v>
      </c>
      <c r="B17" s="501"/>
      <c r="C17" s="501"/>
      <c r="D17" s="501"/>
      <c r="E17" s="501"/>
      <c r="F17" s="501"/>
      <c r="G17" s="501"/>
      <c r="H17" s="501"/>
      <c r="I17" s="501"/>
      <c r="J17" s="499"/>
    </row>
    <row r="18" spans="1:10" x14ac:dyDescent="0.25">
      <c r="A18" s="317" t="s">
        <v>1152</v>
      </c>
      <c r="B18" s="317" t="s">
        <v>1338</v>
      </c>
      <c r="C18" s="317"/>
      <c r="D18" s="499"/>
      <c r="E18" s="499"/>
      <c r="F18" s="402">
        <f>-'39201'!M19</f>
        <v>-675000</v>
      </c>
      <c r="G18" s="402">
        <v>0</v>
      </c>
      <c r="H18" s="402">
        <f>+-'39201'!M20</f>
        <v>-75000</v>
      </c>
      <c r="I18" s="402">
        <f t="shared" ref="I18:I20" si="0">SUM(F18:H18)</f>
        <v>-750000</v>
      </c>
      <c r="J18" s="499"/>
    </row>
    <row r="19" spans="1:10" x14ac:dyDescent="0.25">
      <c r="A19" s="317" t="s">
        <v>1153</v>
      </c>
      <c r="B19" s="317" t="s">
        <v>1354</v>
      </c>
      <c r="C19" s="317"/>
      <c r="D19" s="499"/>
      <c r="E19" s="499"/>
      <c r="F19" s="402">
        <f>-'39402'!L13</f>
        <v>-2400000</v>
      </c>
      <c r="G19" s="402">
        <f>+-'39402'!M21</f>
        <v>400000</v>
      </c>
      <c r="H19" s="402">
        <v>0</v>
      </c>
      <c r="I19" s="402">
        <f t="shared" si="0"/>
        <v>-2000000</v>
      </c>
      <c r="J19" s="499"/>
    </row>
    <row r="20" spans="1:10" x14ac:dyDescent="0.25">
      <c r="A20" s="317" t="s">
        <v>1154</v>
      </c>
      <c r="B20" s="317" t="s">
        <v>1315</v>
      </c>
      <c r="C20" s="317"/>
      <c r="D20" s="499"/>
      <c r="E20" s="499"/>
      <c r="F20" s="402">
        <f>-'45111'!G52</f>
        <v>-3000000.0000000079</v>
      </c>
      <c r="G20" s="402">
        <f>-'45111'!G54</f>
        <v>630508.08060965361</v>
      </c>
      <c r="H20" s="402">
        <v>0</v>
      </c>
      <c r="I20" s="402">
        <f t="shared" si="0"/>
        <v>-2369491.9193903543</v>
      </c>
      <c r="J20" s="499"/>
    </row>
    <row r="21" spans="1:10" x14ac:dyDescent="0.25">
      <c r="A21" s="320"/>
      <c r="B21" s="317"/>
      <c r="C21" s="317"/>
      <c r="D21" s="499"/>
      <c r="E21" s="499"/>
      <c r="F21" s="508">
        <f>SUM(F18:F20)</f>
        <v>-6075000.0000000075</v>
      </c>
      <c r="G21" s="319"/>
      <c r="H21" s="319"/>
      <c r="I21" s="508">
        <f>SUM(I18:I20)</f>
        <v>-5119491.9193903543</v>
      </c>
      <c r="J21" s="499"/>
    </row>
    <row r="22" spans="1:10" x14ac:dyDescent="0.25">
      <c r="A22" s="320"/>
      <c r="B22" s="317"/>
      <c r="C22" s="317"/>
      <c r="D22" s="499"/>
      <c r="E22" s="499"/>
      <c r="F22" s="499"/>
      <c r="G22" s="499"/>
      <c r="H22" s="499"/>
      <c r="I22" s="499"/>
      <c r="J22" s="499"/>
    </row>
    <row r="23" spans="1:10" x14ac:dyDescent="0.25">
      <c r="A23" s="499"/>
      <c r="B23" s="499"/>
      <c r="C23" s="499"/>
      <c r="D23" s="499"/>
      <c r="E23" s="499"/>
      <c r="F23" s="580" t="s">
        <v>1340</v>
      </c>
      <c r="G23" s="580"/>
      <c r="H23" s="580"/>
      <c r="I23" s="580"/>
      <c r="J23" s="499"/>
    </row>
    <row r="24" spans="1:10" x14ac:dyDescent="0.25">
      <c r="A24" s="499"/>
      <c r="B24" s="499"/>
      <c r="C24" s="499"/>
      <c r="D24" s="499"/>
      <c r="E24" s="499"/>
      <c r="F24" s="504" t="s">
        <v>908</v>
      </c>
      <c r="G24" s="505"/>
      <c r="H24" s="505"/>
      <c r="I24" s="504" t="s">
        <v>908</v>
      </c>
      <c r="J24" s="499"/>
    </row>
    <row r="25" spans="1:10" x14ac:dyDescent="0.25">
      <c r="A25" s="499"/>
      <c r="B25" s="499"/>
      <c r="C25" s="499"/>
      <c r="D25" s="499"/>
      <c r="E25" s="499"/>
      <c r="F25" s="504" t="s">
        <v>909</v>
      </c>
      <c r="G25" s="504" t="s">
        <v>911</v>
      </c>
      <c r="H25" s="504" t="s">
        <v>912</v>
      </c>
      <c r="I25" s="504" t="s">
        <v>910</v>
      </c>
      <c r="J25" s="499"/>
    </row>
    <row r="26" spans="1:10" x14ac:dyDescent="0.25">
      <c r="A26" s="499"/>
      <c r="B26" s="499"/>
      <c r="C26" s="499"/>
      <c r="D26" s="499"/>
      <c r="E26" s="499"/>
      <c r="F26" s="506" t="s">
        <v>946</v>
      </c>
      <c r="G26" s="506" t="s">
        <v>946</v>
      </c>
      <c r="H26" s="506" t="s">
        <v>946</v>
      </c>
      <c r="I26" s="506" t="s">
        <v>946</v>
      </c>
      <c r="J26" s="499"/>
    </row>
    <row r="27" spans="1:10" x14ac:dyDescent="0.25">
      <c r="A27" s="332" t="s">
        <v>1365</v>
      </c>
      <c r="B27" s="501"/>
      <c r="C27" s="501"/>
      <c r="D27" s="501"/>
      <c r="E27" s="501"/>
      <c r="F27" s="501"/>
      <c r="G27" s="501"/>
      <c r="H27" s="501"/>
      <c r="I27" s="501"/>
      <c r="J27" s="499"/>
    </row>
    <row r="28" spans="1:10" x14ac:dyDescent="0.25">
      <c r="A28" s="317" t="s">
        <v>1147</v>
      </c>
      <c r="B28" s="317" t="s">
        <v>1337</v>
      </c>
      <c r="C28" s="317"/>
      <c r="D28" s="317"/>
      <c r="E28" s="499"/>
      <c r="F28" s="319">
        <f t="shared" ref="F28:H32" si="1">ROUND(F10*30%,0)</f>
        <v>46137</v>
      </c>
      <c r="G28" s="319">
        <f t="shared" si="1"/>
        <v>15000</v>
      </c>
      <c r="H28" s="402">
        <f t="shared" si="1"/>
        <v>-39865</v>
      </c>
      <c r="I28" s="319">
        <f>SUM(F28:H28)</f>
        <v>21272</v>
      </c>
      <c r="J28" s="499"/>
    </row>
    <row r="29" spans="1:10" x14ac:dyDescent="0.25">
      <c r="A29" s="317" t="s">
        <v>1148</v>
      </c>
      <c r="B29" s="317" t="s">
        <v>1336</v>
      </c>
      <c r="C29" s="317"/>
      <c r="D29" s="317"/>
      <c r="E29" s="499"/>
      <c r="F29" s="319">
        <f t="shared" si="1"/>
        <v>9000</v>
      </c>
      <c r="G29" s="319">
        <f t="shared" si="1"/>
        <v>8100</v>
      </c>
      <c r="H29" s="402">
        <f t="shared" si="1"/>
        <v>-2100</v>
      </c>
      <c r="I29" s="319">
        <f>SUM(F29:H29)</f>
        <v>15000</v>
      </c>
      <c r="J29" s="499"/>
    </row>
    <row r="30" spans="1:10" x14ac:dyDescent="0.25">
      <c r="A30" s="317" t="s">
        <v>1149</v>
      </c>
      <c r="B30" s="317" t="s">
        <v>1041</v>
      </c>
      <c r="C30" s="317"/>
      <c r="D30" s="317"/>
      <c r="E30" s="499"/>
      <c r="F30" s="319">
        <f t="shared" si="1"/>
        <v>314100</v>
      </c>
      <c r="G30" s="319">
        <f t="shared" si="1"/>
        <v>79200</v>
      </c>
      <c r="H30" s="402">
        <f t="shared" si="1"/>
        <v>-64500</v>
      </c>
      <c r="I30" s="319">
        <f>SUM(F30:H30)</f>
        <v>328800</v>
      </c>
      <c r="J30" s="499"/>
    </row>
    <row r="31" spans="1:10" x14ac:dyDescent="0.25">
      <c r="A31" s="317" t="s">
        <v>1150</v>
      </c>
      <c r="B31" s="317" t="s">
        <v>1313</v>
      </c>
      <c r="C31" s="317"/>
      <c r="D31" s="317"/>
      <c r="E31" s="499"/>
      <c r="F31" s="319">
        <f t="shared" si="1"/>
        <v>351300</v>
      </c>
      <c r="G31" s="319">
        <f t="shared" si="1"/>
        <v>107400</v>
      </c>
      <c r="H31" s="402">
        <f t="shared" si="1"/>
        <v>-29700</v>
      </c>
      <c r="I31" s="319">
        <f>SUM(F31:H31)</f>
        <v>429000</v>
      </c>
      <c r="J31" s="499"/>
    </row>
    <row r="32" spans="1:10" x14ac:dyDescent="0.25">
      <c r="A32" s="317" t="s">
        <v>1151</v>
      </c>
      <c r="B32" s="317" t="s">
        <v>1314</v>
      </c>
      <c r="C32" s="317"/>
      <c r="D32" s="317"/>
      <c r="E32" s="499"/>
      <c r="F32" s="319">
        <f t="shared" si="1"/>
        <v>16195</v>
      </c>
      <c r="G32" s="319">
        <f t="shared" si="1"/>
        <v>62700</v>
      </c>
      <c r="H32" s="402">
        <f t="shared" si="1"/>
        <v>-5948</v>
      </c>
      <c r="I32" s="319">
        <f>SUM(F32:H32)</f>
        <v>72947</v>
      </c>
      <c r="J32" s="499"/>
    </row>
    <row r="33" spans="1:10" x14ac:dyDescent="0.25">
      <c r="A33" s="499"/>
      <c r="B33" s="499"/>
      <c r="C33" s="499"/>
      <c r="D33" s="499"/>
      <c r="E33" s="499"/>
      <c r="F33" s="507">
        <f>SUM(F28:F32)</f>
        <v>736732</v>
      </c>
      <c r="G33" s="499"/>
      <c r="H33" s="499"/>
      <c r="I33" s="507">
        <f>SUM(I28:I32)</f>
        <v>867019</v>
      </c>
      <c r="J33" s="499"/>
    </row>
    <row r="34" spans="1:10" x14ac:dyDescent="0.25">
      <c r="A34" s="499"/>
      <c r="B34" s="499"/>
      <c r="C34" s="499"/>
      <c r="D34" s="499"/>
      <c r="E34" s="499"/>
      <c r="F34" s="499"/>
      <c r="G34" s="499"/>
      <c r="H34" s="509" t="s">
        <v>1334</v>
      </c>
      <c r="I34" s="507">
        <f>+I33-F33</f>
        <v>130287</v>
      </c>
      <c r="J34" s="499"/>
    </row>
    <row r="35" spans="1:10" x14ac:dyDescent="0.25">
      <c r="A35" s="499"/>
      <c r="B35" s="499"/>
      <c r="C35" s="499"/>
      <c r="D35" s="499"/>
      <c r="E35" s="499"/>
      <c r="F35" s="499"/>
      <c r="G35" s="499"/>
      <c r="H35" s="499"/>
      <c r="I35" s="499"/>
      <c r="J35" s="499"/>
    </row>
    <row r="36" spans="1:10" x14ac:dyDescent="0.25">
      <c r="A36" s="332" t="s">
        <v>1366</v>
      </c>
      <c r="B36" s="501"/>
      <c r="C36" s="501"/>
      <c r="D36" s="501"/>
      <c r="E36" s="501"/>
      <c r="F36" s="501"/>
      <c r="G36" s="501"/>
      <c r="H36" s="501"/>
      <c r="I36" s="501"/>
      <c r="J36" s="499"/>
    </row>
    <row r="37" spans="1:10" x14ac:dyDescent="0.25">
      <c r="A37" s="317" t="s">
        <v>1152</v>
      </c>
      <c r="B37" s="317" t="s">
        <v>1338</v>
      </c>
      <c r="C37" s="317"/>
      <c r="D37" s="317"/>
      <c r="E37" s="499"/>
      <c r="F37" s="402">
        <f>ROUND(F18*30%,0)</f>
        <v>-202500</v>
      </c>
      <c r="G37" s="402">
        <f t="shared" ref="G37:H39" si="2">+G18*30%</f>
        <v>0</v>
      </c>
      <c r="H37" s="402">
        <f t="shared" si="2"/>
        <v>-22500</v>
      </c>
      <c r="I37" s="402">
        <f t="shared" ref="I37:I39" si="3">SUM(F37:H37)</f>
        <v>-225000</v>
      </c>
      <c r="J37" s="499"/>
    </row>
    <row r="38" spans="1:10" x14ac:dyDescent="0.25">
      <c r="A38" s="317" t="s">
        <v>1153</v>
      </c>
      <c r="B38" s="317" t="s">
        <v>1339</v>
      </c>
      <c r="C38" s="317"/>
      <c r="D38" s="317"/>
      <c r="E38" s="499"/>
      <c r="F38" s="402">
        <f>ROUND(F19*30%,0)</f>
        <v>-720000</v>
      </c>
      <c r="G38" s="402">
        <f t="shared" si="2"/>
        <v>120000</v>
      </c>
      <c r="H38" s="402">
        <f t="shared" si="2"/>
        <v>0</v>
      </c>
      <c r="I38" s="402">
        <f t="shared" si="3"/>
        <v>-600000</v>
      </c>
      <c r="J38" s="499"/>
    </row>
    <row r="39" spans="1:10" x14ac:dyDescent="0.25">
      <c r="A39" s="317" t="s">
        <v>1154</v>
      </c>
      <c r="B39" s="317" t="s">
        <v>1315</v>
      </c>
      <c r="C39" s="317"/>
      <c r="D39" s="317"/>
      <c r="E39" s="499"/>
      <c r="F39" s="402">
        <f>ROUND(F20*30%,0)</f>
        <v>-900000</v>
      </c>
      <c r="G39" s="402">
        <f t="shared" si="2"/>
        <v>189152.42418289607</v>
      </c>
      <c r="H39" s="402">
        <f t="shared" si="2"/>
        <v>0</v>
      </c>
      <c r="I39" s="402">
        <f t="shared" si="3"/>
        <v>-710847.57581710396</v>
      </c>
      <c r="J39" s="499"/>
    </row>
    <row r="40" spans="1:10" x14ac:dyDescent="0.25">
      <c r="A40" s="320"/>
      <c r="B40" s="317"/>
      <c r="C40" s="317"/>
      <c r="D40" s="317"/>
      <c r="E40" s="499"/>
      <c r="F40" s="508">
        <f>SUM(F37:F39)</f>
        <v>-1822500</v>
      </c>
      <c r="G40" s="319"/>
      <c r="H40" s="319"/>
      <c r="I40" s="508">
        <f>SUM(I37:I39)</f>
        <v>-1535847.575817104</v>
      </c>
      <c r="J40" s="499"/>
    </row>
    <row r="41" spans="1:10" x14ac:dyDescent="0.25">
      <c r="A41" s="320"/>
      <c r="B41" s="317"/>
      <c r="C41" s="317"/>
      <c r="D41" s="317"/>
      <c r="E41" s="319"/>
      <c r="F41" s="319"/>
      <c r="G41" s="319"/>
      <c r="H41" s="509" t="s">
        <v>1335</v>
      </c>
      <c r="I41" s="507">
        <f>+I40-F40</f>
        <v>286652.42418289604</v>
      </c>
      <c r="J41" s="499"/>
    </row>
    <row r="42" spans="1:10" x14ac:dyDescent="0.25">
      <c r="A42" s="320"/>
      <c r="B42" s="317"/>
      <c r="C42" s="317"/>
      <c r="D42" s="317"/>
      <c r="E42" s="319"/>
      <c r="F42" s="319"/>
      <c r="G42" s="319"/>
      <c r="H42" s="319"/>
      <c r="I42" s="319"/>
      <c r="J42" s="499"/>
    </row>
    <row r="43" spans="1:10" x14ac:dyDescent="0.25">
      <c r="A43" s="510"/>
      <c r="B43" s="511"/>
      <c r="C43" s="511"/>
      <c r="D43" s="511"/>
      <c r="E43" s="512"/>
      <c r="F43" s="512"/>
      <c r="G43" s="512"/>
      <c r="H43" s="512"/>
      <c r="I43" s="512"/>
      <c r="J43" s="499"/>
    </row>
    <row r="44" spans="1:10" x14ac:dyDescent="0.25">
      <c r="A44" s="511" t="s">
        <v>1021</v>
      </c>
      <c r="B44" s="516"/>
      <c r="C44" s="516"/>
      <c r="D44" s="516"/>
      <c r="E44" s="516"/>
      <c r="F44" s="516"/>
      <c r="G44" s="516"/>
      <c r="H44" s="516"/>
      <c r="I44" s="512"/>
      <c r="J44" s="499"/>
    </row>
    <row r="45" spans="1:10" x14ac:dyDescent="0.25">
      <c r="A45" s="524"/>
      <c r="B45" s="333"/>
      <c r="C45" s="333"/>
      <c r="D45" s="333"/>
      <c r="E45" s="333"/>
      <c r="F45" s="519"/>
      <c r="G45" s="519"/>
      <c r="H45" s="525" t="s">
        <v>971</v>
      </c>
      <c r="I45" s="525" t="s">
        <v>972</v>
      </c>
      <c r="J45" s="499"/>
    </row>
    <row r="46" spans="1:10" x14ac:dyDescent="0.25">
      <c r="A46" s="515" t="s">
        <v>967</v>
      </c>
      <c r="B46" s="513" t="s">
        <v>1303</v>
      </c>
      <c r="C46" s="513"/>
      <c r="D46" s="513"/>
      <c r="E46" s="512"/>
      <c r="F46" s="516"/>
      <c r="G46" s="516"/>
      <c r="H46" s="512">
        <f>+I34</f>
        <v>130287</v>
      </c>
      <c r="I46" s="512"/>
      <c r="J46" s="499"/>
    </row>
    <row r="47" spans="1:10" x14ac:dyDescent="0.25">
      <c r="A47" s="515" t="s">
        <v>969</v>
      </c>
      <c r="B47" s="513" t="s">
        <v>1304</v>
      </c>
      <c r="C47" s="513"/>
      <c r="D47" s="513"/>
      <c r="E47" s="512"/>
      <c r="F47" s="516"/>
      <c r="G47" s="516"/>
      <c r="H47" s="512"/>
      <c r="I47" s="512">
        <f>+I34</f>
        <v>130287</v>
      </c>
      <c r="J47" s="499"/>
    </row>
    <row r="48" spans="1:10" x14ac:dyDescent="0.25">
      <c r="A48" s="516"/>
      <c r="B48" s="516"/>
      <c r="C48" s="516"/>
      <c r="D48" s="516"/>
      <c r="E48" s="512"/>
      <c r="F48" s="516"/>
      <c r="G48" s="516"/>
      <c r="H48" s="516"/>
      <c r="I48" s="516"/>
      <c r="J48" s="499"/>
    </row>
    <row r="49" spans="1:11" x14ac:dyDescent="0.25">
      <c r="A49" s="524"/>
      <c r="B49" s="333"/>
      <c r="C49" s="333"/>
      <c r="D49" s="333"/>
      <c r="E49" s="333"/>
      <c r="F49" s="519"/>
      <c r="G49" s="519"/>
      <c r="H49" s="525" t="s">
        <v>971</v>
      </c>
      <c r="I49" s="525" t="s">
        <v>972</v>
      </c>
      <c r="J49" s="499"/>
    </row>
    <row r="50" spans="1:11" x14ac:dyDescent="0.25">
      <c r="A50" s="515" t="s">
        <v>973</v>
      </c>
      <c r="B50" s="513" t="s">
        <v>1305</v>
      </c>
      <c r="C50" s="513"/>
      <c r="D50" s="513"/>
      <c r="E50" s="512"/>
      <c r="F50" s="516"/>
      <c r="G50" s="516"/>
      <c r="H50" s="512">
        <f>+I41</f>
        <v>286652.42418289604</v>
      </c>
      <c r="I50" s="512"/>
      <c r="J50" s="499"/>
    </row>
    <row r="51" spans="1:11" x14ac:dyDescent="0.25">
      <c r="A51" s="515" t="s">
        <v>969</v>
      </c>
      <c r="B51" s="513" t="s">
        <v>1304</v>
      </c>
      <c r="C51" s="513"/>
      <c r="D51" s="513"/>
      <c r="E51" s="512"/>
      <c r="F51" s="516"/>
      <c r="G51" s="516"/>
      <c r="H51" s="512"/>
      <c r="I51" s="512">
        <f>+I41</f>
        <v>286652.42418289604</v>
      </c>
      <c r="J51" s="499"/>
    </row>
    <row r="52" spans="1:11" x14ac:dyDescent="0.25">
      <c r="A52" s="512"/>
      <c r="B52" s="515"/>
      <c r="C52" s="513"/>
      <c r="D52" s="513"/>
      <c r="E52" s="512"/>
      <c r="F52" s="512"/>
      <c r="G52" s="512"/>
      <c r="H52" s="512"/>
      <c r="I52" s="512"/>
      <c r="J52" s="499"/>
    </row>
    <row r="53" spans="1:11" x14ac:dyDescent="0.25">
      <c r="A53" s="511" t="s">
        <v>999</v>
      </c>
      <c r="B53" s="516"/>
      <c r="C53" s="516"/>
      <c r="D53" s="516"/>
      <c r="E53" s="516"/>
      <c r="F53" s="516"/>
      <c r="G53" s="516"/>
      <c r="H53" s="516"/>
      <c r="I53" s="512"/>
      <c r="J53" s="499"/>
    </row>
    <row r="54" spans="1:11" x14ac:dyDescent="0.25">
      <c r="A54" s="516"/>
      <c r="B54" s="516"/>
      <c r="C54" s="516"/>
      <c r="D54" s="516"/>
      <c r="E54" s="516"/>
      <c r="F54" s="517"/>
      <c r="G54" s="517"/>
      <c r="H54" s="516"/>
      <c r="I54" s="516"/>
      <c r="J54" s="499"/>
    </row>
    <row r="55" spans="1:11" x14ac:dyDescent="0.25">
      <c r="A55" s="519"/>
      <c r="B55" s="519"/>
      <c r="C55" s="519"/>
      <c r="D55" s="519"/>
      <c r="E55" s="519"/>
      <c r="F55" s="519"/>
      <c r="G55" s="526" t="s">
        <v>946</v>
      </c>
      <c r="H55" s="526"/>
      <c r="I55" s="526"/>
      <c r="J55" s="499"/>
      <c r="K55" s="526" t="s">
        <v>946</v>
      </c>
    </row>
    <row r="56" spans="1:11" x14ac:dyDescent="0.25">
      <c r="A56" s="524" t="s">
        <v>1000</v>
      </c>
      <c r="B56" s="524"/>
      <c r="C56" s="519"/>
      <c r="D56" s="519"/>
      <c r="E56" s="519"/>
      <c r="F56" s="519"/>
      <c r="G56" s="527">
        <v>5210650.38</v>
      </c>
      <c r="H56" s="581" t="s">
        <v>1355</v>
      </c>
      <c r="I56" s="581"/>
      <c r="J56" s="499"/>
      <c r="K56" s="527">
        <f>+G56-H70</f>
        <v>5210650.38</v>
      </c>
    </row>
    <row r="57" spans="1:11" hidden="1" x14ac:dyDescent="0.25">
      <c r="A57" s="513"/>
      <c r="B57" s="513"/>
      <c r="C57" s="512"/>
      <c r="D57" s="512"/>
      <c r="E57" s="512"/>
      <c r="F57" s="516"/>
      <c r="G57" s="512"/>
      <c r="H57" s="512"/>
      <c r="I57" s="499"/>
      <c r="J57" s="499"/>
      <c r="K57" s="512"/>
    </row>
    <row r="58" spans="1:11" x14ac:dyDescent="0.25">
      <c r="A58" s="513" t="s">
        <v>1001</v>
      </c>
      <c r="B58" s="513"/>
      <c r="C58" s="512"/>
      <c r="D58" s="512"/>
      <c r="E58" s="512"/>
      <c r="F58" s="516"/>
      <c r="G58" s="512"/>
      <c r="H58" s="504" t="s">
        <v>911</v>
      </c>
      <c r="I58" s="504" t="s">
        <v>912</v>
      </c>
      <c r="J58" s="499"/>
      <c r="K58" s="512">
        <v>0</v>
      </c>
    </row>
    <row r="59" spans="1:11" x14ac:dyDescent="0.25">
      <c r="A59" s="518" t="s">
        <v>1138</v>
      </c>
      <c r="B59" s="518"/>
      <c r="C59" s="514"/>
      <c r="D59" s="514"/>
      <c r="E59" s="514"/>
      <c r="F59" s="516"/>
      <c r="G59" s="402">
        <f>+G10+H10</f>
        <v>-82881.770000000019</v>
      </c>
      <c r="H59" s="319">
        <v>50000</v>
      </c>
      <c r="I59" s="402">
        <v>-132881.77000000002</v>
      </c>
      <c r="J59" s="402"/>
      <c r="K59" s="514"/>
    </row>
    <row r="60" spans="1:11" x14ac:dyDescent="0.25">
      <c r="A60" s="518" t="s">
        <v>1139</v>
      </c>
      <c r="B60" s="518"/>
      <c r="C60" s="514"/>
      <c r="D60" s="514"/>
      <c r="E60" s="514"/>
      <c r="F60" s="516"/>
      <c r="G60" s="402">
        <f>+G11+H11</f>
        <v>20000</v>
      </c>
      <c r="H60" s="319">
        <v>27000</v>
      </c>
      <c r="I60" s="402">
        <v>-7000</v>
      </c>
      <c r="J60" s="499"/>
      <c r="K60" s="514"/>
    </row>
    <row r="61" spans="1:11" x14ac:dyDescent="0.25">
      <c r="A61" s="518" t="s">
        <v>1306</v>
      </c>
      <c r="B61" s="518"/>
      <c r="C61" s="514"/>
      <c r="D61" s="514"/>
      <c r="E61" s="514"/>
      <c r="F61" s="516"/>
      <c r="G61" s="402">
        <f>+G12+H12</f>
        <v>49000</v>
      </c>
      <c r="H61" s="319">
        <v>264000</v>
      </c>
      <c r="I61" s="402">
        <v>-215000</v>
      </c>
      <c r="J61" s="499"/>
      <c r="K61" s="514"/>
    </row>
    <row r="62" spans="1:11" x14ac:dyDescent="0.25">
      <c r="A62" s="518" t="s">
        <v>1042</v>
      </c>
      <c r="B62" s="518"/>
      <c r="C62" s="514"/>
      <c r="D62" s="514"/>
      <c r="E62" s="514"/>
      <c r="F62" s="516"/>
      <c r="G62" s="402">
        <f>+G13+H13</f>
        <v>259000</v>
      </c>
      <c r="H62" s="319">
        <v>358000</v>
      </c>
      <c r="I62" s="402">
        <v>-99000</v>
      </c>
      <c r="J62" s="499"/>
      <c r="K62" s="514"/>
    </row>
    <row r="63" spans="1:11" x14ac:dyDescent="0.25">
      <c r="A63" s="518" t="s">
        <v>1307</v>
      </c>
      <c r="B63" s="518"/>
      <c r="C63" s="514"/>
      <c r="D63" s="514"/>
      <c r="E63" s="514"/>
      <c r="F63" s="516"/>
      <c r="G63" s="402">
        <f>+G14+H14</f>
        <v>189171.8</v>
      </c>
      <c r="H63" s="319">
        <v>209000</v>
      </c>
      <c r="I63" s="402">
        <v>-19828.2</v>
      </c>
      <c r="J63" s="499"/>
      <c r="K63" s="514"/>
    </row>
    <row r="64" spans="1:11" x14ac:dyDescent="0.25">
      <c r="A64" s="518" t="s">
        <v>1308</v>
      </c>
      <c r="B64" s="518"/>
      <c r="C64" s="514"/>
      <c r="D64" s="514"/>
      <c r="E64" s="514"/>
      <c r="F64" s="516"/>
      <c r="G64" s="402">
        <f>+G18+H18</f>
        <v>-75000</v>
      </c>
      <c r="H64" s="402">
        <v>0</v>
      </c>
      <c r="I64" s="402">
        <v>-75000</v>
      </c>
      <c r="J64" s="499"/>
      <c r="K64" s="514"/>
    </row>
    <row r="65" spans="1:11" x14ac:dyDescent="0.25">
      <c r="A65" s="518" t="s">
        <v>1309</v>
      </c>
      <c r="B65" s="518"/>
      <c r="C65" s="514"/>
      <c r="D65" s="514"/>
      <c r="E65" s="514"/>
      <c r="F65" s="516"/>
      <c r="G65" s="402">
        <f>+G19+H19</f>
        <v>400000</v>
      </c>
      <c r="H65" s="402">
        <v>400000</v>
      </c>
      <c r="I65" s="402">
        <v>0</v>
      </c>
      <c r="J65" s="499"/>
      <c r="K65" s="514"/>
    </row>
    <row r="66" spans="1:11" x14ac:dyDescent="0.25">
      <c r="A66" s="518" t="s">
        <v>1092</v>
      </c>
      <c r="B66" s="518"/>
      <c r="C66" s="514"/>
      <c r="D66" s="514"/>
      <c r="E66" s="514"/>
      <c r="F66" s="516"/>
      <c r="G66" s="402">
        <f>+G20+H20</f>
        <v>630508.08060965361</v>
      </c>
      <c r="H66" s="402">
        <v>630508.08060965361</v>
      </c>
      <c r="I66" s="402">
        <v>0</v>
      </c>
      <c r="J66" s="499"/>
      <c r="K66" s="514"/>
    </row>
    <row r="67" spans="1:11" x14ac:dyDescent="0.25">
      <c r="A67" s="513" t="s">
        <v>1002</v>
      </c>
      <c r="B67" s="513"/>
      <c r="C67" s="512"/>
      <c r="D67" s="512"/>
      <c r="E67" s="512"/>
      <c r="F67" s="516"/>
      <c r="G67" s="402">
        <v>1000000</v>
      </c>
      <c r="H67" s="402"/>
      <c r="I67" s="499"/>
      <c r="J67" s="499"/>
      <c r="K67" s="512">
        <f>+G67</f>
        <v>1000000</v>
      </c>
    </row>
    <row r="68" spans="1:11" x14ac:dyDescent="0.25">
      <c r="A68" s="519" t="s">
        <v>1310</v>
      </c>
      <c r="B68" s="519"/>
      <c r="C68" s="519"/>
      <c r="D68" s="519"/>
      <c r="E68" s="519"/>
      <c r="F68" s="519"/>
      <c r="G68" s="333">
        <f>SUM(G56:G67)</f>
        <v>7600448.4906096533</v>
      </c>
      <c r="H68" s="333"/>
      <c r="I68" s="526"/>
      <c r="J68" s="499"/>
      <c r="K68" s="333">
        <f>SUM(K56:K67)</f>
        <v>6210650.3799999999</v>
      </c>
    </row>
    <row r="69" spans="1:11" x14ac:dyDescent="0.25">
      <c r="A69" s="519" t="s">
        <v>1006</v>
      </c>
      <c r="B69" s="519"/>
      <c r="C69" s="519"/>
      <c r="D69" s="519"/>
      <c r="E69" s="519"/>
      <c r="F69" s="546">
        <v>0.3</v>
      </c>
      <c r="G69" s="333">
        <f>+G68*30%</f>
        <v>2280134.5471828957</v>
      </c>
      <c r="H69" s="333"/>
      <c r="I69" s="526"/>
      <c r="J69" s="499"/>
      <c r="K69" s="333">
        <f>SUM(K57:K67)</f>
        <v>1000000</v>
      </c>
    </row>
    <row r="70" spans="1:11" x14ac:dyDescent="0.25">
      <c r="A70" s="516"/>
      <c r="B70" s="516"/>
      <c r="C70" s="516"/>
      <c r="D70" s="516"/>
      <c r="E70" s="520"/>
      <c r="F70" s="516"/>
      <c r="G70" s="516"/>
      <c r="H70" s="512"/>
      <c r="I70" s="516"/>
      <c r="J70" s="499"/>
    </row>
    <row r="71" spans="1:11" hidden="1" x14ac:dyDescent="0.25">
      <c r="A71" s="516"/>
      <c r="B71" s="514"/>
      <c r="C71" s="514"/>
      <c r="D71" s="514"/>
      <c r="E71" s="514"/>
      <c r="F71" s="516"/>
      <c r="G71" s="516"/>
      <c r="H71" s="514"/>
      <c r="I71" s="514"/>
      <c r="J71" s="499"/>
    </row>
    <row r="72" spans="1:11" x14ac:dyDescent="0.25">
      <c r="A72" s="525"/>
      <c r="B72" s="333"/>
      <c r="C72" s="333"/>
      <c r="D72" s="333"/>
      <c r="E72" s="333"/>
      <c r="F72" s="519"/>
      <c r="G72" s="519"/>
      <c r="H72" s="525" t="s">
        <v>971</v>
      </c>
      <c r="I72" s="525" t="s">
        <v>972</v>
      </c>
      <c r="J72" s="499"/>
    </row>
    <row r="73" spans="1:11" x14ac:dyDescent="0.25">
      <c r="A73" s="515" t="s">
        <v>1144</v>
      </c>
      <c r="B73" s="513" t="s">
        <v>1304</v>
      </c>
      <c r="C73" s="513"/>
      <c r="D73" s="513"/>
      <c r="E73" s="512"/>
      <c r="F73" s="516"/>
      <c r="G73" s="516"/>
      <c r="H73" s="512">
        <f>+G69</f>
        <v>2280134.5471828957</v>
      </c>
      <c r="I73" s="512"/>
      <c r="J73" s="499"/>
    </row>
    <row r="74" spans="1:11" x14ac:dyDescent="0.25">
      <c r="A74" s="515" t="s">
        <v>1311</v>
      </c>
      <c r="B74" s="513" t="s">
        <v>1312</v>
      </c>
      <c r="C74" s="513"/>
      <c r="D74" s="513"/>
      <c r="E74" s="512"/>
      <c r="F74" s="516"/>
      <c r="G74" s="516"/>
      <c r="H74" s="512"/>
      <c r="I74" s="512">
        <f>+H73</f>
        <v>2280134.5471828957</v>
      </c>
      <c r="J74" s="499"/>
    </row>
    <row r="75" spans="1:11" x14ac:dyDescent="0.25">
      <c r="A75" s="516"/>
      <c r="B75" s="514"/>
      <c r="C75" s="514"/>
      <c r="D75" s="514"/>
      <c r="E75" s="514"/>
      <c r="F75" s="514"/>
      <c r="G75" s="514"/>
      <c r="H75" s="512"/>
      <c r="I75" s="512"/>
      <c r="J75" s="499"/>
    </row>
    <row r="76" spans="1:11" x14ac:dyDescent="0.25">
      <c r="A76" s="516"/>
      <c r="B76" s="514"/>
      <c r="C76" s="514"/>
      <c r="D76" s="514"/>
      <c r="E76" s="514"/>
      <c r="F76" s="514"/>
      <c r="G76" s="514"/>
      <c r="H76" s="512"/>
      <c r="I76" s="512"/>
      <c r="J76" s="499"/>
    </row>
    <row r="77" spans="1:11" x14ac:dyDescent="0.25">
      <c r="A77" s="525"/>
      <c r="B77" s="525"/>
      <c r="C77" s="525"/>
      <c r="D77" s="525"/>
      <c r="E77" s="525"/>
      <c r="F77" s="525"/>
      <c r="G77" s="525"/>
      <c r="H77" s="333"/>
      <c r="I77" s="333"/>
      <c r="J77" s="499"/>
    </row>
    <row r="78" spans="1:11" x14ac:dyDescent="0.25">
      <c r="A78" s="525"/>
      <c r="B78" s="525" t="s">
        <v>1367</v>
      </c>
      <c r="C78" s="525"/>
      <c r="D78" s="525"/>
      <c r="E78" s="519"/>
      <c r="F78" s="519"/>
      <c r="G78" s="525"/>
      <c r="H78" s="525" t="s">
        <v>946</v>
      </c>
      <c r="I78" s="525"/>
      <c r="J78" s="499"/>
    </row>
    <row r="79" spans="1:11" x14ac:dyDescent="0.25">
      <c r="A79" s="521" t="s">
        <v>1316</v>
      </c>
      <c r="B79" s="521">
        <v>882</v>
      </c>
      <c r="C79" s="513" t="s">
        <v>1341</v>
      </c>
      <c r="D79" s="513"/>
      <c r="E79" s="516"/>
      <c r="F79" s="516"/>
      <c r="G79" s="512"/>
      <c r="H79" s="512">
        <f>I47</f>
        <v>130287</v>
      </c>
      <c r="I79" s="513" t="s">
        <v>1319</v>
      </c>
      <c r="J79" s="499"/>
    </row>
    <row r="80" spans="1:11" x14ac:dyDescent="0.25">
      <c r="A80" s="521" t="s">
        <v>1317</v>
      </c>
      <c r="B80" s="521">
        <v>882</v>
      </c>
      <c r="C80" s="513" t="s">
        <v>1342</v>
      </c>
      <c r="D80" s="513"/>
      <c r="E80" s="516"/>
      <c r="F80" s="516"/>
      <c r="G80" s="512"/>
      <c r="H80" s="512">
        <f>+I51</f>
        <v>286652.42418289604</v>
      </c>
      <c r="I80" s="513" t="s">
        <v>1319</v>
      </c>
      <c r="J80" s="499"/>
    </row>
    <row r="81" spans="1:10" x14ac:dyDescent="0.25">
      <c r="A81" s="521" t="s">
        <v>1318</v>
      </c>
      <c r="B81" s="521">
        <v>881</v>
      </c>
      <c r="C81" s="513" t="s">
        <v>1006</v>
      </c>
      <c r="D81" s="513"/>
      <c r="E81" s="516"/>
      <c r="F81" s="516"/>
      <c r="G81" s="512"/>
      <c r="H81" s="402">
        <f>-H73</f>
        <v>-2280134.5471828957</v>
      </c>
      <c r="I81" s="513" t="s">
        <v>1320</v>
      </c>
      <c r="J81" s="499"/>
    </row>
    <row r="82" spans="1:10" x14ac:dyDescent="0.25">
      <c r="A82" s="333"/>
      <c r="B82" s="528"/>
      <c r="C82" s="524"/>
      <c r="D82" s="524"/>
      <c r="E82" s="519"/>
      <c r="F82" s="519"/>
      <c r="G82" s="333"/>
      <c r="H82" s="414">
        <f>SUM(H79:H81)</f>
        <v>-1863195.1229999997</v>
      </c>
      <c r="I82" s="524"/>
      <c r="J82" s="499"/>
    </row>
    <row r="83" spans="1:10" x14ac:dyDescent="0.25">
      <c r="A83" s="516"/>
      <c r="B83" s="514"/>
      <c r="C83" s="514"/>
      <c r="D83" s="514"/>
      <c r="E83" s="514"/>
      <c r="F83" s="514"/>
      <c r="G83" s="514"/>
      <c r="H83" s="512"/>
      <c r="I83" s="512"/>
      <c r="J83" s="499"/>
    </row>
    <row r="84" spans="1:10" x14ac:dyDescent="0.25">
      <c r="A84" s="519"/>
      <c r="B84" s="519"/>
      <c r="C84" s="519"/>
      <c r="D84" s="519"/>
      <c r="E84" s="519"/>
      <c r="F84" s="519"/>
      <c r="G84" s="525"/>
      <c r="H84" s="526" t="s">
        <v>946</v>
      </c>
      <c r="I84" s="519"/>
      <c r="J84" s="499"/>
    </row>
    <row r="85" spans="1:10" x14ac:dyDescent="0.25">
      <c r="A85" s="519"/>
      <c r="B85" s="524" t="s">
        <v>1000</v>
      </c>
      <c r="C85" s="519"/>
      <c r="D85" s="519"/>
      <c r="E85" s="519"/>
      <c r="F85" s="519"/>
      <c r="G85" s="525"/>
      <c r="H85" s="527">
        <v>5210650.38</v>
      </c>
      <c r="I85" s="519"/>
      <c r="J85" s="499"/>
    </row>
    <row r="86" spans="1:10" hidden="1" x14ac:dyDescent="0.25">
      <c r="A86" s="516"/>
      <c r="B86" s="513"/>
      <c r="C86" s="512"/>
      <c r="D86" s="512"/>
      <c r="E86" s="512"/>
      <c r="F86" s="516"/>
      <c r="G86" s="514"/>
      <c r="H86" s="512"/>
      <c r="I86" s="512"/>
      <c r="J86" s="499"/>
    </row>
    <row r="87" spans="1:10" x14ac:dyDescent="0.25">
      <c r="A87" s="516"/>
      <c r="B87" s="513" t="s">
        <v>1321</v>
      </c>
      <c r="C87" s="512"/>
      <c r="D87" s="512"/>
      <c r="E87" s="512"/>
      <c r="F87" s="516"/>
      <c r="G87" s="514"/>
      <c r="H87" s="522">
        <v>1000000</v>
      </c>
      <c r="I87" s="512"/>
      <c r="J87" s="499"/>
    </row>
    <row r="88" spans="1:10" x14ac:dyDescent="0.25">
      <c r="A88" s="516"/>
      <c r="B88" s="516" t="s">
        <v>1322</v>
      </c>
      <c r="C88" s="516"/>
      <c r="D88" s="516"/>
      <c r="E88" s="516"/>
      <c r="F88" s="516"/>
      <c r="G88" s="514"/>
      <c r="H88" s="523">
        <f>SUM(H85:H87)</f>
        <v>6210650.3799999999</v>
      </c>
      <c r="I88" s="516"/>
      <c r="J88" s="499"/>
    </row>
    <row r="89" spans="1:10" x14ac:dyDescent="0.25">
      <c r="A89" s="519"/>
      <c r="B89" s="519" t="s">
        <v>1323</v>
      </c>
      <c r="C89" s="519"/>
      <c r="D89" s="519"/>
      <c r="E89" s="519"/>
      <c r="F89" s="519"/>
      <c r="G89" s="547">
        <v>0.3</v>
      </c>
      <c r="H89" s="529">
        <f>+H88*30%</f>
        <v>1863195.1139999998</v>
      </c>
      <c r="I89" s="519"/>
      <c r="J89" s="499"/>
    </row>
    <row r="90" spans="1:10" x14ac:dyDescent="0.25">
      <c r="A90" s="516"/>
      <c r="B90" s="512"/>
      <c r="C90" s="512"/>
      <c r="D90" s="512"/>
      <c r="E90" s="512"/>
      <c r="F90" s="512"/>
      <c r="G90" s="512"/>
      <c r="H90" s="512"/>
      <c r="I90" s="512"/>
      <c r="J90" s="499"/>
    </row>
    <row r="91" spans="1:10" x14ac:dyDescent="0.25">
      <c r="A91" s="516"/>
      <c r="B91" s="516"/>
      <c r="C91" s="516"/>
      <c r="D91" s="516"/>
      <c r="E91" s="516"/>
      <c r="F91" s="516"/>
      <c r="G91" s="516"/>
      <c r="H91" s="516"/>
      <c r="I91" s="516"/>
      <c r="J91" s="499"/>
    </row>
    <row r="92" spans="1:10" x14ac:dyDescent="0.25">
      <c r="A92" s="516"/>
      <c r="B92" s="516"/>
      <c r="C92" s="516"/>
      <c r="D92" s="516"/>
      <c r="E92" s="516"/>
      <c r="F92" s="516"/>
      <c r="G92" s="516"/>
      <c r="H92" s="516"/>
      <c r="I92" s="516"/>
      <c r="J92" s="499"/>
    </row>
    <row r="93" spans="1:10" x14ac:dyDescent="0.25">
      <c r="A93" s="516"/>
      <c r="B93" s="516"/>
      <c r="C93" s="516"/>
      <c r="D93" s="516"/>
      <c r="E93" s="516"/>
      <c r="F93" s="516"/>
      <c r="G93" s="516"/>
      <c r="H93" s="516"/>
      <c r="I93" s="516"/>
      <c r="J93" s="499"/>
    </row>
    <row r="94" spans="1:10" x14ac:dyDescent="0.25">
      <c r="A94" s="516"/>
      <c r="B94" s="516"/>
      <c r="C94" s="516"/>
      <c r="D94" s="516"/>
      <c r="E94" s="516"/>
      <c r="F94" s="516"/>
      <c r="G94" s="516"/>
      <c r="H94" s="516"/>
      <c r="I94" s="516"/>
      <c r="J94" s="499"/>
    </row>
    <row r="95" spans="1:10" x14ac:dyDescent="0.25">
      <c r="A95" s="516"/>
      <c r="B95" s="516"/>
      <c r="C95" s="516"/>
      <c r="D95" s="516"/>
      <c r="E95" s="516"/>
      <c r="F95" s="516"/>
      <c r="G95" s="516"/>
      <c r="H95" s="516"/>
      <c r="I95" s="516"/>
      <c r="J95" s="499"/>
    </row>
    <row r="96" spans="1:10" x14ac:dyDescent="0.25">
      <c r="A96" s="516"/>
      <c r="B96" s="516"/>
      <c r="C96" s="516"/>
      <c r="D96" s="516"/>
      <c r="E96" s="516"/>
      <c r="F96" s="516"/>
      <c r="G96" s="516"/>
      <c r="H96" s="516"/>
      <c r="I96" s="516"/>
      <c r="J96" s="499"/>
    </row>
    <row r="97" spans="1:10" x14ac:dyDescent="0.25">
      <c r="A97" s="516"/>
      <c r="B97" s="516"/>
      <c r="C97" s="516"/>
      <c r="D97" s="516"/>
      <c r="E97" s="516"/>
      <c r="F97" s="516"/>
      <c r="G97" s="516"/>
      <c r="H97" s="516"/>
      <c r="I97" s="516"/>
      <c r="J97" s="499"/>
    </row>
    <row r="98" spans="1:10" x14ac:dyDescent="0.25">
      <c r="A98" s="516"/>
      <c r="B98" s="516"/>
      <c r="C98" s="516"/>
      <c r="D98" s="516"/>
      <c r="E98" s="516"/>
      <c r="F98" s="516"/>
      <c r="G98" s="516"/>
      <c r="H98" s="516"/>
      <c r="I98" s="516"/>
      <c r="J98" s="499"/>
    </row>
    <row r="99" spans="1:10" x14ac:dyDescent="0.25">
      <c r="A99" s="516"/>
      <c r="B99" s="516"/>
      <c r="C99" s="516"/>
      <c r="D99" s="516"/>
      <c r="E99" s="516"/>
      <c r="F99" s="516"/>
      <c r="G99" s="516"/>
      <c r="H99" s="516"/>
      <c r="I99" s="516"/>
      <c r="J99" s="499"/>
    </row>
    <row r="100" spans="1:10" x14ac:dyDescent="0.25">
      <c r="A100" s="516"/>
      <c r="B100" s="516"/>
      <c r="C100" s="516"/>
      <c r="D100" s="516"/>
      <c r="E100" s="516"/>
      <c r="F100" s="516"/>
      <c r="G100" s="516"/>
      <c r="H100" s="516"/>
      <c r="I100" s="516"/>
      <c r="J100" s="499"/>
    </row>
    <row r="101" spans="1:10" x14ac:dyDescent="0.25">
      <c r="A101" s="516"/>
      <c r="B101" s="516"/>
      <c r="C101" s="516"/>
      <c r="D101" s="516"/>
      <c r="E101" s="516"/>
      <c r="F101" s="516"/>
      <c r="G101" s="516"/>
      <c r="H101" s="516"/>
      <c r="I101" s="516"/>
      <c r="J101" s="499"/>
    </row>
    <row r="102" spans="1:10" x14ac:dyDescent="0.25">
      <c r="A102" s="516"/>
      <c r="B102" s="516"/>
      <c r="C102" s="516"/>
      <c r="D102" s="516"/>
      <c r="E102" s="516"/>
      <c r="F102" s="516"/>
      <c r="G102" s="516"/>
      <c r="H102" s="516"/>
      <c r="I102" s="516"/>
      <c r="J102" s="499"/>
    </row>
    <row r="103" spans="1:10" x14ac:dyDescent="0.25">
      <c r="A103" s="516"/>
      <c r="B103" s="516"/>
      <c r="C103" s="516"/>
      <c r="D103" s="516"/>
      <c r="E103" s="516"/>
      <c r="F103" s="516"/>
      <c r="G103" s="516"/>
      <c r="H103" s="516"/>
      <c r="I103" s="516"/>
      <c r="J103" s="499"/>
    </row>
    <row r="104" spans="1:10" x14ac:dyDescent="0.25">
      <c r="A104" s="516"/>
      <c r="B104" s="516"/>
      <c r="C104" s="516"/>
      <c r="D104" s="516"/>
      <c r="E104" s="516"/>
      <c r="F104" s="516"/>
      <c r="G104" s="516"/>
      <c r="H104" s="516"/>
      <c r="I104" s="516"/>
      <c r="J104" s="499"/>
    </row>
    <row r="105" spans="1:10" x14ac:dyDescent="0.25">
      <c r="A105" s="516"/>
      <c r="B105" s="516"/>
      <c r="C105" s="516"/>
      <c r="D105" s="516"/>
      <c r="E105" s="516"/>
      <c r="F105" s="516"/>
      <c r="G105" s="516"/>
      <c r="H105" s="516"/>
      <c r="I105" s="516"/>
      <c r="J105" s="499"/>
    </row>
    <row r="106" spans="1:10" x14ac:dyDescent="0.25">
      <c r="A106" s="516"/>
      <c r="B106" s="516"/>
      <c r="C106" s="516"/>
      <c r="D106" s="516"/>
      <c r="E106" s="516"/>
      <c r="F106" s="516"/>
      <c r="G106" s="516"/>
      <c r="H106" s="516"/>
      <c r="I106" s="516"/>
      <c r="J106" s="499"/>
    </row>
  </sheetData>
  <mergeCells count="3">
    <mergeCell ref="E3:H3"/>
    <mergeCell ref="F23:I23"/>
    <mergeCell ref="H56:I56"/>
  </mergeCells>
  <pageMargins left="0.7" right="0.7" top="0.75" bottom="0.75" header="0.3" footer="0.3"/>
  <pageSetup paperSize="9" scale="93" orientation="portrait" horizontalDpi="200" verticalDpi="200" r:id="rId1"/>
  <rowBreaks count="1" manualBreakCount="1">
    <brk id="43" max="9" man="1"/>
  </rowBreaks>
  <ignoredErrors>
    <ignoredError sqref="A15:A16 A33:A34 A46:A47 A50:A51 A73:A7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FF0000"/>
  </sheetPr>
  <dimension ref="A1:P99"/>
  <sheetViews>
    <sheetView topLeftCell="A30" zoomScale="120" zoomScaleNormal="120" zoomScaleSheetLayoutView="100" workbookViewId="0">
      <selection activeCell="H51" sqref="H51"/>
    </sheetView>
  </sheetViews>
  <sheetFormatPr baseColWidth="10" defaultRowHeight="15" x14ac:dyDescent="0.25"/>
  <cols>
    <col min="1" max="1" width="6.42578125" customWidth="1"/>
    <col min="2" max="3" width="10.7109375" customWidth="1"/>
    <col min="4" max="4" width="7.5703125" customWidth="1"/>
    <col min="5" max="5" width="11.7109375" bestFit="1" customWidth="1"/>
    <col min="6" max="8" width="11.85546875" bestFit="1" customWidth="1"/>
    <col min="9" max="9" width="0.42578125" customWidth="1"/>
    <col min="10" max="10" width="11.5703125" bestFit="1" customWidth="1"/>
    <col min="11" max="11" width="5.28515625" style="87" customWidth="1"/>
    <col min="12" max="14" width="11.42578125" style="87"/>
    <col min="15" max="16384" width="11.42578125" style="86"/>
  </cols>
  <sheetData>
    <row r="1" spans="1:16" x14ac:dyDescent="0.25">
      <c r="A1" s="83" t="s">
        <v>1020</v>
      </c>
      <c r="B1" s="84"/>
      <c r="C1" s="84"/>
      <c r="D1" s="84"/>
      <c r="E1" s="84"/>
      <c r="F1" s="84"/>
      <c r="G1" s="84"/>
      <c r="H1" s="84"/>
      <c r="I1" s="84"/>
      <c r="J1" s="84"/>
      <c r="K1" s="91"/>
      <c r="L1" s="86"/>
      <c r="M1" s="86"/>
      <c r="N1" s="86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91"/>
      <c r="L2" s="86"/>
      <c r="M2" s="86"/>
      <c r="N2" s="86"/>
    </row>
    <row r="3" spans="1:16" x14ac:dyDescent="0.25">
      <c r="A3" s="6"/>
      <c r="B3" s="6"/>
      <c r="C3" s="6"/>
      <c r="D3" s="6"/>
      <c r="E3" s="582" t="s">
        <v>963</v>
      </c>
      <c r="F3" s="582"/>
      <c r="G3" s="582"/>
      <c r="H3" s="582"/>
      <c r="I3" s="6"/>
      <c r="J3" s="6"/>
      <c r="K3" s="91"/>
    </row>
    <row r="4" spans="1:16" x14ac:dyDescent="0.25">
      <c r="A4" s="6"/>
      <c r="B4" s="6"/>
      <c r="C4" s="6"/>
      <c r="D4" s="6"/>
      <c r="E4" s="45" t="s">
        <v>908</v>
      </c>
      <c r="F4" s="5"/>
      <c r="G4" s="5"/>
      <c r="H4" s="45" t="s">
        <v>908</v>
      </c>
      <c r="I4" s="6"/>
      <c r="J4" s="6"/>
      <c r="K4" s="91"/>
    </row>
    <row r="5" spans="1:16" x14ac:dyDescent="0.25">
      <c r="A5" s="6"/>
      <c r="B5" s="6"/>
      <c r="C5" s="6"/>
      <c r="D5" s="6"/>
      <c r="E5" s="45" t="s">
        <v>909</v>
      </c>
      <c r="F5" s="45" t="s">
        <v>911</v>
      </c>
      <c r="G5" s="45" t="s">
        <v>912</v>
      </c>
      <c r="H5" s="45" t="s">
        <v>910</v>
      </c>
      <c r="I5" s="6"/>
      <c r="J5" s="6"/>
      <c r="K5" s="91"/>
    </row>
    <row r="6" spans="1:16" x14ac:dyDescent="0.25">
      <c r="A6" s="6"/>
      <c r="B6" s="6"/>
      <c r="C6" s="6"/>
      <c r="D6" s="6"/>
      <c r="E6" s="25" t="s">
        <v>946</v>
      </c>
      <c r="F6" s="25" t="s">
        <v>946</v>
      </c>
      <c r="G6" s="25" t="s">
        <v>946</v>
      </c>
      <c r="H6" s="25" t="s">
        <v>946</v>
      </c>
      <c r="I6" s="6"/>
      <c r="J6" s="6"/>
      <c r="K6" s="91"/>
    </row>
    <row r="7" spans="1:16" x14ac:dyDescent="0.25">
      <c r="A7" s="3" t="s">
        <v>1027</v>
      </c>
      <c r="B7" s="4"/>
      <c r="C7" s="4"/>
      <c r="D7" s="4"/>
      <c r="E7" s="7"/>
      <c r="F7" s="7"/>
      <c r="G7" s="7"/>
      <c r="H7" s="7"/>
      <c r="I7" s="6"/>
      <c r="J7" s="6"/>
      <c r="K7" s="91"/>
    </row>
    <row r="8" spans="1:16" x14ac:dyDescent="0.25">
      <c r="A8" s="8" t="s">
        <v>895</v>
      </c>
      <c r="B8" s="9" t="s">
        <v>897</v>
      </c>
      <c r="C8" s="9"/>
      <c r="D8" s="9"/>
      <c r="E8" s="10">
        <f>VLOOKUP(A8,'BC2014'!A:H,4,FALSE)-VLOOKUP(A8,'BC2014'!A:H,3,FALSE)</f>
        <v>153790.06</v>
      </c>
      <c r="F8" s="10">
        <f>+VARIOS!D12</f>
        <v>50000</v>
      </c>
      <c r="G8" s="18">
        <f>+VARIOS!E12</f>
        <v>-132881.77000000002</v>
      </c>
      <c r="H8" s="10">
        <f>VLOOKUP(A8,'BC2014'!A:H,8,FALSE)-VLOOKUP(A8,'BC2014'!A:H,7,FALSE)</f>
        <v>70908.06</v>
      </c>
      <c r="I8" s="10"/>
      <c r="J8" s="35" t="s">
        <v>1147</v>
      </c>
      <c r="K8" s="91"/>
      <c r="P8" s="88">
        <f>SUM(E8:G8)-H8</f>
        <v>0.22999999998137355</v>
      </c>
    </row>
    <row r="9" spans="1:16" x14ac:dyDescent="0.25">
      <c r="A9" s="8" t="s">
        <v>899</v>
      </c>
      <c r="B9" s="9" t="s">
        <v>1022</v>
      </c>
      <c r="C9" s="9"/>
      <c r="D9" s="9"/>
      <c r="E9" s="10">
        <f>VLOOKUP(A9,'BC2014'!A:H,4,FALSE)-VLOOKUP(A9,'BC2014'!A:H,3,FALSE)</f>
        <v>30000</v>
      </c>
      <c r="F9" s="10">
        <f>+VARIOS!D20</f>
        <v>27000</v>
      </c>
      <c r="G9" s="18">
        <f>+VARIOS!E20</f>
        <v>-7000</v>
      </c>
      <c r="H9" s="10">
        <f>VLOOKUP(A9,'BC2014'!A:H,8,FALSE)-VLOOKUP(A9,'BC2014'!A:H,7,FALSE)</f>
        <v>50000</v>
      </c>
      <c r="I9" s="10"/>
      <c r="J9" s="35" t="s">
        <v>1148</v>
      </c>
      <c r="K9" s="91"/>
      <c r="P9" s="88">
        <f>SUM(E9:G9)-H9</f>
        <v>0</v>
      </c>
    </row>
    <row r="10" spans="1:16" x14ac:dyDescent="0.25">
      <c r="A10" s="8" t="s">
        <v>906</v>
      </c>
      <c r="B10" s="9" t="s">
        <v>1023</v>
      </c>
      <c r="C10" s="9"/>
      <c r="D10" s="9"/>
      <c r="E10" s="10">
        <f>VLOOKUP(A10,'BC2014'!A:H,4,FALSE)-VLOOKUP(A10,'BC2014'!A:H,3,FALSE)</f>
        <v>1047000</v>
      </c>
      <c r="F10" s="10">
        <f>+VARIOS!D38</f>
        <v>264000</v>
      </c>
      <c r="G10" s="18">
        <f>+VARIOS!E38</f>
        <v>-215000</v>
      </c>
      <c r="H10" s="10">
        <f>VLOOKUP(A10,'BC2014'!A:H,8,FALSE)-VLOOKUP(A10,'BC2014'!A:H,7,FALSE)</f>
        <v>1095999.7000000002</v>
      </c>
      <c r="I10" s="10"/>
      <c r="J10" s="35" t="s">
        <v>1149</v>
      </c>
      <c r="K10" s="91"/>
      <c r="P10" s="88">
        <f>SUM(E10:G10)-H10</f>
        <v>0.29999999981373549</v>
      </c>
    </row>
    <row r="11" spans="1:16" x14ac:dyDescent="0.25">
      <c r="A11" s="9" t="s">
        <v>903</v>
      </c>
      <c r="B11" s="9" t="s">
        <v>1024</v>
      </c>
      <c r="C11" s="9"/>
      <c r="D11" s="9"/>
      <c r="E11" s="10">
        <f>VLOOKUP(A11,'BC2014'!A:H,4,FALSE)-VLOOKUP(A11,'BC2014'!A:H,3,FALSE)</f>
        <v>1171000</v>
      </c>
      <c r="F11" s="10">
        <f>+VARIOS!D56</f>
        <v>358000</v>
      </c>
      <c r="G11" s="18">
        <f>+VARIOS!E56</f>
        <v>-99000</v>
      </c>
      <c r="H11" s="10">
        <f>VLOOKUP(A11,'BC2014'!A:H,8,FALSE)-VLOOKUP(A11,'BC2014'!A:H,7,FALSE)</f>
        <v>1429999.8</v>
      </c>
      <c r="I11" s="10"/>
      <c r="J11" s="35" t="s">
        <v>1150</v>
      </c>
      <c r="K11" s="91"/>
      <c r="P11" s="88">
        <f>SUM(E11:G11)-H11</f>
        <v>0.19999999995343387</v>
      </c>
    </row>
    <row r="12" spans="1:16" ht="15.75" thickBot="1" x14ac:dyDescent="0.3">
      <c r="A12" s="9" t="s">
        <v>904</v>
      </c>
      <c r="B12" s="9" t="s">
        <v>905</v>
      </c>
      <c r="C12" s="9"/>
      <c r="D12" s="9"/>
      <c r="E12" s="10">
        <f>VLOOKUP(A12,'BC2014'!A:H,4,FALSE)-VLOOKUP(A12,'BC2014'!A:H,3,FALSE)</f>
        <v>53984.88</v>
      </c>
      <c r="F12" s="10">
        <f>+VARIOS!D67</f>
        <v>209000</v>
      </c>
      <c r="G12" s="18">
        <f>+VARIOS!E67</f>
        <v>-19828.2</v>
      </c>
      <c r="H12" s="10">
        <f>VLOOKUP(A12,'BC2014'!A:H,8,FALSE)-VLOOKUP(A12,'BC2014'!A:H,7,FALSE)</f>
        <v>243156.68</v>
      </c>
      <c r="I12" s="10"/>
      <c r="J12" s="35" t="s">
        <v>1151</v>
      </c>
      <c r="K12" s="91"/>
      <c r="P12" s="88">
        <f>SUM(E12:G12)-H12</f>
        <v>0</v>
      </c>
    </row>
    <row r="13" spans="1:16" ht="15.75" thickBot="1" x14ac:dyDescent="0.3">
      <c r="A13" s="6"/>
      <c r="B13" s="6"/>
      <c r="C13" s="6"/>
      <c r="D13" s="6"/>
      <c r="E13" s="33">
        <f>SUM(E8:E12)</f>
        <v>2455774.94</v>
      </c>
      <c r="F13" s="31"/>
      <c r="G13" s="31"/>
      <c r="H13" s="33">
        <f>SUM(H8:H12)</f>
        <v>2890064.2400000007</v>
      </c>
      <c r="I13" s="6"/>
      <c r="J13" s="6"/>
      <c r="K13" s="91"/>
    </row>
    <row r="14" spans="1:16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91"/>
    </row>
    <row r="15" spans="1:16" x14ac:dyDescent="0.25">
      <c r="A15" s="3" t="s">
        <v>1028</v>
      </c>
      <c r="B15" s="4"/>
      <c r="C15" s="4"/>
      <c r="D15" s="4"/>
      <c r="E15" s="6"/>
      <c r="F15" s="6"/>
      <c r="G15" s="6"/>
      <c r="H15" s="6"/>
      <c r="I15" s="6"/>
      <c r="J15" s="6"/>
      <c r="K15" s="91"/>
    </row>
    <row r="16" spans="1:16" x14ac:dyDescent="0.25">
      <c r="A16" s="9" t="s">
        <v>241</v>
      </c>
      <c r="B16" s="9" t="s">
        <v>207</v>
      </c>
      <c r="C16" s="9"/>
      <c r="D16" s="9"/>
      <c r="E16" s="18">
        <f>-'39201'!M19</f>
        <v>-675000</v>
      </c>
      <c r="F16" s="18">
        <v>0</v>
      </c>
      <c r="G16" s="18">
        <f>+'39201'!M18</f>
        <v>0</v>
      </c>
      <c r="H16" s="18">
        <f>-+'39201'!M21</f>
        <v>-750000</v>
      </c>
      <c r="I16" s="10"/>
      <c r="J16" s="35" t="s">
        <v>1152</v>
      </c>
      <c r="K16" s="91"/>
      <c r="P16" s="88">
        <f>SUM(E16:G16)-H16</f>
        <v>75000</v>
      </c>
    </row>
    <row r="17" spans="1:16" x14ac:dyDescent="0.25">
      <c r="A17" s="9" t="s">
        <v>244</v>
      </c>
      <c r="B17" s="9" t="s">
        <v>1025</v>
      </c>
      <c r="C17" s="9"/>
      <c r="D17" s="9"/>
      <c r="E17" s="18">
        <f>-'39402'!L13</f>
        <v>-2400000</v>
      </c>
      <c r="F17" s="18" t="e">
        <f>+'39402'!#REF!</f>
        <v>#REF!</v>
      </c>
      <c r="G17" s="18">
        <v>0</v>
      </c>
      <c r="H17" s="18">
        <f>-'39402'!M13</f>
        <v>-2000000</v>
      </c>
      <c r="I17" s="10"/>
      <c r="J17" s="35" t="s">
        <v>1153</v>
      </c>
      <c r="K17" s="91"/>
      <c r="P17" s="88" t="e">
        <f>SUM(E17:G17)-H17</f>
        <v>#REF!</v>
      </c>
    </row>
    <row r="18" spans="1:16" ht="15.75" thickBot="1" x14ac:dyDescent="0.3">
      <c r="A18" s="8" t="s">
        <v>907</v>
      </c>
      <c r="B18" s="9" t="s">
        <v>1026</v>
      </c>
      <c r="C18" s="9"/>
      <c r="D18" s="9"/>
      <c r="E18" s="18" t="e">
        <f>-'45111'!#REF!</f>
        <v>#REF!</v>
      </c>
      <c r="F18" s="10" t="e">
        <f>+'45111'!#REF!</f>
        <v>#REF!</v>
      </c>
      <c r="G18" s="10"/>
      <c r="H18" s="252" t="e">
        <f>-'45111'!#REF!</f>
        <v>#REF!</v>
      </c>
      <c r="I18" s="10"/>
      <c r="J18" s="35" t="s">
        <v>1154</v>
      </c>
      <c r="K18" s="91"/>
      <c r="P18" s="88" t="e">
        <f>ROUND((SUM(E18:G18)-H18),0)</f>
        <v>#REF!</v>
      </c>
    </row>
    <row r="19" spans="1:16" ht="15.75" thickBot="1" x14ac:dyDescent="0.3">
      <c r="A19" s="8"/>
      <c r="B19" s="9"/>
      <c r="C19" s="9"/>
      <c r="D19" s="9"/>
      <c r="E19" s="30" t="e">
        <f>SUM(E16:E18)</f>
        <v>#REF!</v>
      </c>
      <c r="F19" s="32"/>
      <c r="G19" s="32"/>
      <c r="H19" s="30" t="e">
        <f>SUM(H16:H18)</f>
        <v>#REF!</v>
      </c>
      <c r="I19" s="10"/>
      <c r="J19" s="10"/>
      <c r="K19" s="91"/>
      <c r="P19" s="88"/>
    </row>
    <row r="20" spans="1:16" x14ac:dyDescent="0.25">
      <c r="A20" s="8"/>
      <c r="B20" s="9"/>
      <c r="C20" s="9"/>
      <c r="D20" s="9"/>
      <c r="E20" s="10"/>
      <c r="F20" s="10"/>
      <c r="G20" s="10"/>
      <c r="H20" s="10"/>
      <c r="I20" s="10"/>
      <c r="J20" s="10"/>
      <c r="K20" s="91"/>
      <c r="P20" s="88"/>
    </row>
    <row r="21" spans="1:16" x14ac:dyDescent="0.25">
      <c r="A21" s="3" t="s">
        <v>1029</v>
      </c>
      <c r="B21" s="4"/>
      <c r="C21" s="4"/>
      <c r="D21" s="4"/>
      <c r="E21" s="10"/>
      <c r="F21" s="10"/>
      <c r="G21" s="10"/>
      <c r="H21" s="10"/>
      <c r="I21" s="6"/>
      <c r="J21" s="6"/>
      <c r="K21" s="91"/>
    </row>
    <row r="22" spans="1:16" ht="15.75" thickBot="1" x14ac:dyDescent="0.3">
      <c r="A22" s="8" t="s">
        <v>901</v>
      </c>
      <c r="B22" s="9" t="s">
        <v>902</v>
      </c>
      <c r="C22" s="9"/>
      <c r="D22" s="9"/>
      <c r="E22" s="18">
        <f>VLOOKUP(A22,'BC2014'!A:H,4,FALSE)-VLOOKUP(A22,'BC2014'!A:H,3,FALSE)</f>
        <v>-2900000</v>
      </c>
      <c r="F22" s="18">
        <v>-600000</v>
      </c>
      <c r="G22" s="10">
        <v>0</v>
      </c>
      <c r="H22" s="18">
        <f>-((VLOOKUP(A22,'BC2014'!A:H,7,FALSE)-VLOOKUP(A22,'BC2014'!A:H,8,FALSE)))</f>
        <v>-3500000</v>
      </c>
      <c r="I22" s="10"/>
      <c r="J22" s="35" t="s">
        <v>1155</v>
      </c>
      <c r="K22" s="91"/>
      <c r="P22" s="88">
        <f>SUM(E22:G22)-H22</f>
        <v>0</v>
      </c>
    </row>
    <row r="23" spans="1:16" ht="15.75" thickBot="1" x14ac:dyDescent="0.3">
      <c r="A23" s="6"/>
      <c r="B23" s="6"/>
      <c r="C23" s="6"/>
      <c r="D23" s="6"/>
      <c r="E23" s="30">
        <f>+E22</f>
        <v>-2900000</v>
      </c>
      <c r="F23" s="31"/>
      <c r="G23" s="31"/>
      <c r="H23" s="30">
        <f>+H22</f>
        <v>-3500000</v>
      </c>
      <c r="I23" s="6"/>
      <c r="J23" s="6"/>
      <c r="K23" s="91"/>
    </row>
    <row r="24" spans="1:16" x14ac:dyDescent="0.25">
      <c r="A24" s="6"/>
      <c r="B24" s="6"/>
      <c r="C24" s="6"/>
      <c r="D24" s="6"/>
      <c r="E24" s="6"/>
      <c r="F24" s="6"/>
      <c r="G24" s="6"/>
      <c r="H24" s="6"/>
      <c r="I24" s="10"/>
      <c r="J24" s="6"/>
      <c r="K24" s="91"/>
    </row>
    <row r="25" spans="1:16" x14ac:dyDescent="0.25">
      <c r="A25" s="6"/>
      <c r="B25" s="6"/>
      <c r="C25" s="6"/>
      <c r="D25" s="6"/>
      <c r="E25" s="6"/>
      <c r="F25" s="6"/>
      <c r="G25" s="6"/>
      <c r="H25" s="6"/>
      <c r="I25" s="10"/>
      <c r="J25" s="45" t="s">
        <v>964</v>
      </c>
      <c r="K25" s="91"/>
    </row>
    <row r="26" spans="1:16" x14ac:dyDescent="0.25">
      <c r="A26" s="6"/>
      <c r="B26" s="6"/>
      <c r="C26" s="6"/>
      <c r="D26" s="6"/>
      <c r="E26" s="6"/>
      <c r="F26" s="45" t="s">
        <v>908</v>
      </c>
      <c r="G26" s="5"/>
      <c r="H26" s="45" t="s">
        <v>908</v>
      </c>
      <c r="I26" s="10"/>
      <c r="J26" s="45" t="s">
        <v>965</v>
      </c>
      <c r="K26" s="91"/>
    </row>
    <row r="27" spans="1:16" x14ac:dyDescent="0.25">
      <c r="A27" s="6"/>
      <c r="B27" s="6"/>
      <c r="C27" s="6"/>
      <c r="D27" s="6"/>
      <c r="E27" s="6"/>
      <c r="F27" s="45" t="s">
        <v>909</v>
      </c>
      <c r="G27" s="45" t="s">
        <v>1030</v>
      </c>
      <c r="H27" s="45" t="s">
        <v>910</v>
      </c>
      <c r="I27" s="10"/>
      <c r="J27" s="45" t="s">
        <v>966</v>
      </c>
      <c r="K27" s="91"/>
    </row>
    <row r="28" spans="1:16" x14ac:dyDescent="0.25">
      <c r="A28" s="6"/>
      <c r="B28" s="6"/>
      <c r="C28" s="6"/>
      <c r="D28" s="183"/>
      <c r="E28" s="6"/>
      <c r="F28" s="25" t="s">
        <v>946</v>
      </c>
      <c r="G28" s="25" t="s">
        <v>946</v>
      </c>
      <c r="H28" s="25" t="s">
        <v>946</v>
      </c>
      <c r="I28" s="10"/>
      <c r="J28" s="6"/>
      <c r="K28" s="91"/>
    </row>
    <row r="29" spans="1:16" x14ac:dyDescent="0.25">
      <c r="A29" s="3" t="s">
        <v>1027</v>
      </c>
      <c r="B29" s="4"/>
      <c r="C29" s="4"/>
      <c r="D29" s="4"/>
      <c r="E29" s="6"/>
      <c r="F29" s="7"/>
      <c r="G29" s="7"/>
      <c r="H29" s="7"/>
      <c r="I29" s="10"/>
      <c r="J29" s="6"/>
      <c r="K29" s="91"/>
    </row>
    <row r="30" spans="1:16" x14ac:dyDescent="0.25">
      <c r="A30" s="8" t="s">
        <v>895</v>
      </c>
      <c r="B30" s="9" t="s">
        <v>897</v>
      </c>
      <c r="C30" s="9"/>
      <c r="D30" s="9"/>
      <c r="E30" s="46">
        <v>0.28000000000000003</v>
      </c>
      <c r="F30" s="10">
        <f>ROUND(E8*30%,0)</f>
        <v>46137</v>
      </c>
      <c r="G30" s="18">
        <f>+H30-F30</f>
        <v>-26282.743199999997</v>
      </c>
      <c r="H30" s="10">
        <f>+E30*H8</f>
        <v>19854.256800000003</v>
      </c>
      <c r="I30" s="10"/>
      <c r="J30" s="10"/>
      <c r="K30" s="91"/>
    </row>
    <row r="31" spans="1:16" x14ac:dyDescent="0.25">
      <c r="A31" s="8" t="s">
        <v>899</v>
      </c>
      <c r="B31" s="9" t="s">
        <v>1022</v>
      </c>
      <c r="C31" s="9"/>
      <c r="D31" s="9"/>
      <c r="E31" s="46">
        <v>0.28000000000000003</v>
      </c>
      <c r="F31" s="10">
        <f>ROUND(E9*30%,0)</f>
        <v>9000</v>
      </c>
      <c r="G31" s="18">
        <f>+H31-F31</f>
        <v>5000.0000000000018</v>
      </c>
      <c r="H31" s="10">
        <f>+E31*H9</f>
        <v>14000.000000000002</v>
      </c>
      <c r="I31" s="10"/>
      <c r="J31" s="10"/>
      <c r="K31" s="91"/>
    </row>
    <row r="32" spans="1:16" x14ac:dyDescent="0.25">
      <c r="A32" s="8" t="s">
        <v>906</v>
      </c>
      <c r="B32" s="9" t="s">
        <v>1023</v>
      </c>
      <c r="C32" s="9"/>
      <c r="D32" s="9"/>
      <c r="E32" s="46">
        <v>0.28000000000000003</v>
      </c>
      <c r="F32" s="10">
        <f>ROUND(E10*30%,0)</f>
        <v>314100</v>
      </c>
      <c r="G32" s="18">
        <f>+H32-F32</f>
        <v>-7220.0839999999152</v>
      </c>
      <c r="H32" s="10">
        <f>+E32*H10</f>
        <v>306879.91600000008</v>
      </c>
      <c r="I32" s="10"/>
      <c r="J32" s="10"/>
      <c r="K32" s="91"/>
    </row>
    <row r="33" spans="1:12" x14ac:dyDescent="0.25">
      <c r="A33" s="9" t="s">
        <v>903</v>
      </c>
      <c r="B33" s="9" t="s">
        <v>1024</v>
      </c>
      <c r="C33" s="9"/>
      <c r="D33" s="9"/>
      <c r="E33" s="46">
        <f>+H33/H11</f>
        <v>0.27023107710480343</v>
      </c>
      <c r="F33" s="10">
        <f>ROUND(E11*30%,0)</f>
        <v>351300</v>
      </c>
      <c r="G33" s="18">
        <f>+H33-F33</f>
        <v>35130.386213653488</v>
      </c>
      <c r="H33" s="10">
        <f>-VARIOS!N55</f>
        <v>386430.38621365349</v>
      </c>
      <c r="I33" s="10"/>
      <c r="J33" s="10"/>
      <c r="K33" s="91"/>
    </row>
    <row r="34" spans="1:12" ht="15.75" thickBot="1" x14ac:dyDescent="0.3">
      <c r="A34" s="9" t="s">
        <v>904</v>
      </c>
      <c r="B34" s="9" t="s">
        <v>905</v>
      </c>
      <c r="C34" s="9"/>
      <c r="D34" s="9"/>
      <c r="E34" s="46">
        <v>0.28000000000000003</v>
      </c>
      <c r="F34" s="10">
        <f>ROUND(E12*30%,0)</f>
        <v>16195</v>
      </c>
      <c r="G34" s="18">
        <f>+H34-F34</f>
        <v>51888.8704</v>
      </c>
      <c r="H34" s="10">
        <f>+E34*H12</f>
        <v>68083.8704</v>
      </c>
      <c r="I34" s="10"/>
      <c r="J34" s="10"/>
      <c r="K34" s="91"/>
    </row>
    <row r="35" spans="1:12" ht="15.75" thickBot="1" x14ac:dyDescent="0.3">
      <c r="A35" s="6"/>
      <c r="B35" s="6"/>
      <c r="C35" s="6"/>
      <c r="D35" s="6"/>
      <c r="E35" s="6"/>
      <c r="F35" s="33">
        <f>SUM(F30:F34)</f>
        <v>736732</v>
      </c>
      <c r="G35" s="31"/>
      <c r="H35" s="33">
        <f>SUM(H30:H34)</f>
        <v>795248.42941365356</v>
      </c>
      <c r="I35" s="10"/>
      <c r="J35" s="33">
        <f>+H35-F35</f>
        <v>58516.429413653561</v>
      </c>
      <c r="K35" s="91"/>
      <c r="L35" s="255" t="e">
        <f>+H35+H41+H45</f>
        <v>#REF!</v>
      </c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10"/>
      <c r="J36" s="6"/>
      <c r="K36" s="91"/>
    </row>
    <row r="37" spans="1:12" x14ac:dyDescent="0.25">
      <c r="A37" s="3" t="s">
        <v>1028</v>
      </c>
      <c r="B37" s="4"/>
      <c r="C37" s="4"/>
      <c r="D37" s="4"/>
      <c r="E37" s="6"/>
      <c r="F37" s="6"/>
      <c r="G37" s="6"/>
      <c r="H37" s="6"/>
      <c r="I37" s="10"/>
      <c r="J37" s="6"/>
      <c r="K37" s="91"/>
    </row>
    <row r="38" spans="1:12" x14ac:dyDescent="0.25">
      <c r="A38" s="9" t="s">
        <v>241</v>
      </c>
      <c r="B38" s="9" t="s">
        <v>207</v>
      </c>
      <c r="C38" s="9"/>
      <c r="D38" s="9"/>
      <c r="E38" s="46" t="e">
        <f>+H38/H16</f>
        <v>#REF!</v>
      </c>
      <c r="F38" s="18">
        <f>ROUND(E16*30%,0)</f>
        <v>-202500</v>
      </c>
      <c r="G38" s="18" t="e">
        <f t="shared" ref="G38:G40" si="0">+H38-F38</f>
        <v>#REF!</v>
      </c>
      <c r="H38" s="18" t="e">
        <f>+'39201'!#REF!</f>
        <v>#REF!</v>
      </c>
      <c r="I38" s="10"/>
      <c r="J38" s="10"/>
      <c r="K38" s="91"/>
    </row>
    <row r="39" spans="1:12" x14ac:dyDescent="0.25">
      <c r="A39" s="9" t="s">
        <v>244</v>
      </c>
      <c r="B39" s="9" t="s">
        <v>1025</v>
      </c>
      <c r="C39" s="9"/>
      <c r="D39" s="9"/>
      <c r="E39" s="46" t="e">
        <f t="shared" ref="E39" si="1">+H39/H17</f>
        <v>#REF!</v>
      </c>
      <c r="F39" s="18">
        <f>ROUND(E17*30%,0)</f>
        <v>-720000</v>
      </c>
      <c r="G39" s="18" t="e">
        <f>+H39-F39</f>
        <v>#REF!</v>
      </c>
      <c r="H39" s="18" t="e">
        <f>'39402'!#REF!</f>
        <v>#REF!</v>
      </c>
      <c r="I39" s="10"/>
      <c r="J39" s="10"/>
      <c r="K39" s="91"/>
    </row>
    <row r="40" spans="1:12" ht="15.75" thickBot="1" x14ac:dyDescent="0.3">
      <c r="A40" s="8" t="s">
        <v>907</v>
      </c>
      <c r="B40" s="9" t="s">
        <v>1026</v>
      </c>
      <c r="C40" s="9"/>
      <c r="D40" s="9"/>
      <c r="E40" s="46" t="e">
        <f>+H40/H18</f>
        <v>#REF!</v>
      </c>
      <c r="F40" s="18" t="e">
        <f>ROUND(E18*30%,0)</f>
        <v>#REF!</v>
      </c>
      <c r="G40" s="18" t="e">
        <f t="shared" si="0"/>
        <v>#REF!</v>
      </c>
      <c r="H40" s="18" t="e">
        <f>-'45111'!#REF!</f>
        <v>#REF!</v>
      </c>
      <c r="I40" s="10"/>
      <c r="J40" s="10"/>
      <c r="K40" s="91"/>
    </row>
    <row r="41" spans="1:12" ht="15.75" thickBot="1" x14ac:dyDescent="0.3">
      <c r="A41" s="8"/>
      <c r="B41" s="9"/>
      <c r="C41" s="9"/>
      <c r="D41" s="9"/>
      <c r="E41" s="6"/>
      <c r="F41" s="30" t="e">
        <f>SUM(F38:F40)</f>
        <v>#REF!</v>
      </c>
      <c r="G41" s="32"/>
      <c r="H41" s="30" t="e">
        <f>SUM(H38:H40)</f>
        <v>#REF!</v>
      </c>
      <c r="I41" s="10"/>
      <c r="J41" s="33" t="e">
        <f>+H41-F41</f>
        <v>#REF!</v>
      </c>
      <c r="K41" s="91"/>
    </row>
    <row r="42" spans="1:12" x14ac:dyDescent="0.25">
      <c r="A42" s="8"/>
      <c r="B42" s="9"/>
      <c r="C42" s="9"/>
      <c r="D42" s="9"/>
      <c r="E42" s="6"/>
      <c r="F42" s="10"/>
      <c r="G42" s="10"/>
      <c r="H42" s="10"/>
      <c r="I42" s="10"/>
      <c r="J42" s="10"/>
      <c r="K42" s="91"/>
    </row>
    <row r="43" spans="1:12" x14ac:dyDescent="0.25">
      <c r="A43" s="3" t="s">
        <v>1029</v>
      </c>
      <c r="B43" s="4"/>
      <c r="C43" s="4"/>
      <c r="D43" s="4"/>
      <c r="E43" s="6"/>
      <c r="F43" s="10"/>
      <c r="G43" s="10"/>
      <c r="H43" s="10"/>
      <c r="I43" s="10"/>
      <c r="J43" s="6"/>
      <c r="K43" s="91"/>
    </row>
    <row r="44" spans="1:12" ht="15.75" thickBot="1" x14ac:dyDescent="0.3">
      <c r="A44" s="8" t="s">
        <v>901</v>
      </c>
      <c r="B44" s="9" t="s">
        <v>902</v>
      </c>
      <c r="C44" s="9"/>
      <c r="D44" s="9"/>
      <c r="E44" s="46">
        <v>0.26</v>
      </c>
      <c r="F44" s="18">
        <f>ROUND(E22*30%,0)</f>
        <v>-870000</v>
      </c>
      <c r="G44" s="18">
        <f t="shared" ref="G44" si="2">+H44-F44</f>
        <v>-40000</v>
      </c>
      <c r="H44" s="18">
        <f>+E44*H22</f>
        <v>-910000</v>
      </c>
      <c r="I44" s="10"/>
      <c r="J44" s="10"/>
      <c r="K44" s="91"/>
    </row>
    <row r="45" spans="1:12" ht="15.75" thickBot="1" x14ac:dyDescent="0.3">
      <c r="A45" s="6"/>
      <c r="B45" s="6"/>
      <c r="C45" s="6"/>
      <c r="D45" s="6"/>
      <c r="E45" s="6"/>
      <c r="F45" s="30">
        <f>+F44</f>
        <v>-870000</v>
      </c>
      <c r="G45" s="31"/>
      <c r="H45" s="30">
        <f>+H44</f>
        <v>-910000</v>
      </c>
      <c r="I45" s="10"/>
      <c r="J45" s="30">
        <f>+H45-F45</f>
        <v>-40000</v>
      </c>
      <c r="K45" s="91"/>
    </row>
    <row r="46" spans="1:12" ht="15.75" thickBot="1" x14ac:dyDescent="0.3">
      <c r="A46" s="10"/>
      <c r="B46" s="10"/>
      <c r="C46" s="10"/>
      <c r="D46" s="10"/>
      <c r="E46" s="6"/>
      <c r="F46" s="30" t="e">
        <f>+F35+F41+F45</f>
        <v>#REF!</v>
      </c>
      <c r="G46" s="10"/>
      <c r="H46" s="30" t="e">
        <f>+H35+H41+H45</f>
        <v>#REF!</v>
      </c>
      <c r="I46" s="10"/>
      <c r="J46" s="10"/>
      <c r="K46" s="91"/>
    </row>
    <row r="47" spans="1:12" x14ac:dyDescent="0.25">
      <c r="A47" s="3" t="s">
        <v>1021</v>
      </c>
      <c r="B47" s="4"/>
      <c r="C47" s="4"/>
      <c r="D47" s="4"/>
      <c r="E47" s="4"/>
      <c r="F47" s="4"/>
      <c r="G47" s="4"/>
      <c r="H47" s="4"/>
      <c r="I47" s="10"/>
      <c r="J47" s="10"/>
      <c r="K47" s="91"/>
    </row>
    <row r="48" spans="1:12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91"/>
    </row>
    <row r="49" spans="1:16" x14ac:dyDescent="0.25">
      <c r="A49" s="10"/>
      <c r="B49" s="39" t="s">
        <v>996</v>
      </c>
      <c r="C49" s="10"/>
      <c r="D49" s="10"/>
      <c r="E49" s="10"/>
      <c r="F49" s="10"/>
      <c r="G49" s="36" t="s">
        <v>971</v>
      </c>
      <c r="H49" s="36" t="s">
        <v>972</v>
      </c>
      <c r="I49" s="10"/>
      <c r="J49" s="10"/>
      <c r="K49" s="91"/>
    </row>
    <row r="50" spans="1:16" x14ac:dyDescent="0.25">
      <c r="A50" s="10"/>
      <c r="B50" s="34" t="s">
        <v>967</v>
      </c>
      <c r="C50" s="35" t="s">
        <v>968</v>
      </c>
      <c r="D50" s="10"/>
      <c r="E50" s="10"/>
      <c r="F50" s="10"/>
      <c r="G50" s="10">
        <f>+J35</f>
        <v>58516.429413653561</v>
      </c>
      <c r="H50" s="10"/>
      <c r="I50" s="10"/>
      <c r="J50" s="10"/>
      <c r="K50" s="91"/>
    </row>
    <row r="51" spans="1:16" x14ac:dyDescent="0.25">
      <c r="A51" s="10"/>
      <c r="B51" s="34" t="s">
        <v>969</v>
      </c>
      <c r="C51" s="35" t="s">
        <v>970</v>
      </c>
      <c r="D51" s="10"/>
      <c r="E51" s="10"/>
      <c r="F51" s="10"/>
      <c r="G51" s="10"/>
      <c r="H51" s="10">
        <f>+J35</f>
        <v>58516.429413653561</v>
      </c>
      <c r="I51" s="10"/>
      <c r="J51" s="10"/>
      <c r="K51" s="91"/>
    </row>
    <row r="52" spans="1:16" x14ac:dyDescent="0.25">
      <c r="A52" s="10"/>
      <c r="B52" s="6"/>
      <c r="C52" s="6"/>
      <c r="D52" s="6"/>
      <c r="E52" s="6"/>
      <c r="F52" s="6"/>
      <c r="G52" s="6"/>
      <c r="H52" s="6"/>
      <c r="I52" s="10"/>
      <c r="J52" s="10"/>
      <c r="K52" s="91"/>
    </row>
    <row r="53" spans="1:16" x14ac:dyDescent="0.25">
      <c r="A53" s="10"/>
      <c r="B53" s="39" t="s">
        <v>997</v>
      </c>
      <c r="C53" s="10"/>
      <c r="D53" s="10"/>
      <c r="E53" s="10"/>
      <c r="F53" s="10"/>
      <c r="G53" s="36" t="s">
        <v>971</v>
      </c>
      <c r="H53" s="36" t="s">
        <v>972</v>
      </c>
      <c r="I53" s="10"/>
      <c r="J53" s="10"/>
      <c r="K53" s="91"/>
    </row>
    <row r="54" spans="1:16" x14ac:dyDescent="0.25">
      <c r="A54" s="10"/>
      <c r="B54" s="34" t="s">
        <v>973</v>
      </c>
      <c r="C54" s="35" t="s">
        <v>968</v>
      </c>
      <c r="D54" s="10"/>
      <c r="E54" s="10"/>
      <c r="F54" s="10"/>
      <c r="G54" s="10" t="e">
        <f>+J41</f>
        <v>#REF!</v>
      </c>
      <c r="H54" s="10"/>
      <c r="I54" s="10"/>
      <c r="J54" s="10"/>
      <c r="K54" s="91"/>
    </row>
    <row r="55" spans="1:16" x14ac:dyDescent="0.25">
      <c r="A55" s="10"/>
      <c r="B55" s="34" t="s">
        <v>969</v>
      </c>
      <c r="C55" s="35" t="s">
        <v>970</v>
      </c>
      <c r="D55" s="10"/>
      <c r="E55" s="10"/>
      <c r="F55" s="10"/>
      <c r="G55" s="10"/>
      <c r="H55" s="10" t="e">
        <f>+J41</f>
        <v>#REF!</v>
      </c>
      <c r="I55" s="10"/>
      <c r="J55" s="32"/>
      <c r="K55" s="91"/>
    </row>
    <row r="56" spans="1:16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91"/>
    </row>
    <row r="57" spans="1:16" x14ac:dyDescent="0.25">
      <c r="A57" s="10"/>
      <c r="B57" s="39" t="s">
        <v>998</v>
      </c>
      <c r="C57" s="10"/>
      <c r="D57" s="10"/>
      <c r="E57" s="10"/>
      <c r="F57" s="10"/>
      <c r="G57" s="36" t="s">
        <v>971</v>
      </c>
      <c r="H57" s="36" t="s">
        <v>972</v>
      </c>
      <c r="I57" s="10"/>
      <c r="J57" s="10"/>
      <c r="K57" s="91"/>
    </row>
    <row r="58" spans="1:16" x14ac:dyDescent="0.25">
      <c r="A58" s="10"/>
      <c r="B58" s="34" t="s">
        <v>974</v>
      </c>
      <c r="C58" s="35" t="s">
        <v>975</v>
      </c>
      <c r="D58" s="10"/>
      <c r="E58" s="10"/>
      <c r="F58" s="10"/>
      <c r="G58" s="10">
        <f>+H59</f>
        <v>40000</v>
      </c>
      <c r="H58" s="10"/>
      <c r="I58" s="10"/>
      <c r="J58" s="10"/>
      <c r="K58" s="91"/>
    </row>
    <row r="59" spans="1:16" x14ac:dyDescent="0.25">
      <c r="A59" s="10"/>
      <c r="B59" s="34" t="s">
        <v>1013</v>
      </c>
      <c r="C59" s="35" t="s">
        <v>1224</v>
      </c>
      <c r="D59" s="10"/>
      <c r="E59" s="10"/>
      <c r="F59" s="10"/>
      <c r="G59" s="10"/>
      <c r="H59" s="10">
        <f>+-J45</f>
        <v>40000</v>
      </c>
      <c r="I59" s="10"/>
      <c r="J59" s="10"/>
      <c r="K59" s="91"/>
    </row>
    <row r="60" spans="1:16" x14ac:dyDescent="0.25">
      <c r="A60" s="10"/>
      <c r="B60" s="34"/>
      <c r="C60" s="35"/>
      <c r="D60" s="10"/>
      <c r="E60" s="10"/>
      <c r="F60" s="10"/>
      <c r="G60" s="10"/>
      <c r="H60" s="10"/>
      <c r="I60" s="10"/>
      <c r="J60" s="10"/>
      <c r="K60" s="91"/>
    </row>
    <row r="61" spans="1:16" s="87" customFormat="1" x14ac:dyDescent="0.25">
      <c r="A61" s="3" t="s">
        <v>999</v>
      </c>
      <c r="B61" s="4"/>
      <c r="C61" s="4"/>
      <c r="D61" s="4"/>
      <c r="E61" s="4"/>
      <c r="F61" s="4"/>
      <c r="G61" s="4"/>
      <c r="H61" s="4"/>
      <c r="I61" s="10"/>
      <c r="J61" s="10"/>
      <c r="K61" s="91"/>
    </row>
    <row r="62" spans="1:16" x14ac:dyDescent="0.25">
      <c r="A62" s="41"/>
      <c r="B62" s="41"/>
      <c r="C62" s="40"/>
      <c r="D62" s="40"/>
      <c r="E62" s="40"/>
      <c r="F62" s="44" t="s">
        <v>1009</v>
      </c>
      <c r="G62" s="44" t="s">
        <v>1010</v>
      </c>
      <c r="H62" s="44" t="s">
        <v>1037</v>
      </c>
      <c r="I62" s="6"/>
      <c r="J62" s="44" t="s">
        <v>1031</v>
      </c>
      <c r="K62" s="91"/>
    </row>
    <row r="63" spans="1:16" x14ac:dyDescent="0.25">
      <c r="A63" s="41"/>
      <c r="B63" s="40"/>
      <c r="C63" s="40"/>
      <c r="D63" s="40"/>
      <c r="E63" s="40"/>
      <c r="F63" s="44" t="s">
        <v>946</v>
      </c>
      <c r="G63" s="44" t="s">
        <v>946</v>
      </c>
      <c r="H63" s="44" t="s">
        <v>946</v>
      </c>
      <c r="I63" s="6"/>
      <c r="J63" s="44" t="s">
        <v>946</v>
      </c>
      <c r="K63" s="91"/>
    </row>
    <row r="64" spans="1:16" s="87" customFormat="1" x14ac:dyDescent="0.25">
      <c r="A64" s="41"/>
      <c r="B64" s="35" t="s">
        <v>1000</v>
      </c>
      <c r="C64" s="40"/>
      <c r="D64" s="40"/>
      <c r="E64" s="40"/>
      <c r="F64" s="42">
        <v>5210650.38</v>
      </c>
      <c r="G64" s="215" t="e">
        <f>+F64-F75</f>
        <v>#REF!</v>
      </c>
      <c r="I64" s="6"/>
      <c r="J64" s="6"/>
      <c r="K64" s="91"/>
      <c r="O64" s="86"/>
      <c r="P64" s="86"/>
    </row>
    <row r="65" spans="1:16" s="87" customFormat="1" x14ac:dyDescent="0.25">
      <c r="A65" s="41"/>
      <c r="B65" s="39" t="s">
        <v>1038</v>
      </c>
      <c r="C65" s="40"/>
      <c r="D65" s="40"/>
      <c r="E65" s="40"/>
      <c r="F65" s="42"/>
      <c r="G65" s="42"/>
      <c r="H65" s="215" t="e">
        <f>+G64*30%</f>
        <v>#REF!</v>
      </c>
      <c r="I65" s="6"/>
      <c r="J65" s="6"/>
      <c r="K65" s="91"/>
      <c r="O65" s="86"/>
      <c r="P65" s="86"/>
    </row>
    <row r="66" spans="1:16" s="87" customFormat="1" hidden="1" x14ac:dyDescent="0.25">
      <c r="A66" s="41"/>
      <c r="B66" s="35"/>
      <c r="C66" s="10"/>
      <c r="D66" s="10"/>
      <c r="E66" s="10"/>
      <c r="F66" s="10"/>
      <c r="G66" s="10"/>
      <c r="H66" s="10"/>
      <c r="I66" s="10"/>
      <c r="J66" s="10"/>
      <c r="K66" s="91"/>
      <c r="O66" s="86"/>
      <c r="P66" s="86"/>
    </row>
    <row r="67" spans="1:16" s="87" customFormat="1" x14ac:dyDescent="0.25">
      <c r="A67" s="41"/>
      <c r="B67" s="35" t="s">
        <v>1001</v>
      </c>
      <c r="C67" s="10"/>
      <c r="D67" s="10"/>
      <c r="E67" s="10"/>
      <c r="F67" s="10" t="e">
        <f>SUM(F8:G18)</f>
        <v>#REF!</v>
      </c>
      <c r="G67" s="10">
        <v>0</v>
      </c>
      <c r="H67" s="10"/>
      <c r="I67" s="10"/>
      <c r="J67" s="10"/>
      <c r="K67" s="91"/>
      <c r="O67" s="86"/>
      <c r="P67" s="86"/>
    </row>
    <row r="68" spans="1:16" s="87" customFormat="1" hidden="1" x14ac:dyDescent="0.25">
      <c r="A68" s="41"/>
      <c r="B68" s="36"/>
      <c r="C68" s="36"/>
      <c r="D68" s="36"/>
      <c r="E68" s="36"/>
      <c r="F68" s="36"/>
      <c r="G68" s="36"/>
      <c r="H68" s="36"/>
      <c r="I68" s="36"/>
      <c r="J68" s="36"/>
      <c r="K68" s="91"/>
      <c r="O68" s="86"/>
      <c r="P68" s="86"/>
    </row>
    <row r="69" spans="1:16" s="264" customFormat="1" x14ac:dyDescent="0.25">
      <c r="A69" s="41"/>
      <c r="B69" s="39" t="s">
        <v>1002</v>
      </c>
      <c r="C69" s="32"/>
      <c r="D69" s="32"/>
      <c r="E69" s="32"/>
      <c r="F69" s="32">
        <v>1000000</v>
      </c>
      <c r="G69" s="32">
        <f>+F69</f>
        <v>1000000</v>
      </c>
      <c r="H69" s="32">
        <f>+G69*30%</f>
        <v>300000</v>
      </c>
      <c r="I69" s="32"/>
      <c r="J69" s="32"/>
      <c r="K69" s="263"/>
      <c r="O69" s="265"/>
      <c r="P69" s="265"/>
    </row>
    <row r="70" spans="1:16" s="87" customFormat="1" hidden="1" x14ac:dyDescent="0.25">
      <c r="A70" s="41"/>
      <c r="B70" s="10"/>
      <c r="C70" s="10"/>
      <c r="D70" s="10"/>
      <c r="E70" s="10"/>
      <c r="F70" s="10"/>
      <c r="G70" s="10"/>
      <c r="H70" s="10"/>
      <c r="I70" s="10"/>
      <c r="J70" s="10"/>
      <c r="K70" s="91"/>
      <c r="O70" s="86"/>
      <c r="P70" s="86"/>
    </row>
    <row r="71" spans="1:16" s="87" customFormat="1" x14ac:dyDescent="0.25">
      <c r="A71" s="41"/>
      <c r="B71" s="35" t="s">
        <v>1036</v>
      </c>
      <c r="C71" s="10"/>
      <c r="D71" s="10"/>
      <c r="E71" s="10"/>
      <c r="F71" s="10"/>
      <c r="G71" s="10"/>
      <c r="H71" s="252" t="e">
        <f>+-J81</f>
        <v>#REF!</v>
      </c>
      <c r="I71" s="10"/>
      <c r="J71" s="10"/>
      <c r="K71" s="91"/>
      <c r="O71" s="86"/>
      <c r="P71" s="86"/>
    </row>
    <row r="72" spans="1:16" s="87" customFormat="1" hidden="1" x14ac:dyDescent="0.25">
      <c r="A72" s="41"/>
      <c r="B72" s="10"/>
      <c r="C72" s="10"/>
      <c r="D72" s="10"/>
      <c r="E72" s="10"/>
      <c r="F72" s="10"/>
      <c r="G72" s="10"/>
      <c r="H72" s="10"/>
      <c r="I72" s="10"/>
      <c r="J72" s="10"/>
      <c r="K72" s="91"/>
      <c r="O72" s="86"/>
      <c r="P72" s="86"/>
    </row>
    <row r="73" spans="1:16" s="87" customFormat="1" x14ac:dyDescent="0.25">
      <c r="A73" s="41"/>
      <c r="B73" s="89" t="s">
        <v>1004</v>
      </c>
      <c r="C73" s="89"/>
      <c r="D73" s="89"/>
      <c r="E73" s="89"/>
      <c r="F73" s="90" t="e">
        <f>SUM(F64:F69)</f>
        <v>#REF!</v>
      </c>
      <c r="G73" s="90" t="e">
        <f>SUM(G64:G69)</f>
        <v>#REF!</v>
      </c>
      <c r="H73" s="90"/>
      <c r="I73" s="6"/>
      <c r="J73" s="6"/>
      <c r="K73" s="91"/>
      <c r="O73" s="86"/>
      <c r="P73" s="86"/>
    </row>
    <row r="74" spans="1:16" s="87" customFormat="1" hidden="1" x14ac:dyDescent="0.25">
      <c r="A74" s="41"/>
      <c r="B74" s="40"/>
      <c r="C74" s="40"/>
      <c r="D74" s="40"/>
      <c r="E74" s="40"/>
      <c r="F74" s="40"/>
      <c r="G74" s="40"/>
      <c r="H74" s="40"/>
      <c r="I74" s="6"/>
      <c r="J74" s="6"/>
      <c r="K74" s="91"/>
      <c r="O74" s="86"/>
      <c r="P74" s="86"/>
    </row>
    <row r="75" spans="1:16" s="87" customFormat="1" x14ac:dyDescent="0.25">
      <c r="A75" s="41"/>
      <c r="B75" s="40" t="s">
        <v>1003</v>
      </c>
      <c r="C75" s="40"/>
      <c r="D75" s="40"/>
      <c r="E75" s="43">
        <v>0.05</v>
      </c>
      <c r="F75" s="10" t="e">
        <f>+F73*E75</f>
        <v>#REF!</v>
      </c>
      <c r="G75" s="40"/>
      <c r="H75" s="40"/>
      <c r="I75" s="6"/>
      <c r="J75" s="6"/>
      <c r="K75" s="91"/>
      <c r="O75" s="86"/>
      <c r="P75" s="86"/>
    </row>
    <row r="76" spans="1:16" s="87" customFormat="1" x14ac:dyDescent="0.25">
      <c r="A76" s="41"/>
      <c r="B76" s="36"/>
      <c r="C76" s="36"/>
      <c r="D76" s="36"/>
      <c r="E76" s="36"/>
      <c r="F76" s="36"/>
      <c r="G76" s="36"/>
      <c r="H76" s="36"/>
      <c r="I76" s="36"/>
      <c r="J76" s="36"/>
      <c r="K76" s="91"/>
      <c r="O76" s="86"/>
      <c r="P76" s="86"/>
    </row>
    <row r="77" spans="1:16" s="87" customFormat="1" x14ac:dyDescent="0.25">
      <c r="A77" s="41"/>
      <c r="B77" s="89" t="s">
        <v>1005</v>
      </c>
      <c r="C77" s="90"/>
      <c r="D77" s="90"/>
      <c r="E77" s="90"/>
      <c r="F77" s="90" t="e">
        <f>+F73-F75</f>
        <v>#REF!</v>
      </c>
      <c r="G77" s="90"/>
      <c r="H77" s="90"/>
      <c r="I77" s="10"/>
      <c r="J77" s="10"/>
      <c r="K77" s="91"/>
      <c r="O77" s="86"/>
      <c r="P77" s="86"/>
    </row>
    <row r="78" spans="1:16" s="87" customFormat="1" x14ac:dyDescent="0.25">
      <c r="A78" s="41"/>
      <c r="B78" s="10"/>
      <c r="C78" s="10"/>
      <c r="D78" s="10"/>
      <c r="E78" s="10"/>
      <c r="F78" s="10"/>
      <c r="G78" s="10"/>
      <c r="H78" s="10"/>
      <c r="I78" s="10"/>
      <c r="J78" s="10"/>
      <c r="K78" s="91"/>
      <c r="O78" s="86"/>
      <c r="P78" s="86"/>
    </row>
    <row r="79" spans="1:16" s="87" customFormat="1" x14ac:dyDescent="0.25">
      <c r="A79" s="41">
        <v>881</v>
      </c>
      <c r="B79" s="40" t="s">
        <v>1006</v>
      </c>
      <c r="C79" s="40"/>
      <c r="D79" s="40"/>
      <c r="E79" s="43">
        <v>0.3</v>
      </c>
      <c r="F79" s="18" t="e">
        <f>+-F77*E79</f>
        <v>#REF!</v>
      </c>
      <c r="G79" s="10"/>
      <c r="H79" s="10"/>
      <c r="I79" s="10"/>
      <c r="J79" s="10"/>
      <c r="K79" s="91"/>
      <c r="O79" s="86"/>
      <c r="P79" s="86"/>
    </row>
    <row r="80" spans="1:16" s="87" customFormat="1" x14ac:dyDescent="0.25">
      <c r="A80" s="41">
        <v>882</v>
      </c>
      <c r="B80" s="40" t="s">
        <v>1007</v>
      </c>
      <c r="C80" s="10"/>
      <c r="D80" s="10"/>
      <c r="E80" s="10"/>
      <c r="F80" s="18" t="e">
        <f>+H51+H55</f>
        <v>#REF!</v>
      </c>
      <c r="G80" s="32"/>
      <c r="H80" s="10"/>
      <c r="I80" s="10"/>
      <c r="J80" s="10"/>
      <c r="K80" s="91"/>
      <c r="O80" s="86"/>
      <c r="P80" s="86"/>
    </row>
    <row r="81" spans="1:16" s="87" customFormat="1" ht="15.75" thickBot="1" x14ac:dyDescent="0.3">
      <c r="A81" s="41"/>
      <c r="B81" s="41" t="s">
        <v>1008</v>
      </c>
      <c r="C81" s="40"/>
      <c r="D81" s="40"/>
      <c r="E81" s="40"/>
      <c r="F81" s="19" t="e">
        <f>+F79+F80</f>
        <v>#REF!</v>
      </c>
      <c r="G81" s="19" t="e">
        <f>+-G73*E79</f>
        <v>#REF!</v>
      </c>
      <c r="H81" s="19" t="e">
        <f>-SUM(H65:H80)</f>
        <v>#REF!</v>
      </c>
      <c r="I81" s="6"/>
      <c r="J81" s="19" t="e">
        <f>+F81-G81</f>
        <v>#REF!</v>
      </c>
      <c r="K81" s="91"/>
      <c r="O81" s="86"/>
      <c r="P81" s="86"/>
    </row>
    <row r="82" spans="1:16" s="87" customFormat="1" x14ac:dyDescent="0.25">
      <c r="A82" s="41"/>
      <c r="B82" s="10"/>
      <c r="C82" s="10"/>
      <c r="D82" s="10"/>
      <c r="E82" s="10"/>
      <c r="F82" s="10"/>
      <c r="G82" s="32" t="e">
        <f>+F81-G81</f>
        <v>#REF!</v>
      </c>
      <c r="H82" s="10"/>
      <c r="I82" s="10"/>
      <c r="J82" s="10"/>
      <c r="K82" s="91"/>
      <c r="O82" s="86"/>
      <c r="P82" s="86"/>
    </row>
    <row r="83" spans="1:16" s="87" customFormat="1" x14ac:dyDescent="0.25">
      <c r="A83" s="3" t="s">
        <v>1032</v>
      </c>
      <c r="B83" s="4"/>
      <c r="C83" s="4"/>
      <c r="D83" s="4"/>
      <c r="E83" s="4"/>
      <c r="F83" s="4"/>
      <c r="G83" s="4"/>
      <c r="H83" s="4"/>
      <c r="I83" s="10"/>
      <c r="J83" s="10"/>
      <c r="K83" s="91"/>
    </row>
    <row r="84" spans="1:16" s="87" customFormat="1" ht="11.25" x14ac:dyDescent="0.2">
      <c r="A84" s="40"/>
      <c r="B84" s="40"/>
      <c r="C84" s="40"/>
      <c r="D84" s="40"/>
      <c r="E84" s="45" t="s">
        <v>908</v>
      </c>
      <c r="F84" s="92" t="s">
        <v>992</v>
      </c>
      <c r="G84" s="93"/>
      <c r="H84" s="25" t="s">
        <v>1033</v>
      </c>
      <c r="I84" s="40"/>
      <c r="J84" s="40"/>
      <c r="K84" s="94"/>
    </row>
    <row r="85" spans="1:16" s="87" customFormat="1" ht="11.25" x14ac:dyDescent="0.2">
      <c r="A85" s="40"/>
      <c r="B85" s="40"/>
      <c r="C85" s="40"/>
      <c r="D85" s="40"/>
      <c r="E85" s="45" t="s">
        <v>909</v>
      </c>
      <c r="F85" s="45" t="s">
        <v>911</v>
      </c>
      <c r="G85" s="45" t="s">
        <v>912</v>
      </c>
      <c r="H85" s="25" t="s">
        <v>1034</v>
      </c>
      <c r="I85" s="40"/>
      <c r="J85" s="40"/>
      <c r="K85" s="94"/>
    </row>
    <row r="86" spans="1:16" x14ac:dyDescent="0.25">
      <c r="A86" s="6"/>
      <c r="B86" s="6"/>
      <c r="C86" s="6"/>
      <c r="D86" s="6"/>
      <c r="E86" s="25" t="s">
        <v>946</v>
      </c>
      <c r="F86" s="25" t="s">
        <v>946</v>
      </c>
      <c r="G86" s="25" t="s">
        <v>946</v>
      </c>
      <c r="H86" s="25" t="s">
        <v>1035</v>
      </c>
      <c r="I86" s="6"/>
      <c r="J86" s="25" t="s">
        <v>924</v>
      </c>
      <c r="K86" s="91"/>
    </row>
    <row r="87" spans="1:16" ht="15.75" thickBot="1" x14ac:dyDescent="0.3">
      <c r="A87" s="3" t="s">
        <v>1027</v>
      </c>
      <c r="B87" s="4"/>
      <c r="C87" s="4"/>
      <c r="D87" s="4"/>
      <c r="E87" s="7"/>
      <c r="F87" s="7"/>
      <c r="G87" s="7"/>
      <c r="H87" s="10"/>
      <c r="I87" s="6"/>
      <c r="J87" s="6"/>
      <c r="K87" s="91"/>
    </row>
    <row r="88" spans="1:16" x14ac:dyDescent="0.25">
      <c r="A88" s="8" t="s">
        <v>895</v>
      </c>
      <c r="B88" s="9" t="s">
        <v>897</v>
      </c>
      <c r="C88" s="9"/>
      <c r="D88" s="9"/>
      <c r="E88" s="95">
        <f t="shared" ref="E88:G92" si="3">+E8</f>
        <v>153790.06</v>
      </c>
      <c r="F88" s="100">
        <f t="shared" si="3"/>
        <v>50000</v>
      </c>
      <c r="G88" s="101">
        <f t="shared" si="3"/>
        <v>-132881.77000000002</v>
      </c>
      <c r="H88" s="107">
        <f>SUM(E88:G88)*(30%-J88)</f>
        <v>1418.1657999999968</v>
      </c>
      <c r="I88" s="10"/>
      <c r="J88" s="46">
        <f>+E30</f>
        <v>0.28000000000000003</v>
      </c>
      <c r="K88" s="91"/>
      <c r="P88" s="88"/>
    </row>
    <row r="89" spans="1:16" x14ac:dyDescent="0.25">
      <c r="A89" s="8" t="s">
        <v>899</v>
      </c>
      <c r="B89" s="9" t="s">
        <v>1022</v>
      </c>
      <c r="C89" s="9"/>
      <c r="D89" s="9"/>
      <c r="E89" s="96">
        <f t="shared" si="3"/>
        <v>30000</v>
      </c>
      <c r="F89" s="102">
        <f t="shared" si="3"/>
        <v>27000</v>
      </c>
      <c r="G89" s="52">
        <f t="shared" si="3"/>
        <v>-7000</v>
      </c>
      <c r="H89" s="98">
        <f>SUM(E89:G89)*(30%-J89)</f>
        <v>999.99999999999807</v>
      </c>
      <c r="I89" s="10"/>
      <c r="J89" s="46">
        <f>+E31</f>
        <v>0.28000000000000003</v>
      </c>
      <c r="K89" s="91"/>
      <c r="P89" s="88"/>
    </row>
    <row r="90" spans="1:16" x14ac:dyDescent="0.25">
      <c r="A90" s="8" t="s">
        <v>906</v>
      </c>
      <c r="B90" s="9" t="s">
        <v>1023</v>
      </c>
      <c r="C90" s="9"/>
      <c r="D90" s="9"/>
      <c r="E90" s="96">
        <f t="shared" si="3"/>
        <v>1047000</v>
      </c>
      <c r="F90" s="102">
        <f t="shared" si="3"/>
        <v>264000</v>
      </c>
      <c r="G90" s="52">
        <f t="shared" si="3"/>
        <v>-215000</v>
      </c>
      <c r="H90" s="98">
        <f t="shared" ref="H90:H92" si="4">SUM(E90:G90)*(30%-J90)</f>
        <v>21919.99999999996</v>
      </c>
      <c r="I90" s="10"/>
      <c r="J90" s="46">
        <f t="shared" ref="J90:J92" si="5">+E32</f>
        <v>0.28000000000000003</v>
      </c>
      <c r="K90" s="91"/>
      <c r="P90" s="88"/>
    </row>
    <row r="91" spans="1:16" x14ac:dyDescent="0.25">
      <c r="A91" s="9" t="s">
        <v>903</v>
      </c>
      <c r="B91" s="9" t="s">
        <v>1024</v>
      </c>
      <c r="C91" s="9"/>
      <c r="D91" s="9"/>
      <c r="E91" s="96">
        <f t="shared" si="3"/>
        <v>1171000</v>
      </c>
      <c r="F91" s="102">
        <f t="shared" si="3"/>
        <v>358000</v>
      </c>
      <c r="G91" s="52">
        <f t="shared" si="3"/>
        <v>-99000</v>
      </c>
      <c r="H91" s="98">
        <f>SUM(E91:G91)*(30%-J91)</f>
        <v>42569.559740131081</v>
      </c>
      <c r="I91" s="10"/>
      <c r="J91" s="46">
        <f t="shared" si="5"/>
        <v>0.27023107710480343</v>
      </c>
      <c r="K91" s="91"/>
      <c r="P91" s="88"/>
    </row>
    <row r="92" spans="1:16" x14ac:dyDescent="0.25">
      <c r="A92" s="9" t="s">
        <v>904</v>
      </c>
      <c r="B92" s="9" t="s">
        <v>905</v>
      </c>
      <c r="C92" s="9"/>
      <c r="D92" s="9"/>
      <c r="E92" s="96">
        <f t="shared" si="3"/>
        <v>53984.88</v>
      </c>
      <c r="F92" s="102">
        <f t="shared" si="3"/>
        <v>209000</v>
      </c>
      <c r="G92" s="52">
        <f t="shared" si="3"/>
        <v>-19828.2</v>
      </c>
      <c r="H92" s="98">
        <f t="shared" si="4"/>
        <v>4863.133599999991</v>
      </c>
      <c r="I92" s="10"/>
      <c r="J92" s="46">
        <f t="shared" si="5"/>
        <v>0.28000000000000003</v>
      </c>
      <c r="K92" s="91"/>
      <c r="P92" s="88"/>
    </row>
    <row r="93" spans="1:16" x14ac:dyDescent="0.25">
      <c r="A93" s="6"/>
      <c r="B93" s="6"/>
      <c r="C93" s="6"/>
      <c r="D93" s="6"/>
      <c r="E93" s="97"/>
      <c r="F93" s="103"/>
      <c r="G93" s="52"/>
      <c r="H93" s="96"/>
      <c r="I93" s="6"/>
      <c r="J93" s="6"/>
      <c r="K93" s="91"/>
    </row>
    <row r="94" spans="1:16" x14ac:dyDescent="0.25">
      <c r="A94" s="3" t="s">
        <v>1028</v>
      </c>
      <c r="B94" s="4"/>
      <c r="C94" s="4"/>
      <c r="D94" s="4"/>
      <c r="E94" s="97"/>
      <c r="F94" s="103"/>
      <c r="G94" s="52"/>
      <c r="H94" s="96"/>
      <c r="I94" s="6"/>
      <c r="J94" s="6"/>
      <c r="K94" s="91"/>
    </row>
    <row r="95" spans="1:16" x14ac:dyDescent="0.25">
      <c r="A95" s="9" t="s">
        <v>241</v>
      </c>
      <c r="B95" s="9" t="s">
        <v>207</v>
      </c>
      <c r="C95" s="9"/>
      <c r="D95" s="9"/>
      <c r="E95" s="98">
        <f t="shared" ref="E95:G97" si="6">+E16</f>
        <v>-675000</v>
      </c>
      <c r="F95" s="102">
        <f t="shared" si="6"/>
        <v>0</v>
      </c>
      <c r="G95" s="52">
        <f t="shared" si="6"/>
        <v>0</v>
      </c>
      <c r="H95" s="98" t="e">
        <f t="shared" ref="H95:H96" si="7">SUM(E95:G95)*(30%-J95)</f>
        <v>#REF!</v>
      </c>
      <c r="I95" s="10"/>
      <c r="J95" s="46" t="e">
        <f t="shared" ref="J95:J97" si="8">+E38</f>
        <v>#REF!</v>
      </c>
      <c r="K95" s="91"/>
      <c r="P95" s="88"/>
    </row>
    <row r="96" spans="1:16" x14ac:dyDescent="0.25">
      <c r="A96" s="9" t="s">
        <v>244</v>
      </c>
      <c r="B96" s="9" t="s">
        <v>1025</v>
      </c>
      <c r="C96" s="9"/>
      <c r="D96" s="9"/>
      <c r="E96" s="98">
        <f t="shared" si="6"/>
        <v>-2400000</v>
      </c>
      <c r="F96" s="102" t="e">
        <f t="shared" si="6"/>
        <v>#REF!</v>
      </c>
      <c r="G96" s="52">
        <f t="shared" si="6"/>
        <v>0</v>
      </c>
      <c r="H96" s="98" t="e">
        <f t="shared" si="7"/>
        <v>#REF!</v>
      </c>
      <c r="I96" s="10"/>
      <c r="J96" s="46" t="e">
        <f t="shared" si="8"/>
        <v>#REF!</v>
      </c>
      <c r="K96" s="91"/>
      <c r="P96" s="88"/>
    </row>
    <row r="97" spans="1:16" ht="15.75" thickBot="1" x14ac:dyDescent="0.3">
      <c r="A97" s="8" t="s">
        <v>907</v>
      </c>
      <c r="B97" s="9" t="s">
        <v>1026</v>
      </c>
      <c r="C97" s="9"/>
      <c r="D97" s="9"/>
      <c r="E97" s="99" t="e">
        <f t="shared" si="6"/>
        <v>#REF!</v>
      </c>
      <c r="F97" s="104" t="e">
        <f t="shared" si="6"/>
        <v>#REF!</v>
      </c>
      <c r="G97" s="105">
        <f t="shared" si="6"/>
        <v>0</v>
      </c>
      <c r="H97" s="99" t="e">
        <f>SUM(E97:G97)*(30%-J97)+-1</f>
        <v>#REF!</v>
      </c>
      <c r="I97" s="10"/>
      <c r="J97" s="46" t="e">
        <f t="shared" si="8"/>
        <v>#REF!</v>
      </c>
      <c r="K97" s="91"/>
      <c r="P97" s="88"/>
    </row>
    <row r="98" spans="1:16" s="87" customFormat="1" ht="15.75" thickBot="1" x14ac:dyDescent="0.3">
      <c r="A98" s="41"/>
      <c r="B98" s="10"/>
      <c r="C98" s="10"/>
      <c r="D98" s="10"/>
      <c r="E98" s="10"/>
      <c r="F98" s="10"/>
      <c r="G98" s="10"/>
      <c r="H98" s="106" t="e">
        <f>SUM(H88:H97)</f>
        <v>#REF!</v>
      </c>
      <c r="I98" s="10"/>
      <c r="J98" s="10"/>
      <c r="K98" s="91"/>
      <c r="O98" s="86"/>
      <c r="P98" s="86"/>
    </row>
    <row r="99" spans="1:16" s="87" customFormat="1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O99" s="86"/>
      <c r="P99" s="86"/>
    </row>
  </sheetData>
  <mergeCells count="1">
    <mergeCell ref="E3:H3"/>
  </mergeCells>
  <pageMargins left="0.7" right="0.7" top="0.75" bottom="0.75" header="0.3" footer="0.3"/>
  <pageSetup paperSize="9" scale="88" orientation="portrait" horizontalDpi="200" verticalDpi="200" r:id="rId1"/>
  <rowBreaks count="1" manualBreakCount="1">
    <brk id="46" max="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FF0000"/>
  </sheetPr>
  <dimension ref="A1:R26"/>
  <sheetViews>
    <sheetView zoomScale="120" zoomScaleNormal="120" zoomScaleSheetLayoutView="100" workbookViewId="0"/>
  </sheetViews>
  <sheetFormatPr baseColWidth="10" defaultRowHeight="15" x14ac:dyDescent="0.25"/>
  <cols>
    <col min="1" max="1" width="8" customWidth="1"/>
    <col min="2" max="2" width="7.140625" customWidth="1"/>
    <col min="3" max="3" width="7.5703125" customWidth="1"/>
    <col min="4" max="4" width="6" customWidth="1"/>
    <col min="5" max="5" width="6.28515625" customWidth="1"/>
    <col min="6" max="6" width="15" style="115" bestFit="1" customWidth="1"/>
    <col min="7" max="7" width="2.140625" style="115" customWidth="1"/>
    <col min="8" max="8" width="14.42578125" style="115" bestFit="1" customWidth="1"/>
    <col min="9" max="9" width="1.5703125" customWidth="1"/>
    <col min="10" max="10" width="1" customWidth="1"/>
    <col min="11" max="11" width="6" customWidth="1"/>
    <col min="12" max="12" width="6.28515625" customWidth="1"/>
    <col min="13" max="13" width="17.7109375" style="115" customWidth="1"/>
    <col min="14" max="14" width="5.85546875" style="115" bestFit="1" customWidth="1"/>
    <col min="15" max="15" width="15.5703125" bestFit="1" customWidth="1"/>
    <col min="16" max="16" width="0.85546875" customWidth="1"/>
    <col min="17" max="17" width="15.5703125" bestFit="1" customWidth="1"/>
  </cols>
  <sheetData>
    <row r="1" spans="1:18" x14ac:dyDescent="0.25">
      <c r="A1" s="140" t="s">
        <v>1078</v>
      </c>
      <c r="B1" s="141"/>
      <c r="C1" s="141"/>
      <c r="D1" s="141"/>
      <c r="E1" s="142"/>
      <c r="F1" s="141"/>
      <c r="G1" s="141"/>
      <c r="H1" s="142"/>
      <c r="I1" s="140"/>
      <c r="J1" s="159"/>
      <c r="K1" s="140" t="s">
        <v>1081</v>
      </c>
      <c r="L1" s="141"/>
      <c r="M1" s="141"/>
      <c r="N1" s="142"/>
      <c r="O1" s="142"/>
      <c r="P1" s="142"/>
      <c r="Q1" s="142"/>
      <c r="R1" s="156"/>
    </row>
    <row r="2" spans="1:18" x14ac:dyDescent="0.25">
      <c r="A2" s="140" t="s">
        <v>1079</v>
      </c>
      <c r="B2" s="141"/>
      <c r="C2" s="141"/>
      <c r="D2" s="141"/>
      <c r="E2" s="142"/>
      <c r="F2" s="141"/>
      <c r="G2" s="141"/>
      <c r="H2" s="142"/>
      <c r="I2" s="140"/>
      <c r="J2" s="159"/>
      <c r="K2" s="140" t="s">
        <v>1082</v>
      </c>
      <c r="L2" s="141"/>
      <c r="M2" s="141"/>
      <c r="N2" s="142"/>
      <c r="O2" s="142"/>
      <c r="P2" s="142"/>
      <c r="Q2" s="142"/>
      <c r="R2" s="156"/>
    </row>
    <row r="3" spans="1:18" x14ac:dyDescent="0.25">
      <c r="A3" s="140"/>
      <c r="B3" s="141"/>
      <c r="C3" s="141"/>
      <c r="D3" s="141"/>
      <c r="E3" s="142"/>
      <c r="F3" s="141"/>
      <c r="G3" s="141"/>
      <c r="H3" s="142"/>
      <c r="I3" s="140"/>
      <c r="J3" s="159"/>
      <c r="K3" s="141"/>
      <c r="L3" s="142"/>
      <c r="M3" s="141"/>
      <c r="N3" s="142"/>
      <c r="O3" s="142"/>
      <c r="P3" s="142"/>
      <c r="Q3" s="142"/>
      <c r="R3" s="156"/>
    </row>
    <row r="4" spans="1:18" ht="5.25" customHeight="1" x14ac:dyDescent="0.25">
      <c r="A4" s="140"/>
      <c r="B4" s="141"/>
      <c r="C4" s="141"/>
      <c r="D4" s="141"/>
      <c r="E4" s="142"/>
      <c r="F4" s="141"/>
      <c r="G4" s="141"/>
      <c r="H4" s="142"/>
      <c r="I4" s="140"/>
      <c r="J4" s="159"/>
      <c r="K4" s="159"/>
      <c r="L4" s="159"/>
      <c r="M4" s="159"/>
      <c r="N4" s="159"/>
      <c r="O4" s="159"/>
      <c r="P4" s="159"/>
      <c r="Q4" s="159"/>
      <c r="R4" s="156"/>
    </row>
    <row r="5" spans="1:18" x14ac:dyDescent="0.25">
      <c r="A5" s="140"/>
      <c r="B5" s="141"/>
      <c r="C5" s="141"/>
      <c r="D5" s="141"/>
      <c r="E5" s="142"/>
      <c r="F5" s="583" t="s">
        <v>1066</v>
      </c>
      <c r="G5" s="583"/>
      <c r="H5" s="583"/>
      <c r="I5" s="140"/>
      <c r="J5" s="159"/>
      <c r="K5" s="140"/>
      <c r="L5" s="140"/>
      <c r="M5" s="140"/>
      <c r="N5" s="140"/>
      <c r="O5" s="140"/>
      <c r="P5" s="140"/>
      <c r="Q5" s="140"/>
      <c r="R5" s="156"/>
    </row>
    <row r="6" spans="1:18" x14ac:dyDescent="0.25">
      <c r="A6" s="140"/>
      <c r="B6" s="141"/>
      <c r="C6" s="141"/>
      <c r="D6" s="141"/>
      <c r="E6" s="142"/>
      <c r="F6" s="583" t="s">
        <v>1067</v>
      </c>
      <c r="G6" s="583"/>
      <c r="H6" s="583"/>
      <c r="I6" s="140"/>
      <c r="J6" s="159"/>
      <c r="K6" s="141"/>
      <c r="L6" s="142"/>
      <c r="M6" s="146"/>
      <c r="N6" s="146"/>
      <c r="O6" s="6"/>
      <c r="P6" s="6"/>
      <c r="Q6" s="6"/>
      <c r="R6" s="156"/>
    </row>
    <row r="7" spans="1:18" x14ac:dyDescent="0.25">
      <c r="A7" s="140"/>
      <c r="B7" s="141"/>
      <c r="C7" s="141"/>
      <c r="D7" s="141"/>
      <c r="E7" s="140" t="s">
        <v>1080</v>
      </c>
      <c r="F7" s="144">
        <v>2014</v>
      </c>
      <c r="G7" s="145"/>
      <c r="H7" s="144">
        <v>2013</v>
      </c>
      <c r="I7" s="140"/>
      <c r="J7" s="159"/>
      <c r="K7" s="140"/>
      <c r="L7" s="141"/>
      <c r="M7" s="141"/>
      <c r="N7" s="140" t="s">
        <v>1080</v>
      </c>
      <c r="O7" s="144">
        <v>2014</v>
      </c>
      <c r="P7" s="145"/>
      <c r="Q7" s="144">
        <v>2013</v>
      </c>
      <c r="R7" s="156"/>
    </row>
    <row r="8" spans="1:18" x14ac:dyDescent="0.25">
      <c r="A8" s="140"/>
      <c r="B8" s="141"/>
      <c r="C8" s="141"/>
      <c r="D8" s="141"/>
      <c r="E8" s="142"/>
      <c r="F8" s="146" t="s">
        <v>946</v>
      </c>
      <c r="G8" s="145"/>
      <c r="H8" s="146" t="s">
        <v>946</v>
      </c>
      <c r="I8" s="140"/>
      <c r="J8" s="159"/>
      <c r="K8" s="140" t="s">
        <v>1083</v>
      </c>
      <c r="L8" s="141"/>
      <c r="M8" s="141"/>
      <c r="N8" s="142"/>
      <c r="O8" s="146" t="s">
        <v>946</v>
      </c>
      <c r="P8" s="145"/>
      <c r="Q8" s="146" t="s">
        <v>946</v>
      </c>
      <c r="R8" s="156"/>
    </row>
    <row r="9" spans="1:18" x14ac:dyDescent="0.25">
      <c r="A9" s="142" t="s">
        <v>1068</v>
      </c>
      <c r="B9" s="142"/>
      <c r="C9" s="142"/>
      <c r="D9" s="142"/>
      <c r="E9" s="142"/>
      <c r="F9" s="145">
        <v>23442150.38987004</v>
      </c>
      <c r="G9" s="145"/>
      <c r="H9" s="145">
        <v>24712010</v>
      </c>
      <c r="I9" s="140"/>
      <c r="J9" s="159"/>
      <c r="K9" s="142" t="s">
        <v>1093</v>
      </c>
      <c r="L9" s="142"/>
      <c r="M9" s="142"/>
      <c r="N9" s="142"/>
      <c r="O9" s="145">
        <v>1200000</v>
      </c>
      <c r="P9" s="145"/>
      <c r="Q9" s="145">
        <v>1200000</v>
      </c>
      <c r="R9" s="156"/>
    </row>
    <row r="10" spans="1:18" x14ac:dyDescent="0.25">
      <c r="A10" s="142" t="s">
        <v>1069</v>
      </c>
      <c r="B10" s="142"/>
      <c r="C10" s="142"/>
      <c r="D10" s="142"/>
      <c r="E10" s="142"/>
      <c r="F10" s="152">
        <v>-9000500</v>
      </c>
      <c r="G10" s="145"/>
      <c r="H10" s="152">
        <v>-8000500</v>
      </c>
      <c r="I10" s="140"/>
      <c r="J10" s="159"/>
      <c r="K10" s="142" t="s">
        <v>1094</v>
      </c>
      <c r="L10" s="142"/>
      <c r="M10" s="142"/>
      <c r="N10" s="142"/>
      <c r="O10" s="152">
        <v>2300000</v>
      </c>
      <c r="P10" s="145"/>
      <c r="Q10" s="152">
        <v>2300000</v>
      </c>
      <c r="R10" s="156"/>
    </row>
    <row r="11" spans="1:18" x14ac:dyDescent="0.25">
      <c r="A11" s="140" t="s">
        <v>1070</v>
      </c>
      <c r="B11" s="142"/>
      <c r="C11" s="142"/>
      <c r="D11" s="142"/>
      <c r="E11" s="142"/>
      <c r="F11" s="153">
        <f>+F9+F10</f>
        <v>14441650.38987004</v>
      </c>
      <c r="G11" s="147"/>
      <c r="H11" s="153">
        <f>+H9+H10</f>
        <v>16711510</v>
      </c>
      <c r="I11" s="140"/>
      <c r="J11" s="159"/>
      <c r="K11" s="140" t="s">
        <v>1084</v>
      </c>
      <c r="L11" s="142"/>
      <c r="M11" s="142"/>
      <c r="N11" s="142"/>
      <c r="O11" s="154">
        <f>+O9+O10</f>
        <v>3500000</v>
      </c>
      <c r="P11" s="158"/>
      <c r="Q11" s="154">
        <f>+Q9+Q10</f>
        <v>3500000</v>
      </c>
      <c r="R11" s="156"/>
    </row>
    <row r="12" spans="1:18" x14ac:dyDescent="0.25">
      <c r="A12" s="143"/>
      <c r="B12" s="142"/>
      <c r="C12" s="142"/>
      <c r="D12" s="142"/>
      <c r="E12" s="142"/>
      <c r="F12" s="145"/>
      <c r="G12" s="145"/>
      <c r="H12" s="145"/>
      <c r="I12" s="140"/>
      <c r="J12" s="159"/>
      <c r="K12" s="140"/>
      <c r="L12" s="142"/>
      <c r="M12" s="142"/>
      <c r="N12" s="142"/>
      <c r="O12" s="157"/>
      <c r="P12" s="147"/>
      <c r="Q12" s="157"/>
      <c r="R12" s="156"/>
    </row>
    <row r="13" spans="1:18" x14ac:dyDescent="0.25">
      <c r="A13" s="142" t="s">
        <v>1071</v>
      </c>
      <c r="B13" s="142"/>
      <c r="C13" s="142"/>
      <c r="D13" s="142"/>
      <c r="E13" s="142"/>
      <c r="F13" s="149">
        <v>-3500000</v>
      </c>
      <c r="G13" s="145"/>
      <c r="H13" s="149">
        <v>-3900000</v>
      </c>
      <c r="I13" s="140"/>
      <c r="J13" s="159"/>
      <c r="K13" s="140" t="s">
        <v>1086</v>
      </c>
      <c r="L13" s="142"/>
      <c r="M13" s="142"/>
      <c r="N13" s="142"/>
      <c r="O13" s="145"/>
      <c r="P13" s="145"/>
      <c r="Q13" s="145"/>
      <c r="R13" s="156"/>
    </row>
    <row r="14" spans="1:18" x14ac:dyDescent="0.25">
      <c r="A14" s="142" t="s">
        <v>1072</v>
      </c>
      <c r="B14" s="142"/>
      <c r="C14" s="142"/>
      <c r="D14" s="142"/>
      <c r="E14" s="142"/>
      <c r="F14" s="152">
        <v>-2500000</v>
      </c>
      <c r="G14" s="145"/>
      <c r="H14" s="152">
        <v>-2000000</v>
      </c>
      <c r="I14" s="140"/>
      <c r="J14" s="159"/>
      <c r="K14" s="142" t="s">
        <v>1092</v>
      </c>
      <c r="L14" s="142"/>
      <c r="M14" s="142"/>
      <c r="N14" s="142"/>
      <c r="O14" s="149">
        <v>24163911</v>
      </c>
      <c r="P14" s="145"/>
      <c r="Q14" s="149">
        <v>27000000</v>
      </c>
      <c r="R14" s="156"/>
    </row>
    <row r="15" spans="1:18" x14ac:dyDescent="0.25">
      <c r="A15" s="140" t="s">
        <v>1073</v>
      </c>
      <c r="B15" s="140"/>
      <c r="C15" s="140"/>
      <c r="D15" s="140"/>
      <c r="E15" s="140"/>
      <c r="F15" s="154">
        <f>+F11+F13+F14</f>
        <v>8441650.3898700401</v>
      </c>
      <c r="G15" s="147"/>
      <c r="H15" s="154">
        <f>+H11+H13+H14</f>
        <v>10811510</v>
      </c>
      <c r="I15" s="140"/>
      <c r="J15" s="159"/>
      <c r="K15" s="142" t="s">
        <v>1091</v>
      </c>
      <c r="L15" s="142"/>
      <c r="M15" s="142"/>
      <c r="N15" s="155">
        <v>21</v>
      </c>
      <c r="O15" s="152" t="e">
        <f>-'Nota-2'!I27</f>
        <v>#REF!</v>
      </c>
      <c r="P15" s="145"/>
      <c r="Q15" s="152" t="e">
        <f>-'Nota-2'!G27</f>
        <v>#REF!</v>
      </c>
      <c r="R15" s="156"/>
    </row>
    <row r="16" spans="1:18" x14ac:dyDescent="0.25">
      <c r="A16" s="140"/>
      <c r="B16" s="140"/>
      <c r="C16" s="140"/>
      <c r="D16" s="140"/>
      <c r="E16" s="140"/>
      <c r="F16" s="147"/>
      <c r="G16" s="147"/>
      <c r="H16" s="147"/>
      <c r="I16" s="140"/>
      <c r="J16" s="159"/>
      <c r="K16" s="140" t="s">
        <v>1085</v>
      </c>
      <c r="L16" s="140"/>
      <c r="M16" s="140"/>
      <c r="N16" s="140"/>
      <c r="O16" s="154" t="e">
        <f>+O11+O14+O15</f>
        <v>#REF!</v>
      </c>
      <c r="P16" s="147"/>
      <c r="Q16" s="154" t="e">
        <f>+Q11+Q14+Q15</f>
        <v>#REF!</v>
      </c>
      <c r="R16" s="156"/>
    </row>
    <row r="17" spans="1:18" x14ac:dyDescent="0.25">
      <c r="A17" s="142" t="s">
        <v>1074</v>
      </c>
      <c r="B17" s="142"/>
      <c r="C17" s="142"/>
      <c r="D17" s="142"/>
      <c r="E17" s="142"/>
      <c r="F17" s="149">
        <v>-2730508</v>
      </c>
      <c r="G17" s="145"/>
      <c r="H17" s="149">
        <v>0</v>
      </c>
      <c r="I17" s="140"/>
      <c r="J17" s="159"/>
      <c r="K17" s="140"/>
      <c r="L17" s="140"/>
      <c r="M17" s="140"/>
      <c r="N17" s="140"/>
      <c r="O17" s="147"/>
      <c r="P17" s="147"/>
      <c r="Q17" s="147"/>
      <c r="R17" s="156"/>
    </row>
    <row r="18" spans="1:18" x14ac:dyDescent="0.25">
      <c r="A18" s="142" t="s">
        <v>1075</v>
      </c>
      <c r="B18" s="142"/>
      <c r="C18" s="142"/>
      <c r="D18" s="142"/>
      <c r="E18" s="142"/>
      <c r="F18" s="152">
        <v>-880514</v>
      </c>
      <c r="G18" s="145"/>
      <c r="H18" s="152">
        <v>-500492</v>
      </c>
      <c r="I18" s="140"/>
      <c r="J18" s="159"/>
      <c r="K18" s="142" t="s">
        <v>1087</v>
      </c>
      <c r="L18" s="142"/>
      <c r="M18" s="142"/>
      <c r="N18" s="142"/>
      <c r="O18" s="149">
        <v>5000000</v>
      </c>
      <c r="P18" s="145"/>
      <c r="Q18" s="149">
        <v>5000000</v>
      </c>
      <c r="R18" s="156"/>
    </row>
    <row r="19" spans="1:18" x14ac:dyDescent="0.25">
      <c r="A19" s="140" t="s">
        <v>1000</v>
      </c>
      <c r="B19" s="140"/>
      <c r="C19" s="140"/>
      <c r="D19" s="140"/>
      <c r="E19" s="140"/>
      <c r="F19" s="150">
        <f>SUM(F15:F18)</f>
        <v>4830628.3898700401</v>
      </c>
      <c r="G19" s="148"/>
      <c r="H19" s="150">
        <f>SUM(H15:H18)</f>
        <v>10311018</v>
      </c>
      <c r="I19" s="140"/>
      <c r="J19" s="159"/>
      <c r="K19" s="142" t="s">
        <v>1088</v>
      </c>
      <c r="L19" s="142"/>
      <c r="M19" s="142"/>
      <c r="N19" s="142"/>
      <c r="O19" s="152">
        <v>7000000</v>
      </c>
      <c r="P19" s="145"/>
      <c r="Q19" s="152">
        <v>7000000</v>
      </c>
      <c r="R19" s="156"/>
    </row>
    <row r="20" spans="1:18" x14ac:dyDescent="0.25">
      <c r="A20" s="142" t="s">
        <v>1076</v>
      </c>
      <c r="B20" s="140"/>
      <c r="C20" s="140"/>
      <c r="D20" s="140"/>
      <c r="E20" s="155">
        <v>21</v>
      </c>
      <c r="F20" s="149" t="e">
        <f>+'Nota-2'!G35</f>
        <v>#REF!</v>
      </c>
      <c r="G20" s="148"/>
      <c r="H20" s="149">
        <f>+'Nota-2'!H35</f>
        <v>-2061300</v>
      </c>
      <c r="I20" s="140"/>
      <c r="J20" s="159"/>
      <c r="K20" s="140" t="s">
        <v>1089</v>
      </c>
      <c r="L20" s="140"/>
      <c r="M20" s="140"/>
      <c r="N20" s="142"/>
      <c r="O20" s="149">
        <f>+O18+O19</f>
        <v>12000000</v>
      </c>
      <c r="P20" s="148"/>
      <c r="Q20" s="149">
        <f>+Q18+Q19</f>
        <v>12000000</v>
      </c>
      <c r="R20" s="156"/>
    </row>
    <row r="21" spans="1:18" ht="15.75" thickBot="1" x14ac:dyDescent="0.3">
      <c r="A21" s="140" t="s">
        <v>1077</v>
      </c>
      <c r="B21" s="140"/>
      <c r="C21" s="140"/>
      <c r="D21" s="140"/>
      <c r="E21" s="140"/>
      <c r="F21" s="151" t="e">
        <f>+F19+F20</f>
        <v>#REF!</v>
      </c>
      <c r="G21" s="148"/>
      <c r="H21" s="151">
        <f>+H19+H20</f>
        <v>8249718</v>
      </c>
      <c r="I21" s="140"/>
      <c r="J21" s="159"/>
      <c r="K21" s="140" t="s">
        <v>1090</v>
      </c>
      <c r="L21" s="140"/>
      <c r="M21" s="140"/>
      <c r="N21" s="140"/>
      <c r="O21" s="151" t="e">
        <f>+O20+O16</f>
        <v>#REF!</v>
      </c>
      <c r="P21" s="148"/>
      <c r="Q21" s="151" t="e">
        <f>+Q20+Q16</f>
        <v>#REF!</v>
      </c>
      <c r="R21" s="156"/>
    </row>
    <row r="22" spans="1:18" x14ac:dyDescent="0.25">
      <c r="A22" s="140"/>
      <c r="B22" s="140"/>
      <c r="C22" s="140"/>
      <c r="D22" s="140"/>
      <c r="E22" s="140"/>
      <c r="F22" s="262" t="e">
        <f>-F20/F19</f>
        <v>#REF!</v>
      </c>
      <c r="G22" s="148"/>
      <c r="H22" s="156"/>
      <c r="I22" s="140"/>
      <c r="J22" s="140"/>
      <c r="K22" s="140"/>
      <c r="L22" s="140"/>
      <c r="M22" s="156"/>
      <c r="N22" s="156"/>
      <c r="O22" s="156"/>
      <c r="P22" s="156"/>
      <c r="Q22" s="156"/>
      <c r="R22" s="156"/>
    </row>
    <row r="23" spans="1:18" x14ac:dyDescent="0.25">
      <c r="A23" s="140"/>
      <c r="B23" s="140"/>
      <c r="C23" s="140"/>
      <c r="D23" s="140"/>
      <c r="E23" s="140"/>
      <c r="F23" s="157" t="e">
        <f>+F19-'IMP DIF 2'!G64</f>
        <v>#REF!</v>
      </c>
      <c r="G23" s="148"/>
      <c r="H23" s="156"/>
      <c r="I23" s="140"/>
      <c r="J23" s="140"/>
      <c r="K23" s="140"/>
      <c r="L23" s="140"/>
      <c r="M23" s="156"/>
      <c r="N23" s="156"/>
      <c r="O23" s="156"/>
      <c r="P23" s="156"/>
      <c r="Q23" s="156"/>
      <c r="R23" s="156"/>
    </row>
    <row r="24" spans="1:18" x14ac:dyDescent="0.25">
      <c r="A24" s="140"/>
      <c r="B24" s="140"/>
      <c r="C24" s="140"/>
      <c r="D24" s="140"/>
      <c r="E24" s="140"/>
      <c r="F24" s="157" t="e">
        <f>+F19-'IMP DIF 2'!G64</f>
        <v>#REF!</v>
      </c>
      <c r="G24" s="148"/>
      <c r="H24" s="156"/>
      <c r="I24" s="140"/>
      <c r="J24" s="140"/>
      <c r="K24" s="140"/>
      <c r="L24" s="140"/>
      <c r="M24" s="156"/>
      <c r="N24" s="156"/>
      <c r="O24" s="156"/>
      <c r="P24" s="156"/>
      <c r="Q24" s="156"/>
      <c r="R24" s="156"/>
    </row>
    <row r="25" spans="1:18" x14ac:dyDescent="0.25">
      <c r="A25" s="140"/>
      <c r="B25" s="140"/>
      <c r="C25" s="140"/>
      <c r="D25" s="140"/>
      <c r="E25" s="140"/>
      <c r="F25" s="156"/>
      <c r="G25" s="148"/>
      <c r="H25" s="156"/>
      <c r="I25" s="140"/>
      <c r="J25" s="140"/>
      <c r="K25" s="140"/>
      <c r="L25" s="140"/>
      <c r="M25" s="156"/>
      <c r="N25" s="156"/>
      <c r="O25" s="156"/>
      <c r="P25" s="156"/>
      <c r="Q25" s="156"/>
      <c r="R25" s="156"/>
    </row>
    <row r="26" spans="1:18" x14ac:dyDescent="0.25">
      <c r="A26" s="140"/>
      <c r="B26" s="140"/>
      <c r="C26" s="140"/>
      <c r="D26" s="140"/>
      <c r="E26" s="140"/>
      <c r="F26" s="156"/>
      <c r="G26" s="148"/>
      <c r="H26" s="156"/>
      <c r="I26" s="140"/>
      <c r="J26" s="140"/>
      <c r="K26" s="140"/>
      <c r="L26" s="140"/>
      <c r="M26" s="156"/>
      <c r="N26" s="156"/>
      <c r="O26" s="156"/>
      <c r="P26" s="156"/>
      <c r="Q26" s="156"/>
    </row>
  </sheetData>
  <mergeCells count="2">
    <mergeCell ref="F5:H5"/>
    <mergeCell ref="F6:H6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FF0000"/>
  </sheetPr>
  <dimension ref="A1:K59"/>
  <sheetViews>
    <sheetView view="pageBreakPreview" zoomScale="90" zoomScaleNormal="100" zoomScaleSheetLayoutView="90" workbookViewId="0">
      <selection activeCell="H1" sqref="H1"/>
    </sheetView>
  </sheetViews>
  <sheetFormatPr baseColWidth="10" defaultRowHeight="15" x14ac:dyDescent="0.25"/>
  <cols>
    <col min="1" max="1" width="5.42578125" customWidth="1"/>
    <col min="2" max="2" width="8.28515625" style="163" customWidth="1"/>
    <col min="3" max="3" width="10.140625" style="163" customWidth="1"/>
    <col min="4" max="4" width="8.7109375" style="163" customWidth="1"/>
    <col min="5" max="5" width="11.5703125" style="163" customWidth="1"/>
    <col min="6" max="6" width="11.7109375" style="163" customWidth="1"/>
    <col min="7" max="7" width="14.140625" style="163" bestFit="1" customWidth="1"/>
    <col min="8" max="8" width="12.85546875" style="163" customWidth="1"/>
    <col min="9" max="9" width="14" style="163" bestFit="1" customWidth="1"/>
    <col min="10" max="10" width="1.85546875" style="163" customWidth="1"/>
    <col min="11" max="16384" width="11.42578125" style="163"/>
  </cols>
  <sheetData>
    <row r="1" spans="1:11" x14ac:dyDescent="0.25">
      <c r="A1" s="232" t="s">
        <v>1157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1" ht="12.75" x14ac:dyDescent="0.2">
      <c r="A2" s="162" t="s">
        <v>1156</v>
      </c>
      <c r="B2" s="146"/>
      <c r="C2" s="146"/>
      <c r="D2" s="146"/>
      <c r="E2" s="164"/>
      <c r="F2" s="146"/>
      <c r="G2" s="146"/>
      <c r="H2" s="164"/>
      <c r="I2" s="165"/>
      <c r="J2" s="165"/>
    </row>
    <row r="3" spans="1:11" x14ac:dyDescent="0.2">
      <c r="A3" s="160" t="s">
        <v>1112</v>
      </c>
      <c r="B3" s="161" t="s">
        <v>1113</v>
      </c>
      <c r="C3" s="146"/>
      <c r="D3" s="146"/>
      <c r="E3" s="164"/>
      <c r="F3" s="146"/>
      <c r="G3" s="146"/>
      <c r="H3" s="164"/>
      <c r="I3" s="165"/>
      <c r="J3" s="165"/>
    </row>
    <row r="4" spans="1:11" x14ac:dyDescent="0.2">
      <c r="A4" s="140"/>
      <c r="B4" s="161" t="s">
        <v>1095</v>
      </c>
      <c r="C4" s="146"/>
      <c r="D4" s="146"/>
      <c r="E4" s="164"/>
      <c r="F4" s="146"/>
      <c r="G4" s="146"/>
      <c r="H4" s="164"/>
      <c r="I4" s="165"/>
      <c r="J4" s="165"/>
    </row>
    <row r="5" spans="1:11" x14ac:dyDescent="0.2">
      <c r="A5" s="140"/>
      <c r="B5" s="161" t="s">
        <v>1096</v>
      </c>
      <c r="C5" s="146"/>
      <c r="D5" s="146"/>
      <c r="E5" s="164"/>
      <c r="F5" s="146"/>
      <c r="G5" s="146"/>
      <c r="H5" s="164"/>
      <c r="I5" s="165"/>
      <c r="J5" s="165"/>
    </row>
    <row r="6" spans="1:11" x14ac:dyDescent="0.2">
      <c r="A6" s="140"/>
      <c r="B6" s="166"/>
      <c r="C6" s="166"/>
      <c r="D6" s="166"/>
      <c r="E6" s="166"/>
      <c r="F6" s="166"/>
      <c r="G6" s="167" t="s">
        <v>1102</v>
      </c>
      <c r="H6" s="167"/>
      <c r="I6" s="167" t="s">
        <v>1102</v>
      </c>
      <c r="J6" s="165"/>
    </row>
    <row r="7" spans="1:11" x14ac:dyDescent="0.2">
      <c r="A7" s="140"/>
      <c r="B7" s="166"/>
      <c r="C7" s="166"/>
      <c r="D7" s="166"/>
      <c r="E7" s="166"/>
      <c r="F7" s="166"/>
      <c r="G7" s="172" t="s">
        <v>1116</v>
      </c>
      <c r="H7" s="167"/>
      <c r="I7" s="172" t="s">
        <v>1103</v>
      </c>
      <c r="J7" s="165"/>
    </row>
    <row r="8" spans="1:11" x14ac:dyDescent="0.2">
      <c r="A8" s="140"/>
      <c r="B8" s="171" t="s">
        <v>1097</v>
      </c>
      <c r="C8" s="166"/>
      <c r="D8" s="166"/>
      <c r="E8" s="166"/>
      <c r="F8" s="166"/>
      <c r="G8" s="167" t="s">
        <v>946</v>
      </c>
      <c r="H8" s="167" t="s">
        <v>946</v>
      </c>
      <c r="I8" s="167" t="s">
        <v>946</v>
      </c>
      <c r="J8" s="165"/>
    </row>
    <row r="9" spans="1:11" x14ac:dyDescent="0.2">
      <c r="A9" s="140"/>
      <c r="B9" s="169" t="s">
        <v>1098</v>
      </c>
      <c r="C9" s="166"/>
      <c r="D9" s="166"/>
      <c r="E9" s="166"/>
      <c r="F9" s="166"/>
      <c r="G9" s="173">
        <f>+'IMP DIF 2'!F30</f>
        <v>46137</v>
      </c>
      <c r="H9" s="149">
        <f>+'IMP DIF 2'!G30</f>
        <v>-26282.743199999997</v>
      </c>
      <c r="I9" s="173">
        <f>+'IMP DIF 2'!H30</f>
        <v>19854.256800000003</v>
      </c>
      <c r="J9" s="165"/>
      <c r="K9" s="9"/>
    </row>
    <row r="10" spans="1:11" x14ac:dyDescent="0.2">
      <c r="A10" s="140"/>
      <c r="B10" s="169" t="s">
        <v>1099</v>
      </c>
      <c r="C10" s="169"/>
      <c r="D10" s="169"/>
      <c r="E10" s="169"/>
      <c r="F10" s="166"/>
      <c r="G10" s="173">
        <f>+'IMP DIF 2'!F31</f>
        <v>9000</v>
      </c>
      <c r="H10" s="149">
        <f>+'IMP DIF 2'!G31</f>
        <v>5000.0000000000018</v>
      </c>
      <c r="I10" s="173">
        <f>+'IMP DIF 2'!H31</f>
        <v>14000.000000000002</v>
      </c>
      <c r="J10" s="165"/>
      <c r="K10" s="9"/>
    </row>
    <row r="11" spans="1:11" x14ac:dyDescent="0.2">
      <c r="A11" s="140"/>
      <c r="B11" s="169" t="s">
        <v>1041</v>
      </c>
      <c r="C11" s="169"/>
      <c r="D11" s="169"/>
      <c r="E11" s="169"/>
      <c r="F11" s="166"/>
      <c r="G11" s="173">
        <f>+'IMP DIF 2'!F32</f>
        <v>314100</v>
      </c>
      <c r="H11" s="149">
        <f>+'IMP DIF 2'!G32</f>
        <v>-7220.0839999999152</v>
      </c>
      <c r="I11" s="173">
        <f>+'IMP DIF 2'!H32</f>
        <v>306879.91600000008</v>
      </c>
      <c r="J11" s="165"/>
      <c r="K11" s="9"/>
    </row>
    <row r="12" spans="1:11" x14ac:dyDescent="0.2">
      <c r="A12" s="140"/>
      <c r="B12" s="169" t="s">
        <v>1100</v>
      </c>
      <c r="C12" s="169"/>
      <c r="D12" s="169"/>
      <c r="E12" s="169"/>
      <c r="F12" s="166"/>
      <c r="G12" s="173">
        <f>+'IMP DIF 2'!F33</f>
        <v>351300</v>
      </c>
      <c r="H12" s="149">
        <f>+'IMP DIF 2'!G33</f>
        <v>35130.386213653488</v>
      </c>
      <c r="I12" s="173">
        <f>+'IMP DIF 2'!H33</f>
        <v>386430.38621365349</v>
      </c>
      <c r="J12" s="165"/>
      <c r="K12" s="9"/>
    </row>
    <row r="13" spans="1:11" ht="15.75" thickBot="1" x14ac:dyDescent="0.25">
      <c r="A13" s="140"/>
      <c r="B13" s="169" t="s">
        <v>1101</v>
      </c>
      <c r="C13" s="169"/>
      <c r="D13" s="169"/>
      <c r="E13" s="169"/>
      <c r="F13" s="166"/>
      <c r="G13" s="173">
        <f>+'IMP DIF 2'!F34</f>
        <v>16195</v>
      </c>
      <c r="H13" s="149">
        <f>+'IMP DIF 2'!G34</f>
        <v>51888.8704</v>
      </c>
      <c r="I13" s="173">
        <f>+'IMP DIF 2'!H34</f>
        <v>68083.8704</v>
      </c>
      <c r="J13" s="165"/>
      <c r="K13" s="9"/>
    </row>
    <row r="14" spans="1:11" ht="15.75" thickBot="1" x14ac:dyDescent="0.25">
      <c r="A14" s="140"/>
      <c r="C14" s="169"/>
      <c r="D14" s="169"/>
      <c r="E14" s="169"/>
      <c r="F14" s="166"/>
      <c r="G14" s="213">
        <f>SUM(G9:G13)</f>
        <v>736732</v>
      </c>
      <c r="H14" s="174">
        <f>SUM(H9:H13)</f>
        <v>58516.429413653575</v>
      </c>
      <c r="I14" s="213">
        <f>SUM(I9:I13)</f>
        <v>795248.42941365356</v>
      </c>
      <c r="J14" s="165"/>
    </row>
    <row r="15" spans="1:11" x14ac:dyDescent="0.2">
      <c r="A15" s="140"/>
      <c r="B15" s="171" t="s">
        <v>1104</v>
      </c>
      <c r="C15" s="166"/>
      <c r="D15" s="166"/>
      <c r="E15" s="166"/>
      <c r="F15" s="166"/>
      <c r="G15" s="166"/>
      <c r="H15" s="284"/>
      <c r="I15" s="166"/>
      <c r="J15" s="165"/>
    </row>
    <row r="16" spans="1:11" x14ac:dyDescent="0.2">
      <c r="A16" s="140"/>
      <c r="B16" s="169" t="s">
        <v>1105</v>
      </c>
      <c r="C16" s="169"/>
      <c r="D16" s="169"/>
      <c r="E16" s="169"/>
      <c r="F16" s="166"/>
      <c r="G16" s="149">
        <f>+'IMP DIF 2'!F38</f>
        <v>-202500</v>
      </c>
      <c r="H16" s="149" t="e">
        <f>+'IMP DIF 2'!G38</f>
        <v>#REF!</v>
      </c>
      <c r="I16" s="149" t="e">
        <f>+'IMP DIF 2'!H38</f>
        <v>#REF!</v>
      </c>
      <c r="J16" s="165"/>
    </row>
    <row r="17" spans="1:10" x14ac:dyDescent="0.2">
      <c r="A17" s="140"/>
      <c r="B17" s="169" t="s">
        <v>1106</v>
      </c>
      <c r="C17" s="169"/>
      <c r="D17" s="169"/>
      <c r="E17" s="169"/>
      <c r="F17" s="166"/>
      <c r="G17" s="149">
        <f>+'IMP DIF 2'!F39</f>
        <v>-720000</v>
      </c>
      <c r="H17" s="149" t="e">
        <f>+'IMP DIF 2'!G39</f>
        <v>#REF!</v>
      </c>
      <c r="I17" s="149" t="e">
        <f>+'IMP DIF 2'!H39</f>
        <v>#REF!</v>
      </c>
      <c r="J17" s="165"/>
    </row>
    <row r="18" spans="1:10" ht="15.75" thickBot="1" x14ac:dyDescent="0.25">
      <c r="A18" s="140"/>
      <c r="B18" s="169" t="s">
        <v>1107</v>
      </c>
      <c r="C18" s="169"/>
      <c r="D18" s="169"/>
      <c r="E18" s="169"/>
      <c r="F18" s="166"/>
      <c r="G18" s="149" t="e">
        <f>+'IMP DIF 2'!F40</f>
        <v>#REF!</v>
      </c>
      <c r="H18" s="149" t="e">
        <f>+'IMP DIF 2'!G40</f>
        <v>#REF!</v>
      </c>
      <c r="I18" s="149" t="e">
        <f>+'IMP DIF 2'!H40</f>
        <v>#REF!</v>
      </c>
      <c r="J18" s="165"/>
    </row>
    <row r="19" spans="1:10" thickBot="1" x14ac:dyDescent="0.25">
      <c r="A19" s="142"/>
      <c r="B19" s="168"/>
      <c r="C19" s="169"/>
      <c r="D19" s="169"/>
      <c r="E19" s="169"/>
      <c r="F19" s="166"/>
      <c r="G19" s="187" t="e">
        <f>SUM(G16:G18)</f>
        <v>#REF!</v>
      </c>
      <c r="H19" s="175" t="e">
        <f>SUM(H16:H18)</f>
        <v>#REF!</v>
      </c>
      <c r="I19" s="187" t="e">
        <f>SUM(I16:I18)</f>
        <v>#REF!</v>
      </c>
      <c r="J19" s="164"/>
    </row>
    <row r="20" spans="1:10" ht="15.75" thickBot="1" x14ac:dyDescent="0.25">
      <c r="A20" s="140"/>
      <c r="B20" s="168"/>
      <c r="C20" s="169"/>
      <c r="D20" s="169"/>
      <c r="E20" s="169"/>
      <c r="F20" s="166"/>
      <c r="G20" s="170"/>
      <c r="H20" s="170"/>
      <c r="I20" s="170"/>
      <c r="J20" s="165"/>
    </row>
    <row r="21" spans="1:10" ht="15.75" thickBot="1" x14ac:dyDescent="0.25">
      <c r="A21" s="140"/>
      <c r="B21" s="189" t="s">
        <v>1111</v>
      </c>
      <c r="C21" s="169"/>
      <c r="D21" s="169"/>
      <c r="E21" s="169"/>
      <c r="F21" s="166"/>
      <c r="G21" s="187" t="e">
        <f>+G14+G19</f>
        <v>#REF!</v>
      </c>
      <c r="H21" s="187" t="e">
        <f>+I21-G21</f>
        <v>#REF!</v>
      </c>
      <c r="I21" s="187" t="e">
        <f>+I14+I19</f>
        <v>#REF!</v>
      </c>
      <c r="J21" s="165"/>
    </row>
    <row r="22" spans="1:10" x14ac:dyDescent="0.2">
      <c r="A22" s="140"/>
      <c r="B22" s="168"/>
      <c r="C22" s="169"/>
      <c r="D22" s="169"/>
      <c r="E22" s="169"/>
      <c r="F22" s="166"/>
      <c r="G22" s="170"/>
      <c r="H22" s="170"/>
      <c r="I22" s="170"/>
      <c r="J22" s="165"/>
    </row>
    <row r="23" spans="1:10" x14ac:dyDescent="0.2">
      <c r="A23" s="140"/>
      <c r="B23" s="171" t="s">
        <v>1108</v>
      </c>
      <c r="C23" s="169"/>
      <c r="D23" s="169"/>
      <c r="E23" s="169"/>
      <c r="F23" s="166"/>
      <c r="G23" s="170"/>
      <c r="H23" s="170"/>
      <c r="I23" s="170"/>
      <c r="J23" s="165"/>
    </row>
    <row r="24" spans="1:10" ht="15.75" thickBot="1" x14ac:dyDescent="0.25">
      <c r="A24" s="140"/>
      <c r="B24" s="169" t="s">
        <v>1109</v>
      </c>
      <c r="C24" s="169"/>
      <c r="D24" s="169"/>
      <c r="E24" s="169"/>
      <c r="F24" s="166"/>
      <c r="G24" s="149">
        <f>+'IMP DIF 2'!F44</f>
        <v>-870000</v>
      </c>
      <c r="H24" s="149">
        <f>+'IMP DIF 2'!G44</f>
        <v>-40000</v>
      </c>
      <c r="I24" s="149">
        <f>+'IMP DIF 2'!H44</f>
        <v>-910000</v>
      </c>
      <c r="J24" s="165"/>
    </row>
    <row r="25" spans="1:10" ht="15.75" thickBot="1" x14ac:dyDescent="0.25">
      <c r="A25" s="140"/>
      <c r="B25" s="166"/>
      <c r="C25" s="166"/>
      <c r="D25" s="166"/>
      <c r="E25" s="166"/>
      <c r="F25" s="166"/>
      <c r="G25" s="187">
        <f>+G24</f>
        <v>-870000</v>
      </c>
      <c r="H25" s="166"/>
      <c r="I25" s="187">
        <f>+I24</f>
        <v>-910000</v>
      </c>
      <c r="J25" s="165"/>
    </row>
    <row r="26" spans="1:10" ht="15.75" thickBot="1" x14ac:dyDescent="0.25">
      <c r="A26" s="140"/>
      <c r="B26" s="146"/>
      <c r="C26" s="146"/>
      <c r="D26" s="146"/>
      <c r="E26" s="164"/>
      <c r="F26" s="166"/>
      <c r="G26" s="146"/>
      <c r="H26" s="164"/>
      <c r="I26" s="165"/>
      <c r="J26" s="165"/>
    </row>
    <row r="27" spans="1:10" ht="15.75" thickBot="1" x14ac:dyDescent="0.25">
      <c r="A27" s="140"/>
      <c r="B27" s="171" t="s">
        <v>1110</v>
      </c>
      <c r="C27" s="166"/>
      <c r="D27" s="166"/>
      <c r="E27" s="166"/>
      <c r="F27" s="166"/>
      <c r="G27" s="187" t="e">
        <f>+G14+G19+G25</f>
        <v>#REF!</v>
      </c>
      <c r="H27" s="171"/>
      <c r="I27" s="187" t="e">
        <f>+I14+I19+I25</f>
        <v>#REF!</v>
      </c>
      <c r="J27" s="165"/>
    </row>
    <row r="28" spans="1:10" x14ac:dyDescent="0.2">
      <c r="A28" s="140"/>
      <c r="B28" s="146"/>
      <c r="C28" s="146"/>
      <c r="D28" s="146"/>
      <c r="E28" s="164"/>
      <c r="F28" s="146"/>
      <c r="G28" s="146"/>
      <c r="H28" s="164"/>
      <c r="I28" s="165"/>
      <c r="J28" s="165"/>
    </row>
    <row r="29" spans="1:10" x14ac:dyDescent="0.2">
      <c r="A29" s="160" t="s">
        <v>1114</v>
      </c>
      <c r="B29" s="166" t="s">
        <v>1128</v>
      </c>
      <c r="C29" s="146"/>
      <c r="D29" s="146"/>
      <c r="E29" s="164"/>
      <c r="F29" s="146"/>
      <c r="G29" s="146"/>
      <c r="H29" s="164"/>
      <c r="I29" s="165"/>
      <c r="J29" s="165"/>
    </row>
    <row r="30" spans="1:10" x14ac:dyDescent="0.2">
      <c r="A30" s="140"/>
      <c r="B30" s="166" t="s">
        <v>1115</v>
      </c>
      <c r="C30" s="146"/>
      <c r="D30" s="146"/>
      <c r="E30" s="164"/>
      <c r="F30" s="146"/>
      <c r="G30" s="146"/>
      <c r="H30" s="164"/>
      <c r="I30" s="165"/>
      <c r="J30" s="165"/>
    </row>
    <row r="31" spans="1:10" x14ac:dyDescent="0.2">
      <c r="A31" s="140"/>
      <c r="B31" s="146"/>
      <c r="C31" s="146"/>
      <c r="D31" s="146"/>
      <c r="E31" s="164"/>
      <c r="F31" s="164"/>
      <c r="G31" s="177" t="s">
        <v>944</v>
      </c>
      <c r="H31" s="177" t="s">
        <v>1118</v>
      </c>
      <c r="I31" s="165"/>
      <c r="J31" s="165"/>
    </row>
    <row r="32" spans="1:10" x14ac:dyDescent="0.2">
      <c r="A32" s="140"/>
      <c r="B32" s="146"/>
      <c r="C32" s="146"/>
      <c r="D32" s="146"/>
      <c r="E32" s="164"/>
      <c r="F32" s="164"/>
      <c r="G32" s="146" t="s">
        <v>946</v>
      </c>
      <c r="H32" s="146" t="s">
        <v>946</v>
      </c>
      <c r="I32" s="165"/>
      <c r="J32" s="165"/>
    </row>
    <row r="33" spans="1:10" x14ac:dyDescent="0.2">
      <c r="A33" s="140"/>
      <c r="B33" s="146"/>
      <c r="C33" s="146"/>
      <c r="D33" s="161" t="s">
        <v>1117</v>
      </c>
      <c r="E33" s="164"/>
      <c r="F33" s="164"/>
      <c r="G33" s="179" t="e">
        <f>'IMP DIF 2'!F79</f>
        <v>#REF!</v>
      </c>
      <c r="H33" s="179">
        <v>-2518089</v>
      </c>
      <c r="I33" s="165"/>
      <c r="J33" s="165"/>
    </row>
    <row r="34" spans="1:10" x14ac:dyDescent="0.2">
      <c r="A34" s="140"/>
      <c r="B34" s="146"/>
      <c r="C34" s="146"/>
      <c r="D34" s="161" t="s">
        <v>991</v>
      </c>
      <c r="E34" s="164"/>
      <c r="F34" s="164"/>
      <c r="G34" s="179" t="e">
        <f>+H21</f>
        <v>#REF!</v>
      </c>
      <c r="H34" s="179">
        <v>456789</v>
      </c>
      <c r="I34" s="165"/>
      <c r="J34" s="165"/>
    </row>
    <row r="35" spans="1:10" ht="15.75" thickBot="1" x14ac:dyDescent="0.25">
      <c r="A35" s="140"/>
      <c r="B35" s="146"/>
      <c r="C35" s="146"/>
      <c r="D35" s="146"/>
      <c r="E35" s="164"/>
      <c r="F35" s="164"/>
      <c r="G35" s="214" t="e">
        <f>+G33+G34</f>
        <v>#REF!</v>
      </c>
      <c r="H35" s="214">
        <f>+H33+H34</f>
        <v>-2061300</v>
      </c>
      <c r="I35" s="165"/>
      <c r="J35" s="165"/>
    </row>
    <row r="36" spans="1:10" x14ac:dyDescent="0.2">
      <c r="A36" s="160"/>
      <c r="B36" s="146"/>
      <c r="C36" s="146"/>
      <c r="D36" s="146"/>
      <c r="E36" s="164"/>
      <c r="F36" s="146"/>
      <c r="G36" s="146"/>
      <c r="H36" s="164"/>
      <c r="I36" s="165"/>
      <c r="J36" s="165"/>
    </row>
    <row r="37" spans="1:10" x14ac:dyDescent="0.2">
      <c r="A37" s="160" t="s">
        <v>1119</v>
      </c>
      <c r="B37" s="166" t="s">
        <v>1120</v>
      </c>
      <c r="C37" s="146"/>
      <c r="D37" s="146"/>
      <c r="E37" s="164"/>
      <c r="F37" s="146"/>
      <c r="G37" s="146"/>
      <c r="H37" s="164"/>
      <c r="I37" s="165"/>
      <c r="J37" s="165"/>
    </row>
    <row r="38" spans="1:10" x14ac:dyDescent="0.2">
      <c r="A38" s="140"/>
      <c r="B38" s="166" t="s">
        <v>1121</v>
      </c>
      <c r="C38" s="146"/>
      <c r="D38" s="146"/>
      <c r="E38" s="164"/>
      <c r="F38" s="146"/>
      <c r="G38" s="146"/>
      <c r="H38" s="164"/>
      <c r="I38" s="165"/>
      <c r="J38" s="165"/>
    </row>
    <row r="39" spans="1:10" x14ac:dyDescent="0.2">
      <c r="A39" s="140"/>
      <c r="B39" s="146"/>
      <c r="C39" s="162"/>
      <c r="D39" s="146"/>
      <c r="E39" s="164"/>
      <c r="F39" s="146"/>
      <c r="G39" s="177" t="s">
        <v>944</v>
      </c>
      <c r="H39" s="164"/>
      <c r="I39" s="165"/>
      <c r="J39" s="165"/>
    </row>
    <row r="40" spans="1:10" x14ac:dyDescent="0.2">
      <c r="A40" s="140"/>
      <c r="B40" s="146"/>
      <c r="C40" s="146"/>
      <c r="D40" s="146"/>
      <c r="E40" s="164"/>
      <c r="F40" s="146"/>
      <c r="G40" s="146" t="s">
        <v>946</v>
      </c>
      <c r="H40" s="164"/>
      <c r="I40" s="165"/>
      <c r="J40" s="165"/>
    </row>
    <row r="41" spans="1:10" x14ac:dyDescent="0.2">
      <c r="A41" s="140"/>
      <c r="B41" s="162" t="s">
        <v>1122</v>
      </c>
      <c r="C41" s="146"/>
      <c r="D41" s="146"/>
      <c r="E41" s="164"/>
      <c r="F41" s="146"/>
      <c r="G41" s="178" t="e">
        <f>+'IMP DIF 2'!G64</f>
        <v>#REF!</v>
      </c>
      <c r="H41" s="164"/>
      <c r="I41" s="165"/>
      <c r="J41" s="165"/>
    </row>
    <row r="42" spans="1:10" x14ac:dyDescent="0.2">
      <c r="A42" s="140"/>
      <c r="B42" s="146"/>
      <c r="C42" s="146"/>
      <c r="D42" s="146"/>
      <c r="E42" s="164"/>
      <c r="F42" s="146"/>
      <c r="G42" s="146"/>
      <c r="H42" s="164"/>
      <c r="I42" s="165"/>
      <c r="J42" s="165"/>
    </row>
    <row r="43" spans="1:10" x14ac:dyDescent="0.2">
      <c r="A43" s="140"/>
      <c r="B43" s="161" t="s">
        <v>1038</v>
      </c>
      <c r="C43" s="176"/>
      <c r="D43" s="176"/>
      <c r="E43" s="164"/>
      <c r="F43" s="180">
        <v>0.3</v>
      </c>
      <c r="G43" s="178" t="e">
        <f>+G41*F43</f>
        <v>#REF!</v>
      </c>
      <c r="H43" s="185" t="e">
        <f>+G43/$G$41</f>
        <v>#REF!</v>
      </c>
      <c r="I43" s="165"/>
      <c r="J43" s="165"/>
    </row>
    <row r="44" spans="1:10" x14ac:dyDescent="0.2">
      <c r="A44" s="140"/>
      <c r="B44" s="176"/>
      <c r="C44" s="176"/>
      <c r="D44" s="176"/>
      <c r="E44" s="164"/>
      <c r="F44" s="176"/>
      <c r="G44" s="176"/>
      <c r="H44" s="261"/>
      <c r="I44" s="165"/>
      <c r="J44" s="165"/>
    </row>
    <row r="45" spans="1:10" x14ac:dyDescent="0.2">
      <c r="A45" s="140"/>
      <c r="B45" s="162" t="s">
        <v>1123</v>
      </c>
      <c r="C45" s="176"/>
      <c r="D45" s="176"/>
      <c r="E45" s="164"/>
      <c r="F45" s="176"/>
      <c r="G45" s="176"/>
      <c r="H45" s="261"/>
      <c r="I45" s="165"/>
      <c r="J45" s="165"/>
    </row>
    <row r="46" spans="1:10" x14ac:dyDescent="0.2">
      <c r="A46" s="140"/>
      <c r="B46" s="161" t="s">
        <v>1124</v>
      </c>
      <c r="C46" s="176"/>
      <c r="D46" s="176"/>
      <c r="E46" s="164"/>
      <c r="F46" s="176"/>
      <c r="G46" s="179">
        <f>'IMP DIF 2'!G69*30%</f>
        <v>300000</v>
      </c>
      <c r="H46" s="185" t="e">
        <f>+G46/$G$41</f>
        <v>#REF!</v>
      </c>
      <c r="I46" s="165"/>
      <c r="J46" s="165"/>
    </row>
    <row r="47" spans="1:10" x14ac:dyDescent="0.2">
      <c r="A47" s="140"/>
      <c r="B47" s="176"/>
      <c r="C47" s="176"/>
      <c r="D47" s="176"/>
      <c r="E47" s="164"/>
      <c r="F47" s="176"/>
      <c r="G47" s="176"/>
      <c r="H47" s="261"/>
      <c r="I47" s="165"/>
      <c r="J47" s="165"/>
    </row>
    <row r="48" spans="1:10" x14ac:dyDescent="0.2">
      <c r="A48" s="140"/>
      <c r="B48" s="162" t="s">
        <v>1123</v>
      </c>
      <c r="C48" s="176"/>
      <c r="D48" s="176"/>
      <c r="E48" s="164"/>
      <c r="F48" s="176"/>
      <c r="G48" s="176"/>
      <c r="H48" s="261"/>
      <c r="I48" s="165"/>
      <c r="J48" s="165"/>
    </row>
    <row r="49" spans="1:10" x14ac:dyDescent="0.2">
      <c r="A49" s="140"/>
      <c r="B49" s="161" t="s">
        <v>1125</v>
      </c>
      <c r="C49" s="176"/>
      <c r="D49" s="176"/>
      <c r="E49" s="164"/>
      <c r="F49" s="176"/>
      <c r="G49" s="179" t="e">
        <f>+'IMP DIF 2'!H71</f>
        <v>#REF!</v>
      </c>
      <c r="H49" s="185" t="e">
        <f>+G49/$G$41</f>
        <v>#REF!</v>
      </c>
      <c r="I49" s="165"/>
      <c r="J49" s="165"/>
    </row>
    <row r="50" spans="1:10" x14ac:dyDescent="0.2">
      <c r="A50" s="140"/>
      <c r="B50" s="146"/>
      <c r="C50" s="146"/>
      <c r="D50" s="146"/>
      <c r="E50" s="164"/>
      <c r="F50" s="146"/>
      <c r="G50" s="146"/>
      <c r="H50" s="186"/>
      <c r="I50" s="165"/>
      <c r="J50" s="165"/>
    </row>
    <row r="51" spans="1:10" ht="15.75" thickBot="1" x14ac:dyDescent="0.25">
      <c r="A51" s="140"/>
      <c r="B51" s="146"/>
      <c r="C51" s="146"/>
      <c r="D51" s="146"/>
      <c r="E51" s="164"/>
      <c r="F51" s="146"/>
      <c r="G51" s="214" t="e">
        <f>SUM(G43:G49)</f>
        <v>#REF!</v>
      </c>
      <c r="H51" s="185" t="e">
        <f>SUM(H43:H49)</f>
        <v>#REF!</v>
      </c>
      <c r="I51" s="165"/>
      <c r="J51" s="165"/>
    </row>
    <row r="52" spans="1:10" x14ac:dyDescent="0.2">
      <c r="A52" s="140"/>
      <c r="B52" s="146"/>
      <c r="C52" s="146"/>
      <c r="D52" s="146"/>
      <c r="E52" s="164"/>
      <c r="F52" s="146"/>
      <c r="G52" s="184" t="e">
        <f>+G51/G41</f>
        <v>#REF!</v>
      </c>
      <c r="H52" s="164"/>
      <c r="I52" s="165"/>
      <c r="J52" s="165"/>
    </row>
    <row r="53" spans="1:10" x14ac:dyDescent="0.2">
      <c r="A53" s="140"/>
      <c r="B53" s="146"/>
      <c r="C53" s="146"/>
      <c r="D53" s="146"/>
      <c r="E53" s="164"/>
      <c r="F53" s="146"/>
      <c r="G53" s="146"/>
      <c r="H53" s="164"/>
      <c r="I53" s="165"/>
      <c r="J53" s="165"/>
    </row>
    <row r="54" spans="1:10" x14ac:dyDescent="0.2">
      <c r="A54" s="140"/>
      <c r="B54" s="146"/>
      <c r="C54" s="146"/>
      <c r="D54" s="146"/>
      <c r="E54" s="164"/>
      <c r="F54" s="146"/>
      <c r="G54" s="146"/>
      <c r="H54" s="164"/>
      <c r="I54" s="165"/>
      <c r="J54" s="165"/>
    </row>
    <row r="55" spans="1:10" x14ac:dyDescent="0.2">
      <c r="A55" s="140"/>
      <c r="B55" s="165"/>
      <c r="C55" s="165"/>
      <c r="D55" s="165"/>
      <c r="E55" s="165"/>
      <c r="F55" s="156"/>
      <c r="G55" s="148"/>
      <c r="H55" s="156"/>
      <c r="I55" s="165"/>
      <c r="J55" s="165"/>
    </row>
    <row r="56" spans="1:10" x14ac:dyDescent="0.2">
      <c r="A56" s="140"/>
      <c r="B56" s="165"/>
      <c r="C56" s="165"/>
      <c r="D56" s="165"/>
      <c r="E56" s="165"/>
      <c r="F56" s="156"/>
      <c r="G56" s="148"/>
      <c r="H56" s="156"/>
      <c r="I56" s="165"/>
      <c r="J56" s="165"/>
    </row>
    <row r="57" spans="1:10" x14ac:dyDescent="0.2">
      <c r="A57" s="140"/>
      <c r="B57" s="165"/>
      <c r="C57" s="165"/>
      <c r="D57" s="165"/>
      <c r="E57" s="165"/>
      <c r="F57" s="156"/>
      <c r="G57" s="148"/>
      <c r="H57" s="156"/>
      <c r="I57" s="165"/>
      <c r="J57" s="165"/>
    </row>
    <row r="58" spans="1:10" x14ac:dyDescent="0.2">
      <c r="A58" s="140"/>
      <c r="B58" s="165"/>
      <c r="C58" s="165"/>
      <c r="D58" s="165"/>
      <c r="E58" s="165"/>
      <c r="F58" s="156"/>
      <c r="G58" s="148"/>
      <c r="H58" s="156"/>
      <c r="I58" s="165"/>
      <c r="J58" s="165"/>
    </row>
    <row r="59" spans="1:10" x14ac:dyDescent="0.2">
      <c r="A59" s="140"/>
      <c r="B59" s="165"/>
      <c r="C59" s="165"/>
      <c r="D59" s="165"/>
      <c r="E59" s="165"/>
      <c r="F59" s="156"/>
      <c r="G59" s="148"/>
      <c r="H59" s="156"/>
      <c r="I59" s="165"/>
      <c r="J59" s="165"/>
    </row>
  </sheetData>
  <pageMargins left="0.70866141732283472" right="0.70866141732283472" top="0.74803149606299213" bottom="0.74803149606299213" header="0.31496062992125984" footer="0.31496062992125984"/>
  <pageSetup paperSize="9" scale="86" orientation="portrait" horizontalDpi="4294967292" r:id="rId1"/>
  <rowBreaks count="1" manualBreakCount="1">
    <brk id="52" max="9" man="1"/>
  </rowBreaks>
  <ignoredErrors>
    <ignoredError sqref="G7:I7" twoDigitTextYear="1"/>
    <ignoredError sqref="G31:H31 G3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2:A5"/>
  <sheetViews>
    <sheetView workbookViewId="0">
      <selection activeCell="E22" sqref="E22"/>
    </sheetView>
  </sheetViews>
  <sheetFormatPr baseColWidth="10" defaultRowHeight="20.100000000000001" customHeight="1" x14ac:dyDescent="0.25"/>
  <cols>
    <col min="1" max="1" width="6" customWidth="1"/>
    <col min="2" max="2" width="34.28515625" bestFit="1" customWidth="1"/>
    <col min="3" max="3" width="8.85546875" customWidth="1"/>
    <col min="4" max="4" width="9.140625" bestFit="1" customWidth="1"/>
    <col min="5" max="5" width="11.5703125" bestFit="1" customWidth="1"/>
    <col min="6" max="6" width="12.85546875" bestFit="1" customWidth="1"/>
    <col min="7" max="7" width="13.5703125" bestFit="1" customWidth="1"/>
  </cols>
  <sheetData>
    <row r="2" ht="4.5" customHeight="1" x14ac:dyDescent="0.25"/>
    <row r="3" ht="15" x14ac:dyDescent="0.25"/>
    <row r="4" ht="15" x14ac:dyDescent="0.25"/>
    <row r="5" ht="15" x14ac:dyDescent="0.2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"/>
  <sheetViews>
    <sheetView zoomScale="145" zoomScaleNormal="145" workbookViewId="0"/>
  </sheetViews>
  <sheetFormatPr baseColWidth="10" defaultRowHeight="15" x14ac:dyDescent="0.25"/>
  <sheetData>
    <row r="1" spans="1:1" ht="33.75" x14ac:dyDescent="0.5">
      <c r="A1" s="188" t="s">
        <v>1126</v>
      </c>
    </row>
  </sheetData>
  <hyperlinks>
    <hyperlink ref="A1" r:id="rId1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14"/>
  <sheetViews>
    <sheetView zoomScale="150" zoomScaleNormal="150" workbookViewId="0">
      <selection activeCell="G5" sqref="G5"/>
    </sheetView>
  </sheetViews>
  <sheetFormatPr baseColWidth="10" defaultRowHeight="15" x14ac:dyDescent="0.25"/>
  <cols>
    <col min="5" max="5" width="2" customWidth="1"/>
  </cols>
  <sheetData>
    <row r="1" spans="1:8" x14ac:dyDescent="0.25">
      <c r="B1" s="242" t="s">
        <v>1183</v>
      </c>
      <c r="C1" s="242" t="s">
        <v>1184</v>
      </c>
      <c r="D1" s="242" t="s">
        <v>1185</v>
      </c>
    </row>
    <row r="2" spans="1:8" x14ac:dyDescent="0.25">
      <c r="A2" s="244" t="s">
        <v>1186</v>
      </c>
      <c r="B2" s="245">
        <v>1000</v>
      </c>
      <c r="C2" s="245">
        <v>2000</v>
      </c>
      <c r="D2" s="245">
        <f>+B2+C2</f>
        <v>3000</v>
      </c>
      <c r="F2" s="244" t="s">
        <v>1225</v>
      </c>
      <c r="G2" s="245">
        <v>4000</v>
      </c>
      <c r="H2" s="243"/>
    </row>
    <row r="3" spans="1:8" x14ac:dyDescent="0.25">
      <c r="A3" t="s">
        <v>995</v>
      </c>
      <c r="B3" s="245">
        <f>+B2*0.3</f>
        <v>300</v>
      </c>
      <c r="C3" s="245">
        <f>+D3-B3</f>
        <v>600</v>
      </c>
      <c r="D3" s="245">
        <f>+D2*0.3</f>
        <v>900</v>
      </c>
      <c r="F3" t="s">
        <v>1193</v>
      </c>
      <c r="G3" s="243">
        <f>+C2</f>
        <v>2000</v>
      </c>
    </row>
    <row r="4" spans="1:8" x14ac:dyDescent="0.25">
      <c r="F4" t="s">
        <v>1230</v>
      </c>
      <c r="G4" s="243">
        <v>1000</v>
      </c>
      <c r="H4" s="243"/>
    </row>
    <row r="5" spans="1:8" x14ac:dyDescent="0.25">
      <c r="A5" t="s">
        <v>1187</v>
      </c>
      <c r="B5">
        <v>400</v>
      </c>
      <c r="F5" s="244" t="s">
        <v>1226</v>
      </c>
      <c r="G5" s="245">
        <f>SUM(G2:G4)</f>
        <v>7000</v>
      </c>
      <c r="H5" s="245"/>
    </row>
    <row r="6" spans="1:8" x14ac:dyDescent="0.25">
      <c r="A6" t="s">
        <v>1188</v>
      </c>
      <c r="D6">
        <f>+B5*0.3</f>
        <v>120</v>
      </c>
      <c r="F6" s="244" t="s">
        <v>1227</v>
      </c>
      <c r="G6" s="244">
        <f>+G5*30%</f>
        <v>2100</v>
      </c>
      <c r="H6" s="244"/>
    </row>
    <row r="8" spans="1:8" x14ac:dyDescent="0.25">
      <c r="C8" t="s">
        <v>1191</v>
      </c>
      <c r="D8" t="s">
        <v>1192</v>
      </c>
    </row>
    <row r="9" spans="1:8" x14ac:dyDescent="0.25">
      <c r="A9">
        <v>371</v>
      </c>
      <c r="B9" t="s">
        <v>1189</v>
      </c>
      <c r="C9" s="243">
        <f>+C3</f>
        <v>600</v>
      </c>
      <c r="F9" t="s">
        <v>1225</v>
      </c>
      <c r="G9" s="243">
        <f>+G2</f>
        <v>4000</v>
      </c>
    </row>
    <row r="10" spans="1:8" x14ac:dyDescent="0.25">
      <c r="A10">
        <v>882</v>
      </c>
      <c r="B10" t="s">
        <v>1190</v>
      </c>
      <c r="D10" s="243">
        <f>+C9</f>
        <v>600</v>
      </c>
      <c r="F10" t="s">
        <v>1228</v>
      </c>
      <c r="G10" s="243">
        <f>-C12+D10</f>
        <v>-1500</v>
      </c>
    </row>
    <row r="11" spans="1:8" x14ac:dyDescent="0.25">
      <c r="F11" t="s">
        <v>1229</v>
      </c>
      <c r="G11" s="243">
        <f>+G9+G10</f>
        <v>2500</v>
      </c>
    </row>
    <row r="12" spans="1:8" x14ac:dyDescent="0.25">
      <c r="A12">
        <v>881</v>
      </c>
      <c r="C12">
        <f>+G6</f>
        <v>2100</v>
      </c>
      <c r="G12" s="249">
        <f>+-G10/G9</f>
        <v>0.375</v>
      </c>
    </row>
    <row r="13" spans="1:8" x14ac:dyDescent="0.25">
      <c r="A13">
        <v>4017</v>
      </c>
      <c r="D13" s="243">
        <f>+C12</f>
        <v>2100</v>
      </c>
    </row>
    <row r="14" spans="1:8" x14ac:dyDescent="0.25">
      <c r="D14" s="245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J25"/>
  <sheetViews>
    <sheetView zoomScale="115" zoomScaleNormal="115" workbookViewId="0">
      <selection activeCell="J21" sqref="J21"/>
    </sheetView>
  </sheetViews>
  <sheetFormatPr baseColWidth="10" defaultRowHeight="15" x14ac:dyDescent="0.25"/>
  <sheetData>
    <row r="1" spans="1:10" x14ac:dyDescent="0.25">
      <c r="A1" s="244" t="s">
        <v>1048</v>
      </c>
      <c r="B1" s="244" t="s">
        <v>1236</v>
      </c>
      <c r="C1" s="245">
        <v>800000</v>
      </c>
      <c r="D1" s="245"/>
      <c r="F1" s="268" t="s">
        <v>1197</v>
      </c>
      <c r="G1" s="267"/>
      <c r="H1" s="267"/>
      <c r="I1" s="270">
        <v>1000000</v>
      </c>
    </row>
    <row r="2" spans="1:10" x14ac:dyDescent="0.25">
      <c r="A2" s="244" t="s">
        <v>1048</v>
      </c>
      <c r="B2" s="244" t="s">
        <v>1236</v>
      </c>
      <c r="C2" s="245">
        <v>900000</v>
      </c>
      <c r="F2" s="268" t="s">
        <v>1215</v>
      </c>
      <c r="G2" s="267"/>
      <c r="H2" s="267"/>
      <c r="I2" s="270">
        <f>+-C16+D14</f>
        <v>-450000</v>
      </c>
    </row>
    <row r="3" spans="1:10" x14ac:dyDescent="0.25">
      <c r="A3" s="268" t="s">
        <v>1231</v>
      </c>
      <c r="B3" s="268" t="s">
        <v>1232</v>
      </c>
      <c r="C3" s="267"/>
      <c r="F3" s="268" t="s">
        <v>1199</v>
      </c>
      <c r="G3" s="267"/>
      <c r="H3" s="267"/>
      <c r="I3" s="270">
        <f>+I1+I2</f>
        <v>550000</v>
      </c>
    </row>
    <row r="4" spans="1:10" x14ac:dyDescent="0.25">
      <c r="A4" s="268" t="s">
        <v>1233</v>
      </c>
      <c r="B4" s="268"/>
      <c r="C4" s="270">
        <v>200000</v>
      </c>
      <c r="D4" s="245"/>
    </row>
    <row r="5" spans="1:10" x14ac:dyDescent="0.25">
      <c r="A5" s="267" t="s">
        <v>1234</v>
      </c>
      <c r="B5" s="267"/>
      <c r="C5" s="269">
        <v>400000</v>
      </c>
      <c r="D5" s="243"/>
    </row>
    <row r="6" spans="1:10" x14ac:dyDescent="0.25">
      <c r="A6" s="268" t="s">
        <v>1235</v>
      </c>
      <c r="B6" s="268"/>
      <c r="C6" s="270">
        <f>+C4+C5</f>
        <v>600000</v>
      </c>
      <c r="D6" s="245"/>
    </row>
    <row r="7" spans="1:10" ht="6" customHeight="1" x14ac:dyDescent="0.25"/>
    <row r="8" spans="1:10" x14ac:dyDescent="0.25">
      <c r="A8" s="244" t="s">
        <v>1237</v>
      </c>
      <c r="E8" s="266" t="s">
        <v>1217</v>
      </c>
      <c r="F8" s="266" t="s">
        <v>1218</v>
      </c>
      <c r="G8" s="266" t="s">
        <v>1219</v>
      </c>
      <c r="H8" s="266" t="s">
        <v>1219</v>
      </c>
    </row>
    <row r="9" spans="1:10" x14ac:dyDescent="0.25">
      <c r="A9" t="s">
        <v>1238</v>
      </c>
      <c r="E9" s="243">
        <f>+C1-C4</f>
        <v>600000</v>
      </c>
      <c r="F9" s="243">
        <f>+C1</f>
        <v>800000</v>
      </c>
      <c r="G9" s="243">
        <f>+F9-E9</f>
        <v>200000</v>
      </c>
      <c r="H9" s="243">
        <f>+G9*30%</f>
        <v>60000</v>
      </c>
      <c r="I9" t="s">
        <v>4</v>
      </c>
    </row>
    <row r="10" spans="1:10" x14ac:dyDescent="0.25">
      <c r="A10" t="s">
        <v>1239</v>
      </c>
      <c r="E10" s="243">
        <f>+C2-C6</f>
        <v>300000</v>
      </c>
      <c r="F10" s="243">
        <f>+C2</f>
        <v>900000</v>
      </c>
      <c r="G10" s="243">
        <f>+F10-E10</f>
        <v>600000</v>
      </c>
      <c r="H10" s="243">
        <f>+G10*30%</f>
        <v>180000</v>
      </c>
      <c r="I10" t="s">
        <v>4</v>
      </c>
    </row>
    <row r="11" spans="1:10" ht="3.75" customHeight="1" x14ac:dyDescent="0.25"/>
    <row r="12" spans="1:10" x14ac:dyDescent="0.25">
      <c r="C12" s="244" t="s">
        <v>2</v>
      </c>
      <c r="D12" s="244" t="s">
        <v>3</v>
      </c>
    </row>
    <row r="13" spans="1:10" x14ac:dyDescent="0.25">
      <c r="A13" t="s">
        <v>1170</v>
      </c>
      <c r="C13" s="243">
        <f>+H10-H9</f>
        <v>120000</v>
      </c>
      <c r="F13" s="268" t="s">
        <v>1197</v>
      </c>
      <c r="G13" s="267"/>
      <c r="H13" s="267"/>
      <c r="I13" s="270">
        <v>1000000</v>
      </c>
      <c r="J13" s="243">
        <f>+I13</f>
        <v>1000000</v>
      </c>
    </row>
    <row r="14" spans="1:10" x14ac:dyDescent="0.25">
      <c r="A14" t="s">
        <v>1240</v>
      </c>
      <c r="D14" s="243">
        <f>+C13</f>
        <v>120000</v>
      </c>
      <c r="F14" s="267"/>
      <c r="G14" s="267"/>
      <c r="H14" s="267"/>
      <c r="I14" s="267"/>
    </row>
    <row r="15" spans="1:10" x14ac:dyDescent="0.25">
      <c r="F15" s="267" t="s">
        <v>1241</v>
      </c>
      <c r="G15" s="267"/>
      <c r="H15" s="267"/>
      <c r="I15" s="269">
        <f>+C5</f>
        <v>400000</v>
      </c>
    </row>
    <row r="16" spans="1:10" x14ac:dyDescent="0.25">
      <c r="A16" t="s">
        <v>1161</v>
      </c>
      <c r="C16">
        <f>+I21</f>
        <v>570000</v>
      </c>
      <c r="F16" s="267"/>
      <c r="G16" s="267"/>
      <c r="H16" s="267"/>
      <c r="I16" s="267"/>
    </row>
    <row r="17" spans="1:10" x14ac:dyDescent="0.25">
      <c r="A17" t="s">
        <v>1244</v>
      </c>
      <c r="D17">
        <f>+C16</f>
        <v>570000</v>
      </c>
      <c r="F17" s="267" t="s">
        <v>1242</v>
      </c>
      <c r="G17" s="267"/>
      <c r="H17" s="267"/>
      <c r="I17" s="269">
        <v>500000</v>
      </c>
      <c r="J17" s="243">
        <f>+I17</f>
        <v>500000</v>
      </c>
    </row>
    <row r="18" spans="1:10" x14ac:dyDescent="0.25">
      <c r="F18" s="267"/>
      <c r="G18" s="267"/>
      <c r="H18" s="267"/>
      <c r="I18" s="267"/>
    </row>
    <row r="19" spans="1:10" x14ac:dyDescent="0.25">
      <c r="F19" s="268" t="s">
        <v>1243</v>
      </c>
      <c r="G19" s="267"/>
      <c r="H19" s="267"/>
      <c r="I19" s="270">
        <f>SUM(I13:I18)</f>
        <v>1900000</v>
      </c>
      <c r="J19" s="243">
        <f>+J13+J17</f>
        <v>1500000</v>
      </c>
    </row>
    <row r="20" spans="1:10" x14ac:dyDescent="0.25">
      <c r="F20" s="267"/>
      <c r="G20" s="267"/>
      <c r="H20" s="267"/>
      <c r="I20" s="267"/>
    </row>
    <row r="21" spans="1:10" x14ac:dyDescent="0.25">
      <c r="F21" s="268" t="s">
        <v>1215</v>
      </c>
      <c r="G21" s="268"/>
      <c r="H21" s="268"/>
      <c r="I21" s="270">
        <f>+I19*0.3</f>
        <v>570000</v>
      </c>
      <c r="J21" s="270">
        <f>+J19*0.3</f>
        <v>450000</v>
      </c>
    </row>
    <row r="22" spans="1:10" x14ac:dyDescent="0.25">
      <c r="F22" s="267"/>
      <c r="G22" s="267"/>
      <c r="H22" s="267"/>
      <c r="I22" s="267"/>
    </row>
    <row r="23" spans="1:10" x14ac:dyDescent="0.25">
      <c r="F23" s="267"/>
      <c r="G23" s="267"/>
      <c r="H23" s="267"/>
      <c r="I23" s="267"/>
    </row>
    <row r="24" spans="1:10" x14ac:dyDescent="0.25">
      <c r="F24" s="267"/>
      <c r="G24" s="267"/>
      <c r="H24" s="267"/>
      <c r="I24" s="267"/>
    </row>
    <row r="25" spans="1:10" x14ac:dyDescent="0.25">
      <c r="F25" s="267"/>
      <c r="G25" s="267"/>
      <c r="H25" s="267"/>
      <c r="I25" s="2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J20"/>
  <sheetViews>
    <sheetView zoomScale="120" zoomScaleNormal="12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7" sqref="B17"/>
    </sheetView>
  </sheetViews>
  <sheetFormatPr baseColWidth="10" defaultRowHeight="15" x14ac:dyDescent="0.25"/>
  <cols>
    <col min="1" max="1" width="20.85546875" style="114" customWidth="1"/>
    <col min="2" max="2" width="9.7109375" style="114" bestFit="1" customWidth="1"/>
    <col min="3" max="3" width="9" style="114" customWidth="1"/>
    <col min="4" max="4" width="9.7109375" style="114" bestFit="1" customWidth="1"/>
    <col min="5" max="5" width="3.42578125" customWidth="1"/>
    <col min="6" max="6" width="14.42578125" customWidth="1"/>
    <col min="9" max="9" width="1.140625" customWidth="1"/>
  </cols>
  <sheetData>
    <row r="1" spans="1:10" ht="3.75" customHeight="1" x14ac:dyDescent="0.25"/>
    <row r="2" spans="1:10" s="115" customFormat="1" ht="12.75" x14ac:dyDescent="0.2">
      <c r="A2" s="238" t="s">
        <v>1179</v>
      </c>
      <c r="B2" s="239"/>
      <c r="C2" s="239"/>
      <c r="D2" s="239"/>
    </row>
    <row r="3" spans="1:10" s="115" customFormat="1" ht="12.75" x14ac:dyDescent="0.2">
      <c r="A3" s="120"/>
      <c r="B3" s="227" t="s">
        <v>908</v>
      </c>
      <c r="C3" s="125" t="s">
        <v>1140</v>
      </c>
      <c r="D3" s="227" t="s">
        <v>908</v>
      </c>
      <c r="F3" s="115" t="s">
        <v>1225</v>
      </c>
      <c r="H3" s="272">
        <v>1000000</v>
      </c>
      <c r="J3" s="276">
        <f>+H3</f>
        <v>1000000</v>
      </c>
    </row>
    <row r="4" spans="1:10" s="115" customFormat="1" ht="12.75" x14ac:dyDescent="0.2">
      <c r="A4" s="117" t="s">
        <v>928</v>
      </c>
      <c r="B4" s="227" t="s">
        <v>910</v>
      </c>
      <c r="C4" s="125" t="s">
        <v>1137</v>
      </c>
      <c r="D4" s="227" t="s">
        <v>910</v>
      </c>
      <c r="J4" s="246"/>
    </row>
    <row r="5" spans="1:10" s="115" customFormat="1" ht="12.75" x14ac:dyDescent="0.2">
      <c r="A5" s="117" t="s">
        <v>1220</v>
      </c>
      <c r="B5" s="228">
        <v>100000</v>
      </c>
      <c r="C5" s="120">
        <f>+D5-B5</f>
        <v>300000</v>
      </c>
      <c r="D5" s="228">
        <v>400000</v>
      </c>
      <c r="J5" s="246"/>
    </row>
    <row r="6" spans="1:10" s="115" customFormat="1" ht="12.75" x14ac:dyDescent="0.2">
      <c r="A6" s="117" t="s">
        <v>1174</v>
      </c>
      <c r="B6" s="228">
        <v>10000</v>
      </c>
      <c r="C6" s="120">
        <f>+D6-B6</f>
        <v>12000</v>
      </c>
      <c r="D6" s="228">
        <v>22000</v>
      </c>
      <c r="F6" s="115" t="s">
        <v>1246</v>
      </c>
      <c r="H6" s="256">
        <f>C8</f>
        <v>327000</v>
      </c>
      <c r="J6" s="246"/>
    </row>
    <row r="7" spans="1:10" s="115" customFormat="1" ht="13.5" thickBot="1" x14ac:dyDescent="0.25">
      <c r="A7" s="117" t="s">
        <v>1175</v>
      </c>
      <c r="B7" s="228">
        <v>30000</v>
      </c>
      <c r="C7" s="120">
        <f>+D7-B7</f>
        <v>15000</v>
      </c>
      <c r="D7" s="228">
        <v>45000</v>
      </c>
      <c r="J7" s="246"/>
    </row>
    <row r="8" spans="1:10" s="115" customFormat="1" ht="13.5" thickBot="1" x14ac:dyDescent="0.25">
      <c r="A8" s="120"/>
      <c r="B8" s="229">
        <f t="shared" ref="B8:D8" si="0">SUM(B5:B7)</f>
        <v>140000</v>
      </c>
      <c r="C8" s="226">
        <f t="shared" si="0"/>
        <v>327000</v>
      </c>
      <c r="D8" s="229">
        <f t="shared" si="0"/>
        <v>467000</v>
      </c>
      <c r="F8" s="115" t="s">
        <v>1247</v>
      </c>
      <c r="H8" s="272">
        <v>500000</v>
      </c>
      <c r="J8" s="276">
        <f>+H8</f>
        <v>500000</v>
      </c>
    </row>
    <row r="9" spans="1:10" s="115" customFormat="1" ht="13.5" thickBot="1" x14ac:dyDescent="0.25">
      <c r="A9" s="117" t="s">
        <v>1142</v>
      </c>
      <c r="B9" s="271">
        <f>+B8*30%</f>
        <v>42000</v>
      </c>
      <c r="C9" s="120"/>
      <c r="D9" s="271">
        <f>+D8*30%</f>
        <v>140100</v>
      </c>
    </row>
    <row r="10" spans="1:10" ht="15.75" thickBot="1" x14ac:dyDescent="0.3">
      <c r="D10" s="271">
        <f>+D9-B9</f>
        <v>98100</v>
      </c>
      <c r="F10" t="s">
        <v>1248</v>
      </c>
      <c r="H10" s="243">
        <f>SUM(H3:H9)</f>
        <v>1827000</v>
      </c>
    </row>
    <row r="11" spans="1:10" x14ac:dyDescent="0.25">
      <c r="F11" s="115" t="s">
        <v>1249</v>
      </c>
      <c r="H11" s="243">
        <f>+H10*30%</f>
        <v>548100</v>
      </c>
    </row>
    <row r="12" spans="1:10" x14ac:dyDescent="0.25">
      <c r="A12" s="114" t="s">
        <v>1170</v>
      </c>
      <c r="B12" s="114">
        <f>+D10</f>
        <v>98100</v>
      </c>
    </row>
    <row r="13" spans="1:10" x14ac:dyDescent="0.25">
      <c r="A13" s="114" t="s">
        <v>1245</v>
      </c>
      <c r="C13" s="114">
        <f>+B12</f>
        <v>98100</v>
      </c>
      <c r="F13" s="228"/>
      <c r="G13" s="228"/>
      <c r="H13" s="228"/>
    </row>
    <row r="14" spans="1:10" x14ac:dyDescent="0.25">
      <c r="F14" t="s">
        <v>1194</v>
      </c>
    </row>
    <row r="15" spans="1:10" x14ac:dyDescent="0.25">
      <c r="A15" s="114" t="s">
        <v>1250</v>
      </c>
      <c r="B15" s="114">
        <f>+H11</f>
        <v>548100</v>
      </c>
      <c r="F15" t="s">
        <v>1195</v>
      </c>
    </row>
    <row r="16" spans="1:10" x14ac:dyDescent="0.25">
      <c r="A16" s="114" t="s">
        <v>1244</v>
      </c>
      <c r="C16" s="114">
        <f>+B15</f>
        <v>548100</v>
      </c>
      <c r="F16" t="s">
        <v>1213</v>
      </c>
    </row>
    <row r="17" spans="6:10" x14ac:dyDescent="0.25">
      <c r="F17" t="s">
        <v>1213</v>
      </c>
      <c r="H17" s="273"/>
    </row>
    <row r="18" spans="6:10" x14ac:dyDescent="0.25">
      <c r="F18" t="s">
        <v>1214</v>
      </c>
      <c r="H18" s="243">
        <f>H3</f>
        <v>1000000</v>
      </c>
      <c r="J18" s="243">
        <f>+J3+J8</f>
        <v>1500000</v>
      </c>
    </row>
    <row r="19" spans="6:10" x14ac:dyDescent="0.25">
      <c r="F19" t="s">
        <v>1251</v>
      </c>
      <c r="H19" s="275">
        <f>-B15+C13</f>
        <v>-450000</v>
      </c>
      <c r="J19" s="275">
        <f>+J18*0.3</f>
        <v>450000</v>
      </c>
    </row>
    <row r="20" spans="6:10" x14ac:dyDescent="0.25">
      <c r="F20" t="s">
        <v>1199</v>
      </c>
      <c r="H20" s="274">
        <f>+H18+H19</f>
        <v>550000</v>
      </c>
    </row>
  </sheetData>
  <pageMargins left="0.56999999999999995" right="0.39370078740157483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21"/>
  <sheetViews>
    <sheetView workbookViewId="0">
      <selection activeCell="C14" sqref="C14"/>
    </sheetView>
  </sheetViews>
  <sheetFormatPr baseColWidth="10" defaultRowHeight="15" x14ac:dyDescent="0.25"/>
  <sheetData>
    <row r="1" spans="1:9" x14ac:dyDescent="0.25">
      <c r="A1" s="238" t="s">
        <v>1179</v>
      </c>
      <c r="B1" s="239"/>
      <c r="C1" s="239"/>
      <c r="D1" s="239"/>
      <c r="E1" s="115"/>
      <c r="F1" s="115"/>
      <c r="G1" s="115"/>
      <c r="H1" s="115"/>
      <c r="I1" s="115"/>
    </row>
    <row r="2" spans="1:9" x14ac:dyDescent="0.25">
      <c r="A2" s="120"/>
      <c r="B2" s="227" t="s">
        <v>908</v>
      </c>
      <c r="C2" s="125" t="s">
        <v>1140</v>
      </c>
      <c r="D2" s="227" t="s">
        <v>908</v>
      </c>
      <c r="E2" s="115"/>
      <c r="F2" s="115" t="s">
        <v>1225</v>
      </c>
      <c r="G2" s="115"/>
      <c r="H2" s="272">
        <v>2000000</v>
      </c>
      <c r="I2" s="272">
        <f>+H2*30%</f>
        <v>600000</v>
      </c>
    </row>
    <row r="3" spans="1:9" x14ac:dyDescent="0.25">
      <c r="A3" s="117" t="s">
        <v>928</v>
      </c>
      <c r="B3" s="227" t="s">
        <v>910</v>
      </c>
      <c r="C3" s="125" t="s">
        <v>1137</v>
      </c>
      <c r="D3" s="227" t="s">
        <v>910</v>
      </c>
      <c r="E3" s="115"/>
      <c r="F3" s="115"/>
      <c r="G3" s="115"/>
      <c r="H3" s="115"/>
      <c r="I3" s="115"/>
    </row>
    <row r="4" spans="1:9" x14ac:dyDescent="0.25">
      <c r="A4" s="117" t="s">
        <v>1220</v>
      </c>
      <c r="B4" s="228">
        <f>+'LOGICA (2)'!D5</f>
        <v>400000</v>
      </c>
      <c r="C4" s="120">
        <f>+D4-B4</f>
        <v>200000</v>
      </c>
      <c r="D4" s="228">
        <v>600000</v>
      </c>
      <c r="E4" s="115"/>
      <c r="F4" s="115"/>
      <c r="G4" s="115"/>
      <c r="H4" s="115"/>
      <c r="I4" s="115"/>
    </row>
    <row r="5" spans="1:9" x14ac:dyDescent="0.25">
      <c r="A5" s="117" t="s">
        <v>1174</v>
      </c>
      <c r="B5" s="228">
        <f>+'LOGICA (2)'!D6</f>
        <v>22000</v>
      </c>
      <c r="C5" s="120">
        <f>+D5-B5</f>
        <v>-12000</v>
      </c>
      <c r="D5" s="228">
        <v>10000</v>
      </c>
      <c r="E5" s="115"/>
      <c r="F5" s="115" t="s">
        <v>1246</v>
      </c>
      <c r="G5" s="115"/>
      <c r="H5" s="256">
        <f>+C7</f>
        <v>168000</v>
      </c>
      <c r="I5" s="279">
        <f>+H5*30%</f>
        <v>50400</v>
      </c>
    </row>
    <row r="6" spans="1:9" ht="15.75" thickBot="1" x14ac:dyDescent="0.3">
      <c r="A6" s="117" t="s">
        <v>1175</v>
      </c>
      <c r="B6" s="228">
        <f>+'LOGICA (2)'!D7</f>
        <v>45000</v>
      </c>
      <c r="C6" s="120">
        <f>+D6-B6</f>
        <v>-20000</v>
      </c>
      <c r="D6" s="228">
        <v>25000</v>
      </c>
      <c r="E6" s="115"/>
      <c r="F6" s="115"/>
      <c r="G6" s="115"/>
      <c r="H6" s="115"/>
      <c r="I6" s="115"/>
    </row>
    <row r="7" spans="1:9" ht="15.75" thickBot="1" x14ac:dyDescent="0.3">
      <c r="A7" s="120"/>
      <c r="B7" s="229">
        <f t="shared" ref="B7:D7" si="0">SUM(B4:B6)</f>
        <v>467000</v>
      </c>
      <c r="C7" s="226">
        <f t="shared" si="0"/>
        <v>168000</v>
      </c>
      <c r="D7" s="229">
        <f t="shared" si="0"/>
        <v>635000</v>
      </c>
      <c r="E7" s="115"/>
      <c r="F7" s="246" t="s">
        <v>1247</v>
      </c>
      <c r="G7" s="246"/>
      <c r="H7" s="276">
        <v>800000</v>
      </c>
      <c r="I7" s="272">
        <f>+H7*30%</f>
        <v>240000</v>
      </c>
    </row>
    <row r="8" spans="1:9" ht="15.75" thickBot="1" x14ac:dyDescent="0.3">
      <c r="A8" s="117" t="s">
        <v>1142</v>
      </c>
      <c r="B8" s="271">
        <f>+B7*30%</f>
        <v>140100</v>
      </c>
      <c r="C8" s="120"/>
      <c r="D8" s="271">
        <f>+D7*30%</f>
        <v>190500</v>
      </c>
      <c r="E8" s="115"/>
      <c r="F8" s="115"/>
      <c r="G8" s="115"/>
      <c r="H8" s="115"/>
      <c r="I8" s="115"/>
    </row>
    <row r="9" spans="1:9" ht="15.75" thickBot="1" x14ac:dyDescent="0.3">
      <c r="A9" s="114"/>
      <c r="B9" s="114"/>
      <c r="C9" s="114"/>
      <c r="D9" s="271">
        <f>+D8-B8</f>
        <v>50400</v>
      </c>
      <c r="F9" t="s">
        <v>1248</v>
      </c>
      <c r="H9" s="243">
        <f>SUM(H2:H8)</f>
        <v>2968000</v>
      </c>
      <c r="I9" s="245">
        <f>SUM(I2:I8)</f>
        <v>890400</v>
      </c>
    </row>
    <row r="10" spans="1:9" x14ac:dyDescent="0.25">
      <c r="A10" s="114"/>
      <c r="B10" s="114"/>
      <c r="C10" s="114"/>
      <c r="D10" s="114"/>
      <c r="F10" s="246" t="s">
        <v>1249</v>
      </c>
      <c r="G10" s="244"/>
      <c r="H10" s="245">
        <f>+H9*30%</f>
        <v>890400</v>
      </c>
    </row>
    <row r="11" spans="1:9" x14ac:dyDescent="0.25">
      <c r="A11" s="277" t="s">
        <v>1170</v>
      </c>
      <c r="B11" s="277"/>
      <c r="C11" s="277">
        <f>+D9</f>
        <v>50400</v>
      </c>
      <c r="D11" s="277"/>
    </row>
    <row r="12" spans="1:9" x14ac:dyDescent="0.25">
      <c r="A12" s="277" t="s">
        <v>1245</v>
      </c>
      <c r="B12" s="277"/>
      <c r="C12" s="277"/>
      <c r="D12" s="278">
        <f>+C11</f>
        <v>50400</v>
      </c>
      <c r="F12" s="228"/>
      <c r="G12" s="228"/>
      <c r="H12" s="228"/>
    </row>
    <row r="13" spans="1:9" x14ac:dyDescent="0.25">
      <c r="A13" s="114"/>
      <c r="B13" s="114"/>
      <c r="C13" s="114"/>
      <c r="D13" s="114"/>
      <c r="F13" t="s">
        <v>1194</v>
      </c>
    </row>
    <row r="14" spans="1:9" x14ac:dyDescent="0.25">
      <c r="A14" s="114" t="s">
        <v>1250</v>
      </c>
      <c r="B14" s="114"/>
      <c r="C14" s="114">
        <f>+H10</f>
        <v>890400</v>
      </c>
      <c r="D14" s="114"/>
      <c r="F14" t="s">
        <v>1195</v>
      </c>
    </row>
    <row r="15" spans="1:9" x14ac:dyDescent="0.25">
      <c r="A15" s="114" t="s">
        <v>1244</v>
      </c>
      <c r="B15" s="114"/>
      <c r="C15" s="114"/>
      <c r="D15" s="114">
        <f>+C14</f>
        <v>890400</v>
      </c>
      <c r="F15" t="s">
        <v>1213</v>
      </c>
    </row>
    <row r="16" spans="1:9" x14ac:dyDescent="0.25">
      <c r="A16" s="114"/>
      <c r="B16" s="114"/>
      <c r="C16" s="114"/>
      <c r="D16" s="114"/>
      <c r="F16" t="s">
        <v>1213</v>
      </c>
      <c r="H16" s="273"/>
    </row>
    <row r="17" spans="1:10" x14ac:dyDescent="0.25">
      <c r="A17" s="114"/>
      <c r="B17" s="114"/>
      <c r="C17" s="114"/>
      <c r="D17" s="114"/>
      <c r="F17" t="s">
        <v>1214</v>
      </c>
      <c r="H17" s="243">
        <f>H2</f>
        <v>2000000</v>
      </c>
      <c r="J17" s="243"/>
    </row>
    <row r="18" spans="1:10" x14ac:dyDescent="0.25">
      <c r="A18" s="114"/>
      <c r="B18" s="114"/>
      <c r="C18" s="114"/>
      <c r="D18" s="114"/>
      <c r="F18" t="s">
        <v>1251</v>
      </c>
      <c r="H18" s="275">
        <f>-C14+D12</f>
        <v>-840000</v>
      </c>
    </row>
    <row r="19" spans="1:10" x14ac:dyDescent="0.25">
      <c r="A19" s="114"/>
      <c r="B19" s="114"/>
      <c r="C19" s="114"/>
      <c r="D19" s="114"/>
      <c r="F19" t="s">
        <v>1199</v>
      </c>
      <c r="H19" s="274">
        <f>+H17+H18</f>
        <v>1160000</v>
      </c>
    </row>
    <row r="20" spans="1:10" x14ac:dyDescent="0.25">
      <c r="A20" s="114"/>
      <c r="B20" s="114"/>
      <c r="C20" s="114"/>
      <c r="D20" s="114"/>
      <c r="F20" s="244" t="s">
        <v>1216</v>
      </c>
      <c r="H20" s="249">
        <f>-H18/H17</f>
        <v>0.42</v>
      </c>
    </row>
    <row r="21" spans="1:10" x14ac:dyDescent="0.25">
      <c r="A21" s="114"/>
      <c r="B21" s="114"/>
      <c r="C21" s="114"/>
      <c r="D21" s="1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N19"/>
  <sheetViews>
    <sheetView zoomScale="120" zoomScaleNormal="120" workbookViewId="0">
      <pane xSplit="2" ySplit="1" topLeftCell="E2" activePane="bottomRight" state="frozen"/>
      <selection pane="topRight" activeCell="C1" sqref="C1"/>
      <selection pane="bottomLeft" activeCell="A3" sqref="A3"/>
      <selection pane="bottomRight" activeCell="M1" sqref="M1:M1048576"/>
    </sheetView>
  </sheetViews>
  <sheetFormatPr baseColWidth="10" defaultRowHeight="15" x14ac:dyDescent="0.25"/>
  <cols>
    <col min="1" max="1" width="17.5703125" style="114" customWidth="1"/>
    <col min="2" max="2" width="0.85546875" style="114" customWidth="1"/>
    <col min="3" max="4" width="10" style="114" customWidth="1"/>
    <col min="5" max="5" width="11" style="114" customWidth="1"/>
    <col min="6" max="6" width="11.140625" style="114" customWidth="1"/>
    <col min="7" max="7" width="0.85546875" style="114" customWidth="1"/>
    <col min="8" max="8" width="21.5703125" style="114" bestFit="1" customWidth="1"/>
    <col min="9" max="11" width="9.7109375" style="114" bestFit="1" customWidth="1"/>
    <col min="12" max="12" width="0.85546875" style="114" hidden="1" customWidth="1"/>
    <col min="13" max="13" width="9.7109375" style="114" bestFit="1" customWidth="1"/>
    <col min="14" max="14" width="1.140625" customWidth="1"/>
  </cols>
  <sheetData>
    <row r="1" spans="1:14" s="115" customFormat="1" x14ac:dyDescent="0.25">
      <c r="A1" s="117"/>
      <c r="B1" s="121"/>
      <c r="C1" s="122">
        <v>2011</v>
      </c>
      <c r="D1" s="122">
        <f>+C1+1</f>
        <v>2012</v>
      </c>
      <c r="E1" s="122">
        <f>+D1+1</f>
        <v>2013</v>
      </c>
      <c r="F1" s="122">
        <f t="shared" ref="F1" si="0">+E1+1</f>
        <v>2014</v>
      </c>
      <c r="G1" s="135"/>
      <c r="H1" s="117" t="s">
        <v>1047</v>
      </c>
      <c r="I1" s="122">
        <v>2011</v>
      </c>
      <c r="J1" s="122">
        <f>+I1+1</f>
        <v>2012</v>
      </c>
      <c r="K1" s="122">
        <f t="shared" ref="K1" si="1">+J1+1</f>
        <v>2013</v>
      </c>
      <c r="L1" s="121"/>
      <c r="M1" s="122">
        <f>+K1+1</f>
        <v>2014</v>
      </c>
      <c r="N1" s="204"/>
    </row>
    <row r="2" spans="1:14" s="115" customFormat="1" x14ac:dyDescent="0.25">
      <c r="A2" s="117" t="s">
        <v>1048</v>
      </c>
      <c r="B2" s="118"/>
      <c r="C2" s="120">
        <v>300000</v>
      </c>
      <c r="D2" s="120">
        <v>500000</v>
      </c>
      <c r="E2" s="120">
        <v>600000</v>
      </c>
      <c r="F2" s="120">
        <v>700000</v>
      </c>
      <c r="G2" s="136"/>
      <c r="H2" s="117" t="s">
        <v>1049</v>
      </c>
      <c r="I2" s="117">
        <v>900000</v>
      </c>
      <c r="J2" s="117">
        <v>1000000</v>
      </c>
      <c r="K2" s="117">
        <v>1200000</v>
      </c>
      <c r="L2" s="121"/>
      <c r="M2" s="117">
        <v>1300000</v>
      </c>
      <c r="N2" s="204"/>
    </row>
    <row r="3" spans="1:14" s="115" customFormat="1" x14ac:dyDescent="0.25">
      <c r="A3" s="117" t="s">
        <v>1050</v>
      </c>
      <c r="B3" s="121"/>
      <c r="C3" s="121">
        <f>-C9</f>
        <v>-100000</v>
      </c>
      <c r="D3" s="121">
        <f>-D9</f>
        <v>-399978</v>
      </c>
      <c r="E3" s="121">
        <f>-E9</f>
        <v>-299978</v>
      </c>
      <c r="F3" s="121">
        <f>-F9</f>
        <v>0</v>
      </c>
      <c r="G3" s="135"/>
      <c r="H3" s="117" t="s">
        <v>1051</v>
      </c>
      <c r="I3" s="117"/>
      <c r="J3" s="117"/>
      <c r="K3" s="117"/>
      <c r="L3" s="121"/>
      <c r="M3" s="117"/>
      <c r="N3" s="204"/>
    </row>
    <row r="4" spans="1:14" s="115" customFormat="1" ht="15.75" thickBot="1" x14ac:dyDescent="0.3">
      <c r="A4" s="117" t="s">
        <v>927</v>
      </c>
      <c r="B4" s="121"/>
      <c r="C4" s="116">
        <f>+C2+C3</f>
        <v>200000</v>
      </c>
      <c r="D4" s="116">
        <f>+D2+D3</f>
        <v>100022</v>
      </c>
      <c r="E4" s="116">
        <f>+E2+E3</f>
        <v>300022</v>
      </c>
      <c r="F4" s="116">
        <f>+F2+F3</f>
        <v>700000</v>
      </c>
      <c r="G4" s="135"/>
      <c r="H4" s="205" t="s">
        <v>1052</v>
      </c>
      <c r="I4" s="206">
        <f>+C7+C8</f>
        <v>100000</v>
      </c>
      <c r="J4" s="206">
        <f>+D7+D8</f>
        <v>299978</v>
      </c>
      <c r="K4" s="206">
        <f>+E7+E8</f>
        <v>-100000</v>
      </c>
      <c r="L4" s="207"/>
      <c r="M4" s="206">
        <f>+F7</f>
        <v>-299978</v>
      </c>
      <c r="N4" s="204"/>
    </row>
    <row r="5" spans="1:14" s="115" customFormat="1" x14ac:dyDescent="0.25">
      <c r="A5" s="117" t="s">
        <v>1053</v>
      </c>
      <c r="B5" s="121"/>
      <c r="C5" s="120"/>
      <c r="D5" s="120"/>
      <c r="E5" s="120"/>
      <c r="F5" s="120"/>
      <c r="G5" s="135"/>
      <c r="H5" s="134" t="s">
        <v>1054</v>
      </c>
      <c r="I5" s="124">
        <v>300000</v>
      </c>
      <c r="J5" s="124">
        <v>500000</v>
      </c>
      <c r="K5" s="124">
        <v>800000</v>
      </c>
      <c r="L5" s="121"/>
      <c r="M5" s="124">
        <v>300000</v>
      </c>
      <c r="N5" s="204"/>
    </row>
    <row r="6" spans="1:14" s="115" customFormat="1" x14ac:dyDescent="0.25">
      <c r="A6" s="123" t="s">
        <v>1055</v>
      </c>
      <c r="B6" s="121"/>
      <c r="C6" s="123">
        <v>0</v>
      </c>
      <c r="D6" s="123">
        <f>+C9</f>
        <v>100000</v>
      </c>
      <c r="E6" s="123">
        <f t="shared" ref="E6" si="2">+D9</f>
        <v>399978</v>
      </c>
      <c r="F6" s="123">
        <f>+E9</f>
        <v>299978</v>
      </c>
      <c r="G6" s="135"/>
      <c r="H6" s="120"/>
      <c r="I6" s="120"/>
      <c r="J6" s="120"/>
      <c r="K6" s="120"/>
      <c r="L6" s="121"/>
      <c r="M6" s="120"/>
      <c r="N6" s="204"/>
    </row>
    <row r="7" spans="1:14" s="115" customFormat="1" x14ac:dyDescent="0.25">
      <c r="A7" s="124" t="s">
        <v>1056</v>
      </c>
      <c r="B7" s="121"/>
      <c r="C7" s="120">
        <v>100000</v>
      </c>
      <c r="D7" s="121">
        <v>299978</v>
      </c>
      <c r="E7" s="121">
        <v>-100000</v>
      </c>
      <c r="F7" s="121">
        <f>-F6</f>
        <v>-299978</v>
      </c>
      <c r="G7" s="135"/>
      <c r="H7" s="138" t="s">
        <v>1057</v>
      </c>
      <c r="I7" s="138">
        <f>SUM(I2:I6)</f>
        <v>1300000</v>
      </c>
      <c r="J7" s="138">
        <f>SUM(J2:J6)</f>
        <v>1799978</v>
      </c>
      <c r="K7" s="138">
        <f>SUM(K2:K6)</f>
        <v>1900000</v>
      </c>
      <c r="L7" s="139"/>
      <c r="M7" s="138">
        <f>SUM(M2:M6)</f>
        <v>1300022</v>
      </c>
      <c r="N7" s="204"/>
    </row>
    <row r="8" spans="1:14" s="115" customFormat="1" x14ac:dyDescent="0.25">
      <c r="A8" s="120" t="s">
        <v>1058</v>
      </c>
      <c r="B8" s="121"/>
      <c r="C8" s="120">
        <v>0</v>
      </c>
      <c r="D8" s="120"/>
      <c r="E8" s="121"/>
      <c r="F8" s="121"/>
      <c r="G8" s="135"/>
      <c r="H8" s="120"/>
      <c r="I8" s="120"/>
      <c r="J8" s="120"/>
      <c r="K8" s="120"/>
      <c r="L8" s="121"/>
      <c r="M8" s="120"/>
      <c r="N8" s="204"/>
    </row>
    <row r="9" spans="1:14" s="115" customFormat="1" x14ac:dyDescent="0.25">
      <c r="A9" s="123" t="s">
        <v>1060</v>
      </c>
      <c r="B9" s="121"/>
      <c r="C9" s="123">
        <f>+SUM(C6:C8)</f>
        <v>100000</v>
      </c>
      <c r="D9" s="123">
        <f>+SUM(D6:D8)</f>
        <v>399978</v>
      </c>
      <c r="E9" s="123">
        <f>+SUM(E6:E8)</f>
        <v>299978</v>
      </c>
      <c r="F9" s="123">
        <f>+SUM(F6:F8)</f>
        <v>0</v>
      </c>
      <c r="G9" s="135"/>
      <c r="H9" s="138" t="s">
        <v>1059</v>
      </c>
      <c r="I9" s="138">
        <f>+I7*30%</f>
        <v>390000</v>
      </c>
      <c r="J9" s="138">
        <f>+J7*30%</f>
        <v>539993.4</v>
      </c>
      <c r="K9" s="138">
        <f>+K7*30%</f>
        <v>570000</v>
      </c>
      <c r="L9" s="139"/>
      <c r="M9" s="138">
        <f>+M7*30%</f>
        <v>390006.6</v>
      </c>
      <c r="N9" s="204"/>
    </row>
    <row r="10" spans="1:14" ht="5.25" customHeight="1" x14ac:dyDescent="0.25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</row>
    <row r="11" spans="1:14" s="115" customFormat="1" x14ac:dyDescent="0.25">
      <c r="A11" s="120" t="s">
        <v>1043</v>
      </c>
      <c r="B11" s="121"/>
      <c r="C11" s="120">
        <f>+C4</f>
        <v>200000</v>
      </c>
      <c r="D11" s="120">
        <f>+D4</f>
        <v>100022</v>
      </c>
      <c r="E11" s="120">
        <f>+E4</f>
        <v>300022</v>
      </c>
      <c r="F11" s="120">
        <f>+F4</f>
        <v>700000</v>
      </c>
      <c r="G11" s="135"/>
      <c r="H11" s="137"/>
      <c r="I11" s="137"/>
      <c r="J11" s="137"/>
      <c r="K11" s="137"/>
      <c r="L11" s="137"/>
      <c r="M11" s="137"/>
      <c r="N11" s="204"/>
    </row>
    <row r="12" spans="1:14" s="115" customFormat="1" x14ac:dyDescent="0.25">
      <c r="A12" s="120" t="s">
        <v>1045</v>
      </c>
      <c r="B12" s="121"/>
      <c r="C12" s="120">
        <f>+C2</f>
        <v>300000</v>
      </c>
      <c r="D12" s="120">
        <f>+D2</f>
        <v>500000</v>
      </c>
      <c r="E12" s="120">
        <f>+E2</f>
        <v>600000</v>
      </c>
      <c r="F12" s="120">
        <f>+F2</f>
        <v>700000</v>
      </c>
      <c r="G12" s="135"/>
      <c r="H12" s="137" t="s">
        <v>1163</v>
      </c>
      <c r="I12" s="234">
        <f>+I18+C17</f>
        <v>-360000</v>
      </c>
      <c r="J12" s="234">
        <f>+J18+D17</f>
        <v>-450000</v>
      </c>
      <c r="K12" s="234">
        <f>+K18+E17</f>
        <v>-600000</v>
      </c>
      <c r="L12" s="137"/>
      <c r="M12" s="234">
        <f>+M18+F17</f>
        <v>-480000</v>
      </c>
      <c r="N12" s="204"/>
    </row>
    <row r="13" spans="1:14" s="115" customFormat="1" x14ac:dyDescent="0.25">
      <c r="A13" s="208" t="s">
        <v>1063</v>
      </c>
      <c r="B13" s="209"/>
      <c r="C13" s="208">
        <f>+C12-C11</f>
        <v>100000</v>
      </c>
      <c r="D13" s="208">
        <f>+D12-D11</f>
        <v>399978</v>
      </c>
      <c r="E13" s="208">
        <f>+E12-E11</f>
        <v>299978</v>
      </c>
      <c r="F13" s="208">
        <f>+F12-F11</f>
        <v>0</v>
      </c>
      <c r="G13" s="135"/>
      <c r="H13" s="137" t="s">
        <v>1164</v>
      </c>
      <c r="I13" s="236">
        <f>+I2+I12</f>
        <v>540000</v>
      </c>
      <c r="J13" s="236">
        <f>+J2+J12</f>
        <v>550000</v>
      </c>
      <c r="K13" s="236">
        <f>+K2+K12</f>
        <v>600000</v>
      </c>
      <c r="L13" s="137"/>
      <c r="M13" s="236">
        <f>+M2+M12</f>
        <v>820000</v>
      </c>
      <c r="N13" s="204"/>
    </row>
    <row r="14" spans="1:14" s="115" customFormat="1" ht="15.75" thickBot="1" x14ac:dyDescent="0.3">
      <c r="A14" s="126" t="s">
        <v>1064</v>
      </c>
      <c r="B14" s="121"/>
      <c r="C14" s="126">
        <f>C13*0.3</f>
        <v>30000</v>
      </c>
      <c r="D14" s="126">
        <f>D13*0.3</f>
        <v>119993.4</v>
      </c>
      <c r="E14" s="126">
        <f>E13*0.3</f>
        <v>89993.4</v>
      </c>
      <c r="F14" s="126">
        <f>F13*0.3</f>
        <v>0</v>
      </c>
      <c r="G14" s="135"/>
      <c r="H14" s="137"/>
      <c r="I14" s="137"/>
      <c r="J14" s="137"/>
      <c r="K14" s="137"/>
      <c r="L14" s="137"/>
      <c r="M14" s="137"/>
      <c r="N14" s="204"/>
    </row>
    <row r="15" spans="1:14" s="115" customFormat="1" x14ac:dyDescent="0.25">
      <c r="A15" s="216"/>
      <c r="B15" s="133"/>
      <c r="C15" s="217" t="s">
        <v>1061</v>
      </c>
      <c r="D15" s="217" t="s">
        <v>1061</v>
      </c>
      <c r="E15" s="217" t="s">
        <v>1061</v>
      </c>
      <c r="F15" s="217" t="s">
        <v>1061</v>
      </c>
      <c r="G15" s="219"/>
      <c r="H15" s="220"/>
      <c r="I15" s="217" t="s">
        <v>1061</v>
      </c>
      <c r="J15" s="217" t="s">
        <v>1061</v>
      </c>
      <c r="K15" s="217" t="s">
        <v>1061</v>
      </c>
      <c r="L15" s="218"/>
      <c r="M15" s="221" t="s">
        <v>1061</v>
      </c>
      <c r="N15" s="204"/>
    </row>
    <row r="16" spans="1:14" s="115" customFormat="1" ht="15.75" thickBot="1" x14ac:dyDescent="0.3">
      <c r="A16" s="222" t="s">
        <v>1065</v>
      </c>
      <c r="B16" s="128"/>
      <c r="C16" s="130" t="s">
        <v>1062</v>
      </c>
      <c r="D16" s="130" t="s">
        <v>1062</v>
      </c>
      <c r="E16" s="130" t="s">
        <v>1062</v>
      </c>
      <c r="F16" s="130" t="s">
        <v>1062</v>
      </c>
      <c r="G16" s="135"/>
      <c r="H16" s="119" t="s">
        <v>1065</v>
      </c>
      <c r="I16" s="130" t="s">
        <v>1062</v>
      </c>
      <c r="J16" s="130" t="s">
        <v>1062</v>
      </c>
      <c r="K16" s="130" t="s">
        <v>1062</v>
      </c>
      <c r="L16" s="129"/>
      <c r="M16" s="223" t="s">
        <v>1062</v>
      </c>
      <c r="N16" s="204"/>
    </row>
    <row r="17" spans="1:14" s="115" customFormat="1" x14ac:dyDescent="0.25">
      <c r="A17" s="224" t="s">
        <v>1159</v>
      </c>
      <c r="B17" s="121"/>
      <c r="C17" s="118">
        <f>+C14</f>
        <v>30000</v>
      </c>
      <c r="D17" s="118">
        <f>+D14-C14</f>
        <v>89993.4</v>
      </c>
      <c r="E17" s="118">
        <f>+E14-D14</f>
        <v>-30000</v>
      </c>
      <c r="F17" s="118">
        <f>+F14-E14</f>
        <v>-89993.4</v>
      </c>
      <c r="G17" s="135"/>
      <c r="H17" s="132" t="s">
        <v>1161</v>
      </c>
      <c r="I17" s="132">
        <f>+I9</f>
        <v>390000</v>
      </c>
      <c r="J17" s="132">
        <f>+J9</f>
        <v>539993.4</v>
      </c>
      <c r="K17" s="132">
        <f>+K9</f>
        <v>570000</v>
      </c>
      <c r="L17" s="133"/>
      <c r="M17" s="132">
        <f>+M9</f>
        <v>390006.6</v>
      </c>
      <c r="N17" s="204"/>
    </row>
    <row r="18" spans="1:14" s="115" customFormat="1" ht="15.75" thickBot="1" x14ac:dyDescent="0.3">
      <c r="A18" s="222" t="s">
        <v>1160</v>
      </c>
      <c r="B18" s="128"/>
      <c r="C18" s="127">
        <f>-C14</f>
        <v>-30000</v>
      </c>
      <c r="D18" s="127">
        <f>-D17</f>
        <v>-89993.4</v>
      </c>
      <c r="E18" s="127">
        <f>-E17</f>
        <v>30000</v>
      </c>
      <c r="F18" s="127">
        <f>-F17</f>
        <v>89993.4</v>
      </c>
      <c r="G18" s="225"/>
      <c r="H18" s="119" t="s">
        <v>1162</v>
      </c>
      <c r="I18" s="127">
        <f>-I17</f>
        <v>-390000</v>
      </c>
      <c r="J18" s="127">
        <f>-J17</f>
        <v>-539993.4</v>
      </c>
      <c r="K18" s="127">
        <f>-K17</f>
        <v>-570000</v>
      </c>
      <c r="L18" s="128"/>
      <c r="M18" s="127">
        <f>-M17</f>
        <v>-390006.6</v>
      </c>
      <c r="N18" s="204"/>
    </row>
    <row r="19" spans="1:14" ht="5.25" customHeight="1" x14ac:dyDescent="0.25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</row>
  </sheetData>
  <pageMargins left="0.4" right="0.38" top="0.74803149606299213" bottom="0.74803149606299213" header="0.31496062992125984" footer="0.31496062992125984"/>
  <pageSetup paperSize="9" scale="7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M19"/>
  <sheetViews>
    <sheetView zoomScale="110" zoomScaleNormal="110" workbookViewId="0">
      <pane xSplit="2" ySplit="1" topLeftCell="C2" activePane="bottomRight" state="frozen"/>
      <selection activeCell="I16" sqref="I16"/>
      <selection pane="topRight" activeCell="I16" sqref="I16"/>
      <selection pane="bottomLeft" activeCell="I16" sqref="I16"/>
      <selection pane="bottomRight" activeCell="L1" sqref="L1:L1048576"/>
    </sheetView>
  </sheetViews>
  <sheetFormatPr baseColWidth="10" defaultRowHeight="15" x14ac:dyDescent="0.25"/>
  <cols>
    <col min="1" max="1" width="17.5703125" style="114" customWidth="1"/>
    <col min="2" max="2" width="0.85546875" style="114" customWidth="1"/>
    <col min="3" max="4" width="10" style="114" customWidth="1"/>
    <col min="5" max="5" width="11" style="114" customWidth="1"/>
    <col min="6" max="6" width="11.140625" style="114" customWidth="1"/>
    <col min="7" max="7" width="0.85546875" style="114" customWidth="1"/>
    <col min="8" max="8" width="23.42578125" style="114" bestFit="1" customWidth="1"/>
    <col min="9" max="12" width="9.7109375" style="114" bestFit="1" customWidth="1"/>
    <col min="13" max="13" width="1.140625" customWidth="1"/>
  </cols>
  <sheetData>
    <row r="1" spans="1:13" s="115" customFormat="1" x14ac:dyDescent="0.25">
      <c r="A1" s="117"/>
      <c r="B1" s="121"/>
      <c r="C1" s="122">
        <v>2011</v>
      </c>
      <c r="D1" s="122">
        <f>+C1+1</f>
        <v>2012</v>
      </c>
      <c r="E1" s="122">
        <f>+D1+1</f>
        <v>2013</v>
      </c>
      <c r="F1" s="122">
        <f t="shared" ref="F1" si="0">+E1+1</f>
        <v>2014</v>
      </c>
      <c r="G1" s="135"/>
      <c r="H1" s="117" t="s">
        <v>1047</v>
      </c>
      <c r="I1" s="122">
        <v>2011</v>
      </c>
      <c r="J1" s="122">
        <f>+I1+1</f>
        <v>2012</v>
      </c>
      <c r="K1" s="122">
        <f t="shared" ref="K1" si="1">+J1+1</f>
        <v>2013</v>
      </c>
      <c r="L1" s="122">
        <f>+K1+1</f>
        <v>2014</v>
      </c>
      <c r="M1" s="204"/>
    </row>
    <row r="2" spans="1:13" s="115" customFormat="1" x14ac:dyDescent="0.25">
      <c r="A2" s="117" t="s">
        <v>1129</v>
      </c>
      <c r="B2" s="118"/>
      <c r="C2" s="120">
        <v>500000</v>
      </c>
      <c r="D2" s="120">
        <v>400000</v>
      </c>
      <c r="E2" s="120">
        <v>300000</v>
      </c>
      <c r="F2" s="120">
        <v>400000</v>
      </c>
      <c r="G2" s="136"/>
      <c r="H2" s="117" t="s">
        <v>1049</v>
      </c>
      <c r="I2" s="117">
        <v>900000</v>
      </c>
      <c r="J2" s="117">
        <v>1000000</v>
      </c>
      <c r="K2" s="117">
        <v>1200000</v>
      </c>
      <c r="L2" s="117">
        <v>1300000</v>
      </c>
      <c r="M2" s="204"/>
    </row>
    <row r="3" spans="1:13" s="115" customFormat="1" x14ac:dyDescent="0.25">
      <c r="A3" s="117" t="s">
        <v>1130</v>
      </c>
      <c r="B3" s="121"/>
      <c r="C3" s="121">
        <f>-C9</f>
        <v>-10000</v>
      </c>
      <c r="D3" s="121">
        <f>-D9</f>
        <v>-22000</v>
      </c>
      <c r="E3" s="121">
        <f>-E9</f>
        <v>-30000</v>
      </c>
      <c r="F3" s="121">
        <f>-F9</f>
        <v>-33000</v>
      </c>
      <c r="G3" s="135"/>
      <c r="H3" s="117" t="s">
        <v>1051</v>
      </c>
      <c r="I3" s="117"/>
      <c r="J3" s="117"/>
      <c r="K3" s="117"/>
      <c r="L3" s="117"/>
      <c r="M3" s="204"/>
    </row>
    <row r="4" spans="1:13" s="115" customFormat="1" ht="15.75" thickBot="1" x14ac:dyDescent="0.3">
      <c r="A4" s="117" t="s">
        <v>927</v>
      </c>
      <c r="B4" s="121"/>
      <c r="C4" s="116">
        <f>+C2+C3</f>
        <v>490000</v>
      </c>
      <c r="D4" s="116">
        <f>+D2+D3</f>
        <v>378000</v>
      </c>
      <c r="E4" s="116">
        <f>+E2+E3</f>
        <v>270000</v>
      </c>
      <c r="F4" s="116">
        <f>+F2+F3</f>
        <v>367000</v>
      </c>
      <c r="G4" s="135"/>
      <c r="H4" s="205" t="s">
        <v>1131</v>
      </c>
      <c r="I4" s="206">
        <f>+C7+C8</f>
        <v>10000</v>
      </c>
      <c r="J4" s="206">
        <f>+D7+D8</f>
        <v>12000</v>
      </c>
      <c r="K4" s="206">
        <f>+E7+E8</f>
        <v>8000</v>
      </c>
      <c r="L4" s="206">
        <f>+F7</f>
        <v>3000</v>
      </c>
      <c r="M4" s="204"/>
    </row>
    <row r="5" spans="1:13" s="115" customFormat="1" x14ac:dyDescent="0.25">
      <c r="A5" s="117" t="s">
        <v>1165</v>
      </c>
      <c r="B5" s="121"/>
      <c r="C5" s="120"/>
      <c r="D5" s="120"/>
      <c r="E5" s="120"/>
      <c r="F5" s="120"/>
      <c r="G5" s="135"/>
      <c r="H5" s="134" t="s">
        <v>1054</v>
      </c>
      <c r="I5" s="124">
        <v>300000</v>
      </c>
      <c r="J5" s="124">
        <v>500000</v>
      </c>
      <c r="K5" s="124">
        <v>800000</v>
      </c>
      <c r="L5" s="124">
        <v>300000</v>
      </c>
      <c r="M5" s="204"/>
    </row>
    <row r="6" spans="1:13" s="115" customFormat="1" x14ac:dyDescent="0.25">
      <c r="A6" s="123" t="s">
        <v>1055</v>
      </c>
      <c r="B6" s="121"/>
      <c r="C6" s="123">
        <v>0</v>
      </c>
      <c r="D6" s="123">
        <f>+C9</f>
        <v>10000</v>
      </c>
      <c r="E6" s="123">
        <f t="shared" ref="E6" si="2">+D9</f>
        <v>22000</v>
      </c>
      <c r="F6" s="123">
        <f>+E9</f>
        <v>30000</v>
      </c>
      <c r="G6" s="135"/>
      <c r="H6" s="120"/>
      <c r="I6" s="120"/>
      <c r="J6" s="120"/>
      <c r="K6" s="120"/>
      <c r="L6" s="120"/>
      <c r="M6" s="204"/>
    </row>
    <row r="7" spans="1:13" s="115" customFormat="1" x14ac:dyDescent="0.25">
      <c r="A7" s="124" t="s">
        <v>1056</v>
      </c>
      <c r="B7" s="121"/>
      <c r="C7" s="120">
        <v>10000</v>
      </c>
      <c r="D7" s="121">
        <v>12000</v>
      </c>
      <c r="E7" s="121">
        <v>8000</v>
      </c>
      <c r="F7" s="121">
        <v>3000</v>
      </c>
      <c r="G7" s="135"/>
      <c r="H7" s="138" t="s">
        <v>1057</v>
      </c>
      <c r="I7" s="138">
        <f>SUM(I2:I6)</f>
        <v>1210000</v>
      </c>
      <c r="J7" s="138">
        <f>SUM(J2:J6)</f>
        <v>1512000</v>
      </c>
      <c r="K7" s="138">
        <f>SUM(K2:K6)</f>
        <v>2008000</v>
      </c>
      <c r="L7" s="138">
        <f>SUM(L2:L6)</f>
        <v>1603000</v>
      </c>
      <c r="M7" s="204"/>
    </row>
    <row r="8" spans="1:13" s="115" customFormat="1" x14ac:dyDescent="0.25">
      <c r="A8" s="120" t="s">
        <v>1058</v>
      </c>
      <c r="B8" s="121"/>
      <c r="C8" s="120">
        <v>0</v>
      </c>
      <c r="D8" s="120"/>
      <c r="E8" s="121"/>
      <c r="F8" s="121"/>
      <c r="G8" s="135"/>
      <c r="H8" s="120"/>
      <c r="I8" s="120"/>
      <c r="J8" s="120"/>
      <c r="K8" s="120"/>
      <c r="L8" s="120"/>
      <c r="M8" s="204"/>
    </row>
    <row r="9" spans="1:13" s="115" customFormat="1" x14ac:dyDescent="0.25">
      <c r="A9" s="123" t="s">
        <v>1060</v>
      </c>
      <c r="B9" s="121"/>
      <c r="C9" s="123">
        <f>+SUM(C6:C8)</f>
        <v>10000</v>
      </c>
      <c r="D9" s="123">
        <f>+SUM(D6:D8)</f>
        <v>22000</v>
      </c>
      <c r="E9" s="123">
        <f>+SUM(E6:E8)</f>
        <v>30000</v>
      </c>
      <c r="F9" s="123">
        <f>+SUM(F6:F8)</f>
        <v>33000</v>
      </c>
      <c r="G9" s="135"/>
      <c r="H9" s="138" t="s">
        <v>1059</v>
      </c>
      <c r="I9" s="138">
        <f>+I7*30%</f>
        <v>363000</v>
      </c>
      <c r="J9" s="138">
        <f>+J7*30%</f>
        <v>453600</v>
      </c>
      <c r="K9" s="138">
        <f>+K7*30%</f>
        <v>602400</v>
      </c>
      <c r="L9" s="138">
        <f>+L7*30%</f>
        <v>480900</v>
      </c>
      <c r="M9" s="204"/>
    </row>
    <row r="10" spans="1:13" ht="5.25" customHeight="1" x14ac:dyDescent="0.25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</row>
    <row r="11" spans="1:13" s="115" customFormat="1" x14ac:dyDescent="0.25">
      <c r="A11" s="120" t="s">
        <v>1043</v>
      </c>
      <c r="B11" s="121"/>
      <c r="C11" s="120">
        <f>+C4</f>
        <v>490000</v>
      </c>
      <c r="D11" s="120">
        <f>+D4</f>
        <v>378000</v>
      </c>
      <c r="E11" s="120">
        <f>+E4</f>
        <v>270000</v>
      </c>
      <c r="F11" s="120">
        <f>+F4</f>
        <v>367000</v>
      </c>
      <c r="G11" s="135"/>
      <c r="H11" s="137"/>
      <c r="I11" s="137"/>
      <c r="J11" s="137"/>
      <c r="K11" s="137"/>
      <c r="L11" s="137"/>
      <c r="M11" s="204"/>
    </row>
    <row r="12" spans="1:13" s="115" customFormat="1" x14ac:dyDescent="0.25">
      <c r="A12" s="120" t="s">
        <v>1045</v>
      </c>
      <c r="B12" s="121"/>
      <c r="C12" s="120">
        <f>+C2</f>
        <v>500000</v>
      </c>
      <c r="D12" s="120">
        <f>+D2</f>
        <v>400000</v>
      </c>
      <c r="E12" s="120">
        <f>+E2</f>
        <v>300000</v>
      </c>
      <c r="F12" s="120">
        <f>+F2</f>
        <v>400000</v>
      </c>
      <c r="G12" s="135"/>
      <c r="H12" s="137" t="s">
        <v>1163</v>
      </c>
      <c r="I12" s="235">
        <f>-C18-I17</f>
        <v>-360000</v>
      </c>
      <c r="J12" s="235">
        <f>-D18-J17</f>
        <v>-450000</v>
      </c>
      <c r="K12" s="235">
        <f>-E18-K17</f>
        <v>-600000</v>
      </c>
      <c r="L12" s="235">
        <f>-F18-L17</f>
        <v>-480000</v>
      </c>
      <c r="M12" s="204"/>
    </row>
    <row r="13" spans="1:13" s="115" customFormat="1" x14ac:dyDescent="0.25">
      <c r="A13" s="208" t="s">
        <v>1063</v>
      </c>
      <c r="B13" s="209"/>
      <c r="C13" s="208">
        <f>+C12-C11</f>
        <v>10000</v>
      </c>
      <c r="D13" s="208">
        <f>+D12-D11</f>
        <v>22000</v>
      </c>
      <c r="E13" s="208">
        <f>+E12-E11</f>
        <v>30000</v>
      </c>
      <c r="F13" s="208">
        <f>+F12-F11</f>
        <v>33000</v>
      </c>
      <c r="G13" s="135"/>
      <c r="H13" s="137" t="s">
        <v>1169</v>
      </c>
      <c r="I13" s="235">
        <f>(I2+I5)*30%</f>
        <v>360000</v>
      </c>
      <c r="J13" s="235">
        <f>(J2+J5)*30%</f>
        <v>450000</v>
      </c>
      <c r="K13" s="235">
        <f>(K2+K5)*30%</f>
        <v>600000</v>
      </c>
      <c r="L13" s="235">
        <f>(L2+L5)*30%</f>
        <v>480000</v>
      </c>
      <c r="M13" s="204"/>
    </row>
    <row r="14" spans="1:13" s="115" customFormat="1" ht="15.75" thickBot="1" x14ac:dyDescent="0.3">
      <c r="A14" s="126" t="s">
        <v>1064</v>
      </c>
      <c r="B14" s="121"/>
      <c r="C14" s="126">
        <f>C13*0.3</f>
        <v>3000</v>
      </c>
      <c r="D14" s="126">
        <f>D13*0.3</f>
        <v>6600</v>
      </c>
      <c r="E14" s="126">
        <f>E13*0.3</f>
        <v>9000</v>
      </c>
      <c r="F14" s="126">
        <f>F13*0.3</f>
        <v>9900</v>
      </c>
      <c r="G14" s="135"/>
      <c r="H14" s="137"/>
      <c r="I14" s="137"/>
      <c r="J14" s="137"/>
      <c r="K14" s="137"/>
      <c r="L14" s="137"/>
      <c r="M14" s="204"/>
    </row>
    <row r="15" spans="1:13" s="115" customFormat="1" x14ac:dyDescent="0.25">
      <c r="A15" s="216"/>
      <c r="B15" s="133"/>
      <c r="C15" s="217" t="s">
        <v>1061</v>
      </c>
      <c r="D15" s="217" t="s">
        <v>1061</v>
      </c>
      <c r="E15" s="217" t="s">
        <v>1061</v>
      </c>
      <c r="F15" s="217" t="s">
        <v>1061</v>
      </c>
      <c r="G15" s="219"/>
      <c r="H15" s="220"/>
      <c r="I15" s="217" t="s">
        <v>1061</v>
      </c>
      <c r="J15" s="217" t="s">
        <v>1061</v>
      </c>
      <c r="K15" s="217" t="s">
        <v>1061</v>
      </c>
      <c r="L15" s="221" t="s">
        <v>1061</v>
      </c>
      <c r="M15" s="204"/>
    </row>
    <row r="16" spans="1:13" s="115" customFormat="1" ht="15.75" thickBot="1" x14ac:dyDescent="0.3">
      <c r="A16" s="222" t="s">
        <v>1065</v>
      </c>
      <c r="B16" s="128"/>
      <c r="C16" s="130" t="s">
        <v>1062</v>
      </c>
      <c r="D16" s="130" t="s">
        <v>1062</v>
      </c>
      <c r="E16" s="130" t="s">
        <v>1062</v>
      </c>
      <c r="F16" s="130" t="s">
        <v>1062</v>
      </c>
      <c r="G16" s="135"/>
      <c r="H16" s="119" t="s">
        <v>1065</v>
      </c>
      <c r="I16" s="130" t="s">
        <v>1062</v>
      </c>
      <c r="J16" s="130" t="s">
        <v>1062</v>
      </c>
      <c r="K16" s="130" t="s">
        <v>1062</v>
      </c>
      <c r="L16" s="223" t="s">
        <v>1062</v>
      </c>
      <c r="M16" s="204"/>
    </row>
    <row r="17" spans="1:13" s="115" customFormat="1" x14ac:dyDescent="0.25">
      <c r="A17" s="224" t="s">
        <v>1166</v>
      </c>
      <c r="B17" s="121"/>
      <c r="C17" s="118">
        <f>+C14</f>
        <v>3000</v>
      </c>
      <c r="D17" s="118">
        <f>+D14-C14</f>
        <v>3600</v>
      </c>
      <c r="E17" s="118">
        <f>+E14-D14</f>
        <v>2400</v>
      </c>
      <c r="F17" s="118">
        <f>+F14-E14</f>
        <v>900</v>
      </c>
      <c r="G17" s="135"/>
      <c r="H17" s="132" t="s">
        <v>1161</v>
      </c>
      <c r="I17" s="132">
        <f>+I9</f>
        <v>363000</v>
      </c>
      <c r="J17" s="132">
        <f>+J9</f>
        <v>453600</v>
      </c>
      <c r="K17" s="132">
        <f>+K9</f>
        <v>602400</v>
      </c>
      <c r="L17" s="132">
        <f>+L9</f>
        <v>480900</v>
      </c>
      <c r="M17" s="204"/>
    </row>
    <row r="18" spans="1:13" s="115" customFormat="1" ht="15.75" thickBot="1" x14ac:dyDescent="0.3">
      <c r="A18" s="222" t="s">
        <v>1167</v>
      </c>
      <c r="B18" s="128"/>
      <c r="C18" s="127">
        <f>-C14</f>
        <v>-3000</v>
      </c>
      <c r="D18" s="127">
        <f>-D17</f>
        <v>-3600</v>
      </c>
      <c r="E18" s="127">
        <f>-E17</f>
        <v>-2400</v>
      </c>
      <c r="F18" s="127">
        <f>-F17</f>
        <v>-900</v>
      </c>
      <c r="G18" s="225"/>
      <c r="H18" s="119" t="s">
        <v>1168</v>
      </c>
      <c r="I18" s="127">
        <f>-I17</f>
        <v>-363000</v>
      </c>
      <c r="J18" s="127">
        <f>-J17</f>
        <v>-453600</v>
      </c>
      <c r="K18" s="127">
        <f>-K17</f>
        <v>-602400</v>
      </c>
      <c r="L18" s="127">
        <f>-L17</f>
        <v>-480900</v>
      </c>
      <c r="M18" s="204"/>
    </row>
    <row r="19" spans="1:13" ht="5.25" customHeight="1" x14ac:dyDescent="0.25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</row>
  </sheetData>
  <pageMargins left="0.4" right="0.38" top="0.74803149606299213" bottom="0.74803149606299213" header="0.31496062992125984" footer="0.31496062992125984"/>
  <pageSetup paperSize="9" scale="7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3:M21"/>
  <sheetViews>
    <sheetView zoomScale="120" zoomScaleNormal="120" workbookViewId="0">
      <pane xSplit="2" ySplit="3" topLeftCell="D4" activePane="bottomRight" state="frozen"/>
      <selection pane="topRight" activeCell="C1" sqref="C1"/>
      <selection pane="bottomLeft" activeCell="A3" sqref="A3"/>
      <selection pane="bottomRight" activeCell="L5" sqref="L5"/>
    </sheetView>
  </sheetViews>
  <sheetFormatPr baseColWidth="10" defaultRowHeight="15" x14ac:dyDescent="0.25"/>
  <cols>
    <col min="1" max="1" width="17.5703125" style="114" customWidth="1"/>
    <col min="2" max="2" width="0.85546875" style="114" customWidth="1"/>
    <col min="3" max="4" width="10" style="114" customWidth="1"/>
    <col min="5" max="5" width="11" style="114" customWidth="1"/>
    <col min="6" max="6" width="11.140625" style="114" customWidth="1"/>
    <col min="7" max="7" width="0.85546875" style="114" customWidth="1"/>
    <col min="8" max="8" width="20.42578125" style="114" customWidth="1"/>
    <col min="9" max="12" width="9.7109375" style="114" bestFit="1" customWidth="1"/>
    <col min="13" max="13" width="1.140625" customWidth="1"/>
  </cols>
  <sheetData>
    <row r="3" spans="1:13" s="115" customFormat="1" x14ac:dyDescent="0.25">
      <c r="A3" s="117"/>
      <c r="B3" s="121"/>
      <c r="C3" s="122">
        <v>2011</v>
      </c>
      <c r="D3" s="122">
        <f>+C3+1</f>
        <v>2012</v>
      </c>
      <c r="E3" s="122">
        <f>+D3+1</f>
        <v>2013</v>
      </c>
      <c r="F3" s="122">
        <f t="shared" ref="F3" si="0">+E3+1</f>
        <v>2014</v>
      </c>
      <c r="G3" s="135"/>
      <c r="H3" s="117" t="s">
        <v>1047</v>
      </c>
      <c r="I3" s="122">
        <v>2011</v>
      </c>
      <c r="J3" s="122">
        <f>+I3+1</f>
        <v>2012</v>
      </c>
      <c r="K3" s="122">
        <f t="shared" ref="K3" si="1">+J3+1</f>
        <v>2013</v>
      </c>
      <c r="L3" s="122">
        <f>+K3+1</f>
        <v>2014</v>
      </c>
      <c r="M3" s="204"/>
    </row>
    <row r="4" spans="1:13" s="115" customFormat="1" x14ac:dyDescent="0.25">
      <c r="A4" s="117" t="s">
        <v>1132</v>
      </c>
      <c r="B4" s="118"/>
      <c r="C4" s="120">
        <f>+C11</f>
        <v>30000</v>
      </c>
      <c r="D4" s="120">
        <f>+D11</f>
        <v>45000</v>
      </c>
      <c r="E4" s="120">
        <f>+E11</f>
        <v>60000</v>
      </c>
      <c r="F4" s="120">
        <f>+F11</f>
        <v>62000</v>
      </c>
      <c r="G4" s="136"/>
      <c r="H4" s="117" t="s">
        <v>1049</v>
      </c>
      <c r="I4" s="117">
        <v>900000</v>
      </c>
      <c r="J4" s="117">
        <v>1000000</v>
      </c>
      <c r="K4" s="117">
        <v>1200000</v>
      </c>
      <c r="L4" s="117">
        <v>1300000</v>
      </c>
      <c r="M4" s="204"/>
    </row>
    <row r="5" spans="1:13" s="115" customFormat="1" x14ac:dyDescent="0.25">
      <c r="A5" s="117" t="s">
        <v>1133</v>
      </c>
      <c r="B5" s="121"/>
      <c r="C5" s="121"/>
      <c r="D5" s="121"/>
      <c r="E5" s="121"/>
      <c r="F5" s="121"/>
      <c r="G5" s="135"/>
      <c r="H5" s="117" t="s">
        <v>1051</v>
      </c>
      <c r="I5" s="117"/>
      <c r="J5" s="117"/>
      <c r="K5" s="117"/>
      <c r="L5" s="117"/>
      <c r="M5" s="204"/>
    </row>
    <row r="6" spans="1:13" s="115" customFormat="1" ht="15.75" thickBot="1" x14ac:dyDescent="0.3">
      <c r="A6" s="117" t="s">
        <v>927</v>
      </c>
      <c r="B6" s="121"/>
      <c r="C6" s="116">
        <f>+C4+C5</f>
        <v>30000</v>
      </c>
      <c r="D6" s="116">
        <f>+D4+D5</f>
        <v>45000</v>
      </c>
      <c r="E6" s="116">
        <f>+E4+E5</f>
        <v>60000</v>
      </c>
      <c r="F6" s="116">
        <f>+F4+F5</f>
        <v>62000</v>
      </c>
      <c r="G6" s="135"/>
      <c r="H6" s="205" t="s">
        <v>1136</v>
      </c>
      <c r="I6" s="206">
        <f>+C9+C10</f>
        <v>30000</v>
      </c>
      <c r="J6" s="206">
        <f>+D9+D10</f>
        <v>15000</v>
      </c>
      <c r="K6" s="206">
        <f>+E9+E10</f>
        <v>15000</v>
      </c>
      <c r="L6" s="206">
        <f>+F9+F10</f>
        <v>2000</v>
      </c>
      <c r="M6" s="204"/>
    </row>
    <row r="7" spans="1:13" s="115" customFormat="1" x14ac:dyDescent="0.25">
      <c r="A7" s="117" t="s">
        <v>1053</v>
      </c>
      <c r="B7" s="121"/>
      <c r="C7" s="120"/>
      <c r="D7" s="120"/>
      <c r="E7" s="120"/>
      <c r="F7" s="120"/>
      <c r="G7" s="135"/>
      <c r="H7" s="134" t="s">
        <v>1054</v>
      </c>
      <c r="I7" s="124">
        <v>300000</v>
      </c>
      <c r="J7" s="124">
        <v>500000</v>
      </c>
      <c r="K7" s="124">
        <v>800000</v>
      </c>
      <c r="L7" s="124">
        <v>300000</v>
      </c>
      <c r="M7" s="204"/>
    </row>
    <row r="8" spans="1:13" s="115" customFormat="1" x14ac:dyDescent="0.25">
      <c r="A8" s="123" t="s">
        <v>1055</v>
      </c>
      <c r="B8" s="121"/>
      <c r="C8" s="123">
        <v>0</v>
      </c>
      <c r="D8" s="123">
        <f>+C11</f>
        <v>30000</v>
      </c>
      <c r="E8" s="123">
        <f t="shared" ref="E8" si="2">+D11</f>
        <v>45000</v>
      </c>
      <c r="F8" s="123">
        <f>+E11</f>
        <v>60000</v>
      </c>
      <c r="G8" s="135"/>
      <c r="H8" s="120"/>
      <c r="I8" s="120"/>
      <c r="J8" s="120"/>
      <c r="K8" s="120"/>
      <c r="L8" s="120"/>
      <c r="M8" s="204"/>
    </row>
    <row r="9" spans="1:13" s="115" customFormat="1" x14ac:dyDescent="0.25">
      <c r="A9" s="124" t="s">
        <v>1134</v>
      </c>
      <c r="B9" s="121"/>
      <c r="C9" s="120">
        <v>30000</v>
      </c>
      <c r="D9" s="121">
        <v>25000</v>
      </c>
      <c r="E9" s="120">
        <v>30000</v>
      </c>
      <c r="F9" s="120">
        <v>20000</v>
      </c>
      <c r="G9" s="135"/>
      <c r="H9" s="138" t="s">
        <v>1057</v>
      </c>
      <c r="I9" s="138">
        <f>SUM(I4:I8)</f>
        <v>1230000</v>
      </c>
      <c r="J9" s="138">
        <f>SUM(J4:J8)</f>
        <v>1515000</v>
      </c>
      <c r="K9" s="138">
        <f>SUM(K4:K8)</f>
        <v>2015000</v>
      </c>
      <c r="L9" s="138">
        <f>SUM(L4:L8)</f>
        <v>1602000</v>
      </c>
      <c r="M9" s="204"/>
    </row>
    <row r="10" spans="1:13" s="115" customFormat="1" x14ac:dyDescent="0.25">
      <c r="A10" s="120" t="s">
        <v>1135</v>
      </c>
      <c r="B10" s="121"/>
      <c r="C10" s="120">
        <v>0</v>
      </c>
      <c r="D10" s="120">
        <v>-10000</v>
      </c>
      <c r="E10" s="120">
        <v>-15000</v>
      </c>
      <c r="F10" s="120">
        <v>-18000</v>
      </c>
      <c r="G10" s="135"/>
      <c r="H10" s="120"/>
      <c r="I10" s="120"/>
      <c r="J10" s="120"/>
      <c r="K10" s="120"/>
      <c r="L10" s="120"/>
      <c r="M10" s="204"/>
    </row>
    <row r="11" spans="1:13" s="115" customFormat="1" x14ac:dyDescent="0.25">
      <c r="A11" s="123" t="s">
        <v>1060</v>
      </c>
      <c r="B11" s="121"/>
      <c r="C11" s="123">
        <f>+SUM(C8:C10)</f>
        <v>30000</v>
      </c>
      <c r="D11" s="123">
        <f>+SUM(D8:D10)</f>
        <v>45000</v>
      </c>
      <c r="E11" s="123">
        <f>+SUM(E8:E10)</f>
        <v>60000</v>
      </c>
      <c r="F11" s="123">
        <f>+SUM(F8:F10)</f>
        <v>62000</v>
      </c>
      <c r="G11" s="135"/>
      <c r="H11" s="138" t="s">
        <v>1059</v>
      </c>
      <c r="I11" s="138">
        <f>+I9*30%</f>
        <v>369000</v>
      </c>
      <c r="J11" s="138">
        <f>+J9*30%</f>
        <v>454500</v>
      </c>
      <c r="K11" s="138">
        <f>+K9*30%</f>
        <v>604500</v>
      </c>
      <c r="L11" s="138">
        <f>+L9*30%</f>
        <v>480600</v>
      </c>
      <c r="M11" s="204"/>
    </row>
    <row r="12" spans="1:13" ht="5.25" customHeight="1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</row>
    <row r="13" spans="1:13" s="115" customFormat="1" x14ac:dyDescent="0.25">
      <c r="A13" s="120" t="s">
        <v>1043</v>
      </c>
      <c r="B13" s="121"/>
      <c r="C13" s="120">
        <f>+C4</f>
        <v>30000</v>
      </c>
      <c r="D13" s="120">
        <f>+D4</f>
        <v>45000</v>
      </c>
      <c r="E13" s="120">
        <f>+E4</f>
        <v>60000</v>
      </c>
      <c r="F13" s="120">
        <f>+F4</f>
        <v>62000</v>
      </c>
      <c r="G13" s="135"/>
      <c r="H13" s="137"/>
      <c r="I13" s="137"/>
      <c r="J13" s="137"/>
      <c r="K13" s="137"/>
      <c r="L13" s="137"/>
      <c r="M13" s="204"/>
    </row>
    <row r="14" spans="1:13" s="115" customFormat="1" x14ac:dyDescent="0.25">
      <c r="A14" s="120" t="s">
        <v>1045</v>
      </c>
      <c r="B14" s="121"/>
      <c r="C14" s="120">
        <v>0</v>
      </c>
      <c r="D14" s="120">
        <v>0</v>
      </c>
      <c r="E14" s="120">
        <v>0</v>
      </c>
      <c r="F14" s="120">
        <v>0</v>
      </c>
      <c r="G14" s="135"/>
      <c r="H14" s="137" t="s">
        <v>1163</v>
      </c>
      <c r="I14" s="235">
        <f>+-C20-I19</f>
        <v>-360000</v>
      </c>
      <c r="J14" s="235">
        <f>+-D20-J19</f>
        <v>-450000</v>
      </c>
      <c r="K14" s="235">
        <f>+-E20-K19</f>
        <v>-600000</v>
      </c>
      <c r="L14" s="235">
        <f>+-F20-L19</f>
        <v>-480000</v>
      </c>
      <c r="M14" s="204"/>
    </row>
    <row r="15" spans="1:13" s="115" customFormat="1" x14ac:dyDescent="0.25">
      <c r="A15" s="208" t="s">
        <v>1063</v>
      </c>
      <c r="B15" s="209"/>
      <c r="C15" s="208">
        <f>+C13-C14</f>
        <v>30000</v>
      </c>
      <c r="D15" s="208">
        <f>+D13-D14</f>
        <v>45000</v>
      </c>
      <c r="E15" s="208">
        <f>+E13-E14</f>
        <v>60000</v>
      </c>
      <c r="F15" s="208">
        <f>+F13-F14</f>
        <v>62000</v>
      </c>
      <c r="G15" s="135"/>
      <c r="H15" s="137"/>
      <c r="I15" s="137"/>
      <c r="J15" s="137"/>
      <c r="K15" s="137"/>
      <c r="L15" s="137"/>
      <c r="M15" s="204"/>
    </row>
    <row r="16" spans="1:13" s="115" customFormat="1" ht="15.75" thickBot="1" x14ac:dyDescent="0.3">
      <c r="A16" s="126" t="s">
        <v>1064</v>
      </c>
      <c r="B16" s="121"/>
      <c r="C16" s="126">
        <f>C15*0.3</f>
        <v>9000</v>
      </c>
      <c r="D16" s="126">
        <f>D15*0.3</f>
        <v>13500</v>
      </c>
      <c r="E16" s="126">
        <f>E15*0.3</f>
        <v>18000</v>
      </c>
      <c r="F16" s="126">
        <f>F15*0.3</f>
        <v>18600</v>
      </c>
      <c r="G16" s="135"/>
      <c r="H16" s="137"/>
      <c r="I16" s="137"/>
      <c r="J16" s="137"/>
      <c r="K16" s="137"/>
      <c r="L16" s="137"/>
      <c r="M16" s="204"/>
    </row>
    <row r="17" spans="1:13" s="115" customFormat="1" x14ac:dyDescent="0.25">
      <c r="A17" s="216"/>
      <c r="B17" s="133"/>
      <c r="C17" s="217" t="s">
        <v>1061</v>
      </c>
      <c r="D17" s="217" t="s">
        <v>1061</v>
      </c>
      <c r="E17" s="217" t="s">
        <v>1061</v>
      </c>
      <c r="F17" s="217" t="s">
        <v>1061</v>
      </c>
      <c r="G17" s="219"/>
      <c r="H17" s="220"/>
      <c r="I17" s="217" t="s">
        <v>1061</v>
      </c>
      <c r="J17" s="217" t="s">
        <v>1061</v>
      </c>
      <c r="K17" s="217" t="s">
        <v>1061</v>
      </c>
      <c r="L17" s="221" t="s">
        <v>1061</v>
      </c>
      <c r="M17" s="204"/>
    </row>
    <row r="18" spans="1:13" s="115" customFormat="1" ht="15.75" thickBot="1" x14ac:dyDescent="0.3">
      <c r="A18" s="222" t="s">
        <v>1065</v>
      </c>
      <c r="B18" s="128"/>
      <c r="C18" s="130" t="s">
        <v>1062</v>
      </c>
      <c r="D18" s="130" t="s">
        <v>1062</v>
      </c>
      <c r="E18" s="130" t="s">
        <v>1062</v>
      </c>
      <c r="F18" s="130" t="s">
        <v>1062</v>
      </c>
      <c r="G18" s="135"/>
      <c r="H18" s="119" t="s">
        <v>1065</v>
      </c>
      <c r="I18" s="130" t="s">
        <v>1062</v>
      </c>
      <c r="J18" s="130" t="s">
        <v>1062</v>
      </c>
      <c r="K18" s="130" t="s">
        <v>1062</v>
      </c>
      <c r="L18" s="223" t="s">
        <v>1062</v>
      </c>
      <c r="M18" s="204"/>
    </row>
    <row r="19" spans="1:13" s="115" customFormat="1" x14ac:dyDescent="0.25">
      <c r="A19" s="224" t="s">
        <v>1166</v>
      </c>
      <c r="B19" s="121"/>
      <c r="C19" s="118">
        <f>+C16</f>
        <v>9000</v>
      </c>
      <c r="D19" s="118">
        <f>+D16-C16</f>
        <v>4500</v>
      </c>
      <c r="E19" s="118">
        <f>+E16-D16</f>
        <v>4500</v>
      </c>
      <c r="F19" s="118">
        <f>+F16-E16</f>
        <v>600</v>
      </c>
      <c r="G19" s="135"/>
      <c r="H19" s="132" t="s">
        <v>1161</v>
      </c>
      <c r="I19" s="132">
        <f>+I11</f>
        <v>369000</v>
      </c>
      <c r="J19" s="132">
        <f>+J11</f>
        <v>454500</v>
      </c>
      <c r="K19" s="132">
        <f>+K11</f>
        <v>604500</v>
      </c>
      <c r="L19" s="132">
        <f>+L11</f>
        <v>480600</v>
      </c>
      <c r="M19" s="204"/>
    </row>
    <row r="20" spans="1:13" s="115" customFormat="1" ht="15.75" thickBot="1" x14ac:dyDescent="0.3">
      <c r="A20" s="222" t="s">
        <v>1160</v>
      </c>
      <c r="B20" s="128"/>
      <c r="C20" s="127">
        <f>-C16</f>
        <v>-9000</v>
      </c>
      <c r="D20" s="127">
        <f>-D19</f>
        <v>-4500</v>
      </c>
      <c r="E20" s="127">
        <f>-E19</f>
        <v>-4500</v>
      </c>
      <c r="F20" s="127">
        <f>-F19</f>
        <v>-600</v>
      </c>
      <c r="G20" s="225"/>
      <c r="H20" s="119" t="s">
        <v>1162</v>
      </c>
      <c r="I20" s="127">
        <f>-I19</f>
        <v>-369000</v>
      </c>
      <c r="J20" s="127">
        <f>-J19</f>
        <v>-454500</v>
      </c>
      <c r="K20" s="127">
        <f>-K19</f>
        <v>-604500</v>
      </c>
      <c r="L20" s="127">
        <f>-L19</f>
        <v>-480600</v>
      </c>
      <c r="M20" s="204"/>
    </row>
    <row r="21" spans="1:13" ht="5.25" customHeight="1" x14ac:dyDescent="0.25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</row>
  </sheetData>
  <pageMargins left="0.4" right="0.38" top="0.74803149606299213" bottom="0.74803149606299213" header="0.31496062992125984" footer="0.31496062992125984"/>
  <pageSetup paperSize="9" scale="7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G18"/>
  <sheetViews>
    <sheetView zoomScale="130" zoomScaleNormal="130" workbookViewId="0">
      <selection activeCell="C10" sqref="C10"/>
    </sheetView>
  </sheetViews>
  <sheetFormatPr baseColWidth="10" defaultRowHeight="15" x14ac:dyDescent="0.25"/>
  <cols>
    <col min="1" max="1" width="29.5703125" style="114" bestFit="1" customWidth="1"/>
    <col min="2" max="4" width="9" style="114" customWidth="1"/>
    <col min="5" max="5" width="1.28515625" style="114" customWidth="1"/>
    <col min="6" max="6" width="28.42578125" style="114" bestFit="1" customWidth="1"/>
    <col min="7" max="7" width="9.7109375" style="114" customWidth="1"/>
  </cols>
  <sheetData>
    <row r="2" spans="1:7" s="115" customFormat="1" ht="12.75" x14ac:dyDescent="0.2">
      <c r="A2" s="120"/>
      <c r="B2" s="120"/>
      <c r="C2" s="120"/>
      <c r="D2" s="120"/>
      <c r="E2" s="120"/>
      <c r="F2" s="117" t="s">
        <v>1047</v>
      </c>
      <c r="G2" s="122">
        <v>2011</v>
      </c>
    </row>
    <row r="3" spans="1:7" s="115" customFormat="1" ht="12.75" x14ac:dyDescent="0.2">
      <c r="A3" s="120"/>
      <c r="B3" s="227" t="s">
        <v>908</v>
      </c>
      <c r="C3" s="125" t="s">
        <v>1141</v>
      </c>
      <c r="D3" s="227" t="s">
        <v>908</v>
      </c>
      <c r="E3" s="125"/>
      <c r="F3" s="117" t="s">
        <v>1049</v>
      </c>
      <c r="G3" s="117">
        <v>900000</v>
      </c>
    </row>
    <row r="4" spans="1:7" s="115" customFormat="1" ht="12.75" x14ac:dyDescent="0.2">
      <c r="A4" s="117" t="s">
        <v>928</v>
      </c>
      <c r="B4" s="227" t="s">
        <v>909</v>
      </c>
      <c r="C4" s="125" t="s">
        <v>1137</v>
      </c>
      <c r="D4" s="227" t="s">
        <v>910</v>
      </c>
      <c r="E4" s="125"/>
      <c r="F4" s="117" t="s">
        <v>1051</v>
      </c>
      <c r="G4" s="117"/>
    </row>
    <row r="5" spans="1:7" s="115" customFormat="1" ht="12.75" x14ac:dyDescent="0.2">
      <c r="A5" s="120" t="s">
        <v>1173</v>
      </c>
      <c r="B5" s="228">
        <v>0</v>
      </c>
      <c r="C5" s="120">
        <f>+D5-B5</f>
        <v>100000</v>
      </c>
      <c r="D5" s="228">
        <f>'-NIC39-'!C13</f>
        <v>100000</v>
      </c>
      <c r="E5" s="120"/>
      <c r="F5" s="237" t="s">
        <v>1138</v>
      </c>
      <c r="G5" s="124">
        <f>+C5</f>
        <v>100000</v>
      </c>
    </row>
    <row r="6" spans="1:7" s="115" customFormat="1" ht="12.75" x14ac:dyDescent="0.2">
      <c r="A6" s="120" t="s">
        <v>1174</v>
      </c>
      <c r="B6" s="228">
        <v>0</v>
      </c>
      <c r="C6" s="120">
        <f>+D6-B6</f>
        <v>10000</v>
      </c>
      <c r="D6" s="228">
        <f>+'-NIC2-'!C13</f>
        <v>10000</v>
      </c>
      <c r="E6" s="120"/>
      <c r="F6" s="237" t="s">
        <v>1139</v>
      </c>
      <c r="G6" s="124">
        <f>+C6</f>
        <v>10000</v>
      </c>
    </row>
    <row r="7" spans="1:7" s="115" customFormat="1" ht="13.5" thickBot="1" x14ac:dyDescent="0.25">
      <c r="A7" s="120" t="s">
        <v>1175</v>
      </c>
      <c r="B7" s="228">
        <v>0</v>
      </c>
      <c r="C7" s="120">
        <f>+D7-B7</f>
        <v>30000</v>
      </c>
      <c r="D7" s="228">
        <f>+'-NIC19-'!C15</f>
        <v>30000</v>
      </c>
      <c r="E7" s="120"/>
      <c r="F7" s="237" t="s">
        <v>1041</v>
      </c>
      <c r="G7" s="124">
        <f>+C7</f>
        <v>30000</v>
      </c>
    </row>
    <row r="8" spans="1:7" s="115" customFormat="1" ht="13.5" thickBot="1" x14ac:dyDescent="0.25">
      <c r="A8" s="120"/>
      <c r="B8" s="229">
        <f t="shared" ref="B8:D8" si="0">SUM(B5:B7)</f>
        <v>0</v>
      </c>
      <c r="C8" s="226">
        <f t="shared" si="0"/>
        <v>140000</v>
      </c>
      <c r="D8" s="229">
        <f t="shared" si="0"/>
        <v>140000</v>
      </c>
      <c r="E8" s="120"/>
      <c r="F8" s="230" t="s">
        <v>1176</v>
      </c>
      <c r="G8" s="124">
        <v>600000</v>
      </c>
    </row>
    <row r="9" spans="1:7" s="115" customFormat="1" ht="13.5" thickBot="1" x14ac:dyDescent="0.25">
      <c r="A9" s="117" t="s">
        <v>1142</v>
      </c>
      <c r="B9" s="229">
        <f>+B8*30%</f>
        <v>0</v>
      </c>
      <c r="C9" s="120"/>
      <c r="D9" s="229">
        <f>+D8*30%</f>
        <v>42000</v>
      </c>
      <c r="E9" s="120"/>
      <c r="F9" s="120"/>
      <c r="G9" s="120"/>
    </row>
    <row r="10" spans="1:7" s="115" customFormat="1" ht="12.75" x14ac:dyDescent="0.2">
      <c r="A10" s="120"/>
      <c r="B10" s="120"/>
      <c r="C10" s="120"/>
      <c r="D10" s="120"/>
      <c r="E10" s="120"/>
      <c r="F10" s="117" t="s">
        <v>1057</v>
      </c>
      <c r="G10" s="117">
        <f>SUM(G3:G9)</f>
        <v>1640000</v>
      </c>
    </row>
    <row r="11" spans="1:7" x14ac:dyDescent="0.25">
      <c r="A11" s="120"/>
      <c r="B11" s="120"/>
      <c r="C11" s="120"/>
      <c r="D11" s="120"/>
      <c r="E11" s="120"/>
      <c r="F11" s="120" t="s">
        <v>1163</v>
      </c>
      <c r="G11" s="117">
        <f>-C17-G16</f>
        <v>-450000</v>
      </c>
    </row>
    <row r="12" spans="1:7" s="115" customFormat="1" ht="12.75" x14ac:dyDescent="0.2">
      <c r="A12" s="120"/>
      <c r="B12" s="120"/>
      <c r="C12" s="120"/>
      <c r="D12" s="120"/>
      <c r="E12" s="120"/>
      <c r="F12" s="137"/>
      <c r="G12" s="137"/>
    </row>
    <row r="13" spans="1:7" s="115" customFormat="1" ht="13.5" thickBot="1" x14ac:dyDescent="0.25">
      <c r="A13" s="117" t="s">
        <v>1177</v>
      </c>
      <c r="B13" s="120"/>
      <c r="C13" s="231" t="s">
        <v>1143</v>
      </c>
      <c r="D13" s="120"/>
      <c r="E13" s="117" t="s">
        <v>1178</v>
      </c>
      <c r="F13" s="137"/>
      <c r="G13" s="231" t="s">
        <v>1143</v>
      </c>
    </row>
    <row r="14" spans="1:7" s="115" customFormat="1" ht="12.75" x14ac:dyDescent="0.2">
      <c r="A14" s="216"/>
      <c r="B14" s="217"/>
      <c r="C14" s="217" t="s">
        <v>1061</v>
      </c>
      <c r="D14" s="217"/>
      <c r="E14" s="217"/>
      <c r="F14" s="220"/>
      <c r="G14" s="217" t="s">
        <v>1061</v>
      </c>
    </row>
    <row r="15" spans="1:7" s="115" customFormat="1" ht="13.5" thickBot="1" x14ac:dyDescent="0.25">
      <c r="A15" s="222" t="s">
        <v>1065</v>
      </c>
      <c r="B15" s="130"/>
      <c r="C15" s="130" t="s">
        <v>1062</v>
      </c>
      <c r="D15" s="130"/>
      <c r="E15" s="130"/>
      <c r="F15" s="119" t="s">
        <v>1065</v>
      </c>
      <c r="G15" s="130" t="s">
        <v>1062</v>
      </c>
    </row>
    <row r="16" spans="1:7" s="115" customFormat="1" ht="12.75" x14ac:dyDescent="0.2">
      <c r="A16" s="224" t="s">
        <v>1170</v>
      </c>
      <c r="B16" s="118"/>
      <c r="C16" s="118">
        <f>+D9</f>
        <v>42000</v>
      </c>
      <c r="D16" s="118"/>
      <c r="E16" s="118"/>
      <c r="F16" s="132" t="s">
        <v>1172</v>
      </c>
      <c r="G16" s="132">
        <f>+G10*30%</f>
        <v>492000</v>
      </c>
    </row>
    <row r="17" spans="1:7" s="115" customFormat="1" ht="13.5" thickBot="1" x14ac:dyDescent="0.25">
      <c r="A17" s="222" t="s">
        <v>1171</v>
      </c>
      <c r="B17" s="127"/>
      <c r="C17" s="127">
        <f>-D9</f>
        <v>-42000</v>
      </c>
      <c r="D17" s="127"/>
      <c r="E17" s="127"/>
      <c r="F17" s="119" t="s">
        <v>1162</v>
      </c>
      <c r="G17" s="127">
        <f>-G16</f>
        <v>-492000</v>
      </c>
    </row>
    <row r="18" spans="1:7" ht="5.25" customHeight="1" x14ac:dyDescent="0.25">
      <c r="A18" s="204"/>
      <c r="B18" s="204"/>
      <c r="C18" s="204"/>
      <c r="D18" s="204"/>
      <c r="E18" s="204"/>
      <c r="F18" s="204"/>
      <c r="G18" s="204"/>
    </row>
  </sheetData>
  <pageMargins left="0.4" right="0.38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15"/>
  <sheetViews>
    <sheetView zoomScale="140" zoomScaleNormal="140" workbookViewId="0">
      <selection activeCell="F4" sqref="F4:H4"/>
    </sheetView>
  </sheetViews>
  <sheetFormatPr baseColWidth="10" defaultRowHeight="15" x14ac:dyDescent="0.25"/>
  <cols>
    <col min="2" max="2" width="7.5703125" customWidth="1"/>
    <col min="3" max="3" width="8.28515625" customWidth="1"/>
    <col min="4" max="4" width="7.7109375" customWidth="1"/>
    <col min="5" max="5" width="1.140625" customWidth="1"/>
    <col min="6" max="6" width="10.7109375" customWidth="1"/>
    <col min="7" max="7" width="8.42578125" customWidth="1"/>
    <col min="8" max="8" width="7.140625" customWidth="1"/>
  </cols>
  <sheetData>
    <row r="1" spans="1:11" x14ac:dyDescent="0.25">
      <c r="A1" t="s">
        <v>1200</v>
      </c>
      <c r="B1" s="242" t="s">
        <v>1183</v>
      </c>
      <c r="C1" s="242" t="s">
        <v>1202</v>
      </c>
      <c r="D1" s="242" t="s">
        <v>1185</v>
      </c>
      <c r="F1" s="247" t="s">
        <v>1049</v>
      </c>
      <c r="G1" s="248"/>
      <c r="H1" s="248">
        <v>600</v>
      </c>
      <c r="I1">
        <f>+H1*30%</f>
        <v>180</v>
      </c>
    </row>
    <row r="2" spans="1:11" x14ac:dyDescent="0.25">
      <c r="A2" t="s">
        <v>1201</v>
      </c>
      <c r="B2">
        <v>100</v>
      </c>
      <c r="C2">
        <v>300</v>
      </c>
      <c r="D2">
        <f>+B2+C2</f>
        <v>400</v>
      </c>
      <c r="F2" t="s">
        <v>1221</v>
      </c>
    </row>
    <row r="3" spans="1:11" x14ac:dyDescent="0.25">
      <c r="A3" t="s">
        <v>1203</v>
      </c>
      <c r="B3">
        <f>+B2*30%</f>
        <v>30</v>
      </c>
      <c r="D3">
        <f>+D2*30%</f>
        <v>120</v>
      </c>
      <c r="F3" t="s">
        <v>1222</v>
      </c>
      <c r="H3">
        <f>+C2</f>
        <v>300</v>
      </c>
      <c r="I3">
        <f>+H3*30%</f>
        <v>90</v>
      </c>
    </row>
    <row r="4" spans="1:11" x14ac:dyDescent="0.25">
      <c r="D4">
        <f>+D3-B3</f>
        <v>90</v>
      </c>
      <c r="F4" s="248" t="s">
        <v>1223</v>
      </c>
      <c r="G4" s="248"/>
      <c r="H4" s="248">
        <v>400</v>
      </c>
      <c r="I4">
        <f>+H4*30%</f>
        <v>120</v>
      </c>
    </row>
    <row r="6" spans="1:11" x14ac:dyDescent="0.25">
      <c r="C6" t="s">
        <v>1206</v>
      </c>
      <c r="D6" t="s">
        <v>1207</v>
      </c>
      <c r="F6" t="s">
        <v>1208</v>
      </c>
      <c r="H6">
        <f>SUM(H1:H5)</f>
        <v>1300</v>
      </c>
      <c r="I6">
        <f>SUM(I1:I5)</f>
        <v>390</v>
      </c>
    </row>
    <row r="7" spans="1:11" x14ac:dyDescent="0.25">
      <c r="A7">
        <v>37</v>
      </c>
      <c r="B7" t="s">
        <v>1204</v>
      </c>
      <c r="C7">
        <f>+D4</f>
        <v>90</v>
      </c>
      <c r="F7" t="s">
        <v>1209</v>
      </c>
      <c r="H7" s="244">
        <f>+H6*30%</f>
        <v>390</v>
      </c>
    </row>
    <row r="8" spans="1:11" x14ac:dyDescent="0.25">
      <c r="A8">
        <v>882</v>
      </c>
      <c r="B8" t="s">
        <v>1205</v>
      </c>
      <c r="D8">
        <f>+C7</f>
        <v>90</v>
      </c>
      <c r="I8" s="250" t="s">
        <v>1194</v>
      </c>
      <c r="J8" s="250"/>
      <c r="K8" s="250"/>
    </row>
    <row r="9" spans="1:11" x14ac:dyDescent="0.25">
      <c r="F9" t="s">
        <v>1169</v>
      </c>
      <c r="H9">
        <f>(H1+H4)*30%</f>
        <v>300</v>
      </c>
      <c r="I9" s="250" t="s">
        <v>1195</v>
      </c>
      <c r="J9" s="250"/>
      <c r="K9" s="250"/>
    </row>
    <row r="10" spans="1:11" x14ac:dyDescent="0.25">
      <c r="A10">
        <v>881</v>
      </c>
      <c r="B10" t="s">
        <v>1210</v>
      </c>
      <c r="C10">
        <f>+H7</f>
        <v>390</v>
      </c>
      <c r="I10" s="250" t="s">
        <v>1213</v>
      </c>
      <c r="J10" s="250"/>
      <c r="K10" s="250"/>
    </row>
    <row r="11" spans="1:11" x14ac:dyDescent="0.25">
      <c r="A11">
        <v>4017</v>
      </c>
      <c r="B11" t="s">
        <v>1211</v>
      </c>
      <c r="D11">
        <f>+C10</f>
        <v>390</v>
      </c>
      <c r="I11" s="250" t="s">
        <v>1213</v>
      </c>
      <c r="J11" s="250"/>
      <c r="K11" s="250"/>
    </row>
    <row r="12" spans="1:11" x14ac:dyDescent="0.25">
      <c r="I12" s="251" t="s">
        <v>1214</v>
      </c>
      <c r="J12" s="251"/>
      <c r="K12" s="251">
        <f>H1</f>
        <v>600</v>
      </c>
    </row>
    <row r="13" spans="1:11" x14ac:dyDescent="0.25">
      <c r="A13">
        <v>88</v>
      </c>
      <c r="B13" t="s">
        <v>1212</v>
      </c>
      <c r="D13" s="244">
        <f>-C10+D8</f>
        <v>-300</v>
      </c>
      <c r="I13" s="250" t="s">
        <v>1215</v>
      </c>
      <c r="J13" s="250"/>
      <c r="K13" s="250">
        <f>-C10+D8</f>
        <v>-300</v>
      </c>
    </row>
    <row r="14" spans="1:11" x14ac:dyDescent="0.25">
      <c r="I14" s="251" t="s">
        <v>1199</v>
      </c>
      <c r="J14" s="251"/>
      <c r="K14" s="251">
        <f>+K12+K13</f>
        <v>300</v>
      </c>
    </row>
    <row r="15" spans="1:11" x14ac:dyDescent="0.25">
      <c r="I15" s="244" t="s">
        <v>1216</v>
      </c>
      <c r="K15" s="249">
        <f>K13/K12</f>
        <v>-0.5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20</vt:i4>
      </vt:variant>
    </vt:vector>
  </HeadingPairs>
  <TitlesOfParts>
    <vt:vector size="48" baseType="lpstr">
      <vt:lpstr>TASA</vt:lpstr>
      <vt:lpstr>Hoja6</vt:lpstr>
      <vt:lpstr>LOGICA (2)</vt:lpstr>
      <vt:lpstr>Hoja5</vt:lpstr>
      <vt:lpstr>-NIC39-</vt:lpstr>
      <vt:lpstr>-NIC2-</vt:lpstr>
      <vt:lpstr>-NIC19-</vt:lpstr>
      <vt:lpstr>-JUNTO-</vt:lpstr>
      <vt:lpstr>Hoja3</vt:lpstr>
      <vt:lpstr>Esquema</vt:lpstr>
      <vt:lpstr>BC2014</vt:lpstr>
      <vt:lpstr>VARIOS</vt:lpstr>
      <vt:lpstr>29111</vt:lpstr>
      <vt:lpstr>41151</vt:lpstr>
      <vt:lpstr>482</vt:lpstr>
      <vt:lpstr>486</vt:lpstr>
      <vt:lpstr>39201</vt:lpstr>
      <vt:lpstr>39402</vt:lpstr>
      <vt:lpstr>45111</vt:lpstr>
      <vt:lpstr>45111 (2)</vt:lpstr>
      <vt:lpstr>IMP DIF 1</vt:lpstr>
      <vt:lpstr>IMP DIF 2</vt:lpstr>
      <vt:lpstr>Nota-1</vt:lpstr>
      <vt:lpstr>Nota-2</vt:lpstr>
      <vt:lpstr>DT.</vt:lpstr>
      <vt:lpstr>correo</vt:lpstr>
      <vt:lpstr>Hoja1</vt:lpstr>
      <vt:lpstr>Hoja2</vt:lpstr>
      <vt:lpstr>'29111'!Área_de_impresión</vt:lpstr>
      <vt:lpstr>'39201'!Área_de_impresión</vt:lpstr>
      <vt:lpstr>'39402'!Área_de_impresión</vt:lpstr>
      <vt:lpstr>'41151'!Área_de_impresión</vt:lpstr>
      <vt:lpstr>'45111'!Área_de_impresión</vt:lpstr>
      <vt:lpstr>'45111 (2)'!Área_de_impresión</vt:lpstr>
      <vt:lpstr>'482'!Área_de_impresión</vt:lpstr>
      <vt:lpstr>'BC2014'!Área_de_impresión</vt:lpstr>
      <vt:lpstr>'IMP DIF 1'!Área_de_impresión</vt:lpstr>
      <vt:lpstr>'IMP DIF 2'!Área_de_impresión</vt:lpstr>
      <vt:lpstr>'-JUNTO-'!Área_de_impresión</vt:lpstr>
      <vt:lpstr>'LOGICA (2)'!Área_de_impresión</vt:lpstr>
      <vt:lpstr>'-NIC19-'!Área_de_impresión</vt:lpstr>
      <vt:lpstr>'-NIC2-'!Área_de_impresión</vt:lpstr>
      <vt:lpstr>'-NIC39-'!Área_de_impresión</vt:lpstr>
      <vt:lpstr>'Nota-1'!Área_de_impresión</vt:lpstr>
      <vt:lpstr>'Nota-2'!Área_de_impresión</vt:lpstr>
      <vt:lpstr>TASA!Área_de_impresión</vt:lpstr>
      <vt:lpstr>VARIOS!Área_de_impresión</vt:lpstr>
      <vt:lpstr>'BC2014'!Títulos_a_imprimir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2016-03-23T01:28:23Z</dcterms:modified>
</cp:coreProperties>
</file>