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LENOVO\Google Drive\FREDDY\Libros\4-Libro NIIF 1\NIIF 1 IMPRESO DISTRIBUIDO EN REDES\"/>
    </mc:Choice>
  </mc:AlternateContent>
  <xr:revisionPtr revIDLastSave="0" documentId="13_ncr:1_{572ABE54-1F59-4012-9742-D5D44A9FAD1A}" xr6:coauthVersionLast="45" xr6:coauthVersionMax="45" xr10:uidLastSave="{00000000-0000-0000-0000-000000000000}"/>
  <bookViews>
    <workbookView xWindow="-120" yWindow="-120" windowWidth="20730" windowHeight="11160" tabRatio="863" firstSheet="1" activeTab="7" xr2:uid="{00000000-000D-0000-FFFF-FFFF00000000}"/>
  </bookViews>
  <sheets>
    <sheet name="Diagnóstico (2)" sheetId="21" state="hidden" r:id="rId1"/>
    <sheet name="Diagnóstico" sheetId="1" r:id="rId2"/>
    <sheet name="Asientos-1" sheetId="3" r:id="rId3"/>
    <sheet name="EEFF en NIIF" sheetId="10" r:id="rId4"/>
    <sheet name="Matriz" sheetId="2" r:id="rId5"/>
    <sheet name="Reconciliación 1" sheetId="7" r:id="rId6"/>
    <sheet name="Reconciliación 2" sheetId="5" r:id="rId7"/>
    <sheet name="Reconciliación 3" sheetId="11" r:id="rId8"/>
    <sheet name="TECNICA DE ADECUACION (2)" sheetId="18" state="hidden" r:id="rId9"/>
    <sheet name="TECNICA DE ADECUACION" sheetId="17" state="hidden" r:id="rId10"/>
    <sheet name="Hoja3" sheetId="14" state="hidden" r:id="rId11"/>
    <sheet name="Hoja2" sheetId="13" state="hidden" r:id="rId12"/>
    <sheet name="Hoja5" sheetId="16" state="hidden" r:id="rId13"/>
    <sheet name="Hoja8" sheetId="19" state="hidden" r:id="rId14"/>
    <sheet name="Hoja9" sheetId="20" state="hidden" r:id="rId15"/>
    <sheet name="Hoja4" sheetId="15" state="hidden" r:id="rId16"/>
    <sheet name="Hoja1" sheetId="12" state="hidden" r:id="rId17"/>
  </sheets>
  <definedNames>
    <definedName name="_xlnm.Print_Area" localSheetId="2">'Asientos-1'!$A$1:$P$371</definedName>
    <definedName name="_xlnm.Print_Area" localSheetId="1">Diagnóstico!$A$2:$O$42</definedName>
    <definedName name="_xlnm.Print_Area" localSheetId="0">'Diagnóstico (2)'!$A$1:$O$41</definedName>
    <definedName name="_xlnm.Print_Area" localSheetId="3">'EEFF en NIIF'!$A$1:$AH$47</definedName>
    <definedName name="_xlnm.Print_Area" localSheetId="4">Matriz!$A$1:$N$78</definedName>
    <definedName name="_xlnm.Print_Area" localSheetId="5">'Reconciliación 1'!$A$1:$I$64</definedName>
    <definedName name="_xlnm.Print_Area" localSheetId="6">'Reconciliación 2'!$A$1:$W$48</definedName>
    <definedName name="_xlnm.Print_Area" localSheetId="7">'Reconciliación 3'!$B$1:$AH$39</definedName>
    <definedName name="_xlnm.Print_Titles" localSheetId="2">'Asientos-1'!$1:$2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6" i="3" l="1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F3" i="20" l="1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G7" i="19"/>
  <c r="G16" i="19" s="1"/>
  <c r="F7" i="19"/>
  <c r="F6" i="19"/>
  <c r="F5" i="19"/>
  <c r="F4" i="19"/>
  <c r="F3" i="19"/>
  <c r="G3" i="19" s="1"/>
  <c r="G12" i="19" s="1"/>
  <c r="E5" i="19"/>
  <c r="G5" i="19" s="1"/>
  <c r="G14" i="19" s="1"/>
  <c r="E6" i="19"/>
  <c r="G6" i="19" s="1"/>
  <c r="G15" i="19" s="1"/>
  <c r="E7" i="19"/>
  <c r="E4" i="19"/>
  <c r="E3" i="19"/>
  <c r="K9" i="19" s="1"/>
  <c r="B3" i="19"/>
  <c r="B11" i="19" s="1"/>
  <c r="G142" i="3"/>
  <c r="H142" i="3"/>
  <c r="I142" i="3"/>
  <c r="H135" i="3"/>
  <c r="I135" i="3"/>
  <c r="G76" i="3"/>
  <c r="G59" i="3"/>
  <c r="G55" i="3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K7" i="17"/>
  <c r="M5" i="17"/>
  <c r="K4" i="17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M4" i="17" l="1"/>
  <c r="G4" i="19"/>
  <c r="G13" i="19" s="1"/>
  <c r="L16" i="19"/>
  <c r="D12" i="17"/>
  <c r="F12" i="17"/>
  <c r="K8" i="19"/>
  <c r="F15" i="18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L10" i="19"/>
  <c r="F20" i="17"/>
  <c r="F21" i="17" s="1"/>
  <c r="F22" i="17" s="1"/>
  <c r="E26" i="17" s="1"/>
  <c r="G4" i="18"/>
  <c r="E8" i="19"/>
  <c r="B12" i="19"/>
  <c r="B13" i="19" s="1"/>
  <c r="B14" i="19" s="1"/>
  <c r="B15" i="19" s="1"/>
  <c r="B16" i="19" s="1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E16" i="18" s="1"/>
  <c r="L11" i="18" s="1"/>
  <c r="M11" i="18" s="1"/>
  <c r="F10" i="18"/>
  <c r="F12" i="18" s="1"/>
  <c r="F15" i="17"/>
  <c r="E4" i="17"/>
  <c r="D15" i="17"/>
  <c r="C17" i="17" s="1"/>
  <c r="L10" i="17" s="1"/>
  <c r="E9" i="17"/>
  <c r="G4" i="17"/>
  <c r="H15" i="17"/>
  <c r="G8" i="16"/>
  <c r="G9" i="16" s="1"/>
  <c r="E8" i="16"/>
  <c r="E9" i="16" s="1"/>
  <c r="C8" i="16"/>
  <c r="C9" i="16" s="1"/>
  <c r="C11" i="16" s="1"/>
  <c r="C12" i="16" s="1"/>
  <c r="D17" i="16" s="1"/>
  <c r="C15" i="16" s="1"/>
  <c r="E15" i="16" s="1"/>
  <c r="E3" i="16"/>
  <c r="E4" i="16" s="1"/>
  <c r="C3" i="16"/>
  <c r="C4" i="16" s="1"/>
  <c r="G8" i="19" l="1"/>
  <c r="G16" i="17"/>
  <c r="E11" i="16"/>
  <c r="E12" i="16" s="1"/>
  <c r="F17" i="16" s="1"/>
  <c r="E16" i="16" s="1"/>
  <c r="G15" i="16" s="1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B17" i="19"/>
  <c r="F12" i="19" s="1"/>
  <c r="G17" i="18"/>
  <c r="L6" i="18" s="1"/>
  <c r="M6" i="18" s="1"/>
  <c r="M7" i="18" s="1"/>
  <c r="M12" i="18"/>
  <c r="M15" i="18" s="1"/>
  <c r="L12" i="18"/>
  <c r="L15" i="18" s="1"/>
  <c r="E17" i="18"/>
  <c r="G17" i="17"/>
  <c r="L6" i="17" s="1"/>
  <c r="B295" i="3"/>
  <c r="E17" i="17" l="1"/>
  <c r="M12" i="17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M6" i="15" s="1"/>
  <c r="D12" i="15"/>
  <c r="D13" i="15" s="1"/>
  <c r="C12" i="15"/>
  <c r="C13" i="15" s="1"/>
  <c r="E5" i="15"/>
  <c r="E6" i="15" s="1"/>
  <c r="D5" i="15"/>
  <c r="D6" i="15" s="1"/>
  <c r="C5" i="15"/>
  <c r="C6" i="15" s="1"/>
  <c r="C16" i="15" s="1"/>
  <c r="J5" i="15" s="1"/>
  <c r="I7" i="15" s="1"/>
  <c r="N10" i="15" s="1"/>
  <c r="D16" i="15" l="1"/>
  <c r="L5" i="15" s="1"/>
  <c r="X4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s="1"/>
  <c r="F22" i="19" l="1"/>
  <c r="H13" i="19"/>
  <c r="E14" i="19" s="1"/>
  <c r="F14" i="19" s="1"/>
  <c r="K7" i="15"/>
  <c r="N11" i="15"/>
  <c r="J15" i="15"/>
  <c r="I140" i="3"/>
  <c r="G135" i="3"/>
  <c r="I76" i="3"/>
  <c r="E3" i="13"/>
  <c r="E2" i="13"/>
  <c r="E1" i="13"/>
  <c r="H14" i="19" l="1"/>
  <c r="E15" i="19" s="1"/>
  <c r="F23" i="19"/>
  <c r="O11" i="15"/>
  <c r="O12" i="15" s="1"/>
  <c r="O15" i="15" s="1"/>
  <c r="N12" i="15"/>
  <c r="N15" i="15" s="1"/>
  <c r="E4" i="13"/>
  <c r="S8" i="5"/>
  <c r="S13" i="5" s="1"/>
  <c r="S18" i="5" s="1"/>
  <c r="S21" i="5" s="1"/>
  <c r="F15" i="19" l="1"/>
  <c r="C11" i="7"/>
  <c r="D11" i="7"/>
  <c r="I104" i="3"/>
  <c r="H104" i="3"/>
  <c r="G104" i="3"/>
  <c r="F24" i="19" l="1"/>
  <c r="H15" i="19"/>
  <c r="E16" i="19" s="1"/>
  <c r="F16" i="19" s="1"/>
  <c r="F17" i="19" s="1"/>
  <c r="F19" i="19" s="1"/>
  <c r="I31" i="3"/>
  <c r="H16" i="19" l="1"/>
  <c r="F25" i="19"/>
  <c r="F26" i="19"/>
  <c r="K6" i="5"/>
  <c r="K7" i="5"/>
  <c r="K8" i="5"/>
  <c r="K9" i="5"/>
  <c r="K10" i="5"/>
  <c r="K11" i="5"/>
  <c r="K12" i="5"/>
  <c r="K13" i="5"/>
  <c r="K17" i="5"/>
  <c r="K18" i="5"/>
  <c r="K19" i="5"/>
  <c r="K20" i="5"/>
  <c r="K21" i="5"/>
  <c r="K22" i="5"/>
  <c r="K23" i="5"/>
  <c r="K25" i="5"/>
  <c r="K30" i="5"/>
  <c r="K31" i="5"/>
  <c r="K32" i="5"/>
  <c r="K33" i="5"/>
  <c r="K34" i="5"/>
  <c r="K35" i="5"/>
  <c r="K43" i="5"/>
  <c r="K44" i="5"/>
  <c r="K45" i="5"/>
  <c r="G350" i="3"/>
  <c r="F350" i="3"/>
  <c r="H350" i="3"/>
  <c r="H349" i="3"/>
  <c r="H348" i="3"/>
  <c r="F347" i="3"/>
  <c r="G347" i="3"/>
  <c r="H345" i="3"/>
  <c r="H344" i="3"/>
  <c r="H343" i="3"/>
  <c r="F342" i="3"/>
  <c r="G342" i="3"/>
  <c r="H342" i="3"/>
  <c r="H367" i="3"/>
  <c r="G367" i="3" s="1"/>
  <c r="F367" i="3" s="1"/>
  <c r="F368" i="3" s="1"/>
  <c r="O34" i="11"/>
  <c r="H339" i="3"/>
  <c r="AF9" i="11"/>
  <c r="AH9" i="11" s="1"/>
  <c r="AE7" i="11"/>
  <c r="AH7" i="11" s="1"/>
  <c r="D55" i="7"/>
  <c r="AH17" i="11"/>
  <c r="AH15" i="11"/>
  <c r="O5" i="11"/>
  <c r="N5" i="11"/>
  <c r="Q17" i="11"/>
  <c r="Q15" i="11"/>
  <c r="Q9" i="11"/>
  <c r="Q7" i="11"/>
  <c r="C47" i="2"/>
  <c r="C12" i="2"/>
  <c r="D60" i="10"/>
  <c r="D65" i="10" s="1"/>
  <c r="D71" i="10" s="1"/>
  <c r="D74" i="10" s="1"/>
  <c r="C60" i="10"/>
  <c r="C65" i="10" s="1"/>
  <c r="C71" i="10" s="1"/>
  <c r="C74" i="10" s="1"/>
  <c r="E46" i="10"/>
  <c r="D46" i="10"/>
  <c r="C46" i="10"/>
  <c r="E36" i="10"/>
  <c r="D36" i="10"/>
  <c r="C36" i="10"/>
  <c r="E15" i="10"/>
  <c r="E26" i="10" s="1"/>
  <c r="D15" i="10"/>
  <c r="D26" i="10" s="1"/>
  <c r="C15" i="10"/>
  <c r="C26" i="10" s="1"/>
  <c r="H13" i="7"/>
  <c r="O30" i="11"/>
  <c r="C46" i="5"/>
  <c r="C36" i="5"/>
  <c r="C14" i="5"/>
  <c r="C26" i="5" s="1"/>
  <c r="G227" i="3"/>
  <c r="G228" i="3" s="1"/>
  <c r="F344" i="3" s="1"/>
  <c r="H227" i="3"/>
  <c r="N223" i="3" s="1"/>
  <c r="M222" i="3" s="1"/>
  <c r="D64" i="2"/>
  <c r="D69" i="2" s="1"/>
  <c r="D75" i="2" s="1"/>
  <c r="D78" i="2" s="1"/>
  <c r="E64" i="2"/>
  <c r="E69" i="2" s="1"/>
  <c r="E75" i="2" s="1"/>
  <c r="E78" i="2" s="1"/>
  <c r="P275" i="3"/>
  <c r="O273" i="3" s="1"/>
  <c r="D27" i="7" s="1"/>
  <c r="I29" i="7" s="1"/>
  <c r="K232" i="3"/>
  <c r="P233" i="3"/>
  <c r="O231" i="3" s="1"/>
  <c r="H239" i="3"/>
  <c r="G237" i="3" s="1"/>
  <c r="G239" i="3" s="1"/>
  <c r="L233" i="3" s="1"/>
  <c r="P219" i="3"/>
  <c r="H368" i="3" l="1"/>
  <c r="P363" i="3" s="1"/>
  <c r="N363" i="3" s="1"/>
  <c r="L363" i="3" s="1"/>
  <c r="AE5" i="11"/>
  <c r="AE13" i="11" s="1"/>
  <c r="AE23" i="11" s="1"/>
  <c r="O11" i="11"/>
  <c r="S24" i="5"/>
  <c r="M231" i="3"/>
  <c r="C25" i="7" s="1"/>
  <c r="D25" i="7"/>
  <c r="I27" i="7" s="1"/>
  <c r="K221" i="3"/>
  <c r="C46" i="7"/>
  <c r="H35" i="7" s="1"/>
  <c r="K14" i="5"/>
  <c r="K26" i="5" s="1"/>
  <c r="K36" i="5"/>
  <c r="K46" i="5"/>
  <c r="I13" i="7"/>
  <c r="O362" i="3"/>
  <c r="G368" i="3"/>
  <c r="G345" i="3"/>
  <c r="F345" i="3"/>
  <c r="H228" i="3"/>
  <c r="G344" i="3" s="1"/>
  <c r="L223" i="3"/>
  <c r="N233" i="3"/>
  <c r="M318" i="3"/>
  <c r="K318" i="3" s="1"/>
  <c r="L319" i="3" s="1"/>
  <c r="L313" i="3"/>
  <c r="N313" i="3"/>
  <c r="P313" i="3"/>
  <c r="O301" i="3"/>
  <c r="O248" i="3"/>
  <c r="M248" i="3" s="1"/>
  <c r="P215" i="3"/>
  <c r="N215" i="3"/>
  <c r="L215" i="3"/>
  <c r="K211" i="3"/>
  <c r="M211" i="3"/>
  <c r="L163" i="3"/>
  <c r="N163" i="3"/>
  <c r="K147" i="3"/>
  <c r="L148" i="3" s="1"/>
  <c r="M147" i="3"/>
  <c r="K150" i="3" s="1"/>
  <c r="L151" i="3" s="1"/>
  <c r="O89" i="3"/>
  <c r="K83" i="3"/>
  <c r="L84" i="3" s="1"/>
  <c r="M83" i="3"/>
  <c r="N84" i="3" s="1"/>
  <c r="O83" i="3"/>
  <c r="L15" i="3"/>
  <c r="P14" i="3"/>
  <c r="L10" i="3"/>
  <c r="N10" i="3"/>
  <c r="L6" i="3"/>
  <c r="N6" i="3"/>
  <c r="P6" i="3"/>
  <c r="K331" i="3"/>
  <c r="L332" i="3" s="1"/>
  <c r="M331" i="3"/>
  <c r="O331" i="3"/>
  <c r="G329" i="3"/>
  <c r="F329" i="3"/>
  <c r="H329" i="3"/>
  <c r="P319" i="3"/>
  <c r="G309" i="3"/>
  <c r="F307" i="3" s="1"/>
  <c r="F296" i="3"/>
  <c r="C294" i="3"/>
  <c r="L288" i="3"/>
  <c r="F291" i="3"/>
  <c r="F290" i="3"/>
  <c r="F289" i="3"/>
  <c r="F288" i="3"/>
  <c r="E291" i="3"/>
  <c r="F297" i="3" s="1"/>
  <c r="E290" i="3"/>
  <c r="E289" i="3"/>
  <c r="E288" i="3"/>
  <c r="G279" i="3"/>
  <c r="G269" i="3"/>
  <c r="H269" i="3"/>
  <c r="H271" i="3" s="1"/>
  <c r="M265" i="3" s="1"/>
  <c r="C49" i="7" s="1"/>
  <c r="H36" i="7" s="1"/>
  <c r="K249" i="3"/>
  <c r="M249" i="3"/>
  <c r="O241" i="3"/>
  <c r="H261" i="3"/>
  <c r="M218" i="3"/>
  <c r="K218" i="3"/>
  <c r="I206" i="3"/>
  <c r="O192" i="3" s="1"/>
  <c r="H206" i="3"/>
  <c r="M192" i="3" s="1"/>
  <c r="N193" i="3" s="1"/>
  <c r="G206" i="3"/>
  <c r="K192" i="3" s="1"/>
  <c r="L193" i="3" s="1"/>
  <c r="I205" i="3"/>
  <c r="H205" i="3"/>
  <c r="G205" i="3"/>
  <c r="K195" i="3" s="1"/>
  <c r="L196" i="3" s="1"/>
  <c r="G189" i="3"/>
  <c r="K180" i="3" s="1"/>
  <c r="H189" i="3"/>
  <c r="M180" i="3" s="1"/>
  <c r="I189" i="3"/>
  <c r="F177" i="3"/>
  <c r="K168" i="3" s="1"/>
  <c r="G177" i="3"/>
  <c r="M168" i="3" s="1"/>
  <c r="G176" i="3"/>
  <c r="O169" i="3"/>
  <c r="O146" i="3"/>
  <c r="G136" i="3"/>
  <c r="H136" i="3"/>
  <c r="I136" i="3"/>
  <c r="G143" i="3"/>
  <c r="F137" i="3"/>
  <c r="G137" i="3"/>
  <c r="H137" i="3"/>
  <c r="F133" i="3"/>
  <c r="G123" i="3"/>
  <c r="G124" i="3" s="1"/>
  <c r="G125" i="3" s="1"/>
  <c r="G126" i="3" s="1"/>
  <c r="H123" i="3"/>
  <c r="H124" i="3" s="1"/>
  <c r="H125" i="3" s="1"/>
  <c r="H126" i="3" s="1"/>
  <c r="I123" i="3"/>
  <c r="I124" i="3" s="1"/>
  <c r="I125" i="3" s="1"/>
  <c r="I126" i="3" s="1"/>
  <c r="G119" i="3"/>
  <c r="G120" i="3" s="1"/>
  <c r="H119" i="3"/>
  <c r="H120" i="3" s="1"/>
  <c r="I119" i="3"/>
  <c r="I120" i="3" s="1"/>
  <c r="K222" i="3" l="1"/>
  <c r="M195" i="3"/>
  <c r="N196" i="3" s="1"/>
  <c r="L197" i="3" s="1"/>
  <c r="G297" i="3"/>
  <c r="C44" i="7"/>
  <c r="H297" i="3"/>
  <c r="E292" i="3"/>
  <c r="F292" i="3"/>
  <c r="P332" i="3"/>
  <c r="D32" i="7"/>
  <c r="I34" i="7" s="1"/>
  <c r="M301" i="3"/>
  <c r="C29" i="7" s="1"/>
  <c r="D29" i="7"/>
  <c r="I31" i="7" s="1"/>
  <c r="M362" i="3"/>
  <c r="D8" i="7"/>
  <c r="M150" i="3"/>
  <c r="D21" i="7"/>
  <c r="I23" i="7" s="1"/>
  <c r="N332" i="3"/>
  <c r="C32" i="7"/>
  <c r="H34" i="7" s="1"/>
  <c r="M169" i="3"/>
  <c r="C22" i="7" s="1"/>
  <c r="D22" i="7"/>
  <c r="I24" i="7" s="1"/>
  <c r="G353" i="3"/>
  <c r="H353" i="3"/>
  <c r="O322" i="3"/>
  <c r="P323" i="3" s="1"/>
  <c r="H357" i="3"/>
  <c r="F173" i="3"/>
  <c r="F176" i="3" s="1"/>
  <c r="F343" i="3" s="1"/>
  <c r="G343" i="3"/>
  <c r="K322" i="3"/>
  <c r="F357" i="3"/>
  <c r="G259" i="3"/>
  <c r="G261" i="3" s="1"/>
  <c r="F353" i="3"/>
  <c r="F309" i="3"/>
  <c r="G349" i="3"/>
  <c r="M322" i="3"/>
  <c r="G357" i="3"/>
  <c r="Q11" i="11"/>
  <c r="P193" i="3"/>
  <c r="P90" i="3"/>
  <c r="D7" i="7" s="1"/>
  <c r="C38" i="10"/>
  <c r="C39" i="10" s="1"/>
  <c r="C47" i="10" s="1"/>
  <c r="C41" i="2"/>
  <c r="O13" i="3"/>
  <c r="D13" i="7" s="1"/>
  <c r="I15" i="7" s="1"/>
  <c r="L219" i="3"/>
  <c r="N219" i="3"/>
  <c r="N266" i="3"/>
  <c r="F138" i="3"/>
  <c r="B296" i="3"/>
  <c r="G271" i="3"/>
  <c r="L266" i="3" s="1"/>
  <c r="M162" i="3"/>
  <c r="K162" i="3"/>
  <c r="M241" i="3"/>
  <c r="N242" i="3" s="1"/>
  <c r="H254" i="3"/>
  <c r="G288" i="3"/>
  <c r="N288" i="3" s="1"/>
  <c r="P148" i="3"/>
  <c r="N148" i="3"/>
  <c r="G144" i="3"/>
  <c r="N319" i="3"/>
  <c r="M273" i="3"/>
  <c r="C27" i="7" s="1"/>
  <c r="N303" i="3"/>
  <c r="N250" i="3"/>
  <c r="K248" i="3"/>
  <c r="L250" i="3" s="1"/>
  <c r="L182" i="3"/>
  <c r="P242" i="3"/>
  <c r="M232" i="3"/>
  <c r="P250" i="3"/>
  <c r="P303" i="3"/>
  <c r="N182" i="3"/>
  <c r="P195" i="3"/>
  <c r="K264" i="3"/>
  <c r="K160" i="3"/>
  <c r="M161" i="3"/>
  <c r="K161" i="3"/>
  <c r="M89" i="3"/>
  <c r="M160" i="3"/>
  <c r="P170" i="3"/>
  <c r="M166" i="3"/>
  <c r="N170" i="3"/>
  <c r="M167" i="3"/>
  <c r="G289" i="3"/>
  <c r="N289" i="3" s="1"/>
  <c r="G290" i="3"/>
  <c r="N290" i="3" s="1"/>
  <c r="G291" i="3"/>
  <c r="G280" i="3"/>
  <c r="N275" i="3" s="1"/>
  <c r="F279" i="3"/>
  <c r="O182" i="3"/>
  <c r="K166" i="3"/>
  <c r="K167" i="3"/>
  <c r="I143" i="3"/>
  <c r="H143" i="3"/>
  <c r="I127" i="3"/>
  <c r="O112" i="3" s="1"/>
  <c r="P113" i="3" s="1"/>
  <c r="N113" i="3" s="1"/>
  <c r="G127" i="3"/>
  <c r="K112" i="3" s="1"/>
  <c r="H127" i="3"/>
  <c r="M112" i="3" s="1"/>
  <c r="H105" i="3"/>
  <c r="H106" i="3" s="1"/>
  <c r="H107" i="3" s="1"/>
  <c r="H108" i="3" s="1"/>
  <c r="G105" i="3"/>
  <c r="G106" i="3" s="1"/>
  <c r="G107" i="3" s="1"/>
  <c r="G108" i="3" s="1"/>
  <c r="I105" i="3"/>
  <c r="I106" i="3" s="1"/>
  <c r="I107" i="3" s="1"/>
  <c r="I108" i="3" s="1"/>
  <c r="I101" i="3"/>
  <c r="I102" i="3" s="1"/>
  <c r="H101" i="3"/>
  <c r="H102" i="3" s="1"/>
  <c r="G101" i="3"/>
  <c r="G102" i="3" s="1"/>
  <c r="P84" i="3"/>
  <c r="F354" i="3" l="1"/>
  <c r="K130" i="3"/>
  <c r="N151" i="3"/>
  <c r="C42" i="7" s="1"/>
  <c r="C21" i="7"/>
  <c r="C295" i="3"/>
  <c r="G292" i="3"/>
  <c r="N323" i="3"/>
  <c r="C30" i="7" s="1"/>
  <c r="D30" i="7"/>
  <c r="I32" i="7" s="1"/>
  <c r="O32" i="11"/>
  <c r="I10" i="7"/>
  <c r="K362" i="3"/>
  <c r="C8" i="7"/>
  <c r="H10" i="7" s="1"/>
  <c r="C43" i="7"/>
  <c r="H24" i="7" s="1"/>
  <c r="K231" i="3"/>
  <c r="C47" i="7"/>
  <c r="H27" i="7" s="1"/>
  <c r="C19" i="7"/>
  <c r="D19" i="7"/>
  <c r="I21" i="7" s="1"/>
  <c r="M302" i="3"/>
  <c r="D9" i="7"/>
  <c r="I9" i="7"/>
  <c r="O33" i="11"/>
  <c r="L170" i="3"/>
  <c r="L131" i="3"/>
  <c r="B297" i="3"/>
  <c r="H352" i="3"/>
  <c r="F259" i="3"/>
  <c r="F261" i="3" s="1"/>
  <c r="F352" i="3"/>
  <c r="G352" i="3"/>
  <c r="L303" i="3"/>
  <c r="F349" i="3"/>
  <c r="D38" i="10"/>
  <c r="D39" i="10" s="1"/>
  <c r="D47" i="10" s="1"/>
  <c r="D41" i="2"/>
  <c r="K38" i="5" s="1"/>
  <c r="K39" i="5" s="1"/>
  <c r="K47" i="5" s="1"/>
  <c r="K48" i="5" s="1"/>
  <c r="C38" i="5"/>
  <c r="C39" i="5" s="1"/>
  <c r="C47" i="5" s="1"/>
  <c r="C48" i="5" s="1"/>
  <c r="E41" i="2"/>
  <c r="E38" i="10"/>
  <c r="E39" i="10" s="1"/>
  <c r="E47" i="10" s="1"/>
  <c r="K241" i="3"/>
  <c r="L242" i="3" s="1"/>
  <c r="H255" i="3"/>
  <c r="G254" i="3"/>
  <c r="H144" i="3"/>
  <c r="I144" i="3"/>
  <c r="O130" i="3" s="1"/>
  <c r="N274" i="3"/>
  <c r="C50" i="7" s="1"/>
  <c r="H29" i="7" s="1"/>
  <c r="P181" i="3"/>
  <c r="O197" i="3"/>
  <c r="K265" i="3"/>
  <c r="K89" i="3"/>
  <c r="L90" i="3" s="1"/>
  <c r="N90" i="3"/>
  <c r="C7" i="7" s="1"/>
  <c r="K169" i="3"/>
  <c r="C296" i="3"/>
  <c r="C297" i="3"/>
  <c r="N291" i="3"/>
  <c r="C298" i="3"/>
  <c r="F278" i="3"/>
  <c r="G348" i="3" s="1"/>
  <c r="G109" i="3"/>
  <c r="K93" i="3" s="1"/>
  <c r="I109" i="3"/>
  <c r="O93" i="3" s="1"/>
  <c r="H109" i="3"/>
  <c r="M93" i="3" s="1"/>
  <c r="G77" i="3"/>
  <c r="H77" i="3"/>
  <c r="H76" i="3"/>
  <c r="I77" i="3"/>
  <c r="I71" i="3"/>
  <c r="I72" i="3" s="1"/>
  <c r="H71" i="3"/>
  <c r="H72" i="3" s="1"/>
  <c r="G71" i="3"/>
  <c r="G72" i="3" s="1"/>
  <c r="G60" i="3"/>
  <c r="H59" i="3"/>
  <c r="H60" i="3" s="1"/>
  <c r="I59" i="3"/>
  <c r="I60" i="3" s="1"/>
  <c r="G56" i="3"/>
  <c r="H55" i="3"/>
  <c r="H56" i="3" s="1"/>
  <c r="I55" i="3"/>
  <c r="I56" i="3" s="1"/>
  <c r="I40" i="3"/>
  <c r="I39" i="3"/>
  <c r="I38" i="3"/>
  <c r="AG5" i="11" l="1"/>
  <c r="AG13" i="11" s="1"/>
  <c r="AG23" i="11" s="1"/>
  <c r="N324" i="3"/>
  <c r="L323" i="3" s="1"/>
  <c r="L324" i="3" s="1"/>
  <c r="H23" i="7"/>
  <c r="N114" i="3"/>
  <c r="C9" i="7"/>
  <c r="H9" i="7"/>
  <c r="M197" i="3"/>
  <c r="C24" i="7" s="1"/>
  <c r="D24" i="7"/>
  <c r="I26" i="7" s="1"/>
  <c r="N181" i="3"/>
  <c r="M183" i="3" s="1"/>
  <c r="D23" i="7"/>
  <c r="I25" i="7" s="1"/>
  <c r="K301" i="3"/>
  <c r="K302" i="3" s="1"/>
  <c r="C52" i="7"/>
  <c r="H31" i="7" s="1"/>
  <c r="B298" i="3"/>
  <c r="K46" i="2" s="1"/>
  <c r="H340" i="3"/>
  <c r="N42" i="3"/>
  <c r="K43" i="3" s="1"/>
  <c r="G355" i="3"/>
  <c r="F340" i="3"/>
  <c r="P44" i="3"/>
  <c r="N44" i="3" s="1"/>
  <c r="C15" i="7" s="1"/>
  <c r="H355" i="3"/>
  <c r="G340" i="3"/>
  <c r="H354" i="3"/>
  <c r="L42" i="3"/>
  <c r="K41" i="3" s="1"/>
  <c r="F355" i="3"/>
  <c r="M130" i="3"/>
  <c r="N131" i="3" s="1"/>
  <c r="G354" i="3"/>
  <c r="P13" i="11"/>
  <c r="P23" i="11" s="1"/>
  <c r="H256" i="3"/>
  <c r="H346" i="3" s="1"/>
  <c r="P246" i="3"/>
  <c r="O244" i="3" s="1"/>
  <c r="F254" i="3"/>
  <c r="G255" i="3"/>
  <c r="M41" i="3"/>
  <c r="F280" i="3"/>
  <c r="F348" i="3" s="1"/>
  <c r="K198" i="3"/>
  <c r="K273" i="3"/>
  <c r="P95" i="3"/>
  <c r="C299" i="3"/>
  <c r="K14" i="2" s="1"/>
  <c r="H78" i="3"/>
  <c r="H79" i="3" s="1"/>
  <c r="N66" i="3" s="1"/>
  <c r="H61" i="3"/>
  <c r="N49" i="3" s="1"/>
  <c r="I78" i="3"/>
  <c r="I79" i="3" s="1"/>
  <c r="G61" i="3"/>
  <c r="L49" i="3" s="1"/>
  <c r="G78" i="3"/>
  <c r="G79" i="3" s="1"/>
  <c r="L66" i="3" s="1"/>
  <c r="I61" i="3"/>
  <c r="I33" i="3"/>
  <c r="I34" i="3" s="1"/>
  <c r="H31" i="3"/>
  <c r="H33" i="3" s="1"/>
  <c r="H34" i="3" s="1"/>
  <c r="N26" i="3" s="1"/>
  <c r="G31" i="3"/>
  <c r="G33" i="3" s="1"/>
  <c r="G34" i="3" s="1"/>
  <c r="L26" i="3" s="1"/>
  <c r="M15" i="3"/>
  <c r="C35" i="7" s="1"/>
  <c r="M13" i="3"/>
  <c r="C13" i="7" s="1"/>
  <c r="I21" i="3"/>
  <c r="G339" i="3" s="1"/>
  <c r="D18" i="2"/>
  <c r="D29" i="2" s="1"/>
  <c r="C18" i="2"/>
  <c r="C29" i="2" s="1"/>
  <c r="A8" i="3"/>
  <c r="A12" i="3" s="1"/>
  <c r="A23" i="3" s="1"/>
  <c r="A35" i="3" s="1"/>
  <c r="A46" i="3" s="1"/>
  <c r="A63" i="3" s="1"/>
  <c r="A81" i="3" s="1"/>
  <c r="A86" i="3" s="1"/>
  <c r="A92" i="3" s="1"/>
  <c r="A111" i="3" s="1"/>
  <c r="A129" i="3" s="1"/>
  <c r="A145" i="3" s="1"/>
  <c r="A159" i="3" s="1"/>
  <c r="A165" i="3" s="1"/>
  <c r="A179" i="3" s="1"/>
  <c r="A191" i="3" s="1"/>
  <c r="A208" i="3" s="1"/>
  <c r="A213" i="3" s="1"/>
  <c r="A217" i="3" s="1"/>
  <c r="A230" i="3" s="1"/>
  <c r="A240" i="3" s="1"/>
  <c r="A263" i="3" s="1"/>
  <c r="A272" i="3" s="1"/>
  <c r="A282" i="3" s="1"/>
  <c r="A300" i="3" s="1"/>
  <c r="A311" i="3" s="1"/>
  <c r="A317" i="3" s="1"/>
  <c r="A321" i="3" s="1"/>
  <c r="A330" i="3" s="1"/>
  <c r="A334" i="3" s="1"/>
  <c r="O9" i="3"/>
  <c r="C50" i="2"/>
  <c r="E39" i="2"/>
  <c r="E42" i="2" s="1"/>
  <c r="D39" i="2"/>
  <c r="D42" i="2" s="1"/>
  <c r="C39" i="2"/>
  <c r="C42" i="2" s="1"/>
  <c r="N198" i="3" l="1"/>
  <c r="C45" i="7" s="1"/>
  <c r="K34" i="2"/>
  <c r="K72" i="2"/>
  <c r="K37" i="2"/>
  <c r="L11" i="10"/>
  <c r="L57" i="10"/>
  <c r="L22" i="10"/>
  <c r="L63" i="10"/>
  <c r="K77" i="2"/>
  <c r="L24" i="10"/>
  <c r="K22" i="2"/>
  <c r="K23" i="2"/>
  <c r="L30" i="10"/>
  <c r="K24" i="2"/>
  <c r="L23" i="10"/>
  <c r="L72" i="10"/>
  <c r="L59" i="10"/>
  <c r="L68" i="10"/>
  <c r="C23" i="7"/>
  <c r="H25" i="7" s="1"/>
  <c r="K181" i="3"/>
  <c r="L183" i="3" s="1"/>
  <c r="C54" i="7"/>
  <c r="H32" i="7" s="1"/>
  <c r="C41" i="7"/>
  <c r="H21" i="7" s="1"/>
  <c r="L113" i="3"/>
  <c r="L114" i="3" s="1"/>
  <c r="H15" i="7"/>
  <c r="C20" i="7"/>
  <c r="H22" i="7" s="1"/>
  <c r="P131" i="3"/>
  <c r="K13" i="2" s="1"/>
  <c r="D20" i="7"/>
  <c r="I22" i="7" s="1"/>
  <c r="N95" i="3"/>
  <c r="D18" i="7"/>
  <c r="I20" i="7" s="1"/>
  <c r="L44" i="3"/>
  <c r="M244" i="3"/>
  <c r="C26" i="7" s="1"/>
  <c r="D26" i="7"/>
  <c r="I28" i="7" s="1"/>
  <c r="O41" i="3"/>
  <c r="J11" i="2" s="1"/>
  <c r="D15" i="7"/>
  <c r="I17" i="7" s="1"/>
  <c r="H26" i="7"/>
  <c r="K35" i="10"/>
  <c r="M288" i="3"/>
  <c r="O288" i="3" s="1"/>
  <c r="I11" i="2"/>
  <c r="K10" i="10"/>
  <c r="L10" i="10"/>
  <c r="J77" i="2"/>
  <c r="J10" i="2"/>
  <c r="K67" i="2"/>
  <c r="K68" i="2"/>
  <c r="L25" i="10"/>
  <c r="K41" i="2"/>
  <c r="L73" i="10"/>
  <c r="K20" i="2"/>
  <c r="L70" i="10"/>
  <c r="J28" i="2"/>
  <c r="J73" i="2"/>
  <c r="L34" i="10"/>
  <c r="L42" i="10"/>
  <c r="L62" i="10"/>
  <c r="J48" i="2"/>
  <c r="J67" i="2"/>
  <c r="J26" i="2"/>
  <c r="J15" i="2"/>
  <c r="J68" i="2"/>
  <c r="J17" i="2"/>
  <c r="J12" i="2"/>
  <c r="K57" i="10"/>
  <c r="K20" i="10"/>
  <c r="K24" i="10"/>
  <c r="K22" i="10"/>
  <c r="K14" i="10"/>
  <c r="J13" i="2"/>
  <c r="L7" i="10"/>
  <c r="K28" i="2"/>
  <c r="K27" i="2"/>
  <c r="K10" i="2"/>
  <c r="L13" i="10"/>
  <c r="K74" i="2"/>
  <c r="J74" i="2"/>
  <c r="J76" i="2"/>
  <c r="J66" i="2"/>
  <c r="J20" i="2"/>
  <c r="J61" i="2"/>
  <c r="J63" i="2"/>
  <c r="K31" i="10"/>
  <c r="K63" i="10"/>
  <c r="K13" i="10"/>
  <c r="K62" i="10"/>
  <c r="K23" i="10"/>
  <c r="K7" i="10"/>
  <c r="K64" i="10"/>
  <c r="L9" i="10"/>
  <c r="K26" i="2"/>
  <c r="K33" i="2"/>
  <c r="L38" i="10"/>
  <c r="L17" i="10"/>
  <c r="J16" i="2"/>
  <c r="J25" i="2"/>
  <c r="J33" i="2"/>
  <c r="J14" i="2"/>
  <c r="N14" i="2" s="1"/>
  <c r="J72" i="2"/>
  <c r="J22" i="2"/>
  <c r="J37" i="2"/>
  <c r="K33" i="10"/>
  <c r="K17" i="10"/>
  <c r="K42" i="10"/>
  <c r="K68" i="10"/>
  <c r="K32" i="10"/>
  <c r="K72" i="10"/>
  <c r="K44" i="10"/>
  <c r="K30" i="10"/>
  <c r="K11" i="10"/>
  <c r="K11" i="2"/>
  <c r="K35" i="2"/>
  <c r="K25" i="10"/>
  <c r="K34" i="10"/>
  <c r="K17" i="2"/>
  <c r="L31" i="10"/>
  <c r="L58" i="10"/>
  <c r="K16" i="2"/>
  <c r="K61" i="2"/>
  <c r="L14" i="10"/>
  <c r="K63" i="2"/>
  <c r="J62" i="2"/>
  <c r="J34" i="2"/>
  <c r="N34" i="2" s="1"/>
  <c r="L35" i="10"/>
  <c r="J36" i="2"/>
  <c r="J35" i="2"/>
  <c r="J23" i="2"/>
  <c r="N23" i="2" s="1"/>
  <c r="J46" i="2"/>
  <c r="N46" i="2" s="1"/>
  <c r="J24" i="2"/>
  <c r="N24" i="2" s="1"/>
  <c r="K9" i="10"/>
  <c r="K73" i="10"/>
  <c r="L32" i="10"/>
  <c r="K58" i="10"/>
  <c r="K70" i="10"/>
  <c r="K69" i="10"/>
  <c r="K48" i="2"/>
  <c r="K19" i="10"/>
  <c r="K59" i="10"/>
  <c r="L44" i="10"/>
  <c r="L8" i="10"/>
  <c r="K12" i="10"/>
  <c r="K38" i="2"/>
  <c r="K62" i="2"/>
  <c r="L19" i="10"/>
  <c r="K18" i="10"/>
  <c r="K66" i="2"/>
  <c r="J21" i="2"/>
  <c r="J57" i="10"/>
  <c r="L64" i="10"/>
  <c r="K73" i="2"/>
  <c r="K76" i="2"/>
  <c r="K12" i="2"/>
  <c r="L20" i="10"/>
  <c r="K25" i="2"/>
  <c r="L69" i="10"/>
  <c r="J23" i="10"/>
  <c r="G341" i="3"/>
  <c r="F341" i="3"/>
  <c r="J70" i="10"/>
  <c r="H341" i="3"/>
  <c r="N13" i="11"/>
  <c r="J42" i="10"/>
  <c r="M43" i="3"/>
  <c r="C37" i="7" s="1"/>
  <c r="H17" i="7" s="1"/>
  <c r="J72" i="10"/>
  <c r="J8" i="10"/>
  <c r="J13" i="10"/>
  <c r="J64" i="10"/>
  <c r="J22" i="10"/>
  <c r="J44" i="10"/>
  <c r="J35" i="10"/>
  <c r="J10" i="10"/>
  <c r="J25" i="10"/>
  <c r="J59" i="10"/>
  <c r="J14" i="10"/>
  <c r="J30" i="10"/>
  <c r="J58" i="10"/>
  <c r="J69" i="10"/>
  <c r="J24" i="10"/>
  <c r="J73" i="10"/>
  <c r="J34" i="10"/>
  <c r="J63" i="10"/>
  <c r="J7" i="10"/>
  <c r="J9" i="10"/>
  <c r="J11" i="10"/>
  <c r="J17" i="10"/>
  <c r="J62" i="10"/>
  <c r="J19" i="10"/>
  <c r="J68" i="10"/>
  <c r="J20" i="10"/>
  <c r="J38" i="10"/>
  <c r="J32" i="10"/>
  <c r="I63" i="2"/>
  <c r="I74" i="2"/>
  <c r="G256" i="3"/>
  <c r="G346" i="3" s="1"/>
  <c r="N246" i="3"/>
  <c r="M245" i="3" s="1"/>
  <c r="F255" i="3"/>
  <c r="I61" i="2"/>
  <c r="I41" i="2"/>
  <c r="I35" i="2"/>
  <c r="I25" i="2"/>
  <c r="I16" i="2"/>
  <c r="I28" i="2"/>
  <c r="I72" i="2"/>
  <c r="I68" i="2"/>
  <c r="L275" i="3"/>
  <c r="L274" i="3" s="1"/>
  <c r="I66" i="2"/>
  <c r="I13" i="2"/>
  <c r="I24" i="2"/>
  <c r="I34" i="2"/>
  <c r="I33" i="2"/>
  <c r="I73" i="2"/>
  <c r="I17" i="2"/>
  <c r="I22" i="2"/>
  <c r="P10" i="3"/>
  <c r="L33" i="10" s="1"/>
  <c r="J38" i="2"/>
  <c r="I76" i="2"/>
  <c r="I14" i="2"/>
  <c r="I23" i="2"/>
  <c r="I20" i="2"/>
  <c r="I62" i="2"/>
  <c r="I67" i="2"/>
  <c r="I12" i="2"/>
  <c r="I48" i="2"/>
  <c r="I46" i="2"/>
  <c r="I37" i="2"/>
  <c r="I38" i="2"/>
  <c r="I10" i="2"/>
  <c r="I77" i="2"/>
  <c r="H18" i="3"/>
  <c r="N14" i="3"/>
  <c r="J12" i="10" s="1"/>
  <c r="P26" i="3"/>
  <c r="L12" i="10" s="1"/>
  <c r="O64" i="3"/>
  <c r="O47" i="3"/>
  <c r="C51" i="2"/>
  <c r="C52" i="2" s="1"/>
  <c r="E18" i="2"/>
  <c r="E29" i="2" s="1"/>
  <c r="K13" i="3"/>
  <c r="D50" i="2"/>
  <c r="C4" i="7" s="1"/>
  <c r="E50" i="2"/>
  <c r="D4" i="7" s="1"/>
  <c r="I21" i="2" l="1"/>
  <c r="Q24" i="10"/>
  <c r="N37" i="2"/>
  <c r="Q34" i="10" s="1"/>
  <c r="K8" i="10"/>
  <c r="N22" i="2"/>
  <c r="Q19" i="10" s="1"/>
  <c r="Q23" i="10"/>
  <c r="N13" i="2"/>
  <c r="Q10" i="10" s="1"/>
  <c r="P49" i="3"/>
  <c r="D16" i="7"/>
  <c r="I18" i="7" s="1"/>
  <c r="P66" i="3"/>
  <c r="D17" i="7"/>
  <c r="I19" i="7" s="1"/>
  <c r="K244" i="3"/>
  <c r="C48" i="7"/>
  <c r="H28" i="7" s="1"/>
  <c r="M94" i="3"/>
  <c r="C18" i="7"/>
  <c r="L289" i="3"/>
  <c r="P288" i="3"/>
  <c r="N38" i="2"/>
  <c r="Q35" i="10" s="1"/>
  <c r="Q25" i="10"/>
  <c r="N33" i="2"/>
  <c r="G30" i="5" s="1"/>
  <c r="E30" i="5" s="1"/>
  <c r="N35" i="2"/>
  <c r="G32" i="5" s="1"/>
  <c r="E32" i="5" s="1"/>
  <c r="N11" i="2"/>
  <c r="G7" i="5" s="1"/>
  <c r="E7" i="5" s="1"/>
  <c r="L74" i="10"/>
  <c r="L45" i="10" s="1"/>
  <c r="N20" i="2"/>
  <c r="G17" i="5" s="1"/>
  <c r="E17" i="5" s="1"/>
  <c r="Q22" i="10"/>
  <c r="G21" i="5"/>
  <c r="E21" i="5" s="1"/>
  <c r="G34" i="5"/>
  <c r="E34" i="5" s="1"/>
  <c r="J78" i="2"/>
  <c r="J49" i="2" s="1"/>
  <c r="Q14" i="10"/>
  <c r="K74" i="10"/>
  <c r="K45" i="10" s="1"/>
  <c r="Q42" i="10"/>
  <c r="G43" i="5"/>
  <c r="E43" i="5" s="1"/>
  <c r="N25" i="2"/>
  <c r="G22" i="5" s="1"/>
  <c r="E22" i="5" s="1"/>
  <c r="N12" i="2"/>
  <c r="N26" i="2"/>
  <c r="G23" i="5" s="1"/>
  <c r="E23" i="5" s="1"/>
  <c r="N28" i="2"/>
  <c r="G25" i="5" s="1"/>
  <c r="E25" i="5" s="1"/>
  <c r="Q20" i="10"/>
  <c r="G20" i="5"/>
  <c r="E20" i="5" s="1"/>
  <c r="Q31" i="10"/>
  <c r="G31" i="5"/>
  <c r="E31" i="5" s="1"/>
  <c r="K78" i="2"/>
  <c r="K49" i="2" s="1"/>
  <c r="N16" i="2"/>
  <c r="N17" i="2"/>
  <c r="G13" i="5" s="1"/>
  <c r="E13" i="5" s="1"/>
  <c r="N10" i="2"/>
  <c r="Q11" i="10"/>
  <c r="G10" i="5"/>
  <c r="E10" i="5" s="1"/>
  <c r="N48" i="2"/>
  <c r="I5" i="7"/>
  <c r="H5" i="7"/>
  <c r="N23" i="11"/>
  <c r="J74" i="10"/>
  <c r="J45" i="10" s="1"/>
  <c r="J18" i="10"/>
  <c r="I78" i="2"/>
  <c r="I49" i="2" s="1"/>
  <c r="F256" i="3"/>
  <c r="L246" i="3"/>
  <c r="O24" i="3"/>
  <c r="D14" i="7" s="1"/>
  <c r="I16" i="7" s="1"/>
  <c r="K15" i="2"/>
  <c r="I15" i="2"/>
  <c r="K36" i="2"/>
  <c r="N36" i="2" s="1"/>
  <c r="M64" i="3"/>
  <c r="C17" i="7" s="1"/>
  <c r="M47" i="3"/>
  <c r="C16" i="7" s="1"/>
  <c r="H21" i="3"/>
  <c r="E51" i="2"/>
  <c r="E52" i="2" s="1"/>
  <c r="D51" i="2"/>
  <c r="D52" i="2" s="1"/>
  <c r="K245" i="3" l="1"/>
  <c r="G19" i="5"/>
  <c r="E19" i="5" s="1"/>
  <c r="K21" i="2"/>
  <c r="N21" i="2" s="1"/>
  <c r="G18" i="5" s="1"/>
  <c r="E18" i="5" s="1"/>
  <c r="L18" i="10"/>
  <c r="G9" i="5"/>
  <c r="E9" i="5" s="1"/>
  <c r="L95" i="3"/>
  <c r="K94" i="3" s="1"/>
  <c r="C40" i="7"/>
  <c r="H20" i="7" s="1"/>
  <c r="M289" i="3"/>
  <c r="H298" i="3"/>
  <c r="H299" i="3" s="1"/>
  <c r="G35" i="5"/>
  <c r="E35" i="5" s="1"/>
  <c r="Q30" i="10"/>
  <c r="Q8" i="10"/>
  <c r="Q45" i="10"/>
  <c r="Q32" i="10"/>
  <c r="Q17" i="10"/>
  <c r="Q13" i="10"/>
  <c r="G12" i="5"/>
  <c r="E12" i="5" s="1"/>
  <c r="Q9" i="10"/>
  <c r="G8" i="5"/>
  <c r="E8" i="5" s="1"/>
  <c r="Q7" i="10"/>
  <c r="G6" i="5"/>
  <c r="E6" i="5" s="1"/>
  <c r="Q44" i="10"/>
  <c r="G45" i="5"/>
  <c r="E45" i="5" s="1"/>
  <c r="N49" i="2"/>
  <c r="F339" i="3"/>
  <c r="F346" i="3"/>
  <c r="Q33" i="10"/>
  <c r="K43" i="10"/>
  <c r="N39" i="2"/>
  <c r="G33" i="5"/>
  <c r="N15" i="2"/>
  <c r="M24" i="3"/>
  <c r="C14" i="7" s="1"/>
  <c r="J47" i="2"/>
  <c r="I26" i="2"/>
  <c r="I36" i="2"/>
  <c r="M65" i="3"/>
  <c r="L14" i="3"/>
  <c r="M48" i="3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Q18" i="10" l="1"/>
  <c r="K47" i="3"/>
  <c r="K48" i="3" s="1"/>
  <c r="C38" i="7"/>
  <c r="H18" i="7" s="1"/>
  <c r="K64" i="3"/>
  <c r="K65" i="3" s="1"/>
  <c r="C39" i="7"/>
  <c r="H19" i="7" s="1"/>
  <c r="H356" i="3"/>
  <c r="H358" i="3" s="1"/>
  <c r="H359" i="3" s="1"/>
  <c r="O335" i="3" s="1"/>
  <c r="O283" i="3"/>
  <c r="O289" i="3"/>
  <c r="L290" i="3" s="1"/>
  <c r="P289" i="3"/>
  <c r="Q36" i="10"/>
  <c r="Q12" i="10"/>
  <c r="Q15" i="10" s="1"/>
  <c r="J31" i="10"/>
  <c r="J33" i="10"/>
  <c r="G36" i="5"/>
  <c r="E33" i="5"/>
  <c r="N18" i="2"/>
  <c r="G11" i="5"/>
  <c r="M25" i="3"/>
  <c r="C36" i="7" s="1"/>
  <c r="H16" i="7" s="1"/>
  <c r="K38" i="10" l="1"/>
  <c r="J41" i="2"/>
  <c r="N41" i="2" s="1"/>
  <c r="O370" i="3"/>
  <c r="P285" i="3"/>
  <c r="J27" i="2"/>
  <c r="P336" i="3"/>
  <c r="M290" i="3"/>
  <c r="G298" i="3"/>
  <c r="G299" i="3" s="1"/>
  <c r="M283" i="3" s="1"/>
  <c r="G14" i="5"/>
  <c r="E11" i="5"/>
  <c r="K24" i="3"/>
  <c r="G356" i="3" l="1"/>
  <c r="G358" i="3" s="1"/>
  <c r="G359" i="3" s="1"/>
  <c r="M335" i="3" s="1"/>
  <c r="N27" i="2"/>
  <c r="J52" i="2"/>
  <c r="G38" i="5"/>
  <c r="Q38" i="10"/>
  <c r="Q39" i="10" s="1"/>
  <c r="N42" i="2"/>
  <c r="P290" i="3"/>
  <c r="D28" i="7"/>
  <c r="N285" i="3"/>
  <c r="K47" i="2"/>
  <c r="P370" i="3"/>
  <c r="P371" i="3" s="1"/>
  <c r="I27" i="2" s="1"/>
  <c r="L43" i="10"/>
  <c r="O290" i="3"/>
  <c r="L291" i="3" s="1"/>
  <c r="D31" i="7"/>
  <c r="I33" i="7" s="1"/>
  <c r="N336" i="3"/>
  <c r="L25" i="3"/>
  <c r="O13" i="11"/>
  <c r="Q5" i="11"/>
  <c r="I30" i="7" l="1"/>
  <c r="O35" i="11"/>
  <c r="D33" i="7"/>
  <c r="G24" i="5"/>
  <c r="Q21" i="10"/>
  <c r="Q26" i="10" s="1"/>
  <c r="N29" i="2"/>
  <c r="C31" i="7"/>
  <c r="M337" i="3"/>
  <c r="C53" i="7" s="1"/>
  <c r="I37" i="7"/>
  <c r="K52" i="2"/>
  <c r="K53" i="2" s="1"/>
  <c r="N47" i="2"/>
  <c r="E38" i="5"/>
  <c r="G39" i="5"/>
  <c r="F298" i="3"/>
  <c r="M291" i="3"/>
  <c r="C28" i="7"/>
  <c r="J43" i="10"/>
  <c r="I47" i="2"/>
  <c r="I52" i="2" s="1"/>
  <c r="N370" i="3"/>
  <c r="M284" i="3"/>
  <c r="L285" i="3" s="1"/>
  <c r="Q13" i="11"/>
  <c r="Q25" i="11" s="1"/>
  <c r="Q24" i="11"/>
  <c r="D56" i="7" l="1"/>
  <c r="I56" i="7" s="1"/>
  <c r="D60" i="7"/>
  <c r="M370" i="3"/>
  <c r="N371" i="3" s="1"/>
  <c r="L336" i="3"/>
  <c r="L370" i="3" s="1"/>
  <c r="C51" i="7"/>
  <c r="H30" i="7" s="1"/>
  <c r="C33" i="7"/>
  <c r="H33" i="7"/>
  <c r="E24" i="5"/>
  <c r="G26" i="5"/>
  <c r="O291" i="3"/>
  <c r="P291" i="3"/>
  <c r="P292" i="3" s="1"/>
  <c r="M292" i="3"/>
  <c r="N292" i="3" s="1"/>
  <c r="F299" i="3"/>
  <c r="N50" i="2"/>
  <c r="N51" i="2" s="1"/>
  <c r="N52" i="2" s="1"/>
  <c r="G44" i="5"/>
  <c r="Q43" i="10"/>
  <c r="Q46" i="10" s="1"/>
  <c r="Q47" i="10" s="1"/>
  <c r="AF5" i="11"/>
  <c r="O36" i="11"/>
  <c r="C55" i="7" l="1"/>
  <c r="O37" i="11" s="1"/>
  <c r="AF11" i="11" s="1"/>
  <c r="AH11" i="11" s="1"/>
  <c r="AJ11" i="11" s="1"/>
  <c r="AH5" i="11"/>
  <c r="K283" i="3"/>
  <c r="F356" i="3"/>
  <c r="D58" i="7"/>
  <c r="C99" i="10"/>
  <c r="Q51" i="10"/>
  <c r="E44" i="5"/>
  <c r="G46" i="5"/>
  <c r="G47" i="5" s="1"/>
  <c r="G48" i="5" s="1"/>
  <c r="H37" i="7"/>
  <c r="H39" i="7" s="1"/>
  <c r="O21" i="11" l="1"/>
  <c r="Q21" i="11" s="1"/>
  <c r="C56" i="7"/>
  <c r="AF13" i="11"/>
  <c r="C60" i="7"/>
  <c r="O38" i="11"/>
  <c r="F358" i="3"/>
  <c r="K284" i="3"/>
  <c r="AH24" i="11"/>
  <c r="AJ5" i="11"/>
  <c r="AJ21" i="11" s="1"/>
  <c r="AH13" i="11"/>
  <c r="F359" i="3" l="1"/>
  <c r="G69" i="10" s="1"/>
  <c r="H73" i="2"/>
  <c r="M73" i="2" s="1"/>
  <c r="W16" i="5" s="1"/>
  <c r="U16" i="5" s="1"/>
  <c r="I73" i="10"/>
  <c r="Q73" i="10" s="1"/>
  <c r="G47" i="2"/>
  <c r="I69" i="10"/>
  <c r="Q69" i="10" s="1"/>
  <c r="F22" i="2"/>
  <c r="G19" i="10"/>
  <c r="H56" i="7"/>
  <c r="F73" i="2" l="1"/>
  <c r="H43" i="10"/>
  <c r="K335" i="3"/>
  <c r="F33" i="2"/>
  <c r="G14" i="2"/>
  <c r="F21" i="2"/>
  <c r="G28" i="2"/>
  <c r="H73" i="10"/>
  <c r="H27" i="2"/>
  <c r="M27" i="2" s="1"/>
  <c r="G15" i="2"/>
  <c r="H15" i="2"/>
  <c r="M15" i="2" s="1"/>
  <c r="G23" i="10"/>
  <c r="I7" i="10"/>
  <c r="H11" i="10"/>
  <c r="H34" i="2"/>
  <c r="M34" i="2" s="1"/>
  <c r="H70" i="10"/>
  <c r="F16" i="2"/>
  <c r="H63" i="2"/>
  <c r="M63" i="2" s="1"/>
  <c r="W7" i="5" s="1"/>
  <c r="U7" i="5" s="1"/>
  <c r="F36" i="2"/>
  <c r="F10" i="2"/>
  <c r="I10" i="10"/>
  <c r="G8" i="10"/>
  <c r="I58" i="10"/>
  <c r="Q58" i="10" s="1"/>
  <c r="H20" i="10"/>
  <c r="I30" i="10"/>
  <c r="H44" i="10"/>
  <c r="H24" i="2"/>
  <c r="M24" i="2" s="1"/>
  <c r="H69" i="10"/>
  <c r="P69" i="10" s="1"/>
  <c r="G27" i="2"/>
  <c r="G66" i="2"/>
  <c r="F37" i="2"/>
  <c r="G58" i="10"/>
  <c r="G46" i="2"/>
  <c r="H21" i="2"/>
  <c r="M21" i="2" s="1"/>
  <c r="G25" i="10"/>
  <c r="I38" i="10"/>
  <c r="G10" i="10"/>
  <c r="I25" i="10"/>
  <c r="P25" i="10" s="1"/>
  <c r="H22" i="10"/>
  <c r="H35" i="2"/>
  <c r="M35" i="2" s="1"/>
  <c r="G73" i="2"/>
  <c r="H36" i="2"/>
  <c r="M36" i="2" s="1"/>
  <c r="F67" i="2"/>
  <c r="G23" i="2"/>
  <c r="G26" i="2"/>
  <c r="F11" i="2"/>
  <c r="H13" i="2"/>
  <c r="M13" i="2" s="1"/>
  <c r="I64" i="10"/>
  <c r="G34" i="10"/>
  <c r="G43" i="10"/>
  <c r="I70" i="10"/>
  <c r="Q70" i="10" s="1"/>
  <c r="H14" i="2"/>
  <c r="M14" i="2" s="1"/>
  <c r="G62" i="10"/>
  <c r="F14" i="2"/>
  <c r="G63" i="2"/>
  <c r="H30" i="10"/>
  <c r="I68" i="10"/>
  <c r="Q68" i="10" s="1"/>
  <c r="H17" i="2"/>
  <c r="M17" i="2" s="1"/>
  <c r="O13" i="5" s="1"/>
  <c r="M13" i="5" s="1"/>
  <c r="G7" i="10"/>
  <c r="F25" i="2"/>
  <c r="G20" i="10"/>
  <c r="I23" i="10"/>
  <c r="P23" i="10" s="1"/>
  <c r="I62" i="10"/>
  <c r="Q62" i="10" s="1"/>
  <c r="G33" i="2"/>
  <c r="G64" i="10"/>
  <c r="G24" i="2"/>
  <c r="F76" i="2"/>
  <c r="G17" i="2"/>
  <c r="H77" i="2"/>
  <c r="M77" i="2" s="1"/>
  <c r="W20" i="5" s="1"/>
  <c r="U20" i="5" s="1"/>
  <c r="G41" i="2"/>
  <c r="H67" i="2"/>
  <c r="M67" i="2" s="1"/>
  <c r="W11" i="5" s="1"/>
  <c r="U11" i="5" s="1"/>
  <c r="H13" i="10"/>
  <c r="H25" i="2"/>
  <c r="M25" i="2" s="1"/>
  <c r="O22" i="5" s="1"/>
  <c r="M22" i="5" s="1"/>
  <c r="F47" i="2"/>
  <c r="L47" i="2" s="1"/>
  <c r="I72" i="10"/>
  <c r="Q72" i="10" s="1"/>
  <c r="H41" i="2"/>
  <c r="M41" i="2" s="1"/>
  <c r="H61" i="2"/>
  <c r="G30" i="10"/>
  <c r="F20" i="2"/>
  <c r="F48" i="2"/>
  <c r="G34" i="2"/>
  <c r="F24" i="2"/>
  <c r="L24" i="2" s="1"/>
  <c r="O22" i="10" s="1"/>
  <c r="H76" i="2"/>
  <c r="M76" i="2" s="1"/>
  <c r="W19" i="5" s="1"/>
  <c r="U19" i="5" s="1"/>
  <c r="H14" i="10"/>
  <c r="I14" i="10"/>
  <c r="P14" i="10" s="1"/>
  <c r="G14" i="10"/>
  <c r="I9" i="10"/>
  <c r="G9" i="10"/>
  <c r="H26" i="2"/>
  <c r="M26" i="2" s="1"/>
  <c r="O23" i="5" s="1"/>
  <c r="M23" i="5" s="1"/>
  <c r="G68" i="10"/>
  <c r="H58" i="10"/>
  <c r="G72" i="2"/>
  <c r="H42" i="10"/>
  <c r="F74" i="2"/>
  <c r="G12" i="2"/>
  <c r="H62" i="2"/>
  <c r="M62" i="2" s="1"/>
  <c r="W6" i="5" s="1"/>
  <c r="U6" i="5" s="1"/>
  <c r="G32" i="10"/>
  <c r="I13" i="10"/>
  <c r="H9" i="10"/>
  <c r="I33" i="10"/>
  <c r="H72" i="10"/>
  <c r="G17" i="10"/>
  <c r="G62" i="2"/>
  <c r="H38" i="10"/>
  <c r="F46" i="2"/>
  <c r="L46" i="2" s="1"/>
  <c r="G76" i="2"/>
  <c r="F17" i="2"/>
  <c r="H66" i="2"/>
  <c r="M66" i="2" s="1"/>
  <c r="W10" i="5" s="1"/>
  <c r="U10" i="5" s="1"/>
  <c r="H68" i="10"/>
  <c r="I19" i="10"/>
  <c r="H32" i="10"/>
  <c r="I12" i="10"/>
  <c r="H7" i="10"/>
  <c r="I8" i="10"/>
  <c r="G33" i="10"/>
  <c r="F68" i="2"/>
  <c r="G10" i="2"/>
  <c r="G35" i="2"/>
  <c r="G42" i="10"/>
  <c r="G59" i="10"/>
  <c r="F13" i="2"/>
  <c r="H12" i="2"/>
  <c r="M12" i="2" s="1"/>
  <c r="H25" i="10"/>
  <c r="G16" i="2"/>
  <c r="G61" i="2"/>
  <c r="H22" i="2"/>
  <c r="M22" i="2" s="1"/>
  <c r="H10" i="10"/>
  <c r="G12" i="10"/>
  <c r="H59" i="10"/>
  <c r="F12" i="2"/>
  <c r="H19" i="10"/>
  <c r="G13" i="10"/>
  <c r="G22" i="2"/>
  <c r="L22" i="2" s="1"/>
  <c r="O19" i="10" s="1"/>
  <c r="G11" i="10"/>
  <c r="F38" i="2"/>
  <c r="H72" i="2"/>
  <c r="M72" i="2" s="1"/>
  <c r="W15" i="5" s="1"/>
  <c r="U15" i="5" s="1"/>
  <c r="I17" i="10"/>
  <c r="H35" i="10"/>
  <c r="H28" i="2"/>
  <c r="M28" i="2" s="1"/>
  <c r="O25" i="5" s="1"/>
  <c r="M25" i="5" s="1"/>
  <c r="H23" i="2"/>
  <c r="M23" i="2" s="1"/>
  <c r="H68" i="2"/>
  <c r="H31" i="10"/>
  <c r="G36" i="2"/>
  <c r="F26" i="2"/>
  <c r="F15" i="2"/>
  <c r="H24" i="10"/>
  <c r="H64" i="10"/>
  <c r="I31" i="10"/>
  <c r="G57" i="10"/>
  <c r="I57" i="10"/>
  <c r="H12" i="10"/>
  <c r="I24" i="10"/>
  <c r="P24" i="10" s="1"/>
  <c r="H48" i="2"/>
  <c r="M48" i="2" s="1"/>
  <c r="I59" i="10"/>
  <c r="Q59" i="10" s="1"/>
  <c r="H38" i="2"/>
  <c r="M38" i="2" s="1"/>
  <c r="F35" i="2"/>
  <c r="G74" i="2"/>
  <c r="G13" i="2"/>
  <c r="F34" i="2"/>
  <c r="F72" i="2"/>
  <c r="H11" i="2"/>
  <c r="M11" i="2" s="1"/>
  <c r="H18" i="10"/>
  <c r="I42" i="10"/>
  <c r="H17" i="10"/>
  <c r="I44" i="10"/>
  <c r="G22" i="10"/>
  <c r="H33" i="10"/>
  <c r="G21" i="2"/>
  <c r="G11" i="2"/>
  <c r="H23" i="10"/>
  <c r="H8" i="10"/>
  <c r="G48" i="2"/>
  <c r="H10" i="2"/>
  <c r="H62" i="10"/>
  <c r="I18" i="10"/>
  <c r="G31" i="10"/>
  <c r="I22" i="10"/>
  <c r="H63" i="10"/>
  <c r="I34" i="10"/>
  <c r="G70" i="10"/>
  <c r="F41" i="2"/>
  <c r="F28" i="2"/>
  <c r="L28" i="2" s="1"/>
  <c r="H47" i="2"/>
  <c r="M47" i="2" s="1"/>
  <c r="H16" i="2"/>
  <c r="M16" i="2" s="1"/>
  <c r="F23" i="2"/>
  <c r="G67" i="2"/>
  <c r="I43" i="10"/>
  <c r="I11" i="10"/>
  <c r="F66" i="2"/>
  <c r="F63" i="2"/>
  <c r="I35" i="10"/>
  <c r="G72" i="10"/>
  <c r="G38" i="10"/>
  <c r="G24" i="10"/>
  <c r="O24" i="10" s="1"/>
  <c r="F61" i="2"/>
  <c r="G68" i="2"/>
  <c r="G25" i="2"/>
  <c r="G77" i="2"/>
  <c r="H20" i="2"/>
  <c r="M20" i="2" s="1"/>
  <c r="H34" i="10"/>
  <c r="H46" i="2"/>
  <c r="M46" i="2" s="1"/>
  <c r="G18" i="10"/>
  <c r="H33" i="2"/>
  <c r="M33" i="2" s="1"/>
  <c r="G63" i="10"/>
  <c r="H37" i="2"/>
  <c r="M37" i="2" s="1"/>
  <c r="G44" i="10"/>
  <c r="G38" i="2"/>
  <c r="G20" i="2"/>
  <c r="F62" i="2"/>
  <c r="G37" i="2"/>
  <c r="H74" i="2"/>
  <c r="M74" i="2" s="1"/>
  <c r="W17" i="5" s="1"/>
  <c r="U17" i="5" s="1"/>
  <c r="I20" i="10"/>
  <c r="I63" i="10"/>
  <c r="Q63" i="10" s="1"/>
  <c r="H57" i="10"/>
  <c r="I32" i="10"/>
  <c r="G35" i="10"/>
  <c r="L73" i="2"/>
  <c r="L14" i="2" l="1"/>
  <c r="O11" i="10" s="1"/>
  <c r="L41" i="2"/>
  <c r="O38" i="10" s="1"/>
  <c r="L67" i="2"/>
  <c r="L74" i="2"/>
  <c r="L23" i="2"/>
  <c r="O20" i="10" s="1"/>
  <c r="P62" i="10"/>
  <c r="L26" i="2"/>
  <c r="L35" i="2"/>
  <c r="O32" i="10" s="1"/>
  <c r="P68" i="10"/>
  <c r="L34" i="2"/>
  <c r="O31" i="10" s="1"/>
  <c r="L17" i="2"/>
  <c r="P58" i="10"/>
  <c r="L12" i="2"/>
  <c r="O9" i="10" s="1"/>
  <c r="L76" i="2"/>
  <c r="P59" i="10"/>
  <c r="L13" i="2"/>
  <c r="O10" i="10" s="1"/>
  <c r="O34" i="5"/>
  <c r="M34" i="5" s="1"/>
  <c r="P34" i="10"/>
  <c r="H74" i="10"/>
  <c r="H45" i="10" s="1"/>
  <c r="P57" i="10"/>
  <c r="P63" i="10"/>
  <c r="Q57" i="10"/>
  <c r="Q60" i="10" s="1"/>
  <c r="I74" i="10"/>
  <c r="I45" i="10" s="1"/>
  <c r="O19" i="5"/>
  <c r="M19" i="5" s="1"/>
  <c r="P19" i="10"/>
  <c r="O8" i="5"/>
  <c r="M8" i="5" s="1"/>
  <c r="P9" i="10"/>
  <c r="O14" i="10"/>
  <c r="L11" i="2"/>
  <c r="O8" i="10" s="1"/>
  <c r="P33" i="10"/>
  <c r="O33" i="5"/>
  <c r="M33" i="5" s="1"/>
  <c r="O18" i="5"/>
  <c r="M18" i="5" s="1"/>
  <c r="P18" i="10"/>
  <c r="L66" i="2"/>
  <c r="L15" i="2"/>
  <c r="O12" i="10" s="1"/>
  <c r="L21" i="2"/>
  <c r="O18" i="10" s="1"/>
  <c r="O43" i="5"/>
  <c r="P42" i="10"/>
  <c r="M10" i="2"/>
  <c r="O7" i="5"/>
  <c r="M7" i="5" s="1"/>
  <c r="P8" i="10"/>
  <c r="P44" i="10"/>
  <c r="O45" i="5"/>
  <c r="M45" i="5" s="1"/>
  <c r="L61" i="2"/>
  <c r="O42" i="10"/>
  <c r="P72" i="10"/>
  <c r="M61" i="2"/>
  <c r="H78" i="2"/>
  <c r="H49" i="2" s="1"/>
  <c r="M49" i="2" s="1"/>
  <c r="M50" i="2" s="1"/>
  <c r="L16" i="2"/>
  <c r="O13" i="10" s="1"/>
  <c r="O24" i="5"/>
  <c r="M24" i="5" s="1"/>
  <c r="P21" i="10"/>
  <c r="L68" i="2"/>
  <c r="M68" i="2"/>
  <c r="W12" i="5" s="1"/>
  <c r="U12" i="5" s="1"/>
  <c r="O12" i="5"/>
  <c r="M12" i="5" s="1"/>
  <c r="P13" i="10"/>
  <c r="O20" i="5"/>
  <c r="M20" i="5" s="1"/>
  <c r="P20" i="10"/>
  <c r="L72" i="2"/>
  <c r="L48" i="2"/>
  <c r="O44" i="10" s="1"/>
  <c r="O38" i="5"/>
  <c r="M38" i="5" s="1"/>
  <c r="P38" i="10"/>
  <c r="L25" i="2"/>
  <c r="O10" i="5"/>
  <c r="M10" i="5" s="1"/>
  <c r="P11" i="10"/>
  <c r="O32" i="5"/>
  <c r="M32" i="5" s="1"/>
  <c r="P32" i="10"/>
  <c r="L10" i="2"/>
  <c r="P70" i="10"/>
  <c r="O23" i="10"/>
  <c r="L33" i="2"/>
  <c r="O30" i="5"/>
  <c r="P30" i="10"/>
  <c r="M39" i="2"/>
  <c r="M42" i="2" s="1"/>
  <c r="O17" i="5"/>
  <c r="M17" i="5" s="1"/>
  <c r="P17" i="10"/>
  <c r="O35" i="5"/>
  <c r="M35" i="5" s="1"/>
  <c r="P35" i="10"/>
  <c r="Q64" i="10"/>
  <c r="P64" i="10"/>
  <c r="L38" i="2"/>
  <c r="O35" i="10" s="1"/>
  <c r="L62" i="2"/>
  <c r="L20" i="2"/>
  <c r="O17" i="10" s="1"/>
  <c r="G78" i="2"/>
  <c r="G49" i="2" s="1"/>
  <c r="G52" i="2" s="1"/>
  <c r="L63" i="2"/>
  <c r="O9" i="5"/>
  <c r="M9" i="5" s="1"/>
  <c r="P10" i="10"/>
  <c r="O25" i="10"/>
  <c r="L37" i="2"/>
  <c r="O34" i="10" s="1"/>
  <c r="O21" i="5"/>
  <c r="M21" i="5" s="1"/>
  <c r="P22" i="10"/>
  <c r="L36" i="2"/>
  <c r="O33" i="10" s="1"/>
  <c r="O31" i="5"/>
  <c r="M31" i="5" s="1"/>
  <c r="P31" i="10"/>
  <c r="O11" i="5"/>
  <c r="M11" i="5" s="1"/>
  <c r="P12" i="10"/>
  <c r="K337" i="3"/>
  <c r="K370" i="3" s="1"/>
  <c r="L371" i="3" s="1"/>
  <c r="F27" i="2"/>
  <c r="L27" i="2" s="1"/>
  <c r="O21" i="10" s="1"/>
  <c r="O44" i="5" l="1"/>
  <c r="M44" i="5" s="1"/>
  <c r="P60" i="10"/>
  <c r="P65" i="10" s="1"/>
  <c r="P71" i="10" s="1"/>
  <c r="L64" i="2"/>
  <c r="L69" i="2" s="1"/>
  <c r="L75" i="2" s="1"/>
  <c r="P36" i="10"/>
  <c r="P39" i="10" s="1"/>
  <c r="H52" i="2"/>
  <c r="I53" i="2" s="1"/>
  <c r="M30" i="5"/>
  <c r="O36" i="5"/>
  <c r="O39" i="5" s="1"/>
  <c r="P43" i="10"/>
  <c r="P46" i="10" s="1"/>
  <c r="O6" i="5"/>
  <c r="P7" i="10"/>
  <c r="P15" i="10" s="1"/>
  <c r="P26" i="10" s="1"/>
  <c r="M18" i="2"/>
  <c r="M29" i="2" s="1"/>
  <c r="O30" i="10"/>
  <c r="O36" i="10" s="1"/>
  <c r="O39" i="10" s="1"/>
  <c r="L39" i="2"/>
  <c r="L42" i="2" s="1"/>
  <c r="O7" i="10"/>
  <c r="O15" i="10" s="1"/>
  <c r="O26" i="10" s="1"/>
  <c r="L18" i="2"/>
  <c r="L29" i="2" s="1"/>
  <c r="W5" i="5"/>
  <c r="M64" i="2"/>
  <c r="M69" i="2" s="1"/>
  <c r="M75" i="2" s="1"/>
  <c r="M78" i="2" s="1"/>
  <c r="M79" i="2" s="1"/>
  <c r="AH25" i="11"/>
  <c r="M51" i="2"/>
  <c r="C58" i="7"/>
  <c r="M43" i="5"/>
  <c r="F77" i="2"/>
  <c r="G73" i="10"/>
  <c r="Q65" i="10"/>
  <c r="Q71" i="10" s="1"/>
  <c r="Q74" i="10" s="1"/>
  <c r="O46" i="5" l="1"/>
  <c r="O47" i="5" s="1"/>
  <c r="M52" i="2"/>
  <c r="P47" i="10"/>
  <c r="P51" i="10" s="1"/>
  <c r="T69" i="10"/>
  <c r="P73" i="10"/>
  <c r="P74" i="10" s="1"/>
  <c r="G74" i="10"/>
  <c r="G45" i="10" s="1"/>
  <c r="W8" i="5"/>
  <c r="W13" i="5" s="1"/>
  <c r="W18" i="5" s="1"/>
  <c r="W21" i="5" s="1"/>
  <c r="W24" i="5" s="1"/>
  <c r="U5" i="5"/>
  <c r="L77" i="2"/>
  <c r="L78" i="2" s="1"/>
  <c r="O19" i="11" s="1"/>
  <c r="F78" i="2"/>
  <c r="F49" i="2" s="1"/>
  <c r="O14" i="5"/>
  <c r="O26" i="5" s="1"/>
  <c r="M6" i="5"/>
  <c r="O48" i="5" l="1"/>
  <c r="S69" i="10"/>
  <c r="L49" i="2"/>
  <c r="L50" i="2" s="1"/>
  <c r="F52" i="2"/>
  <c r="G53" i="2" s="1"/>
  <c r="AF19" i="11"/>
  <c r="Q19" i="11"/>
  <c r="Q23" i="11" s="1"/>
  <c r="O23" i="11"/>
  <c r="AH19" i="11" l="1"/>
  <c r="AH23" i="11" s="1"/>
  <c r="AF23" i="11"/>
  <c r="O43" i="10"/>
  <c r="O46" i="10" s="1"/>
  <c r="O47" i="10" s="1"/>
  <c r="O51" i="10" s="1"/>
  <c r="L79" i="2"/>
  <c r="L51" i="2"/>
  <c r="L52" i="2" s="1"/>
  <c r="AH26" i="11" l="1"/>
  <c r="Q26" i="11"/>
</calcChain>
</file>

<file path=xl/sharedStrings.xml><?xml version="1.0" encoding="utf-8"?>
<sst xmlns="http://schemas.openxmlformats.org/spreadsheetml/2006/main" count="3215" uniqueCount="434">
  <si>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</si>
  <si>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</si>
  <si>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</si>
  <si>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</si>
  <si>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</si>
  <si>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</si>
  <si>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</si>
  <si>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</si>
  <si>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</si>
  <si>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</si>
  <si>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</si>
  <si>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</si>
  <si>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</si>
  <si>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</si>
  <si>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</si>
  <si>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</si>
  <si>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</si>
  <si>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</si>
  <si>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</si>
  <si>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</si>
  <si>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</si>
  <si>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</si>
  <si>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</si>
  <si>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</si>
  <si>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</si>
  <si>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No se distribuye adecuadamente los CIF Fijos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</si>
  <si>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</si>
  <si>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</si>
  <si>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</si>
  <si>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</si>
  <si>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</si>
  <si>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</si>
  <si>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</si>
  <si>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</si>
  <si>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</si>
  <si>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</si>
  <si>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</si>
  <si>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</si>
  <si>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</si>
  <si>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</si>
  <si>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</si>
  <si>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</si>
  <si>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utilizan vidas ùtiles tributarias</t>
  </si>
  <si>
    <t>No se identifican componentes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</si>
  <si>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</si>
  <si>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</si>
  <si>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</si>
  <si>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</si>
  <si>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</si>
  <si>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</si>
  <si>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</si>
  <si>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</si>
  <si>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</si>
  <si>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</si>
  <si>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</si>
  <si>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</si>
  <si>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GAAP</t>
  </si>
  <si>
    <t>DEBE</t>
  </si>
  <si>
    <t>HABER</t>
  </si>
  <si>
    <t>Activo corriente</t>
  </si>
  <si>
    <t>BG1</t>
  </si>
  <si>
    <t>Efectivo y equivalente de efectivo</t>
  </si>
  <si>
    <t>BG2</t>
  </si>
  <si>
    <t>Cuentas por cobrar comerciales, neto</t>
  </si>
  <si>
    <t>BG3</t>
  </si>
  <si>
    <t>Prèstamos a relacionadas</t>
  </si>
  <si>
    <t>BG4</t>
  </si>
  <si>
    <t>Anticipos a proveedores</t>
  </si>
  <si>
    <t>BG5</t>
  </si>
  <si>
    <t>Cuentas por cobrar diversas</t>
  </si>
  <si>
    <t>BG6</t>
  </si>
  <si>
    <t>Existencias</t>
  </si>
  <si>
    <t>BG7</t>
  </si>
  <si>
    <t>Gastos pagados por anticipado</t>
  </si>
  <si>
    <t>BG8</t>
  </si>
  <si>
    <t>Otros activos</t>
  </si>
  <si>
    <t>Total activo corriente</t>
  </si>
  <si>
    <t>Activo no corriente</t>
  </si>
  <si>
    <t>BG9</t>
  </si>
  <si>
    <t>BG10</t>
  </si>
  <si>
    <t>BG11</t>
  </si>
  <si>
    <t>Total activo</t>
  </si>
  <si>
    <t>Pasivo y patrimonio</t>
  </si>
  <si>
    <t>Pasivo corriente</t>
  </si>
  <si>
    <t>BG12</t>
  </si>
  <si>
    <t>Cuentas por pagar comerciales</t>
  </si>
  <si>
    <t>BG13</t>
  </si>
  <si>
    <t>Cuentas por pagar a relacionadas</t>
  </si>
  <si>
    <t>BG14</t>
  </si>
  <si>
    <t>Cuentas por pagar diversas</t>
  </si>
  <si>
    <t>BG18</t>
  </si>
  <si>
    <t>Impuesto a la renta por pagar</t>
  </si>
  <si>
    <t>BG15</t>
  </si>
  <si>
    <t>Provisiones</t>
  </si>
  <si>
    <t>Total pasivo</t>
  </si>
  <si>
    <t>Patrimonio neto</t>
  </si>
  <si>
    <t>BG16</t>
  </si>
  <si>
    <t>Capital social</t>
  </si>
  <si>
    <t>BG17</t>
  </si>
  <si>
    <t>Resultados Acumulados</t>
  </si>
  <si>
    <t>Resultado del periodo</t>
  </si>
  <si>
    <t>Total patrimonio neto</t>
  </si>
  <si>
    <t>Total pasivo y patrimonio</t>
  </si>
  <si>
    <t>PL1</t>
  </si>
  <si>
    <t>PL2</t>
  </si>
  <si>
    <t>Utilidad bruta</t>
  </si>
  <si>
    <t>PL3</t>
  </si>
  <si>
    <t>Gastos de administración</t>
  </si>
  <si>
    <t>PL4</t>
  </si>
  <si>
    <t>Gastos de ventas</t>
  </si>
  <si>
    <t>PL5</t>
  </si>
  <si>
    <t>Otros, neto</t>
  </si>
  <si>
    <t>Utilidad operativa</t>
  </si>
  <si>
    <t>PL6</t>
  </si>
  <si>
    <t>Ingresos financieros</t>
  </si>
  <si>
    <t>PL7</t>
  </si>
  <si>
    <t>PL8</t>
  </si>
  <si>
    <t>Utilidad antes de impuesto a la renta</t>
  </si>
  <si>
    <t>PL9</t>
  </si>
  <si>
    <t>Impuesto a la renta</t>
  </si>
  <si>
    <t>Utilidad neta</t>
  </si>
  <si>
    <t>No se reconoce el pasivo por las vacaciones devengadas</t>
  </si>
  <si>
    <t>Debe</t>
  </si>
  <si>
    <t xml:space="preserve">El pasivo por impuesto a la renta corriente se presenta formando parte </t>
  </si>
  <si>
    <t>de "otras cuentas por pagar".</t>
  </si>
  <si>
    <t>Saldo inicial</t>
  </si>
  <si>
    <t>Adiciones</t>
  </si>
  <si>
    <t>Deducciones</t>
  </si>
  <si>
    <t>Saldo final</t>
  </si>
  <si>
    <t>S/</t>
  </si>
  <si>
    <t>Costo asignado</t>
  </si>
  <si>
    <t>Efecto en resultados</t>
  </si>
  <si>
    <t>CIF FIJO</t>
  </si>
  <si>
    <t>Año 2014</t>
  </si>
  <si>
    <t>Año 2015</t>
  </si>
  <si>
    <t>Ingresos</t>
  </si>
  <si>
    <t>NIC 18</t>
  </si>
  <si>
    <t>NIC 11</t>
  </si>
  <si>
    <t>Ajuste</t>
  </si>
  <si>
    <t xml:space="preserve">Ingresos por servicios </t>
  </si>
  <si>
    <t>Costo</t>
  </si>
  <si>
    <t>Depreciación acumulada</t>
  </si>
  <si>
    <t>Tax</t>
  </si>
  <si>
    <t>Ajustes</t>
  </si>
  <si>
    <t>Propiedad, planta y equipo</t>
  </si>
  <si>
    <t>Sin componentes</t>
  </si>
  <si>
    <t>Con componentes</t>
  </si>
  <si>
    <t>Costo-1</t>
  </si>
  <si>
    <t>Costo-2</t>
  </si>
  <si>
    <t>Depreciación acumulada-1</t>
  </si>
  <si>
    <t>Depreciación acumulada-2</t>
  </si>
  <si>
    <t>Excedente de revaluaciòn</t>
  </si>
  <si>
    <t>BG19</t>
  </si>
  <si>
    <t>Importe capitalizado:</t>
  </si>
  <si>
    <t>(-) Importe recuperable</t>
  </si>
  <si>
    <t>Monto depreciable</t>
  </si>
  <si>
    <t>NIIF 3</t>
  </si>
  <si>
    <t>Se contabilizó la compra de activos como una combinación de negocios</t>
  </si>
  <si>
    <t>Anticipo por arrendamiento</t>
  </si>
  <si>
    <t>(-) Consumo</t>
  </si>
  <si>
    <t>Inicio</t>
  </si>
  <si>
    <t>Fin</t>
  </si>
  <si>
    <t>Neto</t>
  </si>
  <si>
    <t>Reconocidos</t>
  </si>
  <si>
    <t>PL10</t>
  </si>
  <si>
    <t>Participación de trabajadores</t>
  </si>
  <si>
    <t>Devengado del año</t>
  </si>
  <si>
    <t>Pagos del año</t>
  </si>
  <si>
    <t>Gasto faltante</t>
  </si>
  <si>
    <t>Anticipo</t>
  </si>
  <si>
    <t>USD</t>
  </si>
  <si>
    <t>T/C Histórico</t>
  </si>
  <si>
    <t>T/C Cierre</t>
  </si>
  <si>
    <t>Diferencia en cambio</t>
  </si>
  <si>
    <t>Gastos financieros</t>
  </si>
  <si>
    <t>PL11</t>
  </si>
  <si>
    <t>Ganancia (pérdida) por diferencia en cambio</t>
  </si>
  <si>
    <t>Costos operativos</t>
  </si>
  <si>
    <t>Anticipo recibidos de clientes</t>
  </si>
  <si>
    <t>BG20</t>
  </si>
  <si>
    <t>Anticipos recibidos de clientes</t>
  </si>
  <si>
    <t>Prèstamos por pagar</t>
  </si>
  <si>
    <t>Total pasivo corriente</t>
  </si>
  <si>
    <t>Goodwill</t>
  </si>
  <si>
    <t>Costos de exploraciòn</t>
  </si>
  <si>
    <t>BG21</t>
  </si>
  <si>
    <t>Concesión minera y reservas</t>
  </si>
  <si>
    <t>BG22</t>
  </si>
  <si>
    <t>Gasto financiero</t>
  </si>
  <si>
    <t>Provisiòn errada</t>
  </si>
  <si>
    <t>Provisiòn correcta</t>
  </si>
  <si>
    <t>BG23</t>
  </si>
  <si>
    <t>BG24</t>
  </si>
  <si>
    <t>Intangibles</t>
  </si>
  <si>
    <t>Depreciaciòn</t>
  </si>
  <si>
    <t>Préstamo</t>
  </si>
  <si>
    <t>Comisión</t>
  </si>
  <si>
    <t>Tasa</t>
  </si>
  <si>
    <t>Princ</t>
  </si>
  <si>
    <t>Interes</t>
  </si>
  <si>
    <t>Total</t>
  </si>
  <si>
    <t>S.I.</t>
  </si>
  <si>
    <t>Pago</t>
  </si>
  <si>
    <t>S.F.</t>
  </si>
  <si>
    <t>Saldo PCGA</t>
  </si>
  <si>
    <t>Saldo NIIF</t>
  </si>
  <si>
    <t>Deterioro</t>
  </si>
  <si>
    <t>BG25</t>
  </si>
  <si>
    <t>Inversiones inmobiliarias</t>
  </si>
  <si>
    <t>BG26</t>
  </si>
  <si>
    <t>Activos biológicos</t>
  </si>
  <si>
    <t>Ingreso por valor razonable de A.B.</t>
  </si>
  <si>
    <t>Valor razonable</t>
  </si>
  <si>
    <t>Exploraciòn</t>
  </si>
  <si>
    <t>Haber</t>
  </si>
  <si>
    <t>Producción normal</t>
  </si>
  <si>
    <t>Ratio de distribución</t>
  </si>
  <si>
    <t>Producción real</t>
  </si>
  <si>
    <t>Provisiòn</t>
  </si>
  <si>
    <t>Activo fijo</t>
  </si>
  <si>
    <t>Tasa efectiva</t>
  </si>
  <si>
    <t>Nota: Descuento de facturas por cobrar con recurso</t>
  </si>
  <si>
    <t>Préstamos por pagar</t>
  </si>
  <si>
    <t>Activos Biológicos</t>
  </si>
  <si>
    <t>PL12</t>
  </si>
  <si>
    <t>Concesión minera</t>
  </si>
  <si>
    <t>2015</t>
  </si>
  <si>
    <t>Amortización acumulada</t>
  </si>
  <si>
    <t>Perú</t>
  </si>
  <si>
    <t>Al 1 de enero de 2014</t>
  </si>
  <si>
    <t>Reconciliación</t>
  </si>
  <si>
    <t>Al 31 de diciembre de 2014</t>
  </si>
  <si>
    <t>Ajustes por:</t>
  </si>
  <si>
    <t>Medición del valor razonable de las existencias</t>
  </si>
  <si>
    <t>Distribución de los CIF Fijos de fabricación</t>
  </si>
  <si>
    <t>Adopción de NIC 11 en reconocimiento de ingresos</t>
  </si>
  <si>
    <t>Medición de la depreciación de los activos fijos</t>
  </si>
  <si>
    <t>Medición de la depreciación por componentes</t>
  </si>
  <si>
    <t>Actualización de rexcedente de revaluación</t>
  </si>
  <si>
    <t>Medición de la depreciación con valores residuales</t>
  </si>
  <si>
    <t>Medición de la depreciación de activos en Leasing</t>
  </si>
  <si>
    <t>Gastos por arrendamientos operativos</t>
  </si>
  <si>
    <t xml:space="preserve">Reconocimiento de ingresos </t>
  </si>
  <si>
    <t>Vacaciones devengadas</t>
  </si>
  <si>
    <t>Diferencia en cambio de anticipos a proveedores</t>
  </si>
  <si>
    <t>Diferencia en cambio de anticipos de clientes</t>
  </si>
  <si>
    <t>Acciones redimibles consideradas como Capital</t>
  </si>
  <si>
    <t>Amortización de concesiones mineras</t>
  </si>
  <si>
    <t>Provisiones por contingencias</t>
  </si>
  <si>
    <t>Provisión por retiro de activos de larga duración</t>
  </si>
  <si>
    <t>Corrección en uso de tasa para provisiones por retiro</t>
  </si>
  <si>
    <t>Baja de costos pre-operativos calificados como intangibles</t>
  </si>
  <si>
    <t>Medición de préstamos al costo amortizado</t>
  </si>
  <si>
    <t>Deterioro de cuentas por cobrar comerciales</t>
  </si>
  <si>
    <t>Medición de activos biológicos al costo amortizado</t>
  </si>
  <si>
    <t>Baja de activos por exploración de recursos naturales</t>
  </si>
  <si>
    <t>Saldo según Perú GAAP</t>
  </si>
  <si>
    <t>1 Ene</t>
  </si>
  <si>
    <t>31 Dic</t>
  </si>
  <si>
    <t>Saldo según NIIF</t>
  </si>
  <si>
    <t>1 de Enero</t>
  </si>
  <si>
    <t>31 de Dic.</t>
  </si>
  <si>
    <t>Capital</t>
  </si>
  <si>
    <t>Social</t>
  </si>
  <si>
    <t>Resultados</t>
  </si>
  <si>
    <t>Acumulados</t>
  </si>
  <si>
    <t>Excedente</t>
  </si>
  <si>
    <t>Revaluación</t>
  </si>
  <si>
    <t>Saldo al 1 de enero de 2014</t>
  </si>
  <si>
    <t>Utilidad del periodo</t>
  </si>
  <si>
    <t>Saldo al 31 de diciembre de 2014</t>
  </si>
  <si>
    <t>Aporte de capital</t>
  </si>
  <si>
    <t>Distribución de dividendos</t>
  </si>
  <si>
    <t>SIN NIIF</t>
  </si>
  <si>
    <t>Ajuste de adecuación a NIIF</t>
  </si>
  <si>
    <t>Utilidad del periodo (NIIF)</t>
  </si>
  <si>
    <t>CON NIIF</t>
  </si>
  <si>
    <t>Ajuste de adecuación a NIIF:</t>
  </si>
  <si>
    <t>Ajuste al saldo inicial del patrimonio</t>
  </si>
  <si>
    <t>Al Excedente de revaluación</t>
  </si>
  <si>
    <t>Al Capital social</t>
  </si>
  <si>
    <t>A Resultados acumulados</t>
  </si>
  <si>
    <t xml:space="preserve">   A resultados acumulados</t>
  </si>
  <si>
    <t>Diferencia temporaria deducible</t>
  </si>
  <si>
    <t>Vacaciones por pagar</t>
  </si>
  <si>
    <t>Diferencia temporaria gravable</t>
  </si>
  <si>
    <t>Ingresos según NIC 11</t>
  </si>
  <si>
    <t>Diferencia en tasas de depreciación</t>
  </si>
  <si>
    <t>Depreciación por componentes</t>
  </si>
  <si>
    <t xml:space="preserve">   A capital social por acciondes redimibles</t>
  </si>
  <si>
    <t xml:space="preserve">   A capital social por capitalizar excedente de revaluación</t>
  </si>
  <si>
    <t xml:space="preserve">   A excedente de revaluación que se capitalizò</t>
  </si>
  <si>
    <t>Depreciaciòn de activos con valores residuales</t>
  </si>
  <si>
    <t>Depreciaciòn de activos en Leasing</t>
  </si>
  <si>
    <t>Anticipos a arrendador financiero</t>
  </si>
  <si>
    <t>Ingresos reconocidos anticipadamente</t>
  </si>
  <si>
    <t>Deterioro de existencias</t>
  </si>
  <si>
    <t>Amortizaciòn de concesiòn minera</t>
  </si>
  <si>
    <t>Contingencias laborales</t>
  </si>
  <si>
    <t>Provisiòn por retiro de activos, neto</t>
  </si>
  <si>
    <t>Provisiòn por retiro de activos -2</t>
  </si>
  <si>
    <t>Gastos pre-operativos</t>
  </si>
  <si>
    <t>Costo incremental diferido</t>
  </si>
  <si>
    <t>Deterioro de cuentas por cobrar</t>
  </si>
  <si>
    <t>Valor razonable de inv inmobiliaria</t>
  </si>
  <si>
    <t>Costo de exploraciòn dado de baja</t>
  </si>
  <si>
    <t>Diferencia temporaria gravable - Patrimonio</t>
  </si>
  <si>
    <t>(*) Considerar el cambio de tasa</t>
  </si>
  <si>
    <t>Pasivo Neto por IRD al 30% (*)</t>
  </si>
  <si>
    <t>BG27</t>
  </si>
  <si>
    <t>Activo diferido por impuesto a la renta</t>
  </si>
  <si>
    <t>Activo neto por impuesto a la renta diferido</t>
  </si>
  <si>
    <t xml:space="preserve">   A excedente de revaluación por impuesto diferido</t>
  </si>
  <si>
    <t xml:space="preserve">   A excedente de revaluación por actualización</t>
  </si>
  <si>
    <t>ESTADO DE SITUACION FINANCIERA</t>
  </si>
  <si>
    <t>ESTADO DE RESULTADOS DEL EJERCICIO</t>
  </si>
  <si>
    <t>Should be Zero</t>
  </si>
  <si>
    <t>TOTAL DE AJUSTE NIIF AL PATRIMONIO</t>
  </si>
  <si>
    <t>Zero---&gt;</t>
  </si>
  <si>
    <t>TRAMPO S.A.</t>
  </si>
  <si>
    <t>LISTADO DE DESVIOS</t>
  </si>
  <si>
    <t>Perù GAAP</t>
  </si>
  <si>
    <t>Reconciliación del</t>
  </si>
  <si>
    <t>Estado de Situaciòn Financiera</t>
  </si>
  <si>
    <t>Estado de resultados</t>
  </si>
  <si>
    <t>freddy</t>
  </si>
  <si>
    <t>milko</t>
  </si>
  <si>
    <t>pablo</t>
  </si>
  <si>
    <t>Medición del valor neto de realizacion de las existencias</t>
  </si>
  <si>
    <t>Saldo al 31 de diciembre de 2015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</si>
  <si>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</si>
  <si>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</si>
  <si>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</si>
  <si>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</si>
  <si>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</si>
  <si>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</si>
  <si>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</si>
  <si>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</si>
  <si>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</si>
  <si>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</si>
  <si>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</si>
  <si>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</si>
  <si>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</si>
  <si>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</si>
  <si>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</si>
  <si>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</si>
  <si>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</si>
  <si>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</si>
  <si>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</si>
  <si>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</si>
  <si>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</si>
  <si>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</si>
  <si>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</si>
  <si>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</si>
  <si>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</si>
  <si>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</si>
  <si>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</si>
  <si>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Costo Amortizado</t>
  </si>
  <si>
    <t>Devengos</t>
  </si>
  <si>
    <t>Cronograma del Banco</t>
  </si>
  <si>
    <t>Datos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</si>
  <si>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</si>
  <si>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</si>
  <si>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</si>
  <si>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</si>
  <si>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</si>
  <si>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</si>
  <si>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</si>
  <si>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</si>
  <si>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</si>
  <si>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</si>
  <si>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</si>
  <si>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</si>
  <si>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</si>
  <si>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</si>
  <si>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</si>
  <si>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</si>
  <si>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</si>
  <si>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</si>
  <si>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</si>
  <si>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</si>
  <si>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</si>
  <si>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</si>
  <si>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x</t>
  </si>
  <si>
    <t>Anticipos a proveedores (alquiler pagado por anticipado)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</si>
  <si>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</si>
  <si>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</si>
  <si>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</si>
  <si>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</si>
  <si>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</si>
  <si>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</si>
  <si>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</si>
  <si>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</si>
  <si>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</si>
  <si>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</si>
  <si>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</si>
  <si>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</si>
  <si>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</si>
  <si>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</si>
  <si>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</si>
  <si>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</si>
  <si>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</si>
  <si>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</si>
  <si>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</si>
  <si>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AL RESULTADO DEL PERIODO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</si>
  <si>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</si>
  <si>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</si>
  <si>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</si>
  <si>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</si>
  <si>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</si>
  <si>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</si>
  <si>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</si>
  <si>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</si>
  <si>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</si>
  <si>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</si>
  <si>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Movimiento del deterioro acumulado de existencias</t>
  </si>
  <si>
    <t>Tributario</t>
  </si>
  <si>
    <t xml:space="preserve">                     Al 01.01.2015</t>
  </si>
  <si>
    <t xml:space="preserve">                    Al 31.12.2015</t>
  </si>
  <si>
    <t xml:space="preserve">                       Al 31.12.2016</t>
  </si>
  <si>
    <t>Ajuste a resultados del 2015</t>
  </si>
  <si>
    <t xml:space="preserve">Activo Neto por IRD al 30% </t>
  </si>
  <si>
    <t>Año 2016</t>
  </si>
  <si>
    <t>Valor razonable del terreno al 01 de enero de 2015</t>
  </si>
  <si>
    <t>2016</t>
  </si>
  <si>
    <t>Consumo en meses</t>
  </si>
  <si>
    <t xml:space="preserve">Ingresos Mal </t>
  </si>
  <si>
    <t>Pasivo por impuesto diferido</t>
  </si>
  <si>
    <t>RECONCILIACION DEL PATRIMONIO (POR PARTES)</t>
  </si>
  <si>
    <t>RECONCILIACION DEL PATRIMONIO (ACUMULADA)</t>
  </si>
  <si>
    <t>Ingreso por valor razonable de activos biológicos</t>
  </si>
  <si>
    <t>Medición de activos biológicos a valor razonable</t>
  </si>
  <si>
    <t>NIIF 1- HAGALO USTED MISMO</t>
  </si>
  <si>
    <t>REQUISITOS DE NIIF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</si>
</sst>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#\ ;[Black]\(#,###\);\-\ ;"/>
    <numFmt numFmtId="167" formatCode="0.000"/>
    <numFmt numFmtId="168" formatCode="_ * #,##0.000_ ;_ * \-#,##0.000_ ;_ * &quot;-&quot;??_ ;_ @_ "/>
    <numFmt numFmtId="169" formatCode="0.0000%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i/>
      <sz val="14"/>
      <color rgb="FF000000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6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/>
    <xf numFmtId="0" fontId="6" fillId="7" borderId="0" xfId="0" applyFont="1" applyFill="1"/>
    <xf numFmtId="0" fontId="6" fillId="0" borderId="0" xfId="0" applyFont="1"/>
    <xf numFmtId="165" fontId="7" fillId="7" borderId="0" xfId="1" applyNumberFormat="1" applyFont="1" applyFill="1"/>
    <xf numFmtId="0" fontId="6" fillId="7" borderId="2" xfId="0" applyFont="1" applyFill="1" applyBorder="1"/>
    <xf numFmtId="165" fontId="11" fillId="7" borderId="2" xfId="1" applyNumberFormat="1" applyFont="1" applyFill="1" applyBorder="1"/>
    <xf numFmtId="165" fontId="6" fillId="7" borderId="0" xfId="1" applyNumberFormat="1" applyFont="1" applyFill="1"/>
    <xf numFmtId="0" fontId="4" fillId="7" borderId="0" xfId="0" applyFont="1" applyFill="1" applyAlignment="1">
      <alignment vertical="center"/>
    </xf>
    <xf numFmtId="165" fontId="6" fillId="0" borderId="0" xfId="1" applyNumberFormat="1" applyFont="1"/>
    <xf numFmtId="165" fontId="6" fillId="0" borderId="0" xfId="0" applyNumberFormat="1" applyFont="1"/>
    <xf numFmtId="165" fontId="4" fillId="0" borderId="0" xfId="1" applyNumberFormat="1" applyFont="1" applyBorder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right" vertical="center"/>
    </xf>
    <xf numFmtId="165" fontId="5" fillId="7" borderId="0" xfId="1" applyNumberFormat="1" applyFont="1" applyFill="1" applyAlignment="1">
      <alignment horizontal="right" vertical="center"/>
    </xf>
    <xf numFmtId="165" fontId="5" fillId="7" borderId="0" xfId="1" applyNumberFormat="1" applyFont="1" applyFill="1" applyBorder="1" applyAlignment="1">
      <alignment horizontal="right" vertical="center"/>
    </xf>
    <xf numFmtId="165" fontId="6" fillId="7" borderId="0" xfId="1" applyNumberFormat="1" applyFont="1" applyFill="1" applyBorder="1"/>
    <xf numFmtId="165" fontId="5" fillId="7" borderId="2" xfId="1" applyNumberFormat="1" applyFont="1" applyFill="1" applyBorder="1" applyAlignment="1">
      <alignment horizontal="right" vertical="center"/>
    </xf>
    <xf numFmtId="165" fontId="6" fillId="7" borderId="2" xfId="1" applyNumberFormat="1" applyFont="1" applyFill="1" applyBorder="1"/>
    <xf numFmtId="165" fontId="4" fillId="7" borderId="0" xfId="1" applyNumberFormat="1" applyFont="1" applyFill="1" applyAlignment="1">
      <alignment horizontal="right" vertical="center"/>
    </xf>
    <xf numFmtId="165" fontId="4" fillId="7" borderId="1" xfId="1" applyNumberFormat="1" applyFont="1" applyFill="1" applyBorder="1" applyAlignment="1">
      <alignment horizontal="right" vertical="center"/>
    </xf>
    <xf numFmtId="165" fontId="4" fillId="7" borderId="3" xfId="1" applyNumberFormat="1" applyFont="1" applyFill="1" applyBorder="1" applyAlignment="1">
      <alignment horizontal="right" vertical="center"/>
    </xf>
    <xf numFmtId="165" fontId="5" fillId="7" borderId="0" xfId="1" applyNumberFormat="1" applyFont="1" applyFill="1" applyAlignment="1">
      <alignment horizontal="center" vertical="center"/>
    </xf>
    <xf numFmtId="165" fontId="4" fillId="7" borderId="14" xfId="1" applyNumberFormat="1" applyFont="1" applyFill="1" applyBorder="1" applyAlignment="1">
      <alignment horizontal="right" vertical="center"/>
    </xf>
    <xf numFmtId="166" fontId="6" fillId="7" borderId="0" xfId="0" applyNumberFormat="1" applyFont="1" applyFill="1" applyBorder="1" applyAlignment="1">
      <alignment horizontal="right"/>
    </xf>
    <xf numFmtId="166" fontId="6" fillId="7" borderId="2" xfId="0" applyNumberFormat="1" applyFont="1" applyFill="1" applyBorder="1" applyAlignment="1">
      <alignment horizontal="right"/>
    </xf>
    <xf numFmtId="166" fontId="11" fillId="7" borderId="0" xfId="0" applyNumberFormat="1" applyFont="1" applyFill="1" applyBorder="1" applyAlignment="1">
      <alignment horizontal="right"/>
    </xf>
    <xf numFmtId="166" fontId="11" fillId="7" borderId="14" xfId="0" applyNumberFormat="1" applyFont="1" applyFill="1" applyBorder="1" applyAlignment="1">
      <alignment horizontal="right"/>
    </xf>
    <xf numFmtId="165" fontId="5" fillId="7" borderId="0" xfId="0" applyNumberFormat="1" applyFont="1" applyFill="1" applyAlignment="1">
      <alignment horizontal="center" vertical="center"/>
    </xf>
    <xf numFmtId="0" fontId="4" fillId="13" borderId="0" xfId="0" applyFont="1" applyFill="1" applyAlignment="1">
      <alignment vertical="center"/>
    </xf>
    <xf numFmtId="0" fontId="6" fillId="13" borderId="0" xfId="0" applyFont="1" applyFill="1"/>
    <xf numFmtId="165" fontId="6" fillId="13" borderId="0" xfId="1" applyNumberFormat="1" applyFont="1" applyFill="1"/>
    <xf numFmtId="165" fontId="4" fillId="13" borderId="0" xfId="0" applyNumberFormat="1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13" fillId="14" borderId="0" xfId="0" applyFont="1" applyFill="1"/>
    <xf numFmtId="0" fontId="10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1" fillId="7" borderId="7" xfId="0" applyFont="1" applyFill="1" applyBorder="1"/>
    <xf numFmtId="0" fontId="6" fillId="7" borderId="8" xfId="0" applyFont="1" applyFill="1" applyBorder="1"/>
    <xf numFmtId="165" fontId="6" fillId="7" borderId="8" xfId="1" applyNumberFormat="1" applyFont="1" applyFill="1" applyBorder="1"/>
    <xf numFmtId="0" fontId="6" fillId="7" borderId="10" xfId="0" applyFont="1" applyFill="1" applyBorder="1"/>
    <xf numFmtId="0" fontId="6" fillId="7" borderId="0" xfId="0" applyFont="1" applyFill="1" applyBorder="1"/>
    <xf numFmtId="0" fontId="6" fillId="7" borderId="12" xfId="0" applyFont="1" applyFill="1" applyBorder="1"/>
    <xf numFmtId="166" fontId="11" fillId="7" borderId="6" xfId="0" applyNumberFormat="1" applyFont="1" applyFill="1" applyBorder="1" applyAlignment="1">
      <alignment horizontal="right"/>
    </xf>
    <xf numFmtId="0" fontId="11" fillId="7" borderId="10" xfId="0" applyFont="1" applyFill="1" applyBorder="1"/>
    <xf numFmtId="168" fontId="5" fillId="0" borderId="0" xfId="1" applyNumberFormat="1" applyFont="1" applyBorder="1" applyAlignment="1">
      <alignment horizontal="right" vertical="center"/>
    </xf>
    <xf numFmtId="0" fontId="15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8" fillId="0" borderId="0" xfId="0" applyFont="1"/>
    <xf numFmtId="0" fontId="21" fillId="10" borderId="0" xfId="0" applyFont="1" applyFill="1" applyAlignment="1">
      <alignment horizontal="center"/>
    </xf>
    <xf numFmtId="0" fontId="21" fillId="10" borderId="0" xfId="0" applyFont="1" applyFill="1"/>
    <xf numFmtId="0" fontId="22" fillId="7" borderId="0" xfId="0" applyFont="1" applyFill="1" applyAlignment="1">
      <alignment horizontal="center"/>
    </xf>
    <xf numFmtId="0" fontId="22" fillId="7" borderId="0" xfId="0" applyFont="1" applyFill="1"/>
    <xf numFmtId="0" fontId="23" fillId="7" borderId="0" xfId="0" applyFont="1" applyFill="1"/>
    <xf numFmtId="0" fontId="24" fillId="7" borderId="0" xfId="0" applyFont="1" applyFill="1"/>
    <xf numFmtId="0" fontId="24" fillId="7" borderId="0" xfId="0" applyFont="1" applyFill="1" applyAlignment="1">
      <alignment horizontal="center"/>
    </xf>
    <xf numFmtId="0" fontId="25" fillId="7" borderId="0" xfId="0" applyFont="1" applyFill="1" applyAlignment="1">
      <alignment vertical="center"/>
    </xf>
    <xf numFmtId="0" fontId="24" fillId="7" borderId="2" xfId="0" applyFont="1" applyFill="1" applyBorder="1"/>
    <xf numFmtId="0" fontId="22" fillId="7" borderId="2" xfId="0" applyFont="1" applyFill="1" applyBorder="1"/>
    <xf numFmtId="3" fontId="24" fillId="7" borderId="0" xfId="0" applyNumberFormat="1" applyFont="1" applyFill="1" applyAlignment="1">
      <alignment horizontal="right"/>
    </xf>
    <xf numFmtId="0" fontId="26" fillId="10" borderId="0" xfId="0" applyFont="1" applyFill="1"/>
    <xf numFmtId="3" fontId="22" fillId="7" borderId="0" xfId="0" applyNumberFormat="1" applyFont="1" applyFill="1" applyAlignment="1">
      <alignment horizontal="right"/>
    </xf>
    <xf numFmtId="3" fontId="24" fillId="7" borderId="2" xfId="0" applyNumberFormat="1" applyFont="1" applyFill="1" applyBorder="1" applyAlignment="1">
      <alignment horizontal="right"/>
    </xf>
    <xf numFmtId="0" fontId="22" fillId="7" borderId="3" xfId="0" applyFont="1" applyFill="1" applyBorder="1"/>
    <xf numFmtId="3" fontId="22" fillId="7" borderId="3" xfId="0" applyNumberFormat="1" applyFont="1" applyFill="1" applyBorder="1" applyAlignment="1">
      <alignment horizontal="right"/>
    </xf>
    <xf numFmtId="0" fontId="21" fillId="10" borderId="7" xfId="0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0" fontId="26" fillId="10" borderId="9" xfId="0" applyFont="1" applyFill="1" applyBorder="1"/>
    <xf numFmtId="0" fontId="21" fillId="10" borderId="1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21" fillId="10" borderId="11" xfId="0" applyFont="1" applyFill="1" applyBorder="1" applyAlignment="1">
      <alignment horizontal="center"/>
    </xf>
    <xf numFmtId="3" fontId="24" fillId="7" borderId="7" xfId="0" applyNumberFormat="1" applyFont="1" applyFill="1" applyBorder="1" applyAlignment="1">
      <alignment horizontal="right"/>
    </xf>
    <xf numFmtId="3" fontId="24" fillId="7" borderId="8" xfId="0" applyNumberFormat="1" applyFont="1" applyFill="1" applyBorder="1" applyAlignment="1">
      <alignment horizontal="right"/>
    </xf>
    <xf numFmtId="3" fontId="24" fillId="7" borderId="9" xfId="0" applyNumberFormat="1" applyFont="1" applyFill="1" applyBorder="1"/>
    <xf numFmtId="3" fontId="24" fillId="7" borderId="10" xfId="0" applyNumberFormat="1" applyFont="1" applyFill="1" applyBorder="1" applyAlignment="1">
      <alignment horizontal="right"/>
    </xf>
    <xf numFmtId="3" fontId="24" fillId="7" borderId="0" xfId="0" applyNumberFormat="1" applyFont="1" applyFill="1" applyBorder="1" applyAlignment="1">
      <alignment horizontal="right"/>
    </xf>
    <xf numFmtId="3" fontId="24" fillId="7" borderId="11" xfId="0" applyNumberFormat="1" applyFont="1" applyFill="1" applyBorder="1"/>
    <xf numFmtId="0" fontId="21" fillId="10" borderId="12" xfId="0" applyFont="1" applyFill="1" applyBorder="1" applyAlignment="1">
      <alignment horizontal="center"/>
    </xf>
    <xf numFmtId="3" fontId="24" fillId="7" borderId="12" xfId="0" applyNumberFormat="1" applyFont="1" applyFill="1" applyBorder="1" applyAlignment="1">
      <alignment horizontal="right"/>
    </xf>
    <xf numFmtId="3" fontId="24" fillId="7" borderId="13" xfId="0" applyNumberFormat="1" applyFont="1" applyFill="1" applyBorder="1"/>
    <xf numFmtId="0" fontId="24" fillId="7" borderId="0" xfId="0" applyFont="1" applyFill="1" applyAlignment="1">
      <alignment vertical="center"/>
    </xf>
    <xf numFmtId="9" fontId="24" fillId="7" borderId="0" xfId="0" applyNumberFormat="1" applyFont="1" applyFill="1"/>
    <xf numFmtId="3" fontId="24" fillId="7" borderId="0" xfId="0" applyNumberFormat="1" applyFont="1" applyFill="1"/>
    <xf numFmtId="3" fontId="22" fillId="7" borderId="0" xfId="0" applyNumberFormat="1" applyFont="1" applyFill="1"/>
    <xf numFmtId="0" fontId="21" fillId="6" borderId="0" xfId="0" applyFont="1" applyFill="1"/>
    <xf numFmtId="14" fontId="21" fillId="6" borderId="0" xfId="0" applyNumberFormat="1" applyFont="1" applyFill="1" applyAlignment="1">
      <alignment horizontal="right"/>
    </xf>
    <xf numFmtId="0" fontId="22" fillId="11" borderId="0" xfId="0" applyFont="1" applyFill="1"/>
    <xf numFmtId="0" fontId="22" fillId="11" borderId="0" xfId="0" applyFont="1" applyFill="1" applyAlignment="1">
      <alignment horizontal="center"/>
    </xf>
    <xf numFmtId="0" fontId="26" fillId="12" borderId="0" xfId="0" applyFont="1" applyFill="1"/>
    <xf numFmtId="0" fontId="21" fillId="12" borderId="0" xfId="0" applyFont="1" applyFill="1" applyAlignment="1">
      <alignment horizontal="center"/>
    </xf>
    <xf numFmtId="0" fontId="26" fillId="12" borderId="2" xfId="0" applyFont="1" applyFill="1" applyBorder="1"/>
    <xf numFmtId="0" fontId="21" fillId="12" borderId="2" xfId="0" applyFont="1" applyFill="1" applyBorder="1" applyAlignment="1">
      <alignment horizontal="center"/>
    </xf>
    <xf numFmtId="3" fontId="22" fillId="7" borderId="2" xfId="0" applyNumberFormat="1" applyFont="1" applyFill="1" applyBorder="1"/>
    <xf numFmtId="3" fontId="24" fillId="7" borderId="2" xfId="0" applyNumberFormat="1" applyFont="1" applyFill="1" applyBorder="1"/>
    <xf numFmtId="0" fontId="23" fillId="7" borderId="3" xfId="0" applyFont="1" applyFill="1" applyBorder="1"/>
    <xf numFmtId="3" fontId="22" fillId="7" borderId="3" xfId="0" applyNumberFormat="1" applyFont="1" applyFill="1" applyBorder="1"/>
    <xf numFmtId="0" fontId="22" fillId="7" borderId="2" xfId="0" applyFont="1" applyFill="1" applyBorder="1" applyAlignment="1">
      <alignment horizontal="center"/>
    </xf>
    <xf numFmtId="167" fontId="22" fillId="7" borderId="0" xfId="0" applyNumberFormat="1" applyFont="1" applyFill="1"/>
    <xf numFmtId="165" fontId="22" fillId="7" borderId="0" xfId="1" applyNumberFormat="1" applyFont="1" applyFill="1"/>
    <xf numFmtId="0" fontId="24" fillId="0" borderId="0" xfId="0" applyFont="1"/>
    <xf numFmtId="0" fontId="25" fillId="0" borderId="0" xfId="0" applyFont="1" applyAlignment="1">
      <alignment vertical="center"/>
    </xf>
    <xf numFmtId="167" fontId="22" fillId="7" borderId="2" xfId="0" applyNumberFormat="1" applyFont="1" applyFill="1" applyBorder="1"/>
    <xf numFmtId="165" fontId="22" fillId="7" borderId="2" xfId="1" applyNumberFormat="1" applyFont="1" applyFill="1" applyBorder="1"/>
    <xf numFmtId="0" fontId="22" fillId="7" borderId="0" xfId="0" quotePrefix="1" applyFont="1" applyFill="1" applyAlignment="1">
      <alignment horizontal="center"/>
    </xf>
    <xf numFmtId="166" fontId="24" fillId="0" borderId="2" xfId="0" applyNumberFormat="1" applyFont="1" applyFill="1" applyBorder="1" applyAlignment="1">
      <alignment horizontal="right"/>
    </xf>
    <xf numFmtId="0" fontId="24" fillId="7" borderId="3" xfId="0" applyFont="1" applyFill="1" applyBorder="1"/>
    <xf numFmtId="3" fontId="24" fillId="7" borderId="3" xfId="0" applyNumberFormat="1" applyFont="1" applyFill="1" applyBorder="1"/>
    <xf numFmtId="0" fontId="21" fillId="12" borderId="0" xfId="0" applyFont="1" applyFill="1"/>
    <xf numFmtId="0" fontId="22" fillId="8" borderId="0" xfId="0" applyFont="1" applyFill="1"/>
    <xf numFmtId="0" fontId="24" fillId="8" borderId="0" xfId="0" applyFont="1" applyFill="1"/>
    <xf numFmtId="3" fontId="22" fillId="8" borderId="0" xfId="0" applyNumberFormat="1" applyFont="1" applyFill="1"/>
    <xf numFmtId="166" fontId="24" fillId="7" borderId="0" xfId="0" applyNumberFormat="1" applyFont="1" applyFill="1" applyAlignment="1">
      <alignment horizontal="right"/>
    </xf>
    <xf numFmtId="165" fontId="24" fillId="7" borderId="0" xfId="0" applyNumberFormat="1" applyFont="1" applyFill="1"/>
    <xf numFmtId="0" fontId="27" fillId="7" borderId="0" xfId="0" applyFont="1" applyFill="1" applyAlignment="1">
      <alignment vertical="center"/>
    </xf>
    <xf numFmtId="0" fontId="22" fillId="8" borderId="4" xfId="0" applyFont="1" applyFill="1" applyBorder="1"/>
    <xf numFmtId="0" fontId="22" fillId="8" borderId="3" xfId="0" applyFont="1" applyFill="1" applyBorder="1"/>
    <xf numFmtId="3" fontId="22" fillId="8" borderId="3" xfId="0" applyNumberFormat="1" applyFont="1" applyFill="1" applyBorder="1"/>
    <xf numFmtId="3" fontId="22" fillId="8" borderId="5" xfId="0" applyNumberFormat="1" applyFont="1" applyFill="1" applyBorder="1"/>
    <xf numFmtId="166" fontId="24" fillId="7" borderId="0" xfId="0" applyNumberFormat="1" applyFont="1" applyFill="1"/>
    <xf numFmtId="0" fontId="28" fillId="10" borderId="0" xfId="0" applyFont="1" applyFill="1" applyAlignment="1">
      <alignment horizontal="center"/>
    </xf>
    <xf numFmtId="0" fontId="28" fillId="10" borderId="0" xfId="0" applyFont="1" applyFill="1"/>
    <xf numFmtId="0" fontId="29" fillId="0" borderId="0" xfId="0" applyFont="1"/>
    <xf numFmtId="166" fontId="29" fillId="0" borderId="0" xfId="0" applyNumberFormat="1" applyFont="1" applyAlignment="1">
      <alignment horizontal="right"/>
    </xf>
    <xf numFmtId="166" fontId="24" fillId="7" borderId="10" xfId="0" applyNumberFormat="1" applyFont="1" applyFill="1" applyBorder="1" applyAlignment="1">
      <alignment horizontal="right"/>
    </xf>
    <xf numFmtId="166" fontId="24" fillId="7" borderId="11" xfId="0" applyNumberFormat="1" applyFont="1" applyFill="1" applyBorder="1" applyAlignment="1">
      <alignment horizontal="right"/>
    </xf>
    <xf numFmtId="166" fontId="24" fillId="7" borderId="0" xfId="0" applyNumberFormat="1" applyFont="1" applyFill="1" applyBorder="1" applyAlignment="1">
      <alignment horizontal="right"/>
    </xf>
    <xf numFmtId="166" fontId="22" fillId="7" borderId="10" xfId="0" applyNumberFormat="1" applyFont="1" applyFill="1" applyBorder="1" applyAlignment="1">
      <alignment horizontal="right"/>
    </xf>
    <xf numFmtId="166" fontId="22" fillId="7" borderId="11" xfId="0" applyNumberFormat="1" applyFont="1" applyFill="1" applyBorder="1" applyAlignment="1">
      <alignment horizontal="right"/>
    </xf>
    <xf numFmtId="166" fontId="22" fillId="7" borderId="0" xfId="0" applyNumberFormat="1" applyFont="1" applyFill="1" applyBorder="1" applyAlignment="1">
      <alignment horizontal="right"/>
    </xf>
    <xf numFmtId="0" fontId="8" fillId="9" borderId="0" xfId="0" applyFont="1" applyFill="1"/>
    <xf numFmtId="0" fontId="9" fillId="9" borderId="0" xfId="0" applyFont="1" applyFill="1"/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30" fillId="7" borderId="0" xfId="0" applyFont="1" applyFill="1" applyAlignment="1">
      <alignment vertical="center"/>
    </xf>
    <xf numFmtId="166" fontId="7" fillId="7" borderId="0" xfId="0" applyNumberFormat="1" applyFont="1" applyFill="1" applyBorder="1" applyAlignment="1">
      <alignment horizontal="right"/>
    </xf>
    <xf numFmtId="165" fontId="15" fillId="7" borderId="0" xfId="1" applyNumberFormat="1" applyFont="1" applyFill="1" applyAlignment="1">
      <alignment horizontal="right" vertical="center"/>
    </xf>
    <xf numFmtId="165" fontId="15" fillId="7" borderId="0" xfId="1" applyNumberFormat="1" applyFont="1" applyFill="1" applyBorder="1" applyAlignment="1">
      <alignment horizontal="right" vertical="center"/>
    </xf>
    <xf numFmtId="165" fontId="7" fillId="7" borderId="0" xfId="1" applyNumberFormat="1" applyFont="1" applyFill="1" applyBorder="1"/>
    <xf numFmtId="165" fontId="7" fillId="7" borderId="2" xfId="1" applyNumberFormat="1" applyFont="1" applyFill="1" applyBorder="1"/>
    <xf numFmtId="165" fontId="15" fillId="7" borderId="2" xfId="1" applyNumberFormat="1" applyFont="1" applyFill="1" applyBorder="1" applyAlignment="1">
      <alignment horizontal="right" vertical="center"/>
    </xf>
    <xf numFmtId="165" fontId="30" fillId="7" borderId="0" xfId="1" applyNumberFormat="1" applyFont="1" applyFill="1" applyAlignment="1">
      <alignment horizontal="right" vertical="center"/>
    </xf>
    <xf numFmtId="165" fontId="30" fillId="7" borderId="1" xfId="1" applyNumberFormat="1" applyFont="1" applyFill="1" applyBorder="1" applyAlignment="1">
      <alignment horizontal="right" vertical="center"/>
    </xf>
    <xf numFmtId="165" fontId="30" fillId="7" borderId="3" xfId="1" applyNumberFormat="1" applyFont="1" applyFill="1" applyBorder="1" applyAlignment="1">
      <alignment horizontal="right" vertical="center"/>
    </xf>
    <xf numFmtId="168" fontId="30" fillId="7" borderId="1" xfId="1" applyNumberFormat="1" applyFont="1" applyFill="1" applyBorder="1" applyAlignment="1">
      <alignment horizontal="right" vertical="center"/>
    </xf>
    <xf numFmtId="0" fontId="32" fillId="0" borderId="0" xfId="0" applyFont="1"/>
    <xf numFmtId="0" fontId="20" fillId="9" borderId="0" xfId="0" applyFont="1" applyFill="1"/>
    <xf numFmtId="0" fontId="16" fillId="9" borderId="0" xfId="0" applyFont="1" applyFill="1" applyAlignment="1">
      <alignment horizontal="center" vertical="center"/>
    </xf>
    <xf numFmtId="0" fontId="0" fillId="17" borderId="0" xfId="0" applyFill="1" applyAlignment="1">
      <alignment horizontal="center"/>
    </xf>
    <xf numFmtId="165" fontId="9" fillId="9" borderId="0" xfId="1" applyNumberFormat="1" applyFont="1" applyFill="1"/>
    <xf numFmtId="0" fontId="7" fillId="0" borderId="0" xfId="0" applyFont="1"/>
    <xf numFmtId="0" fontId="15" fillId="7" borderId="0" xfId="0" applyFont="1" applyFill="1" applyAlignment="1">
      <alignment horizontal="right" vertical="center"/>
    </xf>
    <xf numFmtId="166" fontId="7" fillId="7" borderId="2" xfId="0" applyNumberFormat="1" applyFont="1" applyFill="1" applyBorder="1" applyAlignment="1">
      <alignment horizontal="right"/>
    </xf>
    <xf numFmtId="166" fontId="33" fillId="7" borderId="0" xfId="0" applyNumberFormat="1" applyFont="1" applyFill="1" applyBorder="1" applyAlignment="1">
      <alignment horizontal="right"/>
    </xf>
    <xf numFmtId="166" fontId="33" fillId="7" borderId="14" xfId="0" applyNumberFormat="1" applyFont="1" applyFill="1" applyBorder="1" applyAlignment="1">
      <alignment horizontal="right"/>
    </xf>
    <xf numFmtId="166" fontId="7" fillId="7" borderId="0" xfId="0" applyNumberFormat="1" applyFont="1" applyFill="1"/>
    <xf numFmtId="16" fontId="16" fillId="9" borderId="0" xfId="0" quotePrefix="1" applyNumberFormat="1" applyFont="1" applyFill="1" applyAlignment="1">
      <alignment horizontal="center" vertical="center"/>
    </xf>
    <xf numFmtId="0" fontId="16" fillId="9" borderId="0" xfId="0" applyFont="1" applyFill="1"/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5" borderId="0" xfId="0" applyNumberFormat="1" applyFill="1"/>
    <xf numFmtId="0" fontId="1" fillId="15" borderId="0" xfId="0" applyFont="1" applyFill="1" applyAlignment="1">
      <alignment horizontal="center"/>
    </xf>
    <xf numFmtId="0" fontId="0" fillId="15" borderId="0" xfId="0" applyFill="1"/>
    <xf numFmtId="3" fontId="0" fillId="15" borderId="0" xfId="0" applyNumberFormat="1" applyFill="1"/>
    <xf numFmtId="0" fontId="0" fillId="0" borderId="0" xfId="0" applyFont="1"/>
    <xf numFmtId="14" fontId="21" fillId="10" borderId="0" xfId="0" applyNumberFormat="1" applyFont="1" applyFill="1"/>
    <xf numFmtId="165" fontId="11" fillId="0" borderId="0" xfId="0" applyNumberFormat="1" applyFont="1"/>
    <xf numFmtId="166" fontId="6" fillId="7" borderId="15" xfId="0" applyNumberFormat="1" applyFont="1" applyFill="1" applyBorder="1" applyAlignment="1">
      <alignment horizontal="right"/>
    </xf>
    <xf numFmtId="166" fontId="6" fillId="7" borderId="16" xfId="0" applyNumberFormat="1" applyFont="1" applyFill="1" applyBorder="1" applyAlignment="1">
      <alignment horizontal="right"/>
    </xf>
    <xf numFmtId="166" fontId="6" fillId="7" borderId="17" xfId="0" applyNumberFormat="1" applyFont="1" applyFill="1" applyBorder="1" applyAlignment="1">
      <alignment horizontal="right"/>
    </xf>
    <xf numFmtId="165" fontId="22" fillId="7" borderId="18" xfId="0" applyNumberFormat="1" applyFont="1" applyFill="1" applyBorder="1"/>
    <xf numFmtId="166" fontId="24" fillId="7" borderId="29" xfId="0" applyNumberFormat="1" applyFont="1" applyFill="1" applyBorder="1" applyAlignment="1">
      <alignment horizontal="right"/>
    </xf>
    <xf numFmtId="166" fontId="22" fillId="7" borderId="29" xfId="0" applyNumberFormat="1" applyFont="1" applyFill="1" applyBorder="1" applyAlignment="1">
      <alignment horizontal="right"/>
    </xf>
    <xf numFmtId="0" fontId="22" fillId="7" borderId="31" xfId="0" applyNumberFormat="1" applyFont="1" applyFill="1" applyBorder="1" applyAlignment="1">
      <alignment horizontal="right"/>
    </xf>
    <xf numFmtId="0" fontId="23" fillId="18" borderId="19" xfId="0" applyFont="1" applyFill="1" applyBorder="1"/>
    <xf numFmtId="166" fontId="24" fillId="18" borderId="20" xfId="0" applyNumberFormat="1" applyFont="1" applyFill="1" applyBorder="1" applyAlignment="1">
      <alignment horizontal="right"/>
    </xf>
    <xf numFmtId="166" fontId="24" fillId="18" borderId="21" xfId="0" applyNumberFormat="1" applyFont="1" applyFill="1" applyBorder="1" applyAlignment="1">
      <alignment horizontal="right"/>
    </xf>
    <xf numFmtId="0" fontId="22" fillId="18" borderId="22" xfId="0" applyFont="1" applyFill="1" applyBorder="1" applyAlignment="1">
      <alignment horizontal="center"/>
    </xf>
    <xf numFmtId="165" fontId="24" fillId="18" borderId="0" xfId="1" applyNumberFormat="1" applyFont="1" applyFill="1" applyBorder="1"/>
    <xf numFmtId="165" fontId="24" fillId="18" borderId="23" xfId="1" applyNumberFormat="1" applyFont="1" applyFill="1" applyBorder="1"/>
    <xf numFmtId="0" fontId="24" fillId="18" borderId="26" xfId="0" applyFont="1" applyFill="1" applyBorder="1"/>
    <xf numFmtId="165" fontId="22" fillId="18" borderId="27" xfId="0" applyNumberFormat="1" applyFont="1" applyFill="1" applyBorder="1"/>
    <xf numFmtId="165" fontId="22" fillId="18" borderId="28" xfId="0" applyNumberFormat="1" applyFont="1" applyFill="1" applyBorder="1"/>
    <xf numFmtId="0" fontId="23" fillId="18" borderId="26" xfId="0" applyFont="1" applyFill="1" applyBorder="1"/>
    <xf numFmtId="0" fontId="22" fillId="18" borderId="27" xfId="0" applyFont="1" applyFill="1" applyBorder="1" applyAlignment="1">
      <alignment horizontal="center"/>
    </xf>
    <xf numFmtId="0" fontId="22" fillId="18" borderId="28" xfId="0" applyFont="1" applyFill="1" applyBorder="1" applyAlignment="1">
      <alignment horizontal="center"/>
    </xf>
    <xf numFmtId="3" fontId="24" fillId="19" borderId="30" xfId="0" applyNumberFormat="1" applyFont="1" applyFill="1" applyBorder="1"/>
    <xf numFmtId="9" fontId="24" fillId="19" borderId="31" xfId="0" applyNumberFormat="1" applyFont="1" applyFill="1" applyBorder="1"/>
    <xf numFmtId="0" fontId="23" fillId="18" borderId="19" xfId="0" applyFont="1" applyFill="1" applyBorder="1" applyAlignment="1">
      <alignment horizontal="center"/>
    </xf>
    <xf numFmtId="0" fontId="22" fillId="7" borderId="19" xfId="0" applyFont="1" applyFill="1" applyBorder="1"/>
    <xf numFmtId="0" fontId="24" fillId="7" borderId="21" xfId="0" applyFont="1" applyFill="1" applyBorder="1"/>
    <xf numFmtId="0" fontId="24" fillId="7" borderId="24" xfId="0" applyFont="1" applyFill="1" applyBorder="1"/>
    <xf numFmtId="3" fontId="22" fillId="7" borderId="29" xfId="0" applyNumberFormat="1" applyFont="1" applyFill="1" applyBorder="1" applyAlignment="1"/>
    <xf numFmtId="165" fontId="22" fillId="7" borderId="30" xfId="0" applyNumberFormat="1" applyFont="1" applyFill="1" applyBorder="1" applyAlignment="1"/>
    <xf numFmtId="10" fontId="22" fillId="7" borderId="31" xfId="2" applyNumberFormat="1" applyFont="1" applyFill="1" applyBorder="1" applyAlignment="1"/>
    <xf numFmtId="0" fontId="22" fillId="7" borderId="29" xfId="0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0" fontId="24" fillId="7" borderId="31" xfId="0" applyFont="1" applyFill="1" applyBorder="1"/>
    <xf numFmtId="0" fontId="24" fillId="7" borderId="19" xfId="0" applyFont="1" applyFill="1" applyBorder="1"/>
    <xf numFmtId="165" fontId="24" fillId="7" borderId="20" xfId="0" applyNumberFormat="1" applyFont="1" applyFill="1" applyBorder="1"/>
    <xf numFmtId="165" fontId="24" fillId="7" borderId="21" xfId="0" applyNumberFormat="1" applyFont="1" applyFill="1" applyBorder="1"/>
    <xf numFmtId="165" fontId="24" fillId="7" borderId="1" xfId="0" applyNumberFormat="1" applyFont="1" applyFill="1" applyBorder="1"/>
    <xf numFmtId="165" fontId="24" fillId="7" borderId="25" xfId="0" applyNumberFormat="1" applyFont="1" applyFill="1" applyBorder="1"/>
    <xf numFmtId="14" fontId="0" fillId="20" borderId="0" xfId="0" applyNumberFormat="1" applyFont="1" applyFill="1"/>
    <xf numFmtId="14" fontId="0" fillId="21" borderId="0" xfId="0" applyNumberFormat="1" applyFont="1" applyFill="1"/>
    <xf numFmtId="0" fontId="1" fillId="22" borderId="0" xfId="0" applyFont="1" applyFill="1"/>
    <xf numFmtId="0" fontId="0" fillId="22" borderId="0" xfId="0" applyFill="1"/>
    <xf numFmtId="3" fontId="0" fillId="22" borderId="0" xfId="0" applyNumberFormat="1" applyFill="1"/>
    <xf numFmtId="3" fontId="0" fillId="16" borderId="0" xfId="0" applyNumberFormat="1" applyFill="1"/>
    <xf numFmtId="3" fontId="1" fillId="22" borderId="0" xfId="0" applyNumberFormat="1" applyFont="1" applyFill="1"/>
    <xf numFmtId="3" fontId="0" fillId="0" borderId="0" xfId="0" applyNumberFormat="1" applyFont="1"/>
    <xf numFmtId="0" fontId="1" fillId="16" borderId="0" xfId="0" applyFont="1" applyFill="1"/>
    <xf numFmtId="0" fontId="0" fillId="16" borderId="0" xfId="0" applyFill="1"/>
    <xf numFmtId="3" fontId="1" fillId="16" borderId="0" xfId="0" applyNumberFormat="1" applyFont="1" applyFill="1"/>
    <xf numFmtId="0" fontId="1" fillId="24" borderId="0" xfId="0" applyFont="1" applyFill="1"/>
    <xf numFmtId="0" fontId="0" fillId="24" borderId="0" xfId="0" applyFill="1"/>
    <xf numFmtId="3" fontId="0" fillId="24" borderId="0" xfId="0" applyNumberFormat="1" applyFill="1"/>
    <xf numFmtId="3" fontId="1" fillId="24" borderId="0" xfId="0" applyNumberFormat="1" applyFont="1" applyFill="1"/>
    <xf numFmtId="9" fontId="1" fillId="0" borderId="0" xfId="0" applyNumberFormat="1" applyFont="1"/>
    <xf numFmtId="169" fontId="1" fillId="0" borderId="0" xfId="0" applyNumberFormat="1" applyFont="1"/>
    <xf numFmtId="3" fontId="1" fillId="15" borderId="0" xfId="0" applyNumberFormat="1" applyFont="1" applyFill="1"/>
    <xf numFmtId="165" fontId="31" fillId="7" borderId="3" xfId="1" applyNumberFormat="1" applyFont="1" applyFill="1" applyBorder="1" applyAlignment="1">
      <alignment horizontal="right" vertical="center"/>
    </xf>
    <xf numFmtId="0" fontId="0" fillId="7" borderId="0" xfId="0" applyFont="1" applyFill="1"/>
    <xf numFmtId="0" fontId="23" fillId="7" borderId="19" xfId="0" applyFont="1" applyFill="1" applyBorder="1"/>
    <xf numFmtId="166" fontId="24" fillId="7" borderId="20" xfId="0" applyNumberFormat="1" applyFont="1" applyFill="1" applyBorder="1" applyAlignment="1">
      <alignment horizontal="right"/>
    </xf>
    <xf numFmtId="166" fontId="24" fillId="7" borderId="21" xfId="0" applyNumberFormat="1" applyFont="1" applyFill="1" applyBorder="1" applyAlignment="1">
      <alignment horizontal="right"/>
    </xf>
    <xf numFmtId="0" fontId="23" fillId="7" borderId="24" xfId="0" applyFont="1" applyFill="1" applyBorder="1"/>
    <xf numFmtId="0" fontId="22" fillId="7" borderId="1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4" fillId="7" borderId="22" xfId="0" applyFont="1" applyFill="1" applyBorder="1" applyAlignment="1">
      <alignment horizontal="center"/>
    </xf>
    <xf numFmtId="165" fontId="22" fillId="7" borderId="0" xfId="1" applyNumberFormat="1" applyFont="1" applyFill="1" applyBorder="1"/>
    <xf numFmtId="165" fontId="24" fillId="7" borderId="0" xfId="1" applyNumberFormat="1" applyFont="1" applyFill="1" applyBorder="1"/>
    <xf numFmtId="165" fontId="22" fillId="7" borderId="23" xfId="0" applyNumberFormat="1" applyFont="1" applyFill="1" applyBorder="1"/>
    <xf numFmtId="166" fontId="22" fillId="7" borderId="30" xfId="0" applyNumberFormat="1" applyFont="1" applyFill="1" applyBorder="1" applyAlignment="1">
      <alignment horizontal="right"/>
    </xf>
    <xf numFmtId="165" fontId="24" fillId="7" borderId="23" xfId="0" applyNumberFormat="1" applyFont="1" applyFill="1" applyBorder="1"/>
    <xf numFmtId="166" fontId="22" fillId="7" borderId="31" xfId="0" applyNumberFormat="1" applyFont="1" applyFill="1" applyBorder="1" applyAlignment="1">
      <alignment horizontal="right"/>
    </xf>
    <xf numFmtId="166" fontId="24" fillId="7" borderId="26" xfId="0" applyNumberFormat="1" applyFont="1" applyFill="1" applyBorder="1" applyAlignment="1">
      <alignment horizontal="right"/>
    </xf>
    <xf numFmtId="166" fontId="24" fillId="7" borderId="27" xfId="0" applyNumberFormat="1" applyFont="1" applyFill="1" applyBorder="1" applyAlignment="1">
      <alignment horizontal="right"/>
    </xf>
    <xf numFmtId="165" fontId="22" fillId="7" borderId="27" xfId="0" applyNumberFormat="1" applyFont="1" applyFill="1" applyBorder="1"/>
    <xf numFmtId="166" fontId="22" fillId="7" borderId="27" xfId="0" applyNumberFormat="1" applyFont="1" applyFill="1" applyBorder="1" applyAlignment="1">
      <alignment horizontal="right"/>
    </xf>
    <xf numFmtId="166" fontId="24" fillId="7" borderId="28" xfId="0" applyNumberFormat="1" applyFont="1" applyFill="1" applyBorder="1" applyAlignment="1">
      <alignment horizontal="right"/>
    </xf>
    <xf numFmtId="0" fontId="29" fillId="7" borderId="0" xfId="0" applyFont="1" applyFill="1"/>
    <xf numFmtId="166" fontId="22" fillId="7" borderId="0" xfId="0" applyNumberFormat="1" applyFont="1" applyFill="1" applyAlignment="1">
      <alignment horizontal="center"/>
    </xf>
    <xf numFmtId="166" fontId="24" fillId="7" borderId="0" xfId="0" applyNumberFormat="1" applyFont="1" applyFill="1" applyAlignment="1">
      <alignment horizontal="center"/>
    </xf>
    <xf numFmtId="166" fontId="24" fillId="7" borderId="2" xfId="0" applyNumberFormat="1" applyFont="1" applyFill="1" applyBorder="1" applyAlignment="1">
      <alignment horizontal="center"/>
    </xf>
    <xf numFmtId="166" fontId="22" fillId="7" borderId="2" xfId="0" applyNumberFormat="1" applyFont="1" applyFill="1" applyBorder="1" applyAlignment="1">
      <alignment horizontal="center"/>
    </xf>
    <xf numFmtId="0" fontId="24" fillId="7" borderId="20" xfId="0" applyFont="1" applyFill="1" applyBorder="1"/>
    <xf numFmtId="0" fontId="24" fillId="7" borderId="1" xfId="0" applyFont="1" applyFill="1" applyBorder="1"/>
    <xf numFmtId="0" fontId="22" fillId="7" borderId="26" xfId="0" applyFont="1" applyFill="1" applyBorder="1"/>
    <xf numFmtId="0" fontId="24" fillId="7" borderId="27" xfId="0" applyFont="1" applyFill="1" applyBorder="1"/>
    <xf numFmtId="165" fontId="22" fillId="7" borderId="28" xfId="0" applyNumberFormat="1" applyFont="1" applyFill="1" applyBorder="1"/>
    <xf numFmtId="0" fontId="31" fillId="7" borderId="0" xfId="0" applyFont="1" applyFill="1" applyAlignment="1">
      <alignment vertical="center"/>
    </xf>
    <xf numFmtId="0" fontId="11" fillId="7" borderId="0" xfId="0" applyFont="1" applyFill="1"/>
    <xf numFmtId="165" fontId="6" fillId="7" borderId="0" xfId="0" applyNumberFormat="1" applyFont="1" applyFill="1"/>
    <xf numFmtId="0" fontId="14" fillId="7" borderId="0" xfId="0" applyFont="1" applyFill="1" applyAlignment="1">
      <alignment horizontal="center"/>
    </xf>
    <xf numFmtId="0" fontId="17" fillId="7" borderId="0" xfId="0" applyFont="1" applyFill="1"/>
    <xf numFmtId="166" fontId="17" fillId="7" borderId="0" xfId="0" applyNumberFormat="1" applyFont="1" applyFill="1" applyBorder="1" applyAlignment="1">
      <alignment horizontal="right"/>
    </xf>
    <xf numFmtId="0" fontId="18" fillId="7" borderId="0" xfId="0" applyFont="1" applyFill="1"/>
    <xf numFmtId="165" fontId="18" fillId="7" borderId="0" xfId="1" applyNumberFormat="1" applyFont="1" applyFill="1"/>
    <xf numFmtId="165" fontId="31" fillId="7" borderId="0" xfId="1" applyNumberFormat="1" applyFont="1" applyFill="1" applyBorder="1" applyAlignment="1">
      <alignment horizontal="right" vertical="center"/>
    </xf>
    <xf numFmtId="166" fontId="18" fillId="7" borderId="0" xfId="0" applyNumberFormat="1" applyFont="1" applyFill="1" applyBorder="1" applyAlignment="1">
      <alignment horizontal="right"/>
    </xf>
    <xf numFmtId="166" fontId="18" fillId="7" borderId="2" xfId="0" applyNumberFormat="1" applyFont="1" applyFill="1" applyBorder="1" applyAlignment="1">
      <alignment horizontal="right"/>
    </xf>
    <xf numFmtId="166" fontId="18" fillId="7" borderId="0" xfId="0" applyNumberFormat="1" applyFont="1" applyFill="1"/>
    <xf numFmtId="164" fontId="18" fillId="7" borderId="0" xfId="1" applyFont="1" applyFill="1"/>
    <xf numFmtId="166" fontId="18" fillId="7" borderId="2" xfId="0" applyNumberFormat="1" applyFont="1" applyFill="1" applyBorder="1"/>
    <xf numFmtId="164" fontId="18" fillId="7" borderId="2" xfId="1" applyFont="1" applyFill="1" applyBorder="1"/>
    <xf numFmtId="165" fontId="31" fillId="7" borderId="2" xfId="1" applyNumberFormat="1" applyFont="1" applyFill="1" applyBorder="1" applyAlignment="1">
      <alignment horizontal="right" vertical="center"/>
    </xf>
    <xf numFmtId="165" fontId="18" fillId="7" borderId="0" xfId="0" applyNumberFormat="1" applyFont="1" applyFill="1"/>
    <xf numFmtId="0" fontId="33" fillId="7" borderId="0" xfId="0" applyFont="1" applyFill="1"/>
    <xf numFmtId="0" fontId="35" fillId="7" borderId="0" xfId="0" applyFont="1" applyFill="1"/>
    <xf numFmtId="0" fontId="34" fillId="9" borderId="0" xfId="0" applyFont="1" applyFill="1"/>
    <xf numFmtId="0" fontId="35" fillId="9" borderId="0" xfId="0" applyFont="1" applyFill="1"/>
    <xf numFmtId="165" fontId="11" fillId="7" borderId="0" xfId="1" applyNumberFormat="1" applyFont="1" applyFill="1"/>
    <xf numFmtId="165" fontId="4" fillId="7" borderId="0" xfId="0" applyNumberFormat="1" applyFont="1" applyFill="1" applyAlignment="1">
      <alignment horizontal="center" vertical="center"/>
    </xf>
    <xf numFmtId="0" fontId="12" fillId="7" borderId="0" xfId="0" applyFont="1" applyFill="1"/>
    <xf numFmtId="0" fontId="31" fillId="7" borderId="0" xfId="0" applyFont="1" applyFill="1" applyAlignment="1">
      <alignment horizontal="center" vertical="center"/>
    </xf>
    <xf numFmtId="165" fontId="19" fillId="7" borderId="0" xfId="1" applyNumberFormat="1" applyFont="1" applyFill="1" applyBorder="1" applyAlignment="1">
      <alignment horizontal="right" vertical="center"/>
    </xf>
    <xf numFmtId="165" fontId="18" fillId="7" borderId="2" xfId="1" applyNumberFormat="1" applyFont="1" applyFill="1" applyBorder="1"/>
    <xf numFmtId="165" fontId="19" fillId="7" borderId="2" xfId="1" applyNumberFormat="1" applyFont="1" applyFill="1" applyBorder="1" applyAlignment="1">
      <alignment horizontal="right" vertical="center"/>
    </xf>
    <xf numFmtId="165" fontId="31" fillId="7" borderId="1" xfId="1" applyNumberFormat="1" applyFont="1" applyFill="1" applyBorder="1" applyAlignment="1">
      <alignment horizontal="right" vertical="center"/>
    </xf>
    <xf numFmtId="168" fontId="19" fillId="7" borderId="1" xfId="1" applyNumberFormat="1" applyFont="1" applyFill="1" applyBorder="1" applyAlignment="1">
      <alignment horizontal="right" vertical="center"/>
    </xf>
    <xf numFmtId="164" fontId="28" fillId="25" borderId="0" xfId="1" quotePrefix="1" applyFont="1" applyFill="1" applyAlignment="1">
      <alignment horizontal="center"/>
    </xf>
    <xf numFmtId="164" fontId="28" fillId="25" borderId="0" xfId="1" applyFont="1" applyFill="1" applyAlignment="1">
      <alignment horizontal="center"/>
    </xf>
    <xf numFmtId="3" fontId="22" fillId="7" borderId="0" xfId="0" applyNumberFormat="1" applyFont="1" applyFill="1" applyBorder="1"/>
    <xf numFmtId="0" fontId="10" fillId="6" borderId="0" xfId="0" applyFont="1" applyFill="1"/>
    <xf numFmtId="0" fontId="13" fillId="6" borderId="0" xfId="0" applyFont="1" applyFill="1"/>
    <xf numFmtId="166" fontId="22" fillId="7" borderId="6" xfId="0" applyNumberFormat="1" applyFont="1" applyFill="1" applyBorder="1" applyAlignment="1">
      <alignment horizontal="right"/>
    </xf>
    <xf numFmtId="0" fontId="29" fillId="7" borderId="2" xfId="0" applyFont="1" applyFill="1" applyBorder="1"/>
    <xf numFmtId="0" fontId="24" fillId="7" borderId="13" xfId="0" applyFont="1" applyFill="1" applyBorder="1"/>
    <xf numFmtId="166" fontId="29" fillId="7" borderId="0" xfId="0" applyNumberFormat="1" applyFont="1" applyFill="1" applyAlignment="1">
      <alignment horizontal="right"/>
    </xf>
    <xf numFmtId="0" fontId="18" fillId="7" borderId="7" xfId="0" applyFont="1" applyFill="1" applyBorder="1"/>
    <xf numFmtId="0" fontId="31" fillId="7" borderId="8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18" fillId="7" borderId="10" xfId="0" applyFont="1" applyFill="1" applyBorder="1"/>
    <xf numFmtId="0" fontId="19" fillId="7" borderId="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vertical="center"/>
    </xf>
    <xf numFmtId="0" fontId="19" fillId="7" borderId="0" xfId="0" applyFont="1" applyFill="1" applyBorder="1" applyAlignment="1">
      <alignment horizontal="right" vertical="center"/>
    </xf>
    <xf numFmtId="0" fontId="19" fillId="7" borderId="11" xfId="0" applyFont="1" applyFill="1" applyBorder="1" applyAlignment="1">
      <alignment vertical="center"/>
    </xf>
    <xf numFmtId="0" fontId="19" fillId="7" borderId="10" xfId="0" applyFont="1" applyFill="1" applyBorder="1" applyAlignment="1">
      <alignment vertical="center"/>
    </xf>
    <xf numFmtId="165" fontId="19" fillId="7" borderId="11" xfId="1" applyNumberFormat="1" applyFont="1" applyFill="1" applyBorder="1" applyAlignment="1">
      <alignment horizontal="right" vertical="center"/>
    </xf>
    <xf numFmtId="0" fontId="18" fillId="7" borderId="10" xfId="0" applyFont="1" applyFill="1" applyBorder="1" applyAlignment="1">
      <alignment vertical="center"/>
    </xf>
    <xf numFmtId="165" fontId="18" fillId="7" borderId="13" xfId="1" applyNumberFormat="1" applyFont="1" applyFill="1" applyBorder="1"/>
    <xf numFmtId="165" fontId="31" fillId="7" borderId="11" xfId="1" applyNumberFormat="1" applyFont="1" applyFill="1" applyBorder="1" applyAlignment="1">
      <alignment horizontal="right" vertical="center"/>
    </xf>
    <xf numFmtId="165" fontId="18" fillId="7" borderId="0" xfId="1" applyNumberFormat="1" applyFont="1" applyFill="1" applyBorder="1"/>
    <xf numFmtId="165" fontId="18" fillId="7" borderId="11" xfId="1" applyNumberFormat="1" applyFont="1" applyFill="1" applyBorder="1"/>
    <xf numFmtId="165" fontId="19" fillId="7" borderId="13" xfId="1" applyNumberFormat="1" applyFont="1" applyFill="1" applyBorder="1" applyAlignment="1">
      <alignment horizontal="right" vertical="center"/>
    </xf>
    <xf numFmtId="165" fontId="31" fillId="7" borderId="32" xfId="1" applyNumberFormat="1" applyFont="1" applyFill="1" applyBorder="1" applyAlignment="1">
      <alignment horizontal="right" vertical="center"/>
    </xf>
    <xf numFmtId="165" fontId="31" fillId="7" borderId="5" xfId="1" applyNumberFormat="1" applyFont="1" applyFill="1" applyBorder="1" applyAlignment="1">
      <alignment horizontal="right" vertical="center"/>
    </xf>
    <xf numFmtId="165" fontId="19" fillId="7" borderId="0" xfId="1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vertical="center"/>
    </xf>
    <xf numFmtId="0" fontId="18" fillId="7" borderId="8" xfId="0" applyFont="1" applyFill="1" applyBorder="1"/>
    <xf numFmtId="0" fontId="18" fillId="7" borderId="0" xfId="0" applyFont="1" applyFill="1" applyBorder="1"/>
    <xf numFmtId="0" fontId="18" fillId="7" borderId="11" xfId="0" applyFont="1" applyFill="1" applyBorder="1"/>
    <xf numFmtId="0" fontId="19" fillId="7" borderId="11" xfId="0" applyFont="1" applyFill="1" applyBorder="1" applyAlignment="1">
      <alignment horizontal="right" vertical="center"/>
    </xf>
    <xf numFmtId="166" fontId="18" fillId="7" borderId="11" xfId="0" applyNumberFormat="1" applyFont="1" applyFill="1" applyBorder="1" applyAlignment="1">
      <alignment horizontal="right"/>
    </xf>
    <xf numFmtId="166" fontId="18" fillId="7" borderId="13" xfId="0" applyNumberFormat="1" applyFont="1" applyFill="1" applyBorder="1" applyAlignment="1">
      <alignment horizontal="right"/>
    </xf>
    <xf numFmtId="166" fontId="17" fillId="7" borderId="11" xfId="0" applyNumberFormat="1" applyFont="1" applyFill="1" applyBorder="1" applyAlignment="1">
      <alignment horizontal="right"/>
    </xf>
    <xf numFmtId="0" fontId="18" fillId="7" borderId="2" xfId="0" applyFont="1" applyFill="1" applyBorder="1"/>
    <xf numFmtId="166" fontId="17" fillId="7" borderId="3" xfId="0" applyNumberFormat="1" applyFont="1" applyFill="1" applyBorder="1" applyAlignment="1">
      <alignment horizontal="right"/>
    </xf>
    <xf numFmtId="166" fontId="17" fillId="7" borderId="5" xfId="0" applyNumberFormat="1" applyFont="1" applyFill="1" applyBorder="1" applyAlignment="1">
      <alignment horizontal="right"/>
    </xf>
    <xf numFmtId="165" fontId="17" fillId="7" borderId="2" xfId="1" applyNumberFormat="1" applyFont="1" applyFill="1" applyBorder="1"/>
    <xf numFmtId="0" fontId="19" fillId="7" borderId="0" xfId="0" applyFont="1" applyFill="1" applyBorder="1" applyAlignment="1">
      <alignment vertical="center"/>
    </xf>
    <xf numFmtId="165" fontId="17" fillId="7" borderId="0" xfId="1" applyNumberFormat="1" applyFont="1" applyFill="1" applyBorder="1"/>
    <xf numFmtId="165" fontId="18" fillId="7" borderId="8" xfId="1" applyNumberFormat="1" applyFont="1" applyFill="1" applyBorder="1"/>
    <xf numFmtId="0" fontId="31" fillId="7" borderId="7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right" vertical="center"/>
    </xf>
    <xf numFmtId="165" fontId="19" fillId="7" borderId="10" xfId="1" applyNumberFormat="1" applyFont="1" applyFill="1" applyBorder="1" applyAlignment="1">
      <alignment horizontal="right" vertical="center"/>
    </xf>
    <xf numFmtId="166" fontId="18" fillId="7" borderId="12" xfId="0" applyNumberFormat="1" applyFont="1" applyFill="1" applyBorder="1" applyAlignment="1">
      <alignment horizontal="right"/>
    </xf>
    <xf numFmtId="166" fontId="17" fillId="7" borderId="10" xfId="0" applyNumberFormat="1" applyFont="1" applyFill="1" applyBorder="1" applyAlignment="1">
      <alignment horizontal="right"/>
    </xf>
    <xf numFmtId="165" fontId="18" fillId="7" borderId="10" xfId="1" applyNumberFormat="1" applyFont="1" applyFill="1" applyBorder="1"/>
    <xf numFmtId="166" fontId="18" fillId="7" borderId="10" xfId="0" applyNumberFormat="1" applyFont="1" applyFill="1" applyBorder="1" applyAlignment="1">
      <alignment horizontal="right"/>
    </xf>
    <xf numFmtId="166" fontId="17" fillId="7" borderId="4" xfId="0" applyNumberFormat="1" applyFont="1" applyFill="1" applyBorder="1" applyAlignment="1">
      <alignment horizontal="right"/>
    </xf>
    <xf numFmtId="0" fontId="36" fillId="0" borderId="0" xfId="0" applyFont="1"/>
    <xf numFmtId="0" fontId="37" fillId="26" borderId="0" xfId="0" applyFont="1" applyFill="1"/>
    <xf numFmtId="0" fontId="38" fillId="26" borderId="0" xfId="0" applyFont="1" applyFill="1"/>
    <xf numFmtId="0" fontId="39" fillId="7" borderId="0" xfId="0" applyFont="1" applyFill="1"/>
    <xf numFmtId="0" fontId="40" fillId="7" borderId="0" xfId="0" applyFont="1" applyFill="1"/>
    <xf numFmtId="0" fontId="40" fillId="0" borderId="0" xfId="0" applyFont="1"/>
    <xf numFmtId="0" fontId="41" fillId="7" borderId="0" xfId="0" applyFont="1" applyFill="1"/>
    <xf numFmtId="0" fontId="42" fillId="7" borderId="0" xfId="0" applyFont="1" applyFill="1"/>
    <xf numFmtId="0" fontId="43" fillId="7" borderId="0" xfId="0" applyFont="1" applyFill="1"/>
    <xf numFmtId="0" fontId="43" fillId="0" borderId="0" xfId="0" applyFont="1"/>
    <xf numFmtId="0" fontId="42" fillId="7" borderId="0" xfId="0" applyFont="1" applyFill="1" applyAlignment="1">
      <alignment horizontal="center"/>
    </xf>
    <xf numFmtId="0" fontId="44" fillId="6" borderId="0" xfId="0" applyFont="1" applyFill="1" applyAlignment="1">
      <alignment horizontal="center"/>
    </xf>
    <xf numFmtId="0" fontId="42" fillId="0" borderId="0" xfId="0" applyFont="1"/>
    <xf numFmtId="0" fontId="43" fillId="7" borderId="0" xfId="0" applyFont="1" applyFill="1" applyAlignment="1">
      <alignment horizontal="center"/>
    </xf>
    <xf numFmtId="0" fontId="43" fillId="4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3" fillId="5" borderId="0" xfId="0" applyFont="1" applyFill="1" applyAlignment="1">
      <alignment horizontal="center"/>
    </xf>
    <xf numFmtId="0" fontId="43" fillId="17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34" fillId="2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320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405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241" t="s">
        <v>406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241"/>
      <c r="B4" s="6" t="s">
        <v>407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241"/>
      <c r="B5" s="6" t="s">
        <v>408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241"/>
      <c r="B6" s="6" t="s">
        <v>409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410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241" t="s">
        <v>411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373" t="s">
        <v>52</v>
      </c>
      <c r="M9" s="373"/>
      <c r="N9" s="373"/>
      <c r="O9" s="373"/>
    </row>
    <row r="10" spans="1:15" s="1" customFormat="1" x14ac:dyDescent="0.25">
      <c r="A10" s="7" t="s">
        <v>49</v>
      </c>
      <c r="B10" s="8" t="s">
        <v>50</v>
      </c>
      <c r="C10" s="8" t="s">
        <v>51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39</v>
      </c>
      <c r="D11" s="6"/>
      <c r="E11" s="6"/>
      <c r="F11" s="6"/>
      <c r="G11" s="6"/>
      <c r="H11" s="6"/>
      <c r="I11" s="6"/>
      <c r="J11" s="6"/>
      <c r="K11" s="6"/>
      <c r="L11" s="2" t="s">
        <v>53</v>
      </c>
      <c r="M11" s="3"/>
      <c r="N11" s="4" t="s">
        <v>53</v>
      </c>
      <c r="O11" s="164"/>
    </row>
    <row r="12" spans="1:15" x14ac:dyDescent="0.25">
      <c r="A12" s="9">
        <f>+A39+1</f>
        <v>15</v>
      </c>
      <c r="B12" s="6" t="s">
        <v>11</v>
      </c>
      <c r="C12" s="6" t="s">
        <v>121</v>
      </c>
      <c r="D12" s="6"/>
      <c r="E12" s="6"/>
      <c r="F12" s="6"/>
      <c r="G12" s="6"/>
      <c r="H12" s="6"/>
      <c r="I12" s="6"/>
      <c r="J12" s="6"/>
      <c r="K12" s="6"/>
      <c r="L12" s="2" t="s">
        <v>53</v>
      </c>
      <c r="M12" s="3"/>
      <c r="N12" s="4"/>
      <c r="O12" s="164"/>
    </row>
    <row r="13" spans="1:15" x14ac:dyDescent="0.25">
      <c r="A13" s="9">
        <f>+A12+1</f>
        <v>16</v>
      </c>
      <c r="B13" s="6" t="s">
        <v>12</v>
      </c>
      <c r="C13" s="6" t="s">
        <v>37</v>
      </c>
      <c r="D13" s="6"/>
      <c r="E13" s="6"/>
      <c r="F13" s="6"/>
      <c r="G13" s="6"/>
      <c r="H13" s="6"/>
      <c r="I13" s="6"/>
      <c r="J13" s="6"/>
      <c r="K13" s="6"/>
      <c r="L13" s="2" t="s">
        <v>53</v>
      </c>
      <c r="M13" s="3"/>
      <c r="N13" s="4" t="s">
        <v>53</v>
      </c>
      <c r="O13" s="164"/>
    </row>
    <row r="14" spans="1:15" x14ac:dyDescent="0.25">
      <c r="A14" s="9">
        <f>+A13+1</f>
        <v>17</v>
      </c>
      <c r="B14" s="6" t="s">
        <v>12</v>
      </c>
      <c r="C14" s="6" t="s">
        <v>38</v>
      </c>
      <c r="D14" s="6"/>
      <c r="E14" s="6"/>
      <c r="F14" s="6"/>
      <c r="G14" s="6"/>
      <c r="H14" s="6"/>
      <c r="I14" s="6"/>
      <c r="J14" s="6"/>
      <c r="K14" s="6"/>
      <c r="L14" s="2" t="s">
        <v>53</v>
      </c>
      <c r="M14" s="3"/>
      <c r="N14" s="4" t="s">
        <v>53</v>
      </c>
      <c r="O14" s="164"/>
    </row>
    <row r="15" spans="1:15" x14ac:dyDescent="0.25">
      <c r="A15" s="9">
        <f>+A31+1</f>
        <v>21</v>
      </c>
      <c r="B15" s="6" t="s">
        <v>14</v>
      </c>
      <c r="C15" s="6" t="s">
        <v>35</v>
      </c>
      <c r="D15" s="6"/>
      <c r="E15" s="6"/>
      <c r="F15" s="6"/>
      <c r="G15" s="6"/>
      <c r="H15" s="6"/>
      <c r="I15" s="6"/>
      <c r="J15" s="6"/>
      <c r="K15" s="6"/>
      <c r="L15" s="2" t="s">
        <v>53</v>
      </c>
      <c r="M15" s="3"/>
      <c r="N15" s="4"/>
      <c r="O15" s="164"/>
    </row>
    <row r="16" spans="1:15" x14ac:dyDescent="0.25">
      <c r="A16" s="9">
        <f>+A15+1</f>
        <v>22</v>
      </c>
      <c r="B16" s="6" t="s">
        <v>14</v>
      </c>
      <c r="C16" s="6" t="s">
        <v>40</v>
      </c>
      <c r="D16" s="6"/>
      <c r="E16" s="6"/>
      <c r="F16" s="6"/>
      <c r="G16" s="6"/>
      <c r="H16" s="6"/>
      <c r="I16" s="6"/>
      <c r="J16" s="6"/>
      <c r="K16" s="6"/>
      <c r="L16" s="2" t="s">
        <v>53</v>
      </c>
      <c r="M16" s="3"/>
      <c r="N16" s="4"/>
      <c r="O16" s="164"/>
    </row>
    <row r="17" spans="1:15" x14ac:dyDescent="0.25">
      <c r="A17" s="9">
        <f>+A34+1</f>
        <v>27</v>
      </c>
      <c r="B17" s="6" t="s">
        <v>16</v>
      </c>
      <c r="C17" s="6" t="s">
        <v>33</v>
      </c>
      <c r="D17" s="6"/>
      <c r="E17" s="6"/>
      <c r="F17" s="6"/>
      <c r="G17" s="6"/>
      <c r="H17" s="6"/>
      <c r="I17" s="6"/>
      <c r="J17" s="6"/>
      <c r="K17" s="6"/>
      <c r="L17" s="2" t="s">
        <v>53</v>
      </c>
      <c r="M17" s="3"/>
      <c r="N17" s="4"/>
      <c r="O17" s="164"/>
    </row>
    <row r="18" spans="1:15" x14ac:dyDescent="0.25">
      <c r="A18" s="9">
        <f>+A21+1</f>
        <v>31</v>
      </c>
      <c r="B18" s="6" t="s">
        <v>7</v>
      </c>
      <c r="C18" s="6" t="s">
        <v>27</v>
      </c>
      <c r="D18" s="6"/>
      <c r="E18" s="6"/>
      <c r="F18" s="6"/>
      <c r="G18" s="6"/>
      <c r="H18" s="6"/>
      <c r="I18" s="6"/>
      <c r="J18" s="6"/>
      <c r="K18" s="6"/>
      <c r="L18" s="2" t="s">
        <v>53</v>
      </c>
      <c r="M18" s="3"/>
      <c r="N18" s="4"/>
      <c r="O18" s="164"/>
    </row>
    <row r="19" spans="1:15" x14ac:dyDescent="0.25">
      <c r="A19" s="9">
        <f>+A27+1</f>
        <v>9</v>
      </c>
      <c r="B19" s="6" t="s">
        <v>8</v>
      </c>
      <c r="C19" s="6" t="s">
        <v>45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53</v>
      </c>
      <c r="N19" s="4"/>
      <c r="O19" s="164"/>
    </row>
    <row r="20" spans="1:15" x14ac:dyDescent="0.25">
      <c r="A20" s="9">
        <f>+A32+1</f>
        <v>24</v>
      </c>
      <c r="B20" s="6" t="s">
        <v>15</v>
      </c>
      <c r="C20" s="6" t="s">
        <v>34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53</v>
      </c>
      <c r="N20" s="4"/>
      <c r="O20" s="164"/>
    </row>
    <row r="21" spans="1:15" x14ac:dyDescent="0.25">
      <c r="A21" s="9">
        <f>+A36+1</f>
        <v>30</v>
      </c>
      <c r="B21" s="6" t="s">
        <v>19</v>
      </c>
      <c r="C21" s="6" t="s">
        <v>28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53</v>
      </c>
      <c r="N21" s="4" t="s">
        <v>53</v>
      </c>
      <c r="O21" s="164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53</v>
      </c>
      <c r="O22" s="164"/>
    </row>
    <row r="23" spans="1:15" x14ac:dyDescent="0.25">
      <c r="A23" s="9">
        <f>+A22+1</f>
        <v>4</v>
      </c>
      <c r="B23" s="6" t="s">
        <v>5</v>
      </c>
      <c r="C23" s="6" t="s">
        <v>412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53</v>
      </c>
      <c r="O23" s="164"/>
    </row>
    <row r="24" spans="1:15" x14ac:dyDescent="0.25">
      <c r="A24" s="9">
        <f>+A23+1</f>
        <v>5</v>
      </c>
      <c r="B24" s="6" t="s">
        <v>6</v>
      </c>
      <c r="C24" s="6" t="s">
        <v>26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53</v>
      </c>
      <c r="O24" s="164"/>
    </row>
    <row r="25" spans="1:15" x14ac:dyDescent="0.25">
      <c r="A25" s="9">
        <f>+A24+1</f>
        <v>6</v>
      </c>
      <c r="B25" s="6" t="s">
        <v>8</v>
      </c>
      <c r="C25" s="6" t="s">
        <v>413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53</v>
      </c>
      <c r="O25" s="164"/>
    </row>
    <row r="26" spans="1:15" x14ac:dyDescent="0.25">
      <c r="A26" s="9">
        <f>+A25+1</f>
        <v>7</v>
      </c>
      <c r="B26" s="6" t="s">
        <v>8</v>
      </c>
      <c r="C26" s="6" t="s">
        <v>414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53</v>
      </c>
      <c r="O26" s="164"/>
    </row>
    <row r="27" spans="1:15" x14ac:dyDescent="0.25">
      <c r="A27" s="9">
        <f>+A26+1</f>
        <v>8</v>
      </c>
      <c r="B27" s="6" t="s">
        <v>8</v>
      </c>
      <c r="C27" s="6" t="s">
        <v>44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53</v>
      </c>
      <c r="O27" s="164"/>
    </row>
    <row r="28" spans="1:15" x14ac:dyDescent="0.25">
      <c r="A28" s="9">
        <f>+A19+1</f>
        <v>10</v>
      </c>
      <c r="B28" s="6" t="s">
        <v>8</v>
      </c>
      <c r="C28" s="6" t="s">
        <v>46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164"/>
    </row>
    <row r="29" spans="1:15" x14ac:dyDescent="0.25">
      <c r="A29" s="9">
        <f>+A28+1</f>
        <v>11</v>
      </c>
      <c r="B29" s="6" t="s">
        <v>9</v>
      </c>
      <c r="C29" s="6" t="s">
        <v>48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164"/>
    </row>
    <row r="30" spans="1:15" x14ac:dyDescent="0.25">
      <c r="A30" s="9">
        <f>+A29+1</f>
        <v>12</v>
      </c>
      <c r="B30" s="6" t="s">
        <v>9</v>
      </c>
      <c r="C30" s="6" t="s">
        <v>47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53</v>
      </c>
      <c r="O30" s="164"/>
    </row>
    <row r="31" spans="1:15" x14ac:dyDescent="0.25">
      <c r="A31" s="9">
        <f>+A41+1</f>
        <v>20</v>
      </c>
      <c r="B31" s="6" t="s">
        <v>156</v>
      </c>
      <c r="C31" s="6" t="s">
        <v>157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53</v>
      </c>
      <c r="O31" s="164" t="s">
        <v>53</v>
      </c>
    </row>
    <row r="32" spans="1:15" x14ac:dyDescent="0.25">
      <c r="A32" s="9">
        <f>+A16+1</f>
        <v>23</v>
      </c>
      <c r="B32" s="6" t="s">
        <v>14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53</v>
      </c>
      <c r="O32" s="164"/>
    </row>
    <row r="33" spans="1:15" x14ac:dyDescent="0.25">
      <c r="A33" s="9">
        <f>+A20+1</f>
        <v>25</v>
      </c>
      <c r="B33" s="6" t="s">
        <v>16</v>
      </c>
      <c r="C33" s="6" t="s">
        <v>31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53</v>
      </c>
      <c r="O33" s="164"/>
    </row>
    <row r="34" spans="1:15" x14ac:dyDescent="0.25">
      <c r="A34" s="9">
        <f>+A33+1</f>
        <v>26</v>
      </c>
      <c r="B34" s="6" t="s">
        <v>16</v>
      </c>
      <c r="C34" s="6" t="s">
        <v>32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53</v>
      </c>
      <c r="O34" s="164"/>
    </row>
    <row r="35" spans="1:15" x14ac:dyDescent="0.25">
      <c r="A35" s="9">
        <f>+A17+1</f>
        <v>28</v>
      </c>
      <c r="B35" s="6" t="s">
        <v>17</v>
      </c>
      <c r="C35" s="6" t="s">
        <v>30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53</v>
      </c>
      <c r="O35" s="164" t="s">
        <v>53</v>
      </c>
    </row>
    <row r="36" spans="1:15" x14ac:dyDescent="0.25">
      <c r="A36" s="9">
        <f>+A35+1</f>
        <v>29</v>
      </c>
      <c r="B36" s="6" t="s">
        <v>18</v>
      </c>
      <c r="C36" s="6" t="s">
        <v>29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53</v>
      </c>
      <c r="O36" s="164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164" t="s">
        <v>53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164" t="s">
        <v>53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164" t="s">
        <v>53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164" t="s">
        <v>53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36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164" t="s">
        <v>53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371</v>
      </c>
      <c r="E1" s="1"/>
      <c r="F1" s="1" t="s">
        <v>370</v>
      </c>
      <c r="G1" s="1"/>
      <c r="H1" s="1" t="s">
        <v>369</v>
      </c>
      <c r="K1" s="1" t="s">
        <v>376</v>
      </c>
      <c r="L1" s="1" t="s">
        <v>377</v>
      </c>
      <c r="M1" s="1" t="s">
        <v>344</v>
      </c>
    </row>
    <row r="2" spans="1:14" x14ac:dyDescent="0.25">
      <c r="A2" s="1" t="s">
        <v>372</v>
      </c>
      <c r="B2" s="1">
        <v>10</v>
      </c>
      <c r="C2" s="1" t="s">
        <v>373</v>
      </c>
      <c r="J2" s="1" t="s">
        <v>378</v>
      </c>
      <c r="K2" s="177">
        <v>900000</v>
      </c>
      <c r="L2" s="177">
        <v>300000</v>
      </c>
      <c r="M2" s="177">
        <f>+K2+L2</f>
        <v>1200000</v>
      </c>
      <c r="N2">
        <v>2014</v>
      </c>
    </row>
    <row r="3" spans="1:14" x14ac:dyDescent="0.25">
      <c r="A3" t="s">
        <v>331</v>
      </c>
      <c r="D3" s="174">
        <v>1000000</v>
      </c>
      <c r="F3" s="174">
        <v>1000000</v>
      </c>
      <c r="H3" s="174">
        <v>1000000</v>
      </c>
      <c r="J3" t="s">
        <v>379</v>
      </c>
      <c r="K3">
        <v>0</v>
      </c>
      <c r="L3" s="174">
        <v>400000</v>
      </c>
      <c r="M3" s="174">
        <f>+K3+L3</f>
        <v>400000</v>
      </c>
      <c r="N3">
        <v>2014</v>
      </c>
    </row>
    <row r="4" spans="1:14" x14ac:dyDescent="0.25">
      <c r="A4" t="s">
        <v>332</v>
      </c>
      <c r="D4" s="174">
        <f>-D3*10%*3</f>
        <v>-300000</v>
      </c>
      <c r="E4" s="177">
        <f>+F4-D4</f>
        <v>-100000</v>
      </c>
      <c r="F4" s="174">
        <f>-F3*10%*4</f>
        <v>-400000</v>
      </c>
      <c r="G4" s="177">
        <f>+H4-F4</f>
        <v>-100000</v>
      </c>
      <c r="H4" s="174">
        <f>-H3*10%*5</f>
        <v>-500000</v>
      </c>
      <c r="J4" s="1" t="s">
        <v>381</v>
      </c>
      <c r="K4" s="177">
        <f t="shared" ref="K4" si="0">SUM(K2:K3)</f>
        <v>900000</v>
      </c>
      <c r="L4" s="177">
        <f>SUM(L2:L3)</f>
        <v>700000</v>
      </c>
      <c r="M4" s="177">
        <f t="shared" ref="M4" si="1">SUM(M2:M3)</f>
        <v>1600000</v>
      </c>
      <c r="N4">
        <v>2014</v>
      </c>
    </row>
    <row r="5" spans="1:14" s="1" customFormat="1" x14ac:dyDescent="0.25">
      <c r="A5" s="1" t="s">
        <v>335</v>
      </c>
      <c r="D5" s="177">
        <f>+D3+D4</f>
        <v>700000</v>
      </c>
      <c r="F5" s="177">
        <f>+F3+F4</f>
        <v>600000</v>
      </c>
      <c r="H5" s="177">
        <f>+H3+H4</f>
        <v>500000</v>
      </c>
      <c r="J5" t="s">
        <v>380</v>
      </c>
      <c r="K5" s="183">
        <v>0</v>
      </c>
      <c r="L5" s="229">
        <v>700000</v>
      </c>
      <c r="M5" s="174">
        <f>+K5+L5</f>
        <v>700000</v>
      </c>
      <c r="N5">
        <v>2015</v>
      </c>
    </row>
    <row r="6" spans="1:14" x14ac:dyDescent="0.25">
      <c r="J6" t="s">
        <v>382</v>
      </c>
      <c r="K6" s="183">
        <v>0</v>
      </c>
      <c r="L6" s="229">
        <f>+-G17</f>
        <v>-100000</v>
      </c>
      <c r="M6" s="174">
        <f>+K6+L6</f>
        <v>-100000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373</v>
      </c>
      <c r="J7" s="1" t="s">
        <v>381</v>
      </c>
      <c r="K7" s="177">
        <f>+K4+K5+K6</f>
        <v>900000</v>
      </c>
      <c r="L7" s="177">
        <f t="shared" ref="L7:M7" si="2">+L4+L5+L6</f>
        <v>1300000</v>
      </c>
      <c r="M7" s="177">
        <f t="shared" si="2"/>
        <v>2200000</v>
      </c>
      <c r="N7">
        <v>2015</v>
      </c>
    </row>
    <row r="8" spans="1:14" x14ac:dyDescent="0.25">
      <c r="A8" t="s">
        <v>331</v>
      </c>
      <c r="D8" s="174">
        <v>1000000</v>
      </c>
      <c r="F8" s="174">
        <v>1000000</v>
      </c>
      <c r="H8" s="174">
        <v>1000000</v>
      </c>
    </row>
    <row r="9" spans="1:14" x14ac:dyDescent="0.25">
      <c r="A9" t="s">
        <v>332</v>
      </c>
      <c r="D9" s="174">
        <f>-D8*12.5%*3</f>
        <v>-375000</v>
      </c>
      <c r="E9" s="177">
        <f>+F9-D9</f>
        <v>-125000</v>
      </c>
      <c r="F9" s="174">
        <f>-F8*12.5%*4</f>
        <v>-500000</v>
      </c>
      <c r="G9" s="177">
        <f>+H9-F9</f>
        <v>-125000</v>
      </c>
      <c r="H9" s="174">
        <f>-H8*12.5%*5</f>
        <v>-625000</v>
      </c>
      <c r="K9" s="1" t="s">
        <v>376</v>
      </c>
      <c r="L9" s="1" t="s">
        <v>377</v>
      </c>
      <c r="M9" s="1" t="s">
        <v>344</v>
      </c>
    </row>
    <row r="10" spans="1:14" s="1" customFormat="1" x14ac:dyDescent="0.25">
      <c r="A10" s="1" t="s">
        <v>335</v>
      </c>
      <c r="D10" s="177">
        <f>+D8+D9</f>
        <v>625000</v>
      </c>
      <c r="F10" s="177">
        <f>+F8+F9</f>
        <v>500000</v>
      </c>
      <c r="H10" s="177">
        <f>+H8+H9</f>
        <v>375000</v>
      </c>
      <c r="J10" s="1" t="s">
        <v>378</v>
      </c>
      <c r="K10" s="177">
        <v>900000</v>
      </c>
      <c r="L10" s="177">
        <f>+L2-C17</f>
        <v>225000</v>
      </c>
      <c r="M10" s="177">
        <f>+K10+L10</f>
        <v>1125000</v>
      </c>
      <c r="N10"/>
    </row>
    <row r="11" spans="1:14" x14ac:dyDescent="0.25">
      <c r="J11" t="s">
        <v>379</v>
      </c>
      <c r="K11">
        <v>0</v>
      </c>
      <c r="L11" s="174">
        <f>+L3-E16</f>
        <v>375000</v>
      </c>
      <c r="M11" s="174">
        <f>+K11+L11</f>
        <v>375000</v>
      </c>
    </row>
    <row r="12" spans="1:14" x14ac:dyDescent="0.25">
      <c r="A12" s="1" t="s">
        <v>337</v>
      </c>
      <c r="D12" s="177">
        <f>+D5-D10</f>
        <v>75000</v>
      </c>
      <c r="F12" s="177">
        <f>+F5-F10</f>
        <v>100000</v>
      </c>
      <c r="H12" s="177">
        <f>+H5-H10</f>
        <v>125000</v>
      </c>
      <c r="J12" s="1" t="s">
        <v>381</v>
      </c>
      <c r="K12" s="177">
        <f t="shared" ref="K12:L12" si="3">+K10+K11</f>
        <v>900000</v>
      </c>
      <c r="L12" s="177">
        <f t="shared" si="3"/>
        <v>600000</v>
      </c>
      <c r="M12" s="177">
        <f>+M10+M11</f>
        <v>1500000</v>
      </c>
    </row>
    <row r="13" spans="1:14" x14ac:dyDescent="0.25">
      <c r="J13" t="s">
        <v>380</v>
      </c>
      <c r="K13" s="183">
        <v>0</v>
      </c>
      <c r="L13" s="229">
        <v>700000</v>
      </c>
      <c r="M13" s="174">
        <f>+K13+L13</f>
        <v>700000</v>
      </c>
    </row>
    <row r="14" spans="1:14" x14ac:dyDescent="0.25">
      <c r="C14" s="230" t="s">
        <v>57</v>
      </c>
      <c r="D14" s="230" t="s">
        <v>58</v>
      </c>
      <c r="E14" s="233" t="s">
        <v>57</v>
      </c>
      <c r="F14" s="233" t="s">
        <v>58</v>
      </c>
      <c r="G14" s="224" t="s">
        <v>57</v>
      </c>
      <c r="H14" s="224" t="s">
        <v>58</v>
      </c>
      <c r="J14" t="s">
        <v>382</v>
      </c>
      <c r="K14" s="183">
        <v>0</v>
      </c>
      <c r="L14" s="229" t="str">
        <f>+G25</f>
        <v>DEBE</v>
      </c>
      <c r="M14" s="174" t="e">
        <f>+K14+L14</f>
        <v>#VALUE!</v>
      </c>
    </row>
    <row r="15" spans="1:14" x14ac:dyDescent="0.25">
      <c r="A15" s="1" t="s">
        <v>338</v>
      </c>
      <c r="C15" s="231"/>
      <c r="D15" s="227">
        <f>-D9+D4</f>
        <v>75000</v>
      </c>
      <c r="E15" s="234"/>
      <c r="F15" s="235">
        <f>-F9+F4</f>
        <v>100000</v>
      </c>
      <c r="G15" s="225"/>
      <c r="H15" s="226">
        <f>-(H9-H4)</f>
        <v>125000</v>
      </c>
      <c r="J15" s="1" t="s">
        <v>381</v>
      </c>
      <c r="K15" s="177">
        <f>+K12+K13+K14</f>
        <v>900000</v>
      </c>
      <c r="L15" s="177" t="e">
        <f t="shared" ref="L15" si="4">+L12+L13+L14</f>
        <v>#VALUE!</v>
      </c>
      <c r="M15" s="177" t="e">
        <f t="shared" ref="M15" si="5">+M12+M13+M14</f>
        <v>#VALUE!</v>
      </c>
    </row>
    <row r="16" spans="1:14" x14ac:dyDescent="0.25">
      <c r="A16" s="1" t="s">
        <v>374</v>
      </c>
      <c r="C16" s="231">
        <v>0</v>
      </c>
      <c r="D16" s="231"/>
      <c r="E16" s="236">
        <f>-E9+E4</f>
        <v>25000</v>
      </c>
      <c r="F16" s="234"/>
      <c r="G16" s="226">
        <f>-G9+G4</f>
        <v>25000</v>
      </c>
      <c r="H16" s="225"/>
    </row>
    <row r="17" spans="1:8" x14ac:dyDescent="0.25">
      <c r="A17" s="1" t="s">
        <v>375</v>
      </c>
      <c r="C17" s="232">
        <f>+D15</f>
        <v>75000</v>
      </c>
      <c r="D17" s="230"/>
      <c r="E17" s="236">
        <f>+F15-E16</f>
        <v>75000</v>
      </c>
      <c r="F17" s="234"/>
      <c r="G17" s="228">
        <f>+H15-G16</f>
        <v>100000</v>
      </c>
      <c r="H17" s="225"/>
    </row>
    <row r="19" spans="1:8" x14ac:dyDescent="0.25">
      <c r="A19" s="1" t="s">
        <v>363</v>
      </c>
      <c r="D19" s="174">
        <f>D10</f>
        <v>625000</v>
      </c>
      <c r="F19" s="174">
        <f>F10</f>
        <v>500000</v>
      </c>
      <c r="H19" s="174">
        <f>H10</f>
        <v>375000</v>
      </c>
    </row>
    <row r="20" spans="1:8" x14ac:dyDescent="0.25">
      <c r="A20" s="1" t="s">
        <v>362</v>
      </c>
      <c r="D20" s="174">
        <f>D5</f>
        <v>700000</v>
      </c>
      <c r="F20" s="174">
        <f>F5</f>
        <v>600000</v>
      </c>
      <c r="H20" s="174">
        <f>H5</f>
        <v>500000</v>
      </c>
    </row>
    <row r="21" spans="1:8" x14ac:dyDescent="0.25">
      <c r="A21" s="1" t="s">
        <v>364</v>
      </c>
      <c r="D21" s="174">
        <f>D20-D19</f>
        <v>75000</v>
      </c>
      <c r="F21" s="174">
        <f>F20-F19</f>
        <v>100000</v>
      </c>
      <c r="H21" s="174">
        <f>H20-H19</f>
        <v>125000</v>
      </c>
    </row>
    <row r="22" spans="1:8" x14ac:dyDescent="0.25">
      <c r="A22" s="1" t="s">
        <v>398</v>
      </c>
      <c r="B22" s="1"/>
      <c r="C22" s="1"/>
      <c r="D22" s="177">
        <f>+D21*30%</f>
        <v>22500</v>
      </c>
      <c r="E22" s="1"/>
      <c r="F22" s="177">
        <f>+F21*30%</f>
        <v>30000</v>
      </c>
      <c r="G22" s="1"/>
      <c r="H22" s="177">
        <f>+H21*30%</f>
        <v>37500</v>
      </c>
    </row>
    <row r="25" spans="1:8" x14ac:dyDescent="0.25">
      <c r="C25" s="230" t="s">
        <v>57</v>
      </c>
      <c r="D25" s="230" t="s">
        <v>58</v>
      </c>
      <c r="E25" s="233" t="s">
        <v>57</v>
      </c>
      <c r="F25" s="233" t="s">
        <v>58</v>
      </c>
      <c r="G25" s="224" t="s">
        <v>57</v>
      </c>
      <c r="H25" s="224" t="s">
        <v>58</v>
      </c>
    </row>
    <row r="26" spans="1:8" x14ac:dyDescent="0.25">
      <c r="A26" s="1" t="s">
        <v>399</v>
      </c>
      <c r="C26" s="232">
        <f>D22</f>
        <v>22500</v>
      </c>
      <c r="D26" s="232"/>
      <c r="E26" s="235">
        <f>F22</f>
        <v>30000</v>
      </c>
      <c r="F26" s="235"/>
      <c r="G26" s="226">
        <f>+H22</f>
        <v>37500</v>
      </c>
      <c r="H26" s="226"/>
    </row>
    <row r="27" spans="1:8" x14ac:dyDescent="0.25">
      <c r="A27" s="1" t="s">
        <v>400</v>
      </c>
      <c r="C27" s="230"/>
      <c r="D27" s="230"/>
      <c r="E27" s="236"/>
      <c r="F27" s="235">
        <f>+E26-F28</f>
        <v>7500</v>
      </c>
      <c r="G27" s="226"/>
      <c r="H27" s="226">
        <f>+G26-H28</f>
        <v>7500</v>
      </c>
    </row>
    <row r="28" spans="1:8" x14ac:dyDescent="0.25">
      <c r="A28" s="1" t="s">
        <v>375</v>
      </c>
      <c r="C28" s="232"/>
      <c r="D28" s="232">
        <f>C26</f>
        <v>22500</v>
      </c>
      <c r="E28" s="236"/>
      <c r="F28" s="235">
        <f>+D28</f>
        <v>22500</v>
      </c>
      <c r="G28" s="228"/>
      <c r="H28" s="226">
        <f>+F28+F27</f>
        <v>30000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325</v>
      </c>
      <c r="B1" s="174">
        <v>100000</v>
      </c>
      <c r="D1" t="s">
        <v>325</v>
      </c>
      <c r="E1" s="174">
        <f ca="1">SUMIF(A:B,D1,B:B)</f>
        <v>4000000</v>
      </c>
    </row>
    <row r="2" spans="1:5" x14ac:dyDescent="0.25">
      <c r="A2" t="s">
        <v>326</v>
      </c>
      <c r="B2" s="174">
        <v>120000</v>
      </c>
      <c r="D2" t="s">
        <v>326</v>
      </c>
      <c r="E2" s="174">
        <f ca="1">SUMIF(A:B,D2,B:B)</f>
        <v>7680000</v>
      </c>
    </row>
    <row r="3" spans="1:5" x14ac:dyDescent="0.25">
      <c r="A3" t="s">
        <v>327</v>
      </c>
      <c r="B3" s="174">
        <v>30000</v>
      </c>
      <c r="D3" t="s">
        <v>327</v>
      </c>
      <c r="E3" s="174">
        <f ca="1">SUMIF(A:B,D3,B:B)</f>
        <v>1920000</v>
      </c>
    </row>
    <row r="4" spans="1:5" x14ac:dyDescent="0.25">
      <c r="A4" t="s">
        <v>325</v>
      </c>
      <c r="B4" s="174">
        <v>100000</v>
      </c>
      <c r="E4" s="174">
        <f ca="1">SUM(E1:E3)</f>
        <v>13600000</v>
      </c>
    </row>
    <row r="5" spans="1:5" x14ac:dyDescent="0.25">
      <c r="A5" t="s">
        <v>326</v>
      </c>
      <c r="B5" s="174">
        <v>120000</v>
      </c>
    </row>
    <row r="6" spans="1:5" x14ac:dyDescent="0.25">
      <c r="A6" t="s">
        <v>327</v>
      </c>
      <c r="B6" s="174">
        <v>30000</v>
      </c>
    </row>
    <row r="7" spans="1:5" x14ac:dyDescent="0.25">
      <c r="A7" t="s">
        <v>326</v>
      </c>
      <c r="B7" s="174">
        <v>120000</v>
      </c>
    </row>
    <row r="8" spans="1:5" x14ac:dyDescent="0.25">
      <c r="A8" t="s">
        <v>327</v>
      </c>
      <c r="B8" s="174">
        <v>30000</v>
      </c>
    </row>
    <row r="9" spans="1:5" x14ac:dyDescent="0.25">
      <c r="A9" t="s">
        <v>325</v>
      </c>
      <c r="B9" s="174">
        <v>100000</v>
      </c>
    </row>
    <row r="10" spans="1:5" x14ac:dyDescent="0.25">
      <c r="A10" t="s">
        <v>326</v>
      </c>
      <c r="B10" s="174">
        <v>120000</v>
      </c>
    </row>
    <row r="11" spans="1:5" x14ac:dyDescent="0.25">
      <c r="A11" t="s">
        <v>327</v>
      </c>
      <c r="B11" s="174">
        <v>30000</v>
      </c>
    </row>
    <row r="12" spans="1:5" x14ac:dyDescent="0.25">
      <c r="A12" t="s">
        <v>326</v>
      </c>
      <c r="B12" s="174">
        <v>120000</v>
      </c>
    </row>
    <row r="13" spans="1:5" x14ac:dyDescent="0.25">
      <c r="A13" t="s">
        <v>327</v>
      </c>
      <c r="B13" s="174">
        <v>30000</v>
      </c>
    </row>
    <row r="14" spans="1:5" x14ac:dyDescent="0.25">
      <c r="A14" t="s">
        <v>325</v>
      </c>
      <c r="B14" s="174">
        <v>100000</v>
      </c>
    </row>
    <row r="15" spans="1:5" x14ac:dyDescent="0.25">
      <c r="A15" t="s">
        <v>326</v>
      </c>
      <c r="B15" s="174">
        <v>120000</v>
      </c>
    </row>
    <row r="16" spans="1:5" x14ac:dyDescent="0.25">
      <c r="A16" t="s">
        <v>327</v>
      </c>
      <c r="B16" s="174">
        <v>30000</v>
      </c>
    </row>
    <row r="17" spans="1:2" x14ac:dyDescent="0.25">
      <c r="A17" t="s">
        <v>326</v>
      </c>
      <c r="B17" s="174">
        <v>120000</v>
      </c>
    </row>
    <row r="18" spans="1:2" x14ac:dyDescent="0.25">
      <c r="A18" t="s">
        <v>327</v>
      </c>
      <c r="B18" s="174">
        <v>30000</v>
      </c>
    </row>
    <row r="19" spans="1:2" x14ac:dyDescent="0.25">
      <c r="A19" t="s">
        <v>325</v>
      </c>
      <c r="B19" s="174">
        <v>100000</v>
      </c>
    </row>
    <row r="20" spans="1:2" x14ac:dyDescent="0.25">
      <c r="A20" t="s">
        <v>326</v>
      </c>
      <c r="B20" s="174">
        <v>120000</v>
      </c>
    </row>
    <row r="21" spans="1:2" x14ac:dyDescent="0.25">
      <c r="A21" t="s">
        <v>327</v>
      </c>
      <c r="B21" s="174">
        <v>30000</v>
      </c>
    </row>
    <row r="22" spans="1:2" x14ac:dyDescent="0.25">
      <c r="A22" t="s">
        <v>325</v>
      </c>
      <c r="B22" s="174">
        <v>100000</v>
      </c>
    </row>
    <row r="23" spans="1:2" x14ac:dyDescent="0.25">
      <c r="A23" t="s">
        <v>326</v>
      </c>
      <c r="B23" s="174">
        <v>120000</v>
      </c>
    </row>
    <row r="24" spans="1:2" x14ac:dyDescent="0.25">
      <c r="A24" t="s">
        <v>327</v>
      </c>
      <c r="B24" s="174">
        <v>30000</v>
      </c>
    </row>
    <row r="25" spans="1:2" x14ac:dyDescent="0.25">
      <c r="A25" t="s">
        <v>325</v>
      </c>
      <c r="B25" s="174">
        <v>100000</v>
      </c>
    </row>
    <row r="26" spans="1:2" x14ac:dyDescent="0.25">
      <c r="A26" t="s">
        <v>326</v>
      </c>
      <c r="B26" s="174">
        <v>120000</v>
      </c>
    </row>
    <row r="27" spans="1:2" x14ac:dyDescent="0.25">
      <c r="A27" t="s">
        <v>327</v>
      </c>
      <c r="B27" s="174">
        <v>30000</v>
      </c>
    </row>
    <row r="28" spans="1:2" x14ac:dyDescent="0.25">
      <c r="A28" t="s">
        <v>326</v>
      </c>
      <c r="B28" s="174">
        <v>120000</v>
      </c>
    </row>
    <row r="29" spans="1:2" x14ac:dyDescent="0.25">
      <c r="A29" t="s">
        <v>327</v>
      </c>
      <c r="B29" s="174">
        <v>30000</v>
      </c>
    </row>
    <row r="30" spans="1:2" x14ac:dyDescent="0.25">
      <c r="A30" t="s">
        <v>325</v>
      </c>
      <c r="B30" s="174">
        <v>100000</v>
      </c>
    </row>
    <row r="31" spans="1:2" x14ac:dyDescent="0.25">
      <c r="A31" t="s">
        <v>326</v>
      </c>
      <c r="B31" s="174">
        <v>120000</v>
      </c>
    </row>
    <row r="32" spans="1:2" x14ac:dyDescent="0.25">
      <c r="A32" t="s">
        <v>327</v>
      </c>
      <c r="B32" s="174">
        <v>30000</v>
      </c>
    </row>
    <row r="33" spans="1:2" x14ac:dyDescent="0.25">
      <c r="A33" t="s">
        <v>326</v>
      </c>
      <c r="B33" s="174">
        <v>120000</v>
      </c>
    </row>
    <row r="34" spans="1:2" x14ac:dyDescent="0.25">
      <c r="A34" t="s">
        <v>327</v>
      </c>
      <c r="B34" s="174">
        <v>30000</v>
      </c>
    </row>
    <row r="35" spans="1:2" x14ac:dyDescent="0.25">
      <c r="A35" t="s">
        <v>325</v>
      </c>
      <c r="B35" s="174">
        <v>100000</v>
      </c>
    </row>
    <row r="36" spans="1:2" x14ac:dyDescent="0.25">
      <c r="A36" t="s">
        <v>326</v>
      </c>
      <c r="B36" s="174">
        <v>120000</v>
      </c>
    </row>
    <row r="37" spans="1:2" x14ac:dyDescent="0.25">
      <c r="A37" t="s">
        <v>327</v>
      </c>
      <c r="B37" s="174">
        <v>30000</v>
      </c>
    </row>
    <row r="38" spans="1:2" x14ac:dyDescent="0.25">
      <c r="A38" t="s">
        <v>326</v>
      </c>
      <c r="B38" s="174">
        <v>120000</v>
      </c>
    </row>
    <row r="39" spans="1:2" x14ac:dyDescent="0.25">
      <c r="A39" t="s">
        <v>327</v>
      </c>
      <c r="B39" s="174">
        <v>30000</v>
      </c>
    </row>
    <row r="40" spans="1:2" x14ac:dyDescent="0.25">
      <c r="A40" t="s">
        <v>325</v>
      </c>
      <c r="B40" s="174">
        <v>100000</v>
      </c>
    </row>
    <row r="41" spans="1:2" x14ac:dyDescent="0.25">
      <c r="A41" t="s">
        <v>326</v>
      </c>
      <c r="B41" s="174">
        <v>120000</v>
      </c>
    </row>
    <row r="42" spans="1:2" x14ac:dyDescent="0.25">
      <c r="A42" t="s">
        <v>327</v>
      </c>
      <c r="B42" s="174">
        <v>30000</v>
      </c>
    </row>
    <row r="43" spans="1:2" x14ac:dyDescent="0.25">
      <c r="A43" t="s">
        <v>325</v>
      </c>
      <c r="B43" s="174">
        <v>100000</v>
      </c>
    </row>
    <row r="44" spans="1:2" x14ac:dyDescent="0.25">
      <c r="A44" t="s">
        <v>326</v>
      </c>
      <c r="B44" s="174">
        <v>120000</v>
      </c>
    </row>
    <row r="45" spans="1:2" x14ac:dyDescent="0.25">
      <c r="A45" t="s">
        <v>327</v>
      </c>
      <c r="B45" s="174">
        <v>30000</v>
      </c>
    </row>
    <row r="46" spans="1:2" x14ac:dyDescent="0.25">
      <c r="A46" t="s">
        <v>325</v>
      </c>
      <c r="B46" s="174">
        <v>100000</v>
      </c>
    </row>
    <row r="47" spans="1:2" x14ac:dyDescent="0.25">
      <c r="A47" t="s">
        <v>326</v>
      </c>
      <c r="B47" s="174">
        <v>120000</v>
      </c>
    </row>
    <row r="48" spans="1:2" x14ac:dyDescent="0.25">
      <c r="A48" t="s">
        <v>327</v>
      </c>
      <c r="B48" s="174">
        <v>30000</v>
      </c>
    </row>
    <row r="49" spans="1:2" x14ac:dyDescent="0.25">
      <c r="A49" t="s">
        <v>326</v>
      </c>
      <c r="B49" s="174">
        <v>120000</v>
      </c>
    </row>
    <row r="50" spans="1:2" x14ac:dyDescent="0.25">
      <c r="A50" t="s">
        <v>327</v>
      </c>
      <c r="B50" s="174">
        <v>30000</v>
      </c>
    </row>
    <row r="51" spans="1:2" x14ac:dyDescent="0.25">
      <c r="A51" t="s">
        <v>325</v>
      </c>
      <c r="B51" s="174">
        <v>100000</v>
      </c>
    </row>
    <row r="52" spans="1:2" x14ac:dyDescent="0.25">
      <c r="A52" t="s">
        <v>326</v>
      </c>
      <c r="B52" s="174">
        <v>120000</v>
      </c>
    </row>
    <row r="53" spans="1:2" x14ac:dyDescent="0.25">
      <c r="A53" t="s">
        <v>327</v>
      </c>
      <c r="B53" s="174">
        <v>30000</v>
      </c>
    </row>
    <row r="54" spans="1:2" x14ac:dyDescent="0.25">
      <c r="A54" t="s">
        <v>326</v>
      </c>
      <c r="B54" s="174">
        <v>120000</v>
      </c>
    </row>
    <row r="55" spans="1:2" x14ac:dyDescent="0.25">
      <c r="A55" t="s">
        <v>327</v>
      </c>
      <c r="B55" s="174">
        <v>30000</v>
      </c>
    </row>
    <row r="56" spans="1:2" x14ac:dyDescent="0.25">
      <c r="A56" t="s">
        <v>325</v>
      </c>
      <c r="B56" s="174">
        <v>100000</v>
      </c>
    </row>
    <row r="57" spans="1:2" x14ac:dyDescent="0.25">
      <c r="A57" t="s">
        <v>326</v>
      </c>
      <c r="B57" s="174">
        <v>120000</v>
      </c>
    </row>
    <row r="58" spans="1:2" x14ac:dyDescent="0.25">
      <c r="A58" t="s">
        <v>327</v>
      </c>
      <c r="B58" s="174">
        <v>30000</v>
      </c>
    </row>
    <row r="59" spans="1:2" x14ac:dyDescent="0.25">
      <c r="A59" t="s">
        <v>326</v>
      </c>
      <c r="B59" s="174">
        <v>120000</v>
      </c>
    </row>
    <row r="60" spans="1:2" x14ac:dyDescent="0.25">
      <c r="A60" t="s">
        <v>327</v>
      </c>
      <c r="B60" s="174">
        <v>30000</v>
      </c>
    </row>
    <row r="61" spans="1:2" x14ac:dyDescent="0.25">
      <c r="A61" t="s">
        <v>325</v>
      </c>
      <c r="B61" s="174">
        <v>100000</v>
      </c>
    </row>
    <row r="62" spans="1:2" x14ac:dyDescent="0.25">
      <c r="A62" t="s">
        <v>326</v>
      </c>
      <c r="B62" s="174">
        <v>120000</v>
      </c>
    </row>
    <row r="63" spans="1:2" x14ac:dyDescent="0.25">
      <c r="A63" t="s">
        <v>327</v>
      </c>
      <c r="B63" s="174">
        <v>30000</v>
      </c>
    </row>
    <row r="64" spans="1:2" x14ac:dyDescent="0.25">
      <c r="A64" t="s">
        <v>325</v>
      </c>
      <c r="B64" s="174">
        <v>100000</v>
      </c>
    </row>
    <row r="65" spans="1:2" x14ac:dyDescent="0.25">
      <c r="A65" t="s">
        <v>326</v>
      </c>
      <c r="B65" s="174">
        <v>120000</v>
      </c>
    </row>
    <row r="66" spans="1:2" x14ac:dyDescent="0.25">
      <c r="A66" t="s">
        <v>327</v>
      </c>
      <c r="B66" s="174">
        <v>30000</v>
      </c>
    </row>
    <row r="67" spans="1:2" x14ac:dyDescent="0.25">
      <c r="A67" t="s">
        <v>325</v>
      </c>
      <c r="B67" s="174">
        <v>100000</v>
      </c>
    </row>
    <row r="68" spans="1:2" x14ac:dyDescent="0.25">
      <c r="A68" t="s">
        <v>326</v>
      </c>
      <c r="B68" s="174">
        <v>120000</v>
      </c>
    </row>
    <row r="69" spans="1:2" x14ac:dyDescent="0.25">
      <c r="A69" t="s">
        <v>327</v>
      </c>
      <c r="B69" s="174">
        <v>30000</v>
      </c>
    </row>
    <row r="70" spans="1:2" x14ac:dyDescent="0.25">
      <c r="A70" t="s">
        <v>326</v>
      </c>
      <c r="B70" s="174">
        <v>120000</v>
      </c>
    </row>
    <row r="71" spans="1:2" x14ac:dyDescent="0.25">
      <c r="A71" t="s">
        <v>327</v>
      </c>
      <c r="B71" s="174">
        <v>30000</v>
      </c>
    </row>
    <row r="72" spans="1:2" x14ac:dyDescent="0.25">
      <c r="A72" t="s">
        <v>325</v>
      </c>
      <c r="B72" s="174">
        <v>100000</v>
      </c>
    </row>
    <row r="73" spans="1:2" x14ac:dyDescent="0.25">
      <c r="A73" t="s">
        <v>326</v>
      </c>
      <c r="B73" s="174">
        <v>120000</v>
      </c>
    </row>
    <row r="74" spans="1:2" x14ac:dyDescent="0.25">
      <c r="A74" t="s">
        <v>327</v>
      </c>
      <c r="B74" s="174">
        <v>30000</v>
      </c>
    </row>
    <row r="75" spans="1:2" x14ac:dyDescent="0.25">
      <c r="A75" t="s">
        <v>326</v>
      </c>
      <c r="B75" s="174">
        <v>120000</v>
      </c>
    </row>
    <row r="76" spans="1:2" x14ac:dyDescent="0.25">
      <c r="A76" t="s">
        <v>327</v>
      </c>
      <c r="B76" s="174">
        <v>30000</v>
      </c>
    </row>
    <row r="77" spans="1:2" x14ac:dyDescent="0.25">
      <c r="A77" t="s">
        <v>325</v>
      </c>
      <c r="B77" s="174">
        <v>100000</v>
      </c>
    </row>
    <row r="78" spans="1:2" x14ac:dyDescent="0.25">
      <c r="A78" t="s">
        <v>326</v>
      </c>
      <c r="B78" s="174">
        <v>120000</v>
      </c>
    </row>
    <row r="79" spans="1:2" x14ac:dyDescent="0.25">
      <c r="A79" t="s">
        <v>327</v>
      </c>
      <c r="B79" s="174">
        <v>30000</v>
      </c>
    </row>
    <row r="80" spans="1:2" x14ac:dyDescent="0.25">
      <c r="A80" t="s">
        <v>326</v>
      </c>
      <c r="B80" s="174">
        <v>120000</v>
      </c>
    </row>
    <row r="81" spans="1:2" x14ac:dyDescent="0.25">
      <c r="A81" t="s">
        <v>327</v>
      </c>
      <c r="B81" s="174">
        <v>30000</v>
      </c>
    </row>
    <row r="82" spans="1:2" x14ac:dyDescent="0.25">
      <c r="A82" t="s">
        <v>325</v>
      </c>
      <c r="B82" s="174">
        <v>100000</v>
      </c>
    </row>
    <row r="83" spans="1:2" x14ac:dyDescent="0.25">
      <c r="A83" t="s">
        <v>326</v>
      </c>
      <c r="B83" s="174">
        <v>120000</v>
      </c>
    </row>
    <row r="84" spans="1:2" x14ac:dyDescent="0.25">
      <c r="A84" t="s">
        <v>327</v>
      </c>
      <c r="B84" s="174">
        <v>30000</v>
      </c>
    </row>
    <row r="85" spans="1:2" x14ac:dyDescent="0.25">
      <c r="A85" t="s">
        <v>325</v>
      </c>
      <c r="B85" s="174">
        <v>100000</v>
      </c>
    </row>
    <row r="86" spans="1:2" x14ac:dyDescent="0.25">
      <c r="A86" t="s">
        <v>326</v>
      </c>
      <c r="B86" s="174">
        <v>120000</v>
      </c>
    </row>
    <row r="87" spans="1:2" x14ac:dyDescent="0.25">
      <c r="A87" t="s">
        <v>327</v>
      </c>
      <c r="B87" s="174">
        <v>30000</v>
      </c>
    </row>
    <row r="88" spans="1:2" x14ac:dyDescent="0.25">
      <c r="A88" t="s">
        <v>325</v>
      </c>
      <c r="B88" s="174">
        <v>100000</v>
      </c>
    </row>
    <row r="89" spans="1:2" x14ac:dyDescent="0.25">
      <c r="A89" t="s">
        <v>326</v>
      </c>
      <c r="B89" s="174">
        <v>120000</v>
      </c>
    </row>
    <row r="90" spans="1:2" x14ac:dyDescent="0.25">
      <c r="A90" t="s">
        <v>327</v>
      </c>
      <c r="B90" s="174">
        <v>30000</v>
      </c>
    </row>
    <row r="91" spans="1:2" x14ac:dyDescent="0.25">
      <c r="A91" t="s">
        <v>326</v>
      </c>
      <c r="B91" s="174">
        <v>120000</v>
      </c>
    </row>
    <row r="92" spans="1:2" x14ac:dyDescent="0.25">
      <c r="A92" t="s">
        <v>327</v>
      </c>
      <c r="B92" s="174">
        <v>30000</v>
      </c>
    </row>
    <row r="93" spans="1:2" x14ac:dyDescent="0.25">
      <c r="A93" t="s">
        <v>325</v>
      </c>
      <c r="B93" s="174">
        <v>100000</v>
      </c>
    </row>
    <row r="94" spans="1:2" x14ac:dyDescent="0.25">
      <c r="A94" t="s">
        <v>326</v>
      </c>
      <c r="B94" s="174">
        <v>120000</v>
      </c>
    </row>
    <row r="95" spans="1:2" x14ac:dyDescent="0.25">
      <c r="A95" t="s">
        <v>327</v>
      </c>
      <c r="B95" s="174">
        <v>30000</v>
      </c>
    </row>
    <row r="96" spans="1:2" x14ac:dyDescent="0.25">
      <c r="A96" t="s">
        <v>326</v>
      </c>
      <c r="B96" s="174">
        <v>120000</v>
      </c>
    </row>
    <row r="97" spans="1:2" x14ac:dyDescent="0.25">
      <c r="A97" t="s">
        <v>327</v>
      </c>
      <c r="B97" s="174">
        <v>30000</v>
      </c>
    </row>
    <row r="98" spans="1:2" x14ac:dyDescent="0.25">
      <c r="A98" t="s">
        <v>325</v>
      </c>
      <c r="B98" s="174">
        <v>100000</v>
      </c>
    </row>
    <row r="99" spans="1:2" x14ac:dyDescent="0.25">
      <c r="A99" t="s">
        <v>326</v>
      </c>
      <c r="B99" s="174">
        <v>120000</v>
      </c>
    </row>
    <row r="100" spans="1:2" x14ac:dyDescent="0.25">
      <c r="A100" t="s">
        <v>327</v>
      </c>
      <c r="B100" s="174">
        <v>30000</v>
      </c>
    </row>
    <row r="101" spans="1:2" x14ac:dyDescent="0.25">
      <c r="A101" t="s">
        <v>326</v>
      </c>
      <c r="B101" s="174">
        <v>120000</v>
      </c>
    </row>
    <row r="102" spans="1:2" x14ac:dyDescent="0.25">
      <c r="A102" t="s">
        <v>327</v>
      </c>
      <c r="B102" s="174">
        <v>30000</v>
      </c>
    </row>
    <row r="103" spans="1:2" x14ac:dyDescent="0.25">
      <c r="A103" t="s">
        <v>325</v>
      </c>
      <c r="B103" s="174">
        <v>100000</v>
      </c>
    </row>
    <row r="104" spans="1:2" x14ac:dyDescent="0.25">
      <c r="A104" t="s">
        <v>326</v>
      </c>
      <c r="B104" s="174">
        <v>120000</v>
      </c>
    </row>
    <row r="105" spans="1:2" x14ac:dyDescent="0.25">
      <c r="A105" t="s">
        <v>327</v>
      </c>
      <c r="B105" s="174">
        <v>30000</v>
      </c>
    </row>
    <row r="106" spans="1:2" x14ac:dyDescent="0.25">
      <c r="A106" t="s">
        <v>325</v>
      </c>
      <c r="B106" s="174">
        <v>100000</v>
      </c>
    </row>
    <row r="107" spans="1:2" x14ac:dyDescent="0.25">
      <c r="A107" t="s">
        <v>326</v>
      </c>
      <c r="B107" s="174">
        <v>120000</v>
      </c>
    </row>
    <row r="108" spans="1:2" x14ac:dyDescent="0.25">
      <c r="A108" t="s">
        <v>327</v>
      </c>
      <c r="B108" s="174">
        <v>30000</v>
      </c>
    </row>
    <row r="109" spans="1:2" x14ac:dyDescent="0.25">
      <c r="A109" t="s">
        <v>325</v>
      </c>
      <c r="B109" s="174">
        <v>100000</v>
      </c>
    </row>
    <row r="110" spans="1:2" x14ac:dyDescent="0.25">
      <c r="A110" t="s">
        <v>326</v>
      </c>
      <c r="B110" s="174">
        <v>120000</v>
      </c>
    </row>
    <row r="111" spans="1:2" x14ac:dyDescent="0.25">
      <c r="A111" t="s">
        <v>327</v>
      </c>
      <c r="B111" s="174">
        <v>30000</v>
      </c>
    </row>
    <row r="112" spans="1:2" x14ac:dyDescent="0.25">
      <c r="A112" t="s">
        <v>326</v>
      </c>
      <c r="B112" s="174">
        <v>120000</v>
      </c>
    </row>
    <row r="113" spans="1:2" x14ac:dyDescent="0.25">
      <c r="A113" t="s">
        <v>327</v>
      </c>
      <c r="B113" s="174">
        <v>30000</v>
      </c>
    </row>
    <row r="114" spans="1:2" x14ac:dyDescent="0.25">
      <c r="A114" t="s">
        <v>325</v>
      </c>
      <c r="B114" s="174">
        <v>100000</v>
      </c>
    </row>
    <row r="115" spans="1:2" x14ac:dyDescent="0.25">
      <c r="A115" t="s">
        <v>326</v>
      </c>
      <c r="B115" s="174">
        <v>120000</v>
      </c>
    </row>
    <row r="116" spans="1:2" x14ac:dyDescent="0.25">
      <c r="A116" t="s">
        <v>327</v>
      </c>
      <c r="B116" s="174">
        <v>30000</v>
      </c>
    </row>
    <row r="117" spans="1:2" x14ac:dyDescent="0.25">
      <c r="A117" t="s">
        <v>326</v>
      </c>
      <c r="B117" s="174">
        <v>120000</v>
      </c>
    </row>
    <row r="118" spans="1:2" x14ac:dyDescent="0.25">
      <c r="A118" t="s">
        <v>327</v>
      </c>
      <c r="B118" s="174">
        <v>30000</v>
      </c>
    </row>
    <row r="119" spans="1:2" x14ac:dyDescent="0.25">
      <c r="A119" t="s">
        <v>325</v>
      </c>
      <c r="B119" s="174">
        <v>100000</v>
      </c>
    </row>
    <row r="120" spans="1:2" x14ac:dyDescent="0.25">
      <c r="A120" t="s">
        <v>326</v>
      </c>
      <c r="B120" s="174">
        <v>120000</v>
      </c>
    </row>
    <row r="121" spans="1:2" x14ac:dyDescent="0.25">
      <c r="A121" t="s">
        <v>327</v>
      </c>
      <c r="B121" s="174">
        <v>30000</v>
      </c>
    </row>
    <row r="122" spans="1:2" x14ac:dyDescent="0.25">
      <c r="A122" t="s">
        <v>326</v>
      </c>
      <c r="B122" s="174">
        <v>120000</v>
      </c>
    </row>
    <row r="123" spans="1:2" x14ac:dyDescent="0.25">
      <c r="A123" t="s">
        <v>327</v>
      </c>
      <c r="B123" s="174">
        <v>30000</v>
      </c>
    </row>
    <row r="124" spans="1:2" x14ac:dyDescent="0.25">
      <c r="A124" t="s">
        <v>325</v>
      </c>
      <c r="B124" s="174">
        <v>100000</v>
      </c>
    </row>
    <row r="125" spans="1:2" x14ac:dyDescent="0.25">
      <c r="A125" t="s">
        <v>326</v>
      </c>
      <c r="B125" s="174">
        <v>120000</v>
      </c>
    </row>
    <row r="126" spans="1:2" x14ac:dyDescent="0.25">
      <c r="A126" t="s">
        <v>327</v>
      </c>
      <c r="B126" s="174">
        <v>30000</v>
      </c>
    </row>
    <row r="127" spans="1:2" x14ac:dyDescent="0.25">
      <c r="A127" t="s">
        <v>325</v>
      </c>
      <c r="B127" s="174">
        <v>100000</v>
      </c>
    </row>
    <row r="128" spans="1:2" x14ac:dyDescent="0.25">
      <c r="A128" t="s">
        <v>326</v>
      </c>
      <c r="B128" s="174">
        <v>120000</v>
      </c>
    </row>
    <row r="129" spans="1:2" x14ac:dyDescent="0.25">
      <c r="A129" t="s">
        <v>327</v>
      </c>
      <c r="B129" s="174">
        <v>30000</v>
      </c>
    </row>
    <row r="130" spans="1:2" x14ac:dyDescent="0.25">
      <c r="A130" t="s">
        <v>325</v>
      </c>
      <c r="B130" s="174">
        <v>100000</v>
      </c>
    </row>
    <row r="131" spans="1:2" x14ac:dyDescent="0.25">
      <c r="A131" t="s">
        <v>326</v>
      </c>
      <c r="B131" s="174">
        <v>120000</v>
      </c>
    </row>
    <row r="132" spans="1:2" x14ac:dyDescent="0.25">
      <c r="A132" t="s">
        <v>327</v>
      </c>
      <c r="B132" s="174">
        <v>30000</v>
      </c>
    </row>
    <row r="133" spans="1:2" x14ac:dyDescent="0.25">
      <c r="A133" t="s">
        <v>326</v>
      </c>
      <c r="B133" s="174">
        <v>120000</v>
      </c>
    </row>
    <row r="134" spans="1:2" x14ac:dyDescent="0.25">
      <c r="A134" t="s">
        <v>327</v>
      </c>
      <c r="B134" s="174">
        <v>30000</v>
      </c>
    </row>
    <row r="135" spans="1:2" x14ac:dyDescent="0.25">
      <c r="A135" t="s">
        <v>325</v>
      </c>
      <c r="B135" s="174">
        <v>100000</v>
      </c>
    </row>
    <row r="136" spans="1:2" x14ac:dyDescent="0.25">
      <c r="A136" t="s">
        <v>326</v>
      </c>
      <c r="B136" s="174">
        <v>120000</v>
      </c>
    </row>
    <row r="137" spans="1:2" x14ac:dyDescent="0.25">
      <c r="A137" t="s">
        <v>327</v>
      </c>
      <c r="B137" s="174">
        <v>30000</v>
      </c>
    </row>
    <row r="138" spans="1:2" x14ac:dyDescent="0.25">
      <c r="A138" t="s">
        <v>326</v>
      </c>
      <c r="B138" s="174">
        <v>120000</v>
      </c>
    </row>
    <row r="139" spans="1:2" x14ac:dyDescent="0.25">
      <c r="A139" t="s">
        <v>327</v>
      </c>
      <c r="B139" s="174">
        <v>30000</v>
      </c>
    </row>
    <row r="140" spans="1:2" x14ac:dyDescent="0.25">
      <c r="A140" t="s">
        <v>325</v>
      </c>
      <c r="B140" s="174">
        <v>100000</v>
      </c>
    </row>
    <row r="141" spans="1:2" x14ac:dyDescent="0.25">
      <c r="A141" t="s">
        <v>326</v>
      </c>
      <c r="B141" s="174">
        <v>120000</v>
      </c>
    </row>
    <row r="142" spans="1:2" x14ac:dyDescent="0.25">
      <c r="A142" t="s">
        <v>327</v>
      </c>
      <c r="B142" s="174">
        <v>30000</v>
      </c>
    </row>
    <row r="143" spans="1:2" x14ac:dyDescent="0.25">
      <c r="A143" t="s">
        <v>326</v>
      </c>
      <c r="B143" s="174">
        <v>120000</v>
      </c>
    </row>
    <row r="144" spans="1:2" x14ac:dyDescent="0.25">
      <c r="A144" t="s">
        <v>327</v>
      </c>
      <c r="B144" s="174">
        <v>30000</v>
      </c>
    </row>
    <row r="145" spans="1:2" x14ac:dyDescent="0.25">
      <c r="A145" t="s">
        <v>325</v>
      </c>
      <c r="B145" s="174">
        <v>100000</v>
      </c>
    </row>
    <row r="146" spans="1:2" x14ac:dyDescent="0.25">
      <c r="A146" t="s">
        <v>326</v>
      </c>
      <c r="B146" s="174">
        <v>120000</v>
      </c>
    </row>
    <row r="147" spans="1:2" x14ac:dyDescent="0.25">
      <c r="A147" t="s">
        <v>327</v>
      </c>
      <c r="B147" s="174">
        <v>30000</v>
      </c>
    </row>
    <row r="148" spans="1:2" x14ac:dyDescent="0.25">
      <c r="A148" t="s">
        <v>325</v>
      </c>
      <c r="B148" s="174">
        <v>100000</v>
      </c>
    </row>
    <row r="149" spans="1:2" x14ac:dyDescent="0.25">
      <c r="A149" t="s">
        <v>326</v>
      </c>
      <c r="B149" s="174">
        <v>120000</v>
      </c>
    </row>
    <row r="150" spans="1:2" x14ac:dyDescent="0.25">
      <c r="A150" t="s">
        <v>327</v>
      </c>
      <c r="B150" s="174">
        <v>30000</v>
      </c>
    </row>
    <row r="151" spans="1:2" x14ac:dyDescent="0.25">
      <c r="A151" t="s">
        <v>325</v>
      </c>
      <c r="B151" s="174">
        <v>100000</v>
      </c>
    </row>
    <row r="152" spans="1:2" x14ac:dyDescent="0.25">
      <c r="A152" t="s">
        <v>326</v>
      </c>
      <c r="B152" s="174">
        <v>120000</v>
      </c>
    </row>
    <row r="153" spans="1:2" x14ac:dyDescent="0.25">
      <c r="A153" t="s">
        <v>327</v>
      </c>
      <c r="B153" s="174">
        <v>30000</v>
      </c>
    </row>
    <row r="154" spans="1:2" x14ac:dyDescent="0.25">
      <c r="A154" t="s">
        <v>326</v>
      </c>
      <c r="B154" s="174">
        <v>120000</v>
      </c>
    </row>
    <row r="155" spans="1:2" x14ac:dyDescent="0.25">
      <c r="A155" t="s">
        <v>327</v>
      </c>
      <c r="B155" s="174">
        <v>30000</v>
      </c>
    </row>
    <row r="156" spans="1:2" x14ac:dyDescent="0.25">
      <c r="A156" t="s">
        <v>325</v>
      </c>
      <c r="B156" s="174">
        <v>100000</v>
      </c>
    </row>
    <row r="157" spans="1:2" x14ac:dyDescent="0.25">
      <c r="A157" t="s">
        <v>326</v>
      </c>
      <c r="B157" s="174">
        <v>120000</v>
      </c>
    </row>
    <row r="158" spans="1:2" x14ac:dyDescent="0.25">
      <c r="A158" t="s">
        <v>327</v>
      </c>
      <c r="B158" s="174">
        <v>30000</v>
      </c>
    </row>
    <row r="159" spans="1:2" x14ac:dyDescent="0.25">
      <c r="A159" t="s">
        <v>326</v>
      </c>
      <c r="B159" s="174">
        <v>120000</v>
      </c>
    </row>
    <row r="160" spans="1:2" x14ac:dyDescent="0.25">
      <c r="A160" t="s">
        <v>327</v>
      </c>
      <c r="B160" s="174">
        <v>30000</v>
      </c>
    </row>
    <row r="161" spans="1:2" x14ac:dyDescent="0.25">
      <c r="A161" t="s">
        <v>325</v>
      </c>
      <c r="B161" s="174">
        <v>100000</v>
      </c>
    </row>
    <row r="162" spans="1:2" x14ac:dyDescent="0.25">
      <c r="A162" t="s">
        <v>326</v>
      </c>
      <c r="B162" s="174">
        <v>120000</v>
      </c>
    </row>
    <row r="163" spans="1:2" x14ac:dyDescent="0.25">
      <c r="A163" t="s">
        <v>327</v>
      </c>
      <c r="B163" s="174">
        <v>30000</v>
      </c>
    </row>
    <row r="164" spans="1:2" x14ac:dyDescent="0.25">
      <c r="A164" t="s">
        <v>326</v>
      </c>
      <c r="B164" s="174">
        <v>120000</v>
      </c>
    </row>
    <row r="165" spans="1:2" x14ac:dyDescent="0.25">
      <c r="A165" t="s">
        <v>327</v>
      </c>
      <c r="B165" s="174">
        <v>30000</v>
      </c>
    </row>
    <row r="166" spans="1:2" x14ac:dyDescent="0.25">
      <c r="A166" t="s">
        <v>325</v>
      </c>
      <c r="B166" s="174">
        <v>100000</v>
      </c>
    </row>
    <row r="167" spans="1:2" x14ac:dyDescent="0.25">
      <c r="A167" t="s">
        <v>326</v>
      </c>
      <c r="B167" s="174">
        <v>120000</v>
      </c>
    </row>
    <row r="168" spans="1:2" x14ac:dyDescent="0.25">
      <c r="A168" t="s">
        <v>327</v>
      </c>
      <c r="B168" s="174">
        <v>30000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336</v>
      </c>
      <c r="C1" s="222">
        <v>41639</v>
      </c>
      <c r="D1" s="183"/>
      <c r="E1" s="222">
        <v>42004</v>
      </c>
      <c r="F1" s="183"/>
      <c r="G1" s="222">
        <v>42369</v>
      </c>
    </row>
    <row r="2" spans="1:8" x14ac:dyDescent="0.25">
      <c r="A2" t="s">
        <v>331</v>
      </c>
      <c r="C2" s="174">
        <v>1000000</v>
      </c>
      <c r="E2" s="174">
        <v>1000000</v>
      </c>
      <c r="G2" s="174">
        <v>1000000</v>
      </c>
    </row>
    <row r="3" spans="1:8" x14ac:dyDescent="0.25">
      <c r="A3" t="s">
        <v>361</v>
      </c>
      <c r="C3" s="174">
        <f>+C2*10%*3</f>
        <v>300000</v>
      </c>
      <c r="E3" s="174">
        <f>+E2*10%*4</f>
        <v>400000</v>
      </c>
      <c r="G3" s="174">
        <f>+E3+50000</f>
        <v>450000</v>
      </c>
    </row>
    <row r="4" spans="1:8" x14ac:dyDescent="0.25">
      <c r="A4" s="1" t="s">
        <v>362</v>
      </c>
      <c r="C4" s="177">
        <f>+C2-C3</f>
        <v>700000</v>
      </c>
      <c r="D4" s="1"/>
      <c r="E4" s="177">
        <f>+E2-E3</f>
        <v>600000</v>
      </c>
      <c r="F4" s="1"/>
      <c r="G4" s="177">
        <f>+G2-G3</f>
        <v>550000</v>
      </c>
    </row>
    <row r="6" spans="1:8" x14ac:dyDescent="0.25">
      <c r="A6" s="1" t="s">
        <v>50</v>
      </c>
      <c r="C6" s="222">
        <v>41639</v>
      </c>
      <c r="D6" s="183"/>
      <c r="E6" s="222">
        <v>42004</v>
      </c>
      <c r="F6" s="183"/>
      <c r="G6" s="222">
        <v>42369</v>
      </c>
    </row>
    <row r="7" spans="1:8" x14ac:dyDescent="0.25">
      <c r="A7" t="s">
        <v>331</v>
      </c>
      <c r="C7" s="174">
        <v>1000000</v>
      </c>
      <c r="E7" s="174">
        <v>1000000</v>
      </c>
      <c r="G7" s="174">
        <v>1000000</v>
      </c>
    </row>
    <row r="8" spans="1:8" x14ac:dyDescent="0.25">
      <c r="A8" t="s">
        <v>361</v>
      </c>
      <c r="C8" s="174">
        <f>+C7*5%*3</f>
        <v>150000</v>
      </c>
      <c r="E8" s="174">
        <f>+E7*5%*4</f>
        <v>200000</v>
      </c>
      <c r="G8" s="174">
        <f>+G7*5%*5</f>
        <v>250000</v>
      </c>
    </row>
    <row r="9" spans="1:8" x14ac:dyDescent="0.25">
      <c r="A9" s="1" t="s">
        <v>363</v>
      </c>
      <c r="C9" s="177">
        <f>+C7-C8</f>
        <v>850000</v>
      </c>
      <c r="D9" s="1"/>
      <c r="E9" s="177">
        <f>+E7-E8</f>
        <v>800000</v>
      </c>
      <c r="F9" s="1"/>
      <c r="G9" s="177">
        <f>+G7-G8</f>
        <v>750000</v>
      </c>
    </row>
    <row r="11" spans="1:8" x14ac:dyDescent="0.25">
      <c r="A11" s="1" t="s">
        <v>364</v>
      </c>
      <c r="C11" s="177">
        <f>+C9-C4</f>
        <v>150000</v>
      </c>
      <c r="E11" s="177">
        <f>+E9-E4</f>
        <v>200000</v>
      </c>
      <c r="G11" s="177">
        <f>+G9-G4</f>
        <v>200000</v>
      </c>
    </row>
    <row r="12" spans="1:8" x14ac:dyDescent="0.25">
      <c r="A12" s="1" t="s">
        <v>365</v>
      </c>
      <c r="C12" s="177">
        <f>+C11*30%</f>
        <v>45000</v>
      </c>
      <c r="E12" s="177">
        <f>+E11*30%</f>
        <v>60000</v>
      </c>
      <c r="G12" s="177">
        <f>+G11*30%</f>
        <v>60000</v>
      </c>
    </row>
    <row r="14" spans="1:8" x14ac:dyDescent="0.25">
      <c r="C14" s="222">
        <v>41639</v>
      </c>
      <c r="D14" s="222">
        <v>41639</v>
      </c>
      <c r="E14" s="223">
        <v>42004</v>
      </c>
      <c r="F14" s="223">
        <v>42004</v>
      </c>
      <c r="G14" s="222">
        <v>42369</v>
      </c>
      <c r="H14" s="222">
        <v>42369</v>
      </c>
    </row>
    <row r="15" spans="1:8" x14ac:dyDescent="0.25">
      <c r="A15" t="s">
        <v>367</v>
      </c>
      <c r="C15" s="174">
        <f>+D17</f>
        <v>45000</v>
      </c>
      <c r="E15" s="174">
        <f>+C15</f>
        <v>45000</v>
      </c>
      <c r="G15" s="174">
        <f>+E15+E16</f>
        <v>60000</v>
      </c>
    </row>
    <row r="16" spans="1:8" x14ac:dyDescent="0.25">
      <c r="A16" t="s">
        <v>368</v>
      </c>
      <c r="C16" s="174"/>
      <c r="E16" s="174">
        <f>+F17-E15</f>
        <v>15000</v>
      </c>
      <c r="G16">
        <v>0</v>
      </c>
    </row>
    <row r="17" spans="1:8" x14ac:dyDescent="0.25">
      <c r="A17" t="s">
        <v>366</v>
      </c>
      <c r="D17" s="174">
        <f>+C12</f>
        <v>45000</v>
      </c>
      <c r="F17" s="174">
        <f>+E12</f>
        <v>60000</v>
      </c>
      <c r="H17" s="174">
        <f>+G12</f>
        <v>60000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385</v>
      </c>
      <c r="B1" s="174">
        <v>5000000</v>
      </c>
      <c r="D1" s="1" t="s">
        <v>334</v>
      </c>
      <c r="E1" s="237">
        <v>7.0000000000000007E-2</v>
      </c>
    </row>
    <row r="2" spans="1:12" x14ac:dyDescent="0.25">
      <c r="A2" t="s">
        <v>386</v>
      </c>
      <c r="B2" s="174">
        <v>300000</v>
      </c>
      <c r="E2" s="1" t="s">
        <v>388</v>
      </c>
      <c r="F2" s="1" t="s">
        <v>389</v>
      </c>
      <c r="G2" s="1" t="s">
        <v>390</v>
      </c>
      <c r="J2">
        <v>10</v>
      </c>
      <c r="K2" s="174">
        <f>B1</f>
        <v>5000000</v>
      </c>
    </row>
    <row r="3" spans="1:12" x14ac:dyDescent="0.25">
      <c r="A3" s="1" t="s">
        <v>387</v>
      </c>
      <c r="B3" s="177">
        <f>B1-B2</f>
        <v>4700000</v>
      </c>
      <c r="D3">
        <v>1</v>
      </c>
      <c r="E3" s="174">
        <f>PPMT($E$1,D3,$D$7,$B$1,0,0)</f>
        <v>-869453.47220687033</v>
      </c>
      <c r="F3" s="174">
        <f>IPMT($E$1,D3,$D$7,$B$1,0,0)</f>
        <v>-350000.00000000006</v>
      </c>
      <c r="G3" s="174">
        <f>+E3+F3</f>
        <v>-1219453.4722068703</v>
      </c>
      <c r="J3">
        <v>45</v>
      </c>
      <c r="L3" s="174">
        <f>K2</f>
        <v>5000000</v>
      </c>
    </row>
    <row r="4" spans="1:12" x14ac:dyDescent="0.25">
      <c r="D4">
        <v>2</v>
      </c>
      <c r="E4" s="174">
        <f>PPMT($E$1,D4,$D$7,$B$1,0,0)</f>
        <v>-930315.21526135132</v>
      </c>
      <c r="F4" s="174">
        <f>IPMT($E$1,D4,$D$7,$B$1,0,0)</f>
        <v>-289138.25694551913</v>
      </c>
      <c r="G4" s="174">
        <f>+E4+F4</f>
        <v>-1219453.4722068706</v>
      </c>
    </row>
    <row r="5" spans="1:12" x14ac:dyDescent="0.25">
      <c r="D5">
        <v>3</v>
      </c>
      <c r="E5" s="174">
        <f t="shared" ref="E5:E7" si="0">PPMT($E$1,D5,$D$7,$B$1,0,0)</f>
        <v>-995437.28032964596</v>
      </c>
      <c r="F5" s="174">
        <f>IPMT($E$1,D5,$D$7,$B$1,0,0)</f>
        <v>-224016.19187722451</v>
      </c>
      <c r="G5" s="174">
        <f>+E5+F5</f>
        <v>-1219453.4722068706</v>
      </c>
      <c r="J5">
        <v>18</v>
      </c>
      <c r="K5" s="174">
        <f>+L6</f>
        <v>300000</v>
      </c>
    </row>
    <row r="6" spans="1:12" x14ac:dyDescent="0.25">
      <c r="D6">
        <v>4</v>
      </c>
      <c r="E6" s="174">
        <f t="shared" si="0"/>
        <v>-1065117.8899527213</v>
      </c>
      <c r="F6" s="174">
        <f>IPMT($E$1,D6,$D$7,$B$1,0,0)</f>
        <v>-154335.58225414931</v>
      </c>
      <c r="G6" s="174">
        <f>+E6+F6</f>
        <v>-1219453.4722068706</v>
      </c>
      <c r="J6">
        <v>10</v>
      </c>
      <c r="L6" s="174">
        <f>B2</f>
        <v>300000</v>
      </c>
    </row>
    <row r="7" spans="1:12" x14ac:dyDescent="0.25">
      <c r="D7">
        <v>5</v>
      </c>
      <c r="E7" s="174">
        <f t="shared" si="0"/>
        <v>-1139676.1422494117</v>
      </c>
      <c r="F7" s="174">
        <f>IPMT($E$1,D7,$D$7,$B$1,0,0)</f>
        <v>-79777.329957458831</v>
      </c>
      <c r="G7" s="174">
        <f>+E7+F7</f>
        <v>-1219453.4722068706</v>
      </c>
    </row>
    <row r="8" spans="1:12" x14ac:dyDescent="0.25">
      <c r="E8" s="177">
        <f>SUM(E3:E7)</f>
        <v>-5000000.0000000009</v>
      </c>
      <c r="F8" s="177">
        <f>SUM(F3:F7)</f>
        <v>-1097267.3610343519</v>
      </c>
      <c r="G8" s="177">
        <f>SUM(G3:G7)</f>
        <v>-6097267.3610343523</v>
      </c>
      <c r="J8">
        <v>67</v>
      </c>
      <c r="K8" s="174">
        <f>-F3</f>
        <v>350000.00000000006</v>
      </c>
    </row>
    <row r="9" spans="1:12" x14ac:dyDescent="0.25">
      <c r="J9">
        <v>45</v>
      </c>
      <c r="K9" s="174">
        <f>-E3</f>
        <v>869453.47220687033</v>
      </c>
    </row>
    <row r="10" spans="1:12" x14ac:dyDescent="0.25">
      <c r="A10" s="1" t="s">
        <v>391</v>
      </c>
      <c r="B10" s="1" t="s">
        <v>392</v>
      </c>
      <c r="D10" s="1" t="s">
        <v>393</v>
      </c>
      <c r="E10" s="1" t="s">
        <v>394</v>
      </c>
      <c r="J10">
        <v>10</v>
      </c>
      <c r="L10" s="174">
        <f>-G3</f>
        <v>1219453.4722068703</v>
      </c>
    </row>
    <row r="11" spans="1:12" x14ac:dyDescent="0.25">
      <c r="A11" s="234">
        <v>0</v>
      </c>
      <c r="B11" s="235">
        <f>+B3</f>
        <v>4700000</v>
      </c>
      <c r="E11" s="178" t="s">
        <v>378</v>
      </c>
      <c r="F11" s="178" t="s">
        <v>395</v>
      </c>
      <c r="G11" s="178" t="s">
        <v>396</v>
      </c>
      <c r="H11" s="178" t="s">
        <v>381</v>
      </c>
    </row>
    <row r="12" spans="1:12" x14ac:dyDescent="0.25">
      <c r="A12" s="234">
        <f>+A11+1</f>
        <v>1</v>
      </c>
      <c r="B12" s="235">
        <f>+G3</f>
        <v>-1219453.4722068703</v>
      </c>
      <c r="D12" s="234">
        <f>+D11+1</f>
        <v>1</v>
      </c>
      <c r="E12" s="174">
        <f>B11</f>
        <v>4700000</v>
      </c>
      <c r="F12" s="229">
        <f>E12*$B$17</f>
        <v>439637.85501006391</v>
      </c>
      <c r="G12" s="174">
        <f>+G3</f>
        <v>-1219453.4722068703</v>
      </c>
      <c r="H12" s="182">
        <f>SUM(E12:G12)</f>
        <v>3920184.3828031942</v>
      </c>
      <c r="J12">
        <v>67</v>
      </c>
      <c r="K12" s="174">
        <f>+F21</f>
        <v>89637.855010063853</v>
      </c>
    </row>
    <row r="13" spans="1:12" x14ac:dyDescent="0.25">
      <c r="A13" s="234">
        <f t="shared" ref="A13:A16" si="1">+A12+1</f>
        <v>2</v>
      </c>
      <c r="B13" s="235">
        <f>+B12</f>
        <v>-1219453.4722068703</v>
      </c>
      <c r="D13" s="234">
        <f t="shared" ref="D13:D16" si="2">+D12+1</f>
        <v>2</v>
      </c>
      <c r="E13" s="174">
        <f>+H12</f>
        <v>3920184.3828031942</v>
      </c>
      <c r="F13" s="174">
        <f>E13*$B$17</f>
        <v>366693.92623394629</v>
      </c>
      <c r="G13" s="174">
        <f>+G4</f>
        <v>-1219453.4722068706</v>
      </c>
      <c r="H13" s="174">
        <f>SUM(E13:G13)</f>
        <v>3067424.83683027</v>
      </c>
      <c r="J13">
        <v>18</v>
      </c>
      <c r="L13" s="174">
        <f>+K12</f>
        <v>89637.855010063853</v>
      </c>
    </row>
    <row r="14" spans="1:12" x14ac:dyDescent="0.25">
      <c r="A14" s="234">
        <f t="shared" si="1"/>
        <v>3</v>
      </c>
      <c r="B14" s="235">
        <f>+B13</f>
        <v>-1219453.4722068703</v>
      </c>
      <c r="D14" s="234">
        <f t="shared" si="2"/>
        <v>3</v>
      </c>
      <c r="E14" s="174">
        <f t="shared" ref="E14:E16" si="3">+H13</f>
        <v>3067424.83683027</v>
      </c>
      <c r="F14" s="174">
        <f t="shared" ref="F14:F16" si="4">E14*$B$17</f>
        <v>286926.82461035217</v>
      </c>
      <c r="G14" s="174">
        <f t="shared" ref="G14:G16" si="5">+G5</f>
        <v>-1219453.4722068706</v>
      </c>
      <c r="H14" s="174">
        <f t="shared" ref="H14:H16" si="6">SUM(E14:G14)</f>
        <v>2134898.1892337515</v>
      </c>
    </row>
    <row r="15" spans="1:12" x14ac:dyDescent="0.25">
      <c r="A15" s="234">
        <f t="shared" si="1"/>
        <v>4</v>
      </c>
      <c r="B15" s="235">
        <f>+B14</f>
        <v>-1219453.4722068703</v>
      </c>
      <c r="D15" s="234">
        <f t="shared" si="2"/>
        <v>4</v>
      </c>
      <c r="E15" s="174">
        <f t="shared" si="3"/>
        <v>2134898.1892337515</v>
      </c>
      <c r="F15" s="174">
        <f t="shared" si="4"/>
        <v>199698.31076161619</v>
      </c>
      <c r="G15" s="174">
        <f t="shared" si="5"/>
        <v>-1219453.4722068706</v>
      </c>
      <c r="H15" s="174">
        <f t="shared" si="6"/>
        <v>1115143.027788497</v>
      </c>
    </row>
    <row r="16" spans="1:12" x14ac:dyDescent="0.25">
      <c r="A16" s="234">
        <f t="shared" si="1"/>
        <v>5</v>
      </c>
      <c r="B16" s="235">
        <f>+B15</f>
        <v>-1219453.4722068703</v>
      </c>
      <c r="D16" s="234">
        <f t="shared" si="2"/>
        <v>5</v>
      </c>
      <c r="E16" s="174">
        <f t="shared" si="3"/>
        <v>1115143.027788497</v>
      </c>
      <c r="F16" s="174">
        <f t="shared" si="4"/>
        <v>104310.44441837509</v>
      </c>
      <c r="G16" s="174">
        <f t="shared" si="5"/>
        <v>-1219453.4722068706</v>
      </c>
      <c r="H16" s="236">
        <f t="shared" si="6"/>
        <v>0</v>
      </c>
      <c r="J16" s="1">
        <v>45</v>
      </c>
      <c r="K16" s="1"/>
      <c r="L16" s="229">
        <f>L3-K9</f>
        <v>4130546.5277931299</v>
      </c>
    </row>
    <row r="17" spans="2:12" x14ac:dyDescent="0.25">
      <c r="B17" s="238">
        <f>IRR(B11:B16)</f>
        <v>9.3539969151077429E-2</v>
      </c>
      <c r="F17" s="177">
        <f>SUM(F12:F16)</f>
        <v>1397267.3610343535</v>
      </c>
      <c r="J17" s="1">
        <v>18</v>
      </c>
      <c r="L17" s="229">
        <f>K5-L13</f>
        <v>210362.14498993615</v>
      </c>
    </row>
    <row r="18" spans="2:12" x14ac:dyDescent="0.25">
      <c r="J18" s="1" t="s">
        <v>397</v>
      </c>
      <c r="L18" s="239">
        <f>+L16-L17</f>
        <v>3920184.3828031938</v>
      </c>
    </row>
    <row r="19" spans="2:12" x14ac:dyDescent="0.25">
      <c r="F19" s="177">
        <f>+F17+F8</f>
        <v>300000.00000000163</v>
      </c>
    </row>
    <row r="21" spans="2:12" x14ac:dyDescent="0.25">
      <c r="D21" s="234">
        <f>+D20+1</f>
        <v>1</v>
      </c>
      <c r="F21" s="229">
        <f>F12+F3</f>
        <v>89637.855010063853</v>
      </c>
    </row>
    <row r="22" spans="2:12" x14ac:dyDescent="0.25">
      <c r="D22" s="234">
        <f t="shared" ref="D22:D25" si="7">+D21+1</f>
        <v>2</v>
      </c>
      <c r="F22" s="229">
        <f>F13+F4</f>
        <v>77555.669288427162</v>
      </c>
    </row>
    <row r="23" spans="2:12" x14ac:dyDescent="0.25">
      <c r="D23" s="234">
        <f t="shared" si="7"/>
        <v>3</v>
      </c>
      <c r="F23" s="229">
        <f>F14+F5</f>
        <v>62910.632733127655</v>
      </c>
    </row>
    <row r="24" spans="2:12" x14ac:dyDescent="0.25">
      <c r="D24" s="234">
        <f t="shared" si="7"/>
        <v>4</v>
      </c>
      <c r="F24" s="229">
        <f>F15+F6</f>
        <v>45362.728507466876</v>
      </c>
    </row>
    <row r="25" spans="2:12" x14ac:dyDescent="0.25">
      <c r="D25" s="234">
        <f t="shared" si="7"/>
        <v>5</v>
      </c>
      <c r="F25" s="229">
        <f>F16+F7</f>
        <v>24533.114460916258</v>
      </c>
    </row>
    <row r="26" spans="2:12" x14ac:dyDescent="0.25">
      <c r="F26" s="177">
        <f>SUM(F21:F25)</f>
        <v>300000.0000000018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401</v>
      </c>
      <c r="B1" s="174">
        <v>100000</v>
      </c>
      <c r="E1" t="s">
        <v>401</v>
      </c>
      <c r="F1" s="174">
        <f ca="1">SUMIF(A:B,E1,B:B)</f>
        <v>51200000</v>
      </c>
    </row>
    <row r="2" spans="1:6" x14ac:dyDescent="0.25">
      <c r="A2" t="s">
        <v>402</v>
      </c>
      <c r="B2" s="174">
        <v>200000</v>
      </c>
      <c r="E2" t="s">
        <v>402</v>
      </c>
      <c r="F2" s="174">
        <f ca="1">SUMIF(A:B,E2,B:B)</f>
        <v>102400000</v>
      </c>
    </row>
    <row r="3" spans="1:6" x14ac:dyDescent="0.25">
      <c r="A3" t="s">
        <v>403</v>
      </c>
      <c r="B3" s="174">
        <v>300000</v>
      </c>
      <c r="E3" t="s">
        <v>403</v>
      </c>
      <c r="F3" s="174">
        <f ca="1">SUMIF(A:B,E3,B:B)</f>
        <v>153600000</v>
      </c>
    </row>
    <row r="4" spans="1:6" x14ac:dyDescent="0.25">
      <c r="A4" t="s">
        <v>401</v>
      </c>
      <c r="B4" s="174">
        <v>100000</v>
      </c>
    </row>
    <row r="5" spans="1:6" x14ac:dyDescent="0.25">
      <c r="A5" t="s">
        <v>402</v>
      </c>
      <c r="B5" s="174">
        <v>200000</v>
      </c>
    </row>
    <row r="6" spans="1:6" x14ac:dyDescent="0.25">
      <c r="A6" t="s">
        <v>403</v>
      </c>
      <c r="B6" s="174">
        <v>300000</v>
      </c>
    </row>
    <row r="7" spans="1:6" x14ac:dyDescent="0.25">
      <c r="A7" t="s">
        <v>401</v>
      </c>
      <c r="B7" s="174">
        <v>100000</v>
      </c>
    </row>
    <row r="8" spans="1:6" x14ac:dyDescent="0.25">
      <c r="A8" t="s">
        <v>402</v>
      </c>
      <c r="B8" s="174">
        <v>200000</v>
      </c>
    </row>
    <row r="9" spans="1:6" x14ac:dyDescent="0.25">
      <c r="A9" t="s">
        <v>403</v>
      </c>
      <c r="B9" s="174">
        <v>300000</v>
      </c>
    </row>
    <row r="10" spans="1:6" x14ac:dyDescent="0.25">
      <c r="A10" t="s">
        <v>401</v>
      </c>
      <c r="B10" s="174">
        <v>100000</v>
      </c>
    </row>
    <row r="11" spans="1:6" x14ac:dyDescent="0.25">
      <c r="A11" t="s">
        <v>402</v>
      </c>
      <c r="B11" s="174">
        <v>200000</v>
      </c>
    </row>
    <row r="12" spans="1:6" x14ac:dyDescent="0.25">
      <c r="A12" t="s">
        <v>403</v>
      </c>
      <c r="B12" s="174">
        <v>300000</v>
      </c>
    </row>
    <row r="13" spans="1:6" x14ac:dyDescent="0.25">
      <c r="A13" t="s">
        <v>401</v>
      </c>
      <c r="B13" s="174">
        <v>100000</v>
      </c>
    </row>
    <row r="14" spans="1:6" x14ac:dyDescent="0.25">
      <c r="A14" t="s">
        <v>402</v>
      </c>
      <c r="B14" s="174">
        <v>200000</v>
      </c>
    </row>
    <row r="15" spans="1:6" x14ac:dyDescent="0.25">
      <c r="A15" t="s">
        <v>403</v>
      </c>
      <c r="B15" s="174">
        <v>300000</v>
      </c>
    </row>
    <row r="16" spans="1:6" x14ac:dyDescent="0.25">
      <c r="A16" t="s">
        <v>401</v>
      </c>
      <c r="B16" s="174">
        <v>100000</v>
      </c>
    </row>
    <row r="17" spans="1:2" x14ac:dyDescent="0.25">
      <c r="A17" t="s">
        <v>402</v>
      </c>
      <c r="B17" s="174">
        <v>200000</v>
      </c>
    </row>
    <row r="18" spans="1:2" x14ac:dyDescent="0.25">
      <c r="A18" t="s">
        <v>403</v>
      </c>
      <c r="B18" s="174">
        <v>300000</v>
      </c>
    </row>
    <row r="19" spans="1:2" x14ac:dyDescent="0.25">
      <c r="A19" t="s">
        <v>401</v>
      </c>
      <c r="B19" s="174">
        <v>100000</v>
      </c>
    </row>
    <row r="20" spans="1:2" x14ac:dyDescent="0.25">
      <c r="A20" t="s">
        <v>402</v>
      </c>
      <c r="B20" s="174">
        <v>200000</v>
      </c>
    </row>
    <row r="21" spans="1:2" x14ac:dyDescent="0.25">
      <c r="A21" t="s">
        <v>403</v>
      </c>
      <c r="B21" s="174">
        <v>300000</v>
      </c>
    </row>
    <row r="22" spans="1:2" x14ac:dyDescent="0.25">
      <c r="A22" t="s">
        <v>401</v>
      </c>
      <c r="B22" s="174">
        <v>100000</v>
      </c>
    </row>
    <row r="23" spans="1:2" x14ac:dyDescent="0.25">
      <c r="A23" t="s">
        <v>402</v>
      </c>
      <c r="B23" s="174">
        <v>200000</v>
      </c>
    </row>
    <row r="24" spans="1:2" x14ac:dyDescent="0.25">
      <c r="A24" t="s">
        <v>403</v>
      </c>
      <c r="B24" s="174">
        <v>300000</v>
      </c>
    </row>
    <row r="25" spans="1:2" x14ac:dyDescent="0.25">
      <c r="A25" t="s">
        <v>401</v>
      </c>
      <c r="B25" s="174">
        <v>100000</v>
      </c>
    </row>
    <row r="26" spans="1:2" x14ac:dyDescent="0.25">
      <c r="A26" t="s">
        <v>402</v>
      </c>
      <c r="B26" s="174">
        <v>200000</v>
      </c>
    </row>
    <row r="27" spans="1:2" x14ac:dyDescent="0.25">
      <c r="A27" t="s">
        <v>403</v>
      </c>
      <c r="B27" s="174">
        <v>300000</v>
      </c>
    </row>
    <row r="28" spans="1:2" x14ac:dyDescent="0.25">
      <c r="A28" t="s">
        <v>401</v>
      </c>
      <c r="B28" s="174">
        <v>100000</v>
      </c>
    </row>
    <row r="29" spans="1:2" x14ac:dyDescent="0.25">
      <c r="A29" t="s">
        <v>402</v>
      </c>
      <c r="B29" s="174">
        <v>200000</v>
      </c>
    </row>
    <row r="30" spans="1:2" x14ac:dyDescent="0.25">
      <c r="A30" t="s">
        <v>403</v>
      </c>
      <c r="B30" s="174">
        <v>300000</v>
      </c>
    </row>
    <row r="31" spans="1:2" x14ac:dyDescent="0.25">
      <c r="A31" t="s">
        <v>401</v>
      </c>
      <c r="B31" s="174">
        <v>100000</v>
      </c>
    </row>
    <row r="32" spans="1:2" x14ac:dyDescent="0.25">
      <c r="A32" t="s">
        <v>402</v>
      </c>
      <c r="B32" s="174">
        <v>200000</v>
      </c>
    </row>
    <row r="33" spans="1:2" x14ac:dyDescent="0.25">
      <c r="A33" t="s">
        <v>403</v>
      </c>
      <c r="B33" s="174">
        <v>300000</v>
      </c>
    </row>
    <row r="34" spans="1:2" x14ac:dyDescent="0.25">
      <c r="A34" t="s">
        <v>401</v>
      </c>
      <c r="B34" s="174">
        <v>100000</v>
      </c>
    </row>
    <row r="35" spans="1:2" x14ac:dyDescent="0.25">
      <c r="A35" t="s">
        <v>402</v>
      </c>
      <c r="B35" s="174">
        <v>200000</v>
      </c>
    </row>
    <row r="36" spans="1:2" x14ac:dyDescent="0.25">
      <c r="A36" t="s">
        <v>403</v>
      </c>
      <c r="B36" s="174">
        <v>300000</v>
      </c>
    </row>
    <row r="37" spans="1:2" x14ac:dyDescent="0.25">
      <c r="A37" t="s">
        <v>401</v>
      </c>
      <c r="B37" s="174">
        <v>100000</v>
      </c>
    </row>
    <row r="38" spans="1:2" x14ac:dyDescent="0.25">
      <c r="A38" t="s">
        <v>402</v>
      </c>
      <c r="B38" s="174">
        <v>200000</v>
      </c>
    </row>
    <row r="39" spans="1:2" x14ac:dyDescent="0.25">
      <c r="A39" t="s">
        <v>403</v>
      </c>
      <c r="B39" s="174">
        <v>300000</v>
      </c>
    </row>
    <row r="40" spans="1:2" x14ac:dyDescent="0.25">
      <c r="A40" t="s">
        <v>401</v>
      </c>
      <c r="B40" s="174">
        <v>100000</v>
      </c>
    </row>
    <row r="41" spans="1:2" x14ac:dyDescent="0.25">
      <c r="A41" t="s">
        <v>402</v>
      </c>
      <c r="B41" s="174">
        <v>200000</v>
      </c>
    </row>
    <row r="42" spans="1:2" x14ac:dyDescent="0.25">
      <c r="A42" t="s">
        <v>403</v>
      </c>
      <c r="B42" s="174">
        <v>300000</v>
      </c>
    </row>
    <row r="43" spans="1:2" x14ac:dyDescent="0.25">
      <c r="A43" t="s">
        <v>401</v>
      </c>
      <c r="B43" s="174">
        <v>100000</v>
      </c>
    </row>
    <row r="44" spans="1:2" x14ac:dyDescent="0.25">
      <c r="A44" t="s">
        <v>402</v>
      </c>
      <c r="B44" s="174">
        <v>200000</v>
      </c>
    </row>
    <row r="45" spans="1:2" x14ac:dyDescent="0.25">
      <c r="A45" t="s">
        <v>403</v>
      </c>
      <c r="B45" s="174">
        <v>300000</v>
      </c>
    </row>
    <row r="46" spans="1:2" x14ac:dyDescent="0.25">
      <c r="A46" t="s">
        <v>401</v>
      </c>
      <c r="B46" s="174">
        <v>100000</v>
      </c>
    </row>
    <row r="47" spans="1:2" x14ac:dyDescent="0.25">
      <c r="A47" t="s">
        <v>402</v>
      </c>
      <c r="B47" s="174">
        <v>200000</v>
      </c>
    </row>
    <row r="48" spans="1:2" x14ac:dyDescent="0.25">
      <c r="A48" t="s">
        <v>403</v>
      </c>
      <c r="B48" s="174">
        <v>300000</v>
      </c>
    </row>
    <row r="49" spans="1:2" x14ac:dyDescent="0.25">
      <c r="A49" t="s">
        <v>401</v>
      </c>
      <c r="B49" s="174">
        <v>100000</v>
      </c>
    </row>
    <row r="50" spans="1:2" x14ac:dyDescent="0.25">
      <c r="A50" t="s">
        <v>402</v>
      </c>
      <c r="B50" s="174">
        <v>200000</v>
      </c>
    </row>
    <row r="51" spans="1:2" x14ac:dyDescent="0.25">
      <c r="A51" t="s">
        <v>403</v>
      </c>
      <c r="B51" s="174">
        <v>300000</v>
      </c>
    </row>
    <row r="52" spans="1:2" x14ac:dyDescent="0.25">
      <c r="A52" t="s">
        <v>401</v>
      </c>
      <c r="B52" s="174">
        <v>100000</v>
      </c>
    </row>
    <row r="53" spans="1:2" x14ac:dyDescent="0.25">
      <c r="A53" t="s">
        <v>402</v>
      </c>
      <c r="B53" s="174">
        <v>200000</v>
      </c>
    </row>
    <row r="54" spans="1:2" x14ac:dyDescent="0.25">
      <c r="A54" t="s">
        <v>403</v>
      </c>
      <c r="B54" s="174">
        <v>300000</v>
      </c>
    </row>
    <row r="55" spans="1:2" x14ac:dyDescent="0.25">
      <c r="A55" t="s">
        <v>401</v>
      </c>
      <c r="B55" s="174">
        <v>100000</v>
      </c>
    </row>
    <row r="56" spans="1:2" x14ac:dyDescent="0.25">
      <c r="A56" t="s">
        <v>402</v>
      </c>
      <c r="B56" s="174">
        <v>200000</v>
      </c>
    </row>
    <row r="57" spans="1:2" x14ac:dyDescent="0.25">
      <c r="A57" t="s">
        <v>403</v>
      </c>
      <c r="B57" s="174">
        <v>300000</v>
      </c>
    </row>
    <row r="58" spans="1:2" x14ac:dyDescent="0.25">
      <c r="A58" t="s">
        <v>401</v>
      </c>
      <c r="B58" s="174">
        <v>100000</v>
      </c>
    </row>
    <row r="59" spans="1:2" x14ac:dyDescent="0.25">
      <c r="A59" t="s">
        <v>402</v>
      </c>
      <c r="B59" s="174">
        <v>200000</v>
      </c>
    </row>
    <row r="60" spans="1:2" x14ac:dyDescent="0.25">
      <c r="A60" t="s">
        <v>403</v>
      </c>
      <c r="B60" s="174">
        <v>300000</v>
      </c>
    </row>
    <row r="61" spans="1:2" x14ac:dyDescent="0.25">
      <c r="A61" t="s">
        <v>401</v>
      </c>
      <c r="B61" s="174">
        <v>100000</v>
      </c>
    </row>
    <row r="62" spans="1:2" x14ac:dyDescent="0.25">
      <c r="A62" t="s">
        <v>402</v>
      </c>
      <c r="B62" s="174">
        <v>200000</v>
      </c>
    </row>
    <row r="63" spans="1:2" x14ac:dyDescent="0.25">
      <c r="A63" t="s">
        <v>403</v>
      </c>
      <c r="B63" s="174">
        <v>300000</v>
      </c>
    </row>
    <row r="64" spans="1:2" x14ac:dyDescent="0.25">
      <c r="A64" t="s">
        <v>401</v>
      </c>
      <c r="B64" s="174">
        <v>100000</v>
      </c>
    </row>
    <row r="65" spans="1:2" x14ac:dyDescent="0.25">
      <c r="A65" t="s">
        <v>402</v>
      </c>
      <c r="B65" s="174">
        <v>200000</v>
      </c>
    </row>
    <row r="66" spans="1:2" x14ac:dyDescent="0.25">
      <c r="A66" t="s">
        <v>403</v>
      </c>
      <c r="B66" s="174">
        <v>300000</v>
      </c>
    </row>
    <row r="67" spans="1:2" x14ac:dyDescent="0.25">
      <c r="A67" t="s">
        <v>401</v>
      </c>
      <c r="B67" s="174">
        <v>100000</v>
      </c>
    </row>
    <row r="68" spans="1:2" x14ac:dyDescent="0.25">
      <c r="A68" t="s">
        <v>402</v>
      </c>
      <c r="B68" s="174">
        <v>200000</v>
      </c>
    </row>
    <row r="69" spans="1:2" x14ac:dyDescent="0.25">
      <c r="A69" t="s">
        <v>403</v>
      </c>
      <c r="B69" s="174">
        <v>300000</v>
      </c>
    </row>
    <row r="70" spans="1:2" x14ac:dyDescent="0.25">
      <c r="A70" t="s">
        <v>401</v>
      </c>
      <c r="B70" s="174">
        <v>100000</v>
      </c>
    </row>
    <row r="71" spans="1:2" x14ac:dyDescent="0.25">
      <c r="A71" t="s">
        <v>402</v>
      </c>
      <c r="B71" s="174">
        <v>200000</v>
      </c>
    </row>
    <row r="72" spans="1:2" x14ac:dyDescent="0.25">
      <c r="A72" t="s">
        <v>403</v>
      </c>
      <c r="B72" s="174">
        <v>300000</v>
      </c>
    </row>
    <row r="73" spans="1:2" x14ac:dyDescent="0.25">
      <c r="A73" t="s">
        <v>401</v>
      </c>
      <c r="B73" s="174">
        <v>100000</v>
      </c>
    </row>
    <row r="74" spans="1:2" x14ac:dyDescent="0.25">
      <c r="A74" t="s">
        <v>402</v>
      </c>
      <c r="B74" s="174">
        <v>200000</v>
      </c>
    </row>
    <row r="75" spans="1:2" x14ac:dyDescent="0.25">
      <c r="A75" t="s">
        <v>403</v>
      </c>
      <c r="B75" s="174">
        <v>300000</v>
      </c>
    </row>
    <row r="76" spans="1:2" x14ac:dyDescent="0.25">
      <c r="A76" t="s">
        <v>401</v>
      </c>
      <c r="B76" s="174">
        <v>100000</v>
      </c>
    </row>
    <row r="77" spans="1:2" x14ac:dyDescent="0.25">
      <c r="A77" t="s">
        <v>402</v>
      </c>
      <c r="B77" s="174">
        <v>200000</v>
      </c>
    </row>
    <row r="78" spans="1:2" x14ac:dyDescent="0.25">
      <c r="A78" t="s">
        <v>403</v>
      </c>
      <c r="B78" s="174">
        <v>300000</v>
      </c>
    </row>
    <row r="79" spans="1:2" x14ac:dyDescent="0.25">
      <c r="A79" t="s">
        <v>401</v>
      </c>
      <c r="B79" s="174">
        <v>100000</v>
      </c>
    </row>
    <row r="80" spans="1:2" x14ac:dyDescent="0.25">
      <c r="A80" t="s">
        <v>402</v>
      </c>
      <c r="B80" s="174">
        <v>200000</v>
      </c>
    </row>
    <row r="81" spans="1:2" x14ac:dyDescent="0.25">
      <c r="A81" t="s">
        <v>403</v>
      </c>
      <c r="B81" s="174">
        <v>300000</v>
      </c>
    </row>
    <row r="82" spans="1:2" x14ac:dyDescent="0.25">
      <c r="A82" t="s">
        <v>401</v>
      </c>
      <c r="B82" s="174">
        <v>100000</v>
      </c>
    </row>
    <row r="83" spans="1:2" x14ac:dyDescent="0.25">
      <c r="A83" t="s">
        <v>402</v>
      </c>
      <c r="B83" s="174">
        <v>200000</v>
      </c>
    </row>
    <row r="84" spans="1:2" x14ac:dyDescent="0.25">
      <c r="A84" t="s">
        <v>403</v>
      </c>
      <c r="B84" s="174">
        <v>300000</v>
      </c>
    </row>
    <row r="85" spans="1:2" x14ac:dyDescent="0.25">
      <c r="A85" t="s">
        <v>401</v>
      </c>
      <c r="B85" s="174">
        <v>100000</v>
      </c>
    </row>
    <row r="86" spans="1:2" x14ac:dyDescent="0.25">
      <c r="A86" t="s">
        <v>402</v>
      </c>
      <c r="B86" s="174">
        <v>200000</v>
      </c>
    </row>
    <row r="87" spans="1:2" x14ac:dyDescent="0.25">
      <c r="A87" t="s">
        <v>403</v>
      </c>
      <c r="B87" s="174">
        <v>300000</v>
      </c>
    </row>
    <row r="88" spans="1:2" x14ac:dyDescent="0.25">
      <c r="A88" t="s">
        <v>401</v>
      </c>
      <c r="B88" s="174">
        <v>100000</v>
      </c>
    </row>
    <row r="89" spans="1:2" x14ac:dyDescent="0.25">
      <c r="A89" t="s">
        <v>402</v>
      </c>
      <c r="B89" s="174">
        <v>200000</v>
      </c>
    </row>
    <row r="90" spans="1:2" x14ac:dyDescent="0.25">
      <c r="A90" t="s">
        <v>403</v>
      </c>
      <c r="B90" s="174">
        <v>300000</v>
      </c>
    </row>
    <row r="91" spans="1:2" x14ac:dyDescent="0.25">
      <c r="A91" t="s">
        <v>401</v>
      </c>
      <c r="B91" s="174">
        <v>100000</v>
      </c>
    </row>
    <row r="92" spans="1:2" x14ac:dyDescent="0.25">
      <c r="A92" t="s">
        <v>402</v>
      </c>
      <c r="B92" s="174">
        <v>200000</v>
      </c>
    </row>
    <row r="93" spans="1:2" x14ac:dyDescent="0.25">
      <c r="A93" t="s">
        <v>403</v>
      </c>
      <c r="B93" s="174">
        <v>300000</v>
      </c>
    </row>
    <row r="94" spans="1:2" x14ac:dyDescent="0.25">
      <c r="A94" t="s">
        <v>401</v>
      </c>
      <c r="B94" s="174">
        <v>100000</v>
      </c>
    </row>
    <row r="95" spans="1:2" x14ac:dyDescent="0.25">
      <c r="A95" t="s">
        <v>402</v>
      </c>
      <c r="B95" s="174">
        <v>200000</v>
      </c>
    </row>
    <row r="96" spans="1:2" x14ac:dyDescent="0.25">
      <c r="A96" t="s">
        <v>403</v>
      </c>
      <c r="B96" s="174">
        <v>300000</v>
      </c>
    </row>
    <row r="97" spans="1:2" x14ac:dyDescent="0.25">
      <c r="A97" t="s">
        <v>401</v>
      </c>
      <c r="B97" s="174">
        <v>100000</v>
      </c>
    </row>
    <row r="98" spans="1:2" x14ac:dyDescent="0.25">
      <c r="A98" t="s">
        <v>402</v>
      </c>
      <c r="B98" s="174">
        <v>200000</v>
      </c>
    </row>
    <row r="99" spans="1:2" x14ac:dyDescent="0.25">
      <c r="A99" t="s">
        <v>403</v>
      </c>
      <c r="B99" s="174">
        <v>300000</v>
      </c>
    </row>
    <row r="100" spans="1:2" x14ac:dyDescent="0.25">
      <c r="A100" t="s">
        <v>401</v>
      </c>
      <c r="B100" s="174">
        <v>100000</v>
      </c>
    </row>
    <row r="101" spans="1:2" x14ac:dyDescent="0.25">
      <c r="A101" t="s">
        <v>402</v>
      </c>
      <c r="B101" s="174">
        <v>200000</v>
      </c>
    </row>
    <row r="102" spans="1:2" x14ac:dyDescent="0.25">
      <c r="A102" t="s">
        <v>403</v>
      </c>
      <c r="B102" s="174">
        <v>300000</v>
      </c>
    </row>
    <row r="103" spans="1:2" x14ac:dyDescent="0.25">
      <c r="A103" t="s">
        <v>401</v>
      </c>
      <c r="B103" s="174">
        <v>100000</v>
      </c>
    </row>
    <row r="104" spans="1:2" x14ac:dyDescent="0.25">
      <c r="A104" t="s">
        <v>402</v>
      </c>
      <c r="B104" s="174">
        <v>200000</v>
      </c>
    </row>
    <row r="105" spans="1:2" x14ac:dyDescent="0.25">
      <c r="A105" t="s">
        <v>403</v>
      </c>
      <c r="B105" s="174">
        <v>300000</v>
      </c>
    </row>
    <row r="106" spans="1:2" x14ac:dyDescent="0.25">
      <c r="A106" t="s">
        <v>401</v>
      </c>
      <c r="B106" s="174">
        <v>100000</v>
      </c>
    </row>
    <row r="107" spans="1:2" x14ac:dyDescent="0.25">
      <c r="A107" t="s">
        <v>402</v>
      </c>
      <c r="B107" s="174">
        <v>200000</v>
      </c>
    </row>
    <row r="108" spans="1:2" x14ac:dyDescent="0.25">
      <c r="A108" t="s">
        <v>403</v>
      </c>
      <c r="B108" s="174">
        <v>300000</v>
      </c>
    </row>
    <row r="109" spans="1:2" x14ac:dyDescent="0.25">
      <c r="A109" t="s">
        <v>401</v>
      </c>
      <c r="B109" s="174">
        <v>100000</v>
      </c>
    </row>
    <row r="110" spans="1:2" x14ac:dyDescent="0.25">
      <c r="A110" t="s">
        <v>402</v>
      </c>
      <c r="B110" s="174">
        <v>200000</v>
      </c>
    </row>
    <row r="111" spans="1:2" x14ac:dyDescent="0.25">
      <c r="A111" t="s">
        <v>403</v>
      </c>
      <c r="B111" s="174">
        <v>300000</v>
      </c>
    </row>
    <row r="112" spans="1:2" x14ac:dyDescent="0.25">
      <c r="A112" t="s">
        <v>401</v>
      </c>
      <c r="B112" s="174">
        <v>100000</v>
      </c>
    </row>
    <row r="113" spans="1:2" x14ac:dyDescent="0.25">
      <c r="A113" t="s">
        <v>402</v>
      </c>
      <c r="B113" s="174">
        <v>200000</v>
      </c>
    </row>
    <row r="114" spans="1:2" x14ac:dyDescent="0.25">
      <c r="A114" t="s">
        <v>403</v>
      </c>
      <c r="B114" s="174">
        <v>300000</v>
      </c>
    </row>
    <row r="115" spans="1:2" x14ac:dyDescent="0.25">
      <c r="A115" t="s">
        <v>401</v>
      </c>
      <c r="B115" s="174">
        <v>100000</v>
      </c>
    </row>
    <row r="116" spans="1:2" x14ac:dyDescent="0.25">
      <c r="A116" t="s">
        <v>402</v>
      </c>
      <c r="B116" s="174">
        <v>200000</v>
      </c>
    </row>
    <row r="117" spans="1:2" x14ac:dyDescent="0.25">
      <c r="A117" t="s">
        <v>403</v>
      </c>
      <c r="B117" s="174">
        <v>300000</v>
      </c>
    </row>
    <row r="118" spans="1:2" x14ac:dyDescent="0.25">
      <c r="A118" t="s">
        <v>401</v>
      </c>
      <c r="B118" s="174">
        <v>100000</v>
      </c>
    </row>
    <row r="119" spans="1:2" x14ac:dyDescent="0.25">
      <c r="A119" t="s">
        <v>402</v>
      </c>
      <c r="B119" s="174">
        <v>200000</v>
      </c>
    </row>
    <row r="120" spans="1:2" x14ac:dyDescent="0.25">
      <c r="A120" t="s">
        <v>403</v>
      </c>
      <c r="B120" s="174">
        <v>300000</v>
      </c>
    </row>
    <row r="121" spans="1:2" x14ac:dyDescent="0.25">
      <c r="A121" t="s">
        <v>401</v>
      </c>
      <c r="B121" s="174">
        <v>100000</v>
      </c>
    </row>
    <row r="122" spans="1:2" x14ac:dyDescent="0.25">
      <c r="A122" t="s">
        <v>402</v>
      </c>
      <c r="B122" s="174">
        <v>200000</v>
      </c>
    </row>
    <row r="123" spans="1:2" x14ac:dyDescent="0.25">
      <c r="A123" t="s">
        <v>403</v>
      </c>
      <c r="B123" s="174">
        <v>300000</v>
      </c>
    </row>
    <row r="124" spans="1:2" x14ac:dyDescent="0.25">
      <c r="A124" t="s">
        <v>401</v>
      </c>
      <c r="B124" s="174">
        <v>100000</v>
      </c>
    </row>
    <row r="125" spans="1:2" x14ac:dyDescent="0.25">
      <c r="A125" t="s">
        <v>402</v>
      </c>
      <c r="B125" s="174">
        <v>200000</v>
      </c>
    </row>
    <row r="126" spans="1:2" x14ac:dyDescent="0.25">
      <c r="A126" t="s">
        <v>403</v>
      </c>
      <c r="B126" s="174">
        <v>300000</v>
      </c>
    </row>
    <row r="127" spans="1:2" x14ac:dyDescent="0.25">
      <c r="A127" t="s">
        <v>401</v>
      </c>
      <c r="B127" s="174">
        <v>100000</v>
      </c>
    </row>
    <row r="128" spans="1:2" x14ac:dyDescent="0.25">
      <c r="A128" t="s">
        <v>402</v>
      </c>
      <c r="B128" s="174">
        <v>200000</v>
      </c>
    </row>
    <row r="129" spans="1:2" x14ac:dyDescent="0.25">
      <c r="A129" t="s">
        <v>403</v>
      </c>
      <c r="B129" s="174">
        <v>300000</v>
      </c>
    </row>
    <row r="130" spans="1:2" x14ac:dyDescent="0.25">
      <c r="A130" t="s">
        <v>401</v>
      </c>
      <c r="B130" s="174">
        <v>100000</v>
      </c>
    </row>
    <row r="131" spans="1:2" x14ac:dyDescent="0.25">
      <c r="A131" t="s">
        <v>402</v>
      </c>
      <c r="B131" s="174">
        <v>200000</v>
      </c>
    </row>
    <row r="132" spans="1:2" x14ac:dyDescent="0.25">
      <c r="A132" t="s">
        <v>403</v>
      </c>
      <c r="B132" s="174">
        <v>300000</v>
      </c>
    </row>
    <row r="133" spans="1:2" x14ac:dyDescent="0.25">
      <c r="A133" t="s">
        <v>401</v>
      </c>
      <c r="B133" s="174">
        <v>100000</v>
      </c>
    </row>
    <row r="134" spans="1:2" x14ac:dyDescent="0.25">
      <c r="A134" t="s">
        <v>402</v>
      </c>
      <c r="B134" s="174">
        <v>200000</v>
      </c>
    </row>
    <row r="135" spans="1:2" x14ac:dyDescent="0.25">
      <c r="A135" t="s">
        <v>403</v>
      </c>
      <c r="B135" s="174">
        <v>300000</v>
      </c>
    </row>
    <row r="136" spans="1:2" x14ac:dyDescent="0.25">
      <c r="A136" t="s">
        <v>401</v>
      </c>
      <c r="B136" s="174">
        <v>100000</v>
      </c>
    </row>
    <row r="137" spans="1:2" x14ac:dyDescent="0.25">
      <c r="A137" t="s">
        <v>402</v>
      </c>
      <c r="B137" s="174">
        <v>200000</v>
      </c>
    </row>
    <row r="138" spans="1:2" x14ac:dyDescent="0.25">
      <c r="A138" t="s">
        <v>403</v>
      </c>
      <c r="B138" s="174">
        <v>300000</v>
      </c>
    </row>
    <row r="139" spans="1:2" x14ac:dyDescent="0.25">
      <c r="A139" t="s">
        <v>401</v>
      </c>
      <c r="B139" s="174">
        <v>100000</v>
      </c>
    </row>
    <row r="140" spans="1:2" x14ac:dyDescent="0.25">
      <c r="A140" t="s">
        <v>402</v>
      </c>
      <c r="B140" s="174">
        <v>200000</v>
      </c>
    </row>
    <row r="141" spans="1:2" x14ac:dyDescent="0.25">
      <c r="A141" t="s">
        <v>403</v>
      </c>
      <c r="B141" s="174">
        <v>300000</v>
      </c>
    </row>
    <row r="142" spans="1:2" x14ac:dyDescent="0.25">
      <c r="A142" t="s">
        <v>401</v>
      </c>
      <c r="B142" s="174">
        <v>100000</v>
      </c>
    </row>
    <row r="143" spans="1:2" x14ac:dyDescent="0.25">
      <c r="A143" t="s">
        <v>402</v>
      </c>
      <c r="B143" s="174">
        <v>200000</v>
      </c>
    </row>
    <row r="144" spans="1:2" x14ac:dyDescent="0.25">
      <c r="A144" t="s">
        <v>403</v>
      </c>
      <c r="B144" s="174">
        <v>300000</v>
      </c>
    </row>
    <row r="145" spans="1:2" x14ac:dyDescent="0.25">
      <c r="A145" t="s">
        <v>401</v>
      </c>
      <c r="B145" s="174">
        <v>100000</v>
      </c>
    </row>
    <row r="146" spans="1:2" x14ac:dyDescent="0.25">
      <c r="A146" t="s">
        <v>402</v>
      </c>
      <c r="B146" s="174">
        <v>200000</v>
      </c>
    </row>
    <row r="147" spans="1:2" x14ac:dyDescent="0.25">
      <c r="A147" t="s">
        <v>403</v>
      </c>
      <c r="B147" s="174">
        <v>300000</v>
      </c>
    </row>
    <row r="148" spans="1:2" x14ac:dyDescent="0.25">
      <c r="A148" t="s">
        <v>401</v>
      </c>
      <c r="B148" s="174">
        <v>100000</v>
      </c>
    </row>
    <row r="149" spans="1:2" x14ac:dyDescent="0.25">
      <c r="A149" t="s">
        <v>402</v>
      </c>
      <c r="B149" s="174">
        <v>200000</v>
      </c>
    </row>
    <row r="150" spans="1:2" x14ac:dyDescent="0.25">
      <c r="A150" t="s">
        <v>403</v>
      </c>
      <c r="B150" s="174">
        <v>300000</v>
      </c>
    </row>
    <row r="151" spans="1:2" x14ac:dyDescent="0.25">
      <c r="A151" t="s">
        <v>401</v>
      </c>
      <c r="B151" s="174">
        <v>100000</v>
      </c>
    </row>
    <row r="152" spans="1:2" x14ac:dyDescent="0.25">
      <c r="A152" t="s">
        <v>402</v>
      </c>
      <c r="B152" s="174">
        <v>200000</v>
      </c>
    </row>
    <row r="153" spans="1:2" x14ac:dyDescent="0.25">
      <c r="A153" t="s">
        <v>403</v>
      </c>
      <c r="B153" s="174">
        <v>300000</v>
      </c>
    </row>
    <row r="154" spans="1:2" x14ac:dyDescent="0.25">
      <c r="A154" t="s">
        <v>401</v>
      </c>
      <c r="B154" s="174">
        <v>100000</v>
      </c>
    </row>
    <row r="155" spans="1:2" x14ac:dyDescent="0.25">
      <c r="A155" t="s">
        <v>402</v>
      </c>
      <c r="B155" s="174">
        <v>200000</v>
      </c>
    </row>
    <row r="156" spans="1:2" x14ac:dyDescent="0.25">
      <c r="A156" t="s">
        <v>403</v>
      </c>
      <c r="B156" s="174">
        <v>300000</v>
      </c>
    </row>
    <row r="157" spans="1:2" x14ac:dyDescent="0.25">
      <c r="A157" t="s">
        <v>401</v>
      </c>
      <c r="B157" s="174">
        <v>100000</v>
      </c>
    </row>
    <row r="158" spans="1:2" x14ac:dyDescent="0.25">
      <c r="A158" t="s">
        <v>402</v>
      </c>
      <c r="B158" s="174">
        <v>200000</v>
      </c>
    </row>
    <row r="159" spans="1:2" x14ac:dyDescent="0.25">
      <c r="A159" t="s">
        <v>403</v>
      </c>
      <c r="B159" s="174">
        <v>300000</v>
      </c>
    </row>
    <row r="160" spans="1:2" x14ac:dyDescent="0.25">
      <c r="A160" t="s">
        <v>401</v>
      </c>
      <c r="B160" s="174">
        <v>100000</v>
      </c>
    </row>
    <row r="161" spans="1:2" x14ac:dyDescent="0.25">
      <c r="A161" t="s">
        <v>402</v>
      </c>
      <c r="B161" s="174">
        <v>200000</v>
      </c>
    </row>
    <row r="162" spans="1:2" x14ac:dyDescent="0.25">
      <c r="A162" t="s">
        <v>403</v>
      </c>
      <c r="B162" s="174">
        <v>300000</v>
      </c>
    </row>
    <row r="163" spans="1:2" x14ac:dyDescent="0.25">
      <c r="A163" t="s">
        <v>401</v>
      </c>
      <c r="B163" s="174">
        <v>100000</v>
      </c>
    </row>
    <row r="164" spans="1:2" x14ac:dyDescent="0.25">
      <c r="A164" t="s">
        <v>402</v>
      </c>
      <c r="B164" s="174">
        <v>200000</v>
      </c>
    </row>
    <row r="165" spans="1:2" x14ac:dyDescent="0.25">
      <c r="A165" t="s">
        <v>403</v>
      </c>
      <c r="B165" s="174">
        <v>300000</v>
      </c>
    </row>
    <row r="166" spans="1:2" x14ac:dyDescent="0.25">
      <c r="A166" t="s">
        <v>401</v>
      </c>
      <c r="B166" s="174">
        <v>100000</v>
      </c>
    </row>
    <row r="167" spans="1:2" x14ac:dyDescent="0.25">
      <c r="A167" t="s">
        <v>402</v>
      </c>
      <c r="B167" s="174">
        <v>200000</v>
      </c>
    </row>
    <row r="168" spans="1:2" x14ac:dyDescent="0.25">
      <c r="A168" t="s">
        <v>403</v>
      </c>
      <c r="B168" s="174">
        <v>300000</v>
      </c>
    </row>
    <row r="169" spans="1:2" x14ac:dyDescent="0.25">
      <c r="A169" t="s">
        <v>401</v>
      </c>
      <c r="B169" s="174">
        <v>100000</v>
      </c>
    </row>
    <row r="170" spans="1:2" x14ac:dyDescent="0.25">
      <c r="A170" t="s">
        <v>402</v>
      </c>
      <c r="B170" s="174">
        <v>200000</v>
      </c>
    </row>
    <row r="171" spans="1:2" x14ac:dyDescent="0.25">
      <c r="A171" t="s">
        <v>403</v>
      </c>
      <c r="B171" s="174">
        <v>300000</v>
      </c>
    </row>
    <row r="172" spans="1:2" x14ac:dyDescent="0.25">
      <c r="A172" t="s">
        <v>401</v>
      </c>
      <c r="B172" s="174">
        <v>100000</v>
      </c>
    </row>
    <row r="173" spans="1:2" x14ac:dyDescent="0.25">
      <c r="A173" t="s">
        <v>402</v>
      </c>
      <c r="B173" s="174">
        <v>200000</v>
      </c>
    </row>
    <row r="174" spans="1:2" x14ac:dyDescent="0.25">
      <c r="A174" t="s">
        <v>403</v>
      </c>
      <c r="B174" s="174">
        <v>300000</v>
      </c>
    </row>
    <row r="175" spans="1:2" x14ac:dyDescent="0.25">
      <c r="A175" t="s">
        <v>401</v>
      </c>
      <c r="B175" s="174">
        <v>100000</v>
      </c>
    </row>
    <row r="176" spans="1:2" x14ac:dyDescent="0.25">
      <c r="A176" t="s">
        <v>402</v>
      </c>
      <c r="B176" s="174">
        <v>200000</v>
      </c>
    </row>
    <row r="177" spans="1:2" x14ac:dyDescent="0.25">
      <c r="A177" t="s">
        <v>403</v>
      </c>
      <c r="B177" s="174">
        <v>300000</v>
      </c>
    </row>
    <row r="178" spans="1:2" x14ac:dyDescent="0.25">
      <c r="A178" t="s">
        <v>401</v>
      </c>
      <c r="B178" s="174">
        <v>100000</v>
      </c>
    </row>
    <row r="179" spans="1:2" x14ac:dyDescent="0.25">
      <c r="A179" t="s">
        <v>402</v>
      </c>
      <c r="B179" s="174">
        <v>200000</v>
      </c>
    </row>
    <row r="180" spans="1:2" x14ac:dyDescent="0.25">
      <c r="A180" t="s">
        <v>403</v>
      </c>
      <c r="B180" s="174">
        <v>300000</v>
      </c>
    </row>
    <row r="181" spans="1:2" x14ac:dyDescent="0.25">
      <c r="A181" t="s">
        <v>401</v>
      </c>
      <c r="B181" s="174">
        <v>100000</v>
      </c>
    </row>
    <row r="182" spans="1:2" x14ac:dyDescent="0.25">
      <c r="A182" t="s">
        <v>402</v>
      </c>
      <c r="B182" s="174">
        <v>200000</v>
      </c>
    </row>
    <row r="183" spans="1:2" x14ac:dyDescent="0.25">
      <c r="A183" t="s">
        <v>403</v>
      </c>
      <c r="B183" s="174">
        <v>300000</v>
      </c>
    </row>
    <row r="184" spans="1:2" x14ac:dyDescent="0.25">
      <c r="A184" t="s">
        <v>401</v>
      </c>
      <c r="B184" s="174">
        <v>100000</v>
      </c>
    </row>
    <row r="185" spans="1:2" x14ac:dyDescent="0.25">
      <c r="A185" t="s">
        <v>402</v>
      </c>
      <c r="B185" s="174">
        <v>200000</v>
      </c>
    </row>
    <row r="186" spans="1:2" x14ac:dyDescent="0.25">
      <c r="A186" t="s">
        <v>403</v>
      </c>
      <c r="B186" s="174">
        <v>300000</v>
      </c>
    </row>
    <row r="187" spans="1:2" x14ac:dyDescent="0.25">
      <c r="A187" t="s">
        <v>401</v>
      </c>
      <c r="B187" s="174">
        <v>100000</v>
      </c>
    </row>
    <row r="188" spans="1:2" x14ac:dyDescent="0.25">
      <c r="A188" t="s">
        <v>402</v>
      </c>
      <c r="B188" s="174">
        <v>200000</v>
      </c>
    </row>
    <row r="189" spans="1:2" x14ac:dyDescent="0.25">
      <c r="A189" t="s">
        <v>403</v>
      </c>
      <c r="B189" s="174">
        <v>300000</v>
      </c>
    </row>
    <row r="190" spans="1:2" x14ac:dyDescent="0.25">
      <c r="A190" t="s">
        <v>401</v>
      </c>
      <c r="B190" s="174">
        <v>100000</v>
      </c>
    </row>
    <row r="191" spans="1:2" x14ac:dyDescent="0.25">
      <c r="A191" t="s">
        <v>402</v>
      </c>
      <c r="B191" s="174">
        <v>200000</v>
      </c>
    </row>
    <row r="192" spans="1:2" x14ac:dyDescent="0.25">
      <c r="A192" t="s">
        <v>403</v>
      </c>
      <c r="B192" s="174">
        <v>300000</v>
      </c>
    </row>
    <row r="193" spans="1:2" x14ac:dyDescent="0.25">
      <c r="A193" t="s">
        <v>401</v>
      </c>
      <c r="B193" s="174">
        <v>100000</v>
      </c>
    </row>
    <row r="194" spans="1:2" x14ac:dyDescent="0.25">
      <c r="A194" t="s">
        <v>402</v>
      </c>
      <c r="B194" s="174">
        <v>200000</v>
      </c>
    </row>
    <row r="195" spans="1:2" x14ac:dyDescent="0.25">
      <c r="A195" t="s">
        <v>403</v>
      </c>
      <c r="B195" s="174">
        <v>300000</v>
      </c>
    </row>
    <row r="196" spans="1:2" x14ac:dyDescent="0.25">
      <c r="A196" t="s">
        <v>401</v>
      </c>
      <c r="B196" s="174">
        <v>100000</v>
      </c>
    </row>
    <row r="197" spans="1:2" x14ac:dyDescent="0.25">
      <c r="A197" t="s">
        <v>402</v>
      </c>
      <c r="B197" s="174">
        <v>200000</v>
      </c>
    </row>
    <row r="198" spans="1:2" x14ac:dyDescent="0.25">
      <c r="A198" t="s">
        <v>403</v>
      </c>
      <c r="B198" s="174">
        <v>300000</v>
      </c>
    </row>
    <row r="199" spans="1:2" x14ac:dyDescent="0.25">
      <c r="A199" t="s">
        <v>401</v>
      </c>
      <c r="B199" s="174">
        <v>100000</v>
      </c>
    </row>
    <row r="200" spans="1:2" x14ac:dyDescent="0.25">
      <c r="A200" t="s">
        <v>402</v>
      </c>
      <c r="B200" s="174">
        <v>200000</v>
      </c>
    </row>
    <row r="201" spans="1:2" x14ac:dyDescent="0.25">
      <c r="A201" t="s">
        <v>403</v>
      </c>
      <c r="B201" s="174">
        <v>300000</v>
      </c>
    </row>
    <row r="202" spans="1:2" x14ac:dyDescent="0.25">
      <c r="A202" t="s">
        <v>401</v>
      </c>
      <c r="B202" s="174">
        <v>100000</v>
      </c>
    </row>
    <row r="203" spans="1:2" x14ac:dyDescent="0.25">
      <c r="A203" t="s">
        <v>402</v>
      </c>
      <c r="B203" s="174">
        <v>200000</v>
      </c>
    </row>
    <row r="204" spans="1:2" x14ac:dyDescent="0.25">
      <c r="A204" t="s">
        <v>403</v>
      </c>
      <c r="B204" s="174">
        <v>300000</v>
      </c>
    </row>
    <row r="205" spans="1:2" x14ac:dyDescent="0.25">
      <c r="A205" t="s">
        <v>401</v>
      </c>
      <c r="B205" s="174">
        <v>100000</v>
      </c>
    </row>
    <row r="206" spans="1:2" x14ac:dyDescent="0.25">
      <c r="A206" t="s">
        <v>402</v>
      </c>
      <c r="B206" s="174">
        <v>200000</v>
      </c>
    </row>
    <row r="207" spans="1:2" x14ac:dyDescent="0.25">
      <c r="A207" t="s">
        <v>403</v>
      </c>
      <c r="B207" s="174">
        <v>300000</v>
      </c>
    </row>
    <row r="208" spans="1:2" x14ac:dyDescent="0.25">
      <c r="A208" t="s">
        <v>401</v>
      </c>
      <c r="B208" s="174">
        <v>100000</v>
      </c>
    </row>
    <row r="209" spans="1:2" x14ac:dyDescent="0.25">
      <c r="A209" t="s">
        <v>402</v>
      </c>
      <c r="B209" s="174">
        <v>200000</v>
      </c>
    </row>
    <row r="210" spans="1:2" x14ac:dyDescent="0.25">
      <c r="A210" t="s">
        <v>403</v>
      </c>
      <c r="B210" s="174">
        <v>300000</v>
      </c>
    </row>
    <row r="211" spans="1:2" x14ac:dyDescent="0.25">
      <c r="A211" t="s">
        <v>401</v>
      </c>
      <c r="B211" s="174">
        <v>100000</v>
      </c>
    </row>
    <row r="212" spans="1:2" x14ac:dyDescent="0.25">
      <c r="A212" t="s">
        <v>402</v>
      </c>
      <c r="B212" s="174">
        <v>200000</v>
      </c>
    </row>
    <row r="213" spans="1:2" x14ac:dyDescent="0.25">
      <c r="A213" t="s">
        <v>403</v>
      </c>
      <c r="B213" s="174">
        <v>300000</v>
      </c>
    </row>
    <row r="214" spans="1:2" x14ac:dyDescent="0.25">
      <c r="A214" t="s">
        <v>401</v>
      </c>
      <c r="B214" s="174">
        <v>100000</v>
      </c>
    </row>
    <row r="215" spans="1:2" x14ac:dyDescent="0.25">
      <c r="A215" t="s">
        <v>402</v>
      </c>
      <c r="B215" s="174">
        <v>200000</v>
      </c>
    </row>
    <row r="216" spans="1:2" x14ac:dyDescent="0.25">
      <c r="A216" t="s">
        <v>403</v>
      </c>
      <c r="B216" s="174">
        <v>300000</v>
      </c>
    </row>
    <row r="217" spans="1:2" x14ac:dyDescent="0.25">
      <c r="A217" t="s">
        <v>401</v>
      </c>
      <c r="B217" s="174">
        <v>100000</v>
      </c>
    </row>
    <row r="218" spans="1:2" x14ac:dyDescent="0.25">
      <c r="A218" t="s">
        <v>402</v>
      </c>
      <c r="B218" s="174">
        <v>200000</v>
      </c>
    </row>
    <row r="219" spans="1:2" x14ac:dyDescent="0.25">
      <c r="A219" t="s">
        <v>403</v>
      </c>
      <c r="B219" s="174">
        <v>300000</v>
      </c>
    </row>
    <row r="220" spans="1:2" x14ac:dyDescent="0.25">
      <c r="A220" t="s">
        <v>401</v>
      </c>
      <c r="B220" s="174">
        <v>100000</v>
      </c>
    </row>
    <row r="221" spans="1:2" x14ac:dyDescent="0.25">
      <c r="A221" t="s">
        <v>402</v>
      </c>
      <c r="B221" s="174">
        <v>200000</v>
      </c>
    </row>
    <row r="222" spans="1:2" x14ac:dyDescent="0.25">
      <c r="A222" t="s">
        <v>403</v>
      </c>
      <c r="B222" s="174">
        <v>300000</v>
      </c>
    </row>
    <row r="223" spans="1:2" x14ac:dyDescent="0.25">
      <c r="A223" t="s">
        <v>401</v>
      </c>
      <c r="B223" s="174">
        <v>100000</v>
      </c>
    </row>
    <row r="224" spans="1:2" x14ac:dyDescent="0.25">
      <c r="A224" t="s">
        <v>402</v>
      </c>
      <c r="B224" s="174">
        <v>200000</v>
      </c>
    </row>
    <row r="225" spans="1:2" x14ac:dyDescent="0.25">
      <c r="A225" t="s">
        <v>403</v>
      </c>
      <c r="B225" s="174">
        <v>300000</v>
      </c>
    </row>
    <row r="226" spans="1:2" x14ac:dyDescent="0.25">
      <c r="A226" t="s">
        <v>401</v>
      </c>
      <c r="B226" s="174">
        <v>100000</v>
      </c>
    </row>
    <row r="227" spans="1:2" x14ac:dyDescent="0.25">
      <c r="A227" t="s">
        <v>402</v>
      </c>
      <c r="B227" s="174">
        <v>200000</v>
      </c>
    </row>
    <row r="228" spans="1:2" x14ac:dyDescent="0.25">
      <c r="A228" t="s">
        <v>403</v>
      </c>
      <c r="B228" s="174">
        <v>300000</v>
      </c>
    </row>
    <row r="229" spans="1:2" x14ac:dyDescent="0.25">
      <c r="A229" t="s">
        <v>401</v>
      </c>
      <c r="B229" s="174">
        <v>100000</v>
      </c>
    </row>
    <row r="230" spans="1:2" x14ac:dyDescent="0.25">
      <c r="A230" t="s">
        <v>402</v>
      </c>
      <c r="B230" s="174">
        <v>200000</v>
      </c>
    </row>
    <row r="231" spans="1:2" x14ac:dyDescent="0.25">
      <c r="A231" t="s">
        <v>403</v>
      </c>
      <c r="B231" s="174">
        <v>300000</v>
      </c>
    </row>
    <row r="232" spans="1:2" x14ac:dyDescent="0.25">
      <c r="A232" t="s">
        <v>401</v>
      </c>
      <c r="B232" s="174">
        <v>100000</v>
      </c>
    </row>
    <row r="233" spans="1:2" x14ac:dyDescent="0.25">
      <c r="A233" t="s">
        <v>402</v>
      </c>
      <c r="B233" s="174">
        <v>200000</v>
      </c>
    </row>
    <row r="234" spans="1:2" x14ac:dyDescent="0.25">
      <c r="A234" t="s">
        <v>403</v>
      </c>
      <c r="B234" s="174">
        <v>300000</v>
      </c>
    </row>
    <row r="235" spans="1:2" x14ac:dyDescent="0.25">
      <c r="A235" t="s">
        <v>401</v>
      </c>
      <c r="B235" s="174">
        <v>100000</v>
      </c>
    </row>
    <row r="236" spans="1:2" x14ac:dyDescent="0.25">
      <c r="A236" t="s">
        <v>402</v>
      </c>
      <c r="B236" s="174">
        <v>200000</v>
      </c>
    </row>
    <row r="237" spans="1:2" x14ac:dyDescent="0.25">
      <c r="A237" t="s">
        <v>403</v>
      </c>
      <c r="B237" s="174">
        <v>300000</v>
      </c>
    </row>
    <row r="238" spans="1:2" x14ac:dyDescent="0.25">
      <c r="A238" t="s">
        <v>401</v>
      </c>
      <c r="B238" s="174">
        <v>100000</v>
      </c>
    </row>
    <row r="239" spans="1:2" x14ac:dyDescent="0.25">
      <c r="A239" t="s">
        <v>402</v>
      </c>
      <c r="B239" s="174">
        <v>200000</v>
      </c>
    </row>
    <row r="240" spans="1:2" x14ac:dyDescent="0.25">
      <c r="A240" t="s">
        <v>403</v>
      </c>
      <c r="B240" s="174">
        <v>300000</v>
      </c>
    </row>
    <row r="241" spans="1:2" x14ac:dyDescent="0.25">
      <c r="A241" t="s">
        <v>401</v>
      </c>
      <c r="B241" s="174">
        <v>100000</v>
      </c>
    </row>
    <row r="242" spans="1:2" x14ac:dyDescent="0.25">
      <c r="A242" t="s">
        <v>402</v>
      </c>
      <c r="B242" s="174">
        <v>200000</v>
      </c>
    </row>
    <row r="243" spans="1:2" x14ac:dyDescent="0.25">
      <c r="A243" t="s">
        <v>403</v>
      </c>
      <c r="B243" s="174">
        <v>300000</v>
      </c>
    </row>
    <row r="244" spans="1:2" x14ac:dyDescent="0.25">
      <c r="A244" t="s">
        <v>401</v>
      </c>
      <c r="B244" s="174">
        <v>100000</v>
      </c>
    </row>
    <row r="245" spans="1:2" x14ac:dyDescent="0.25">
      <c r="A245" t="s">
        <v>402</v>
      </c>
      <c r="B245" s="174">
        <v>200000</v>
      </c>
    </row>
    <row r="246" spans="1:2" x14ac:dyDescent="0.25">
      <c r="A246" t="s">
        <v>403</v>
      </c>
      <c r="B246" s="174">
        <v>300000</v>
      </c>
    </row>
    <row r="247" spans="1:2" x14ac:dyDescent="0.25">
      <c r="A247" t="s">
        <v>401</v>
      </c>
      <c r="B247" s="174">
        <v>100000</v>
      </c>
    </row>
    <row r="248" spans="1:2" x14ac:dyDescent="0.25">
      <c r="A248" t="s">
        <v>402</v>
      </c>
      <c r="B248" s="174">
        <v>200000</v>
      </c>
    </row>
    <row r="249" spans="1:2" x14ac:dyDescent="0.25">
      <c r="A249" t="s">
        <v>403</v>
      </c>
      <c r="B249" s="174">
        <v>300000</v>
      </c>
    </row>
    <row r="250" spans="1:2" x14ac:dyDescent="0.25">
      <c r="A250" t="s">
        <v>401</v>
      </c>
      <c r="B250" s="174">
        <v>100000</v>
      </c>
    </row>
    <row r="251" spans="1:2" x14ac:dyDescent="0.25">
      <c r="A251" t="s">
        <v>402</v>
      </c>
      <c r="B251" s="174">
        <v>200000</v>
      </c>
    </row>
    <row r="252" spans="1:2" x14ac:dyDescent="0.25">
      <c r="A252" t="s">
        <v>403</v>
      </c>
      <c r="B252" s="174">
        <v>300000</v>
      </c>
    </row>
    <row r="253" spans="1:2" x14ac:dyDescent="0.25">
      <c r="A253" t="s">
        <v>401</v>
      </c>
      <c r="B253" s="174">
        <v>100000</v>
      </c>
    </row>
    <row r="254" spans="1:2" x14ac:dyDescent="0.25">
      <c r="A254" t="s">
        <v>402</v>
      </c>
      <c r="B254" s="174">
        <v>200000</v>
      </c>
    </row>
    <row r="255" spans="1:2" x14ac:dyDescent="0.25">
      <c r="A255" t="s">
        <v>403</v>
      </c>
      <c r="B255" s="174">
        <v>300000</v>
      </c>
    </row>
    <row r="256" spans="1:2" x14ac:dyDescent="0.25">
      <c r="A256" t="s">
        <v>401</v>
      </c>
      <c r="B256" s="174">
        <v>100000</v>
      </c>
    </row>
    <row r="257" spans="1:2" x14ac:dyDescent="0.25">
      <c r="A257" t="s">
        <v>402</v>
      </c>
      <c r="B257" s="174">
        <v>200000</v>
      </c>
    </row>
    <row r="258" spans="1:2" x14ac:dyDescent="0.25">
      <c r="A258" t="s">
        <v>403</v>
      </c>
      <c r="B258" s="174">
        <v>300000</v>
      </c>
    </row>
    <row r="259" spans="1:2" x14ac:dyDescent="0.25">
      <c r="A259" t="s">
        <v>401</v>
      </c>
      <c r="B259" s="174">
        <v>100000</v>
      </c>
    </row>
    <row r="260" spans="1:2" x14ac:dyDescent="0.25">
      <c r="A260" t="s">
        <v>402</v>
      </c>
      <c r="B260" s="174">
        <v>200000</v>
      </c>
    </row>
    <row r="261" spans="1:2" x14ac:dyDescent="0.25">
      <c r="A261" t="s">
        <v>403</v>
      </c>
      <c r="B261" s="174">
        <v>300000</v>
      </c>
    </row>
    <row r="262" spans="1:2" x14ac:dyDescent="0.25">
      <c r="A262" t="s">
        <v>401</v>
      </c>
      <c r="B262" s="174">
        <v>100000</v>
      </c>
    </row>
    <row r="263" spans="1:2" x14ac:dyDescent="0.25">
      <c r="A263" t="s">
        <v>402</v>
      </c>
      <c r="B263" s="174">
        <v>200000</v>
      </c>
    </row>
    <row r="264" spans="1:2" x14ac:dyDescent="0.25">
      <c r="A264" t="s">
        <v>403</v>
      </c>
      <c r="B264" s="174">
        <v>300000</v>
      </c>
    </row>
    <row r="265" spans="1:2" x14ac:dyDescent="0.25">
      <c r="A265" t="s">
        <v>401</v>
      </c>
      <c r="B265" s="174">
        <v>100000</v>
      </c>
    </row>
    <row r="266" spans="1:2" x14ac:dyDescent="0.25">
      <c r="A266" t="s">
        <v>402</v>
      </c>
      <c r="B266" s="174">
        <v>200000</v>
      </c>
    </row>
    <row r="267" spans="1:2" x14ac:dyDescent="0.25">
      <c r="A267" t="s">
        <v>403</v>
      </c>
      <c r="B267" s="174">
        <v>300000</v>
      </c>
    </row>
    <row r="268" spans="1:2" x14ac:dyDescent="0.25">
      <c r="A268" t="s">
        <v>401</v>
      </c>
      <c r="B268" s="174">
        <v>100000</v>
      </c>
    </row>
    <row r="269" spans="1:2" x14ac:dyDescent="0.25">
      <c r="A269" t="s">
        <v>402</v>
      </c>
      <c r="B269" s="174">
        <v>200000</v>
      </c>
    </row>
    <row r="270" spans="1:2" x14ac:dyDescent="0.25">
      <c r="A270" t="s">
        <v>403</v>
      </c>
      <c r="B270" s="174">
        <v>300000</v>
      </c>
    </row>
    <row r="271" spans="1:2" x14ac:dyDescent="0.25">
      <c r="A271" t="s">
        <v>401</v>
      </c>
      <c r="B271" s="174">
        <v>100000</v>
      </c>
    </row>
    <row r="272" spans="1:2" x14ac:dyDescent="0.25">
      <c r="A272" t="s">
        <v>402</v>
      </c>
      <c r="B272" s="174">
        <v>200000</v>
      </c>
    </row>
    <row r="273" spans="1:2" x14ac:dyDescent="0.25">
      <c r="A273" t="s">
        <v>403</v>
      </c>
      <c r="B273" s="174">
        <v>300000</v>
      </c>
    </row>
    <row r="274" spans="1:2" x14ac:dyDescent="0.25">
      <c r="A274" t="s">
        <v>401</v>
      </c>
      <c r="B274" s="174">
        <v>100000</v>
      </c>
    </row>
    <row r="275" spans="1:2" x14ac:dyDescent="0.25">
      <c r="A275" t="s">
        <v>402</v>
      </c>
      <c r="B275" s="174">
        <v>200000</v>
      </c>
    </row>
    <row r="276" spans="1:2" x14ac:dyDescent="0.25">
      <c r="A276" t="s">
        <v>403</v>
      </c>
      <c r="B276" s="174">
        <v>300000</v>
      </c>
    </row>
    <row r="277" spans="1:2" x14ac:dyDescent="0.25">
      <c r="A277" t="s">
        <v>401</v>
      </c>
      <c r="B277" s="174">
        <v>100000</v>
      </c>
    </row>
    <row r="278" spans="1:2" x14ac:dyDescent="0.25">
      <c r="A278" t="s">
        <v>402</v>
      </c>
      <c r="B278" s="174">
        <v>200000</v>
      </c>
    </row>
    <row r="279" spans="1:2" x14ac:dyDescent="0.25">
      <c r="A279" t="s">
        <v>403</v>
      </c>
      <c r="B279" s="174">
        <v>300000</v>
      </c>
    </row>
    <row r="280" spans="1:2" x14ac:dyDescent="0.25">
      <c r="A280" t="s">
        <v>401</v>
      </c>
      <c r="B280" s="174">
        <v>100000</v>
      </c>
    </row>
    <row r="281" spans="1:2" x14ac:dyDescent="0.25">
      <c r="A281" t="s">
        <v>402</v>
      </c>
      <c r="B281" s="174">
        <v>200000</v>
      </c>
    </row>
    <row r="282" spans="1:2" x14ac:dyDescent="0.25">
      <c r="A282" t="s">
        <v>403</v>
      </c>
      <c r="B282" s="174">
        <v>300000</v>
      </c>
    </row>
    <row r="283" spans="1:2" x14ac:dyDescent="0.25">
      <c r="A283" t="s">
        <v>401</v>
      </c>
      <c r="B283" s="174">
        <v>100000</v>
      </c>
    </row>
    <row r="284" spans="1:2" x14ac:dyDescent="0.25">
      <c r="A284" t="s">
        <v>402</v>
      </c>
      <c r="B284" s="174">
        <v>200000</v>
      </c>
    </row>
    <row r="285" spans="1:2" x14ac:dyDescent="0.25">
      <c r="A285" t="s">
        <v>403</v>
      </c>
      <c r="B285" s="174">
        <v>300000</v>
      </c>
    </row>
    <row r="286" spans="1:2" x14ac:dyDescent="0.25">
      <c r="A286" t="s">
        <v>401</v>
      </c>
      <c r="B286" s="174">
        <v>100000</v>
      </c>
    </row>
    <row r="287" spans="1:2" x14ac:dyDescent="0.25">
      <c r="A287" t="s">
        <v>402</v>
      </c>
      <c r="B287" s="174">
        <v>200000</v>
      </c>
    </row>
    <row r="288" spans="1:2" x14ac:dyDescent="0.25">
      <c r="A288" t="s">
        <v>403</v>
      </c>
      <c r="B288" s="174">
        <v>300000</v>
      </c>
    </row>
    <row r="289" spans="1:2" x14ac:dyDescent="0.25">
      <c r="A289" t="s">
        <v>401</v>
      </c>
      <c r="B289" s="174">
        <v>100000</v>
      </c>
    </row>
    <row r="290" spans="1:2" x14ac:dyDescent="0.25">
      <c r="A290" t="s">
        <v>402</v>
      </c>
      <c r="B290" s="174">
        <v>200000</v>
      </c>
    </row>
    <row r="291" spans="1:2" x14ac:dyDescent="0.25">
      <c r="A291" t="s">
        <v>403</v>
      </c>
      <c r="B291" s="174">
        <v>300000</v>
      </c>
    </row>
    <row r="292" spans="1:2" x14ac:dyDescent="0.25">
      <c r="A292" t="s">
        <v>401</v>
      </c>
      <c r="B292" s="174">
        <v>100000</v>
      </c>
    </row>
    <row r="293" spans="1:2" x14ac:dyDescent="0.25">
      <c r="A293" t="s">
        <v>402</v>
      </c>
      <c r="B293" s="174">
        <v>200000</v>
      </c>
    </row>
    <row r="294" spans="1:2" x14ac:dyDescent="0.25">
      <c r="A294" t="s">
        <v>403</v>
      </c>
      <c r="B294" s="174">
        <v>300000</v>
      </c>
    </row>
    <row r="295" spans="1:2" x14ac:dyDescent="0.25">
      <c r="A295" t="s">
        <v>401</v>
      </c>
      <c r="B295" s="174">
        <v>100000</v>
      </c>
    </row>
    <row r="296" spans="1:2" x14ac:dyDescent="0.25">
      <c r="A296" t="s">
        <v>402</v>
      </c>
      <c r="B296" s="174">
        <v>200000</v>
      </c>
    </row>
    <row r="297" spans="1:2" x14ac:dyDescent="0.25">
      <c r="A297" t="s">
        <v>403</v>
      </c>
      <c r="B297" s="174">
        <v>300000</v>
      </c>
    </row>
    <row r="298" spans="1:2" x14ac:dyDescent="0.25">
      <c r="A298" t="s">
        <v>401</v>
      </c>
      <c r="B298" s="174">
        <v>100000</v>
      </c>
    </row>
    <row r="299" spans="1:2" x14ac:dyDescent="0.25">
      <c r="A299" t="s">
        <v>402</v>
      </c>
      <c r="B299" s="174">
        <v>200000</v>
      </c>
    </row>
    <row r="300" spans="1:2" x14ac:dyDescent="0.25">
      <c r="A300" t="s">
        <v>403</v>
      </c>
      <c r="B300" s="174">
        <v>300000</v>
      </c>
    </row>
    <row r="301" spans="1:2" x14ac:dyDescent="0.25">
      <c r="A301" t="s">
        <v>401</v>
      </c>
      <c r="B301" s="174">
        <v>100000</v>
      </c>
    </row>
    <row r="302" spans="1:2" x14ac:dyDescent="0.25">
      <c r="A302" t="s">
        <v>402</v>
      </c>
      <c r="B302" s="174">
        <v>200000</v>
      </c>
    </row>
    <row r="303" spans="1:2" x14ac:dyDescent="0.25">
      <c r="A303" t="s">
        <v>403</v>
      </c>
      <c r="B303" s="174">
        <v>300000</v>
      </c>
    </row>
    <row r="304" spans="1:2" x14ac:dyDescent="0.25">
      <c r="A304" t="s">
        <v>401</v>
      </c>
      <c r="B304" s="174">
        <v>100000</v>
      </c>
    </row>
    <row r="305" spans="1:2" x14ac:dyDescent="0.25">
      <c r="A305" t="s">
        <v>402</v>
      </c>
      <c r="B305" s="174">
        <v>200000</v>
      </c>
    </row>
    <row r="306" spans="1:2" x14ac:dyDescent="0.25">
      <c r="A306" t="s">
        <v>403</v>
      </c>
      <c r="B306" s="174">
        <v>300000</v>
      </c>
    </row>
    <row r="307" spans="1:2" x14ac:dyDescent="0.25">
      <c r="A307" t="s">
        <v>401</v>
      </c>
      <c r="B307" s="174">
        <v>100000</v>
      </c>
    </row>
    <row r="308" spans="1:2" x14ac:dyDescent="0.25">
      <c r="A308" t="s">
        <v>402</v>
      </c>
      <c r="B308" s="174">
        <v>200000</v>
      </c>
    </row>
    <row r="309" spans="1:2" x14ac:dyDescent="0.25">
      <c r="A309" t="s">
        <v>403</v>
      </c>
      <c r="B309" s="174">
        <v>300000</v>
      </c>
    </row>
    <row r="310" spans="1:2" x14ac:dyDescent="0.25">
      <c r="A310" t="s">
        <v>401</v>
      </c>
      <c r="B310" s="174">
        <v>100000</v>
      </c>
    </row>
    <row r="311" spans="1:2" x14ac:dyDescent="0.25">
      <c r="A311" t="s">
        <v>402</v>
      </c>
      <c r="B311" s="174">
        <v>200000</v>
      </c>
    </row>
    <row r="312" spans="1:2" x14ac:dyDescent="0.25">
      <c r="A312" t="s">
        <v>403</v>
      </c>
      <c r="B312" s="174">
        <v>300000</v>
      </c>
    </row>
    <row r="313" spans="1:2" x14ac:dyDescent="0.25">
      <c r="A313" t="s">
        <v>401</v>
      </c>
      <c r="B313" s="174">
        <v>100000</v>
      </c>
    </row>
    <row r="314" spans="1:2" x14ac:dyDescent="0.25">
      <c r="A314" t="s">
        <v>402</v>
      </c>
      <c r="B314" s="174">
        <v>200000</v>
      </c>
    </row>
    <row r="315" spans="1:2" x14ac:dyDescent="0.25">
      <c r="A315" t="s">
        <v>403</v>
      </c>
      <c r="B315" s="174">
        <v>300000</v>
      </c>
    </row>
    <row r="316" spans="1:2" x14ac:dyDescent="0.25">
      <c r="A316" t="s">
        <v>401</v>
      </c>
      <c r="B316" s="174">
        <v>100000</v>
      </c>
    </row>
    <row r="317" spans="1:2" x14ac:dyDescent="0.25">
      <c r="A317" t="s">
        <v>402</v>
      </c>
      <c r="B317" s="174">
        <v>200000</v>
      </c>
    </row>
    <row r="318" spans="1:2" x14ac:dyDescent="0.25">
      <c r="A318" t="s">
        <v>403</v>
      </c>
      <c r="B318" s="174">
        <v>300000</v>
      </c>
    </row>
    <row r="319" spans="1:2" x14ac:dyDescent="0.25">
      <c r="A319" t="s">
        <v>401</v>
      </c>
      <c r="B319" s="174">
        <v>100000</v>
      </c>
    </row>
    <row r="320" spans="1:2" x14ac:dyDescent="0.25">
      <c r="A320" t="s">
        <v>402</v>
      </c>
      <c r="B320" s="174">
        <v>200000</v>
      </c>
    </row>
    <row r="321" spans="1:2" x14ac:dyDescent="0.25">
      <c r="A321" t="s">
        <v>403</v>
      </c>
      <c r="B321" s="174">
        <v>300000</v>
      </c>
    </row>
    <row r="322" spans="1:2" x14ac:dyDescent="0.25">
      <c r="A322" t="s">
        <v>401</v>
      </c>
      <c r="B322" s="174">
        <v>100000</v>
      </c>
    </row>
    <row r="323" spans="1:2" x14ac:dyDescent="0.25">
      <c r="A323" t="s">
        <v>402</v>
      </c>
      <c r="B323" s="174">
        <v>200000</v>
      </c>
    </row>
    <row r="324" spans="1:2" x14ac:dyDescent="0.25">
      <c r="A324" t="s">
        <v>403</v>
      </c>
      <c r="B324" s="174">
        <v>300000</v>
      </c>
    </row>
    <row r="325" spans="1:2" x14ac:dyDescent="0.25">
      <c r="A325" t="s">
        <v>401</v>
      </c>
      <c r="B325" s="174">
        <v>100000</v>
      </c>
    </row>
    <row r="326" spans="1:2" x14ac:dyDescent="0.25">
      <c r="A326" t="s">
        <v>402</v>
      </c>
      <c r="B326" s="174">
        <v>200000</v>
      </c>
    </row>
    <row r="327" spans="1:2" x14ac:dyDescent="0.25">
      <c r="A327" t="s">
        <v>403</v>
      </c>
      <c r="B327" s="174">
        <v>300000</v>
      </c>
    </row>
    <row r="328" spans="1:2" x14ac:dyDescent="0.25">
      <c r="A328" t="s">
        <v>401</v>
      </c>
      <c r="B328" s="174">
        <v>100000</v>
      </c>
    </row>
    <row r="329" spans="1:2" x14ac:dyDescent="0.25">
      <c r="A329" t="s">
        <v>402</v>
      </c>
      <c r="B329" s="174">
        <v>200000</v>
      </c>
    </row>
    <row r="330" spans="1:2" x14ac:dyDescent="0.25">
      <c r="A330" t="s">
        <v>403</v>
      </c>
      <c r="B330" s="174">
        <v>300000</v>
      </c>
    </row>
    <row r="331" spans="1:2" x14ac:dyDescent="0.25">
      <c r="A331" t="s">
        <v>401</v>
      </c>
      <c r="B331" s="174">
        <v>100000</v>
      </c>
    </row>
    <row r="332" spans="1:2" x14ac:dyDescent="0.25">
      <c r="A332" t="s">
        <v>402</v>
      </c>
      <c r="B332" s="174">
        <v>200000</v>
      </c>
    </row>
    <row r="333" spans="1:2" x14ac:dyDescent="0.25">
      <c r="A333" t="s">
        <v>403</v>
      </c>
      <c r="B333" s="174">
        <v>300000</v>
      </c>
    </row>
    <row r="334" spans="1:2" x14ac:dyDescent="0.25">
      <c r="A334" t="s">
        <v>401</v>
      </c>
      <c r="B334" s="174">
        <v>100000</v>
      </c>
    </row>
    <row r="335" spans="1:2" x14ac:dyDescent="0.25">
      <c r="A335" t="s">
        <v>402</v>
      </c>
      <c r="B335" s="174">
        <v>200000</v>
      </c>
    </row>
    <row r="336" spans="1:2" x14ac:dyDescent="0.25">
      <c r="A336" t="s">
        <v>403</v>
      </c>
      <c r="B336" s="174">
        <v>300000</v>
      </c>
    </row>
    <row r="337" spans="1:2" x14ac:dyDescent="0.25">
      <c r="A337" t="s">
        <v>401</v>
      </c>
      <c r="B337" s="174">
        <v>100000</v>
      </c>
    </row>
    <row r="338" spans="1:2" x14ac:dyDescent="0.25">
      <c r="A338" t="s">
        <v>402</v>
      </c>
      <c r="B338" s="174">
        <v>200000</v>
      </c>
    </row>
    <row r="339" spans="1:2" x14ac:dyDescent="0.25">
      <c r="A339" t="s">
        <v>403</v>
      </c>
      <c r="B339" s="174">
        <v>300000</v>
      </c>
    </row>
    <row r="340" spans="1:2" x14ac:dyDescent="0.25">
      <c r="A340" t="s">
        <v>401</v>
      </c>
      <c r="B340" s="174">
        <v>100000</v>
      </c>
    </row>
    <row r="341" spans="1:2" x14ac:dyDescent="0.25">
      <c r="A341" t="s">
        <v>402</v>
      </c>
      <c r="B341" s="174">
        <v>200000</v>
      </c>
    </row>
    <row r="342" spans="1:2" x14ac:dyDescent="0.25">
      <c r="A342" t="s">
        <v>403</v>
      </c>
      <c r="B342" s="174">
        <v>300000</v>
      </c>
    </row>
    <row r="343" spans="1:2" x14ac:dyDescent="0.25">
      <c r="A343" t="s">
        <v>401</v>
      </c>
      <c r="B343" s="174">
        <v>100000</v>
      </c>
    </row>
    <row r="344" spans="1:2" x14ac:dyDescent="0.25">
      <c r="A344" t="s">
        <v>402</v>
      </c>
      <c r="B344" s="174">
        <v>200000</v>
      </c>
    </row>
    <row r="345" spans="1:2" x14ac:dyDescent="0.25">
      <c r="A345" t="s">
        <v>403</v>
      </c>
      <c r="B345" s="174">
        <v>300000</v>
      </c>
    </row>
    <row r="346" spans="1:2" x14ac:dyDescent="0.25">
      <c r="A346" t="s">
        <v>401</v>
      </c>
      <c r="B346" s="174">
        <v>100000</v>
      </c>
    </row>
    <row r="347" spans="1:2" x14ac:dyDescent="0.25">
      <c r="A347" t="s">
        <v>402</v>
      </c>
      <c r="B347" s="174">
        <v>200000</v>
      </c>
    </row>
    <row r="348" spans="1:2" x14ac:dyDescent="0.25">
      <c r="A348" t="s">
        <v>403</v>
      </c>
      <c r="B348" s="174">
        <v>300000</v>
      </c>
    </row>
    <row r="349" spans="1:2" x14ac:dyDescent="0.25">
      <c r="A349" t="s">
        <v>401</v>
      </c>
      <c r="B349" s="174">
        <v>100000</v>
      </c>
    </row>
    <row r="350" spans="1:2" x14ac:dyDescent="0.25">
      <c r="A350" t="s">
        <v>402</v>
      </c>
      <c r="B350" s="174">
        <v>200000</v>
      </c>
    </row>
    <row r="351" spans="1:2" x14ac:dyDescent="0.25">
      <c r="A351" t="s">
        <v>403</v>
      </c>
      <c r="B351" s="174">
        <v>300000</v>
      </c>
    </row>
    <row r="352" spans="1:2" x14ac:dyDescent="0.25">
      <c r="A352" t="s">
        <v>401</v>
      </c>
      <c r="B352" s="174">
        <v>100000</v>
      </c>
    </row>
    <row r="353" spans="1:2" x14ac:dyDescent="0.25">
      <c r="A353" t="s">
        <v>402</v>
      </c>
      <c r="B353" s="174">
        <v>200000</v>
      </c>
    </row>
    <row r="354" spans="1:2" x14ac:dyDescent="0.25">
      <c r="A354" t="s">
        <v>403</v>
      </c>
      <c r="B354" s="174">
        <v>300000</v>
      </c>
    </row>
    <row r="355" spans="1:2" x14ac:dyDescent="0.25">
      <c r="A355" t="s">
        <v>401</v>
      </c>
      <c r="B355" s="174">
        <v>100000</v>
      </c>
    </row>
    <row r="356" spans="1:2" x14ac:dyDescent="0.25">
      <c r="A356" t="s">
        <v>402</v>
      </c>
      <c r="B356" s="174">
        <v>200000</v>
      </c>
    </row>
    <row r="357" spans="1:2" x14ac:dyDescent="0.25">
      <c r="A357" t="s">
        <v>403</v>
      </c>
      <c r="B357" s="174">
        <v>300000</v>
      </c>
    </row>
    <row r="358" spans="1:2" x14ac:dyDescent="0.25">
      <c r="A358" t="s">
        <v>401</v>
      </c>
      <c r="B358" s="174">
        <v>100000</v>
      </c>
    </row>
    <row r="359" spans="1:2" x14ac:dyDescent="0.25">
      <c r="A359" t="s">
        <v>402</v>
      </c>
      <c r="B359" s="174">
        <v>200000</v>
      </c>
    </row>
    <row r="360" spans="1:2" x14ac:dyDescent="0.25">
      <c r="A360" t="s">
        <v>403</v>
      </c>
      <c r="B360" s="174">
        <v>300000</v>
      </c>
    </row>
    <row r="361" spans="1:2" x14ac:dyDescent="0.25">
      <c r="A361" t="s">
        <v>401</v>
      </c>
      <c r="B361" s="174">
        <v>100000</v>
      </c>
    </row>
    <row r="362" spans="1:2" x14ac:dyDescent="0.25">
      <c r="A362" t="s">
        <v>402</v>
      </c>
      <c r="B362" s="174">
        <v>200000</v>
      </c>
    </row>
    <row r="363" spans="1:2" x14ac:dyDescent="0.25">
      <c r="A363" t="s">
        <v>403</v>
      </c>
      <c r="B363" s="174">
        <v>300000</v>
      </c>
    </row>
    <row r="364" spans="1:2" x14ac:dyDescent="0.25">
      <c r="A364" t="s">
        <v>401</v>
      </c>
      <c r="B364" s="174">
        <v>100000</v>
      </c>
    </row>
    <row r="365" spans="1:2" x14ac:dyDescent="0.25">
      <c r="A365" t="s">
        <v>402</v>
      </c>
      <c r="B365" s="174">
        <v>200000</v>
      </c>
    </row>
    <row r="366" spans="1:2" x14ac:dyDescent="0.25">
      <c r="A366" t="s">
        <v>403</v>
      </c>
      <c r="B366" s="174">
        <v>300000</v>
      </c>
    </row>
    <row r="367" spans="1:2" x14ac:dyDescent="0.25">
      <c r="A367" t="s">
        <v>401</v>
      </c>
      <c r="B367" s="174">
        <v>100000</v>
      </c>
    </row>
    <row r="368" spans="1:2" x14ac:dyDescent="0.25">
      <c r="A368" t="s">
        <v>402</v>
      </c>
      <c r="B368" s="174">
        <v>200000</v>
      </c>
    </row>
    <row r="369" spans="1:2" x14ac:dyDescent="0.25">
      <c r="A369" t="s">
        <v>403</v>
      </c>
      <c r="B369" s="174">
        <v>300000</v>
      </c>
    </row>
    <row r="370" spans="1:2" x14ac:dyDescent="0.25">
      <c r="A370" t="s">
        <v>401</v>
      </c>
      <c r="B370" s="174">
        <v>100000</v>
      </c>
    </row>
    <row r="371" spans="1:2" x14ac:dyDescent="0.25">
      <c r="A371" t="s">
        <v>402</v>
      </c>
      <c r="B371" s="174">
        <v>200000</v>
      </c>
    </row>
    <row r="372" spans="1:2" x14ac:dyDescent="0.25">
      <c r="A372" t="s">
        <v>403</v>
      </c>
      <c r="B372" s="174">
        <v>300000</v>
      </c>
    </row>
    <row r="373" spans="1:2" x14ac:dyDescent="0.25">
      <c r="A373" t="s">
        <v>401</v>
      </c>
      <c r="B373" s="174">
        <v>100000</v>
      </c>
    </row>
    <row r="374" spans="1:2" x14ac:dyDescent="0.25">
      <c r="A374" t="s">
        <v>402</v>
      </c>
      <c r="B374" s="174">
        <v>200000</v>
      </c>
    </row>
    <row r="375" spans="1:2" x14ac:dyDescent="0.25">
      <c r="A375" t="s">
        <v>403</v>
      </c>
      <c r="B375" s="174">
        <v>300000</v>
      </c>
    </row>
    <row r="376" spans="1:2" x14ac:dyDescent="0.25">
      <c r="A376" t="s">
        <v>401</v>
      </c>
      <c r="B376" s="174">
        <v>100000</v>
      </c>
    </row>
    <row r="377" spans="1:2" x14ac:dyDescent="0.25">
      <c r="A377" t="s">
        <v>402</v>
      </c>
      <c r="B377" s="174">
        <v>200000</v>
      </c>
    </row>
    <row r="378" spans="1:2" x14ac:dyDescent="0.25">
      <c r="A378" t="s">
        <v>403</v>
      </c>
      <c r="B378" s="174">
        <v>300000</v>
      </c>
    </row>
    <row r="379" spans="1:2" x14ac:dyDescent="0.25">
      <c r="A379" t="s">
        <v>401</v>
      </c>
      <c r="B379" s="174">
        <v>100000</v>
      </c>
    </row>
    <row r="380" spans="1:2" x14ac:dyDescent="0.25">
      <c r="A380" t="s">
        <v>402</v>
      </c>
      <c r="B380" s="174">
        <v>200000</v>
      </c>
    </row>
    <row r="381" spans="1:2" x14ac:dyDescent="0.25">
      <c r="A381" t="s">
        <v>403</v>
      </c>
      <c r="B381" s="174">
        <v>300000</v>
      </c>
    </row>
    <row r="382" spans="1:2" x14ac:dyDescent="0.25">
      <c r="A382" t="s">
        <v>401</v>
      </c>
      <c r="B382" s="174">
        <v>100000</v>
      </c>
    </row>
    <row r="383" spans="1:2" x14ac:dyDescent="0.25">
      <c r="A383" t="s">
        <v>402</v>
      </c>
      <c r="B383" s="174">
        <v>200000</v>
      </c>
    </row>
    <row r="384" spans="1:2" x14ac:dyDescent="0.25">
      <c r="A384" t="s">
        <v>403</v>
      </c>
      <c r="B384" s="174">
        <v>300000</v>
      </c>
    </row>
    <row r="385" spans="1:2" x14ac:dyDescent="0.25">
      <c r="A385" t="s">
        <v>401</v>
      </c>
      <c r="B385" s="174">
        <v>100000</v>
      </c>
    </row>
    <row r="386" spans="1:2" x14ac:dyDescent="0.25">
      <c r="A386" t="s">
        <v>402</v>
      </c>
      <c r="B386" s="174">
        <v>200000</v>
      </c>
    </row>
    <row r="387" spans="1:2" x14ac:dyDescent="0.25">
      <c r="A387" t="s">
        <v>403</v>
      </c>
      <c r="B387" s="174">
        <v>300000</v>
      </c>
    </row>
    <row r="388" spans="1:2" x14ac:dyDescent="0.25">
      <c r="A388" t="s">
        <v>401</v>
      </c>
      <c r="B388" s="174">
        <v>100000</v>
      </c>
    </row>
    <row r="389" spans="1:2" x14ac:dyDescent="0.25">
      <c r="A389" t="s">
        <v>402</v>
      </c>
      <c r="B389" s="174">
        <v>200000</v>
      </c>
    </row>
    <row r="390" spans="1:2" x14ac:dyDescent="0.25">
      <c r="A390" t="s">
        <v>403</v>
      </c>
      <c r="B390" s="174">
        <v>300000</v>
      </c>
    </row>
    <row r="391" spans="1:2" x14ac:dyDescent="0.25">
      <c r="A391" t="s">
        <v>401</v>
      </c>
      <c r="B391" s="174">
        <v>100000</v>
      </c>
    </row>
    <row r="392" spans="1:2" x14ac:dyDescent="0.25">
      <c r="A392" t="s">
        <v>402</v>
      </c>
      <c r="B392" s="174">
        <v>200000</v>
      </c>
    </row>
    <row r="393" spans="1:2" x14ac:dyDescent="0.25">
      <c r="A393" t="s">
        <v>403</v>
      </c>
      <c r="B393" s="174">
        <v>300000</v>
      </c>
    </row>
    <row r="394" spans="1:2" x14ac:dyDescent="0.25">
      <c r="A394" t="s">
        <v>401</v>
      </c>
      <c r="B394" s="174">
        <v>100000</v>
      </c>
    </row>
    <row r="395" spans="1:2" x14ac:dyDescent="0.25">
      <c r="A395" t="s">
        <v>402</v>
      </c>
      <c r="B395" s="174">
        <v>200000</v>
      </c>
    </row>
    <row r="396" spans="1:2" x14ac:dyDescent="0.25">
      <c r="A396" t="s">
        <v>403</v>
      </c>
      <c r="B396" s="174">
        <v>300000</v>
      </c>
    </row>
    <row r="397" spans="1:2" x14ac:dyDescent="0.25">
      <c r="A397" t="s">
        <v>401</v>
      </c>
      <c r="B397" s="174">
        <v>100000</v>
      </c>
    </row>
    <row r="398" spans="1:2" x14ac:dyDescent="0.25">
      <c r="A398" t="s">
        <v>402</v>
      </c>
      <c r="B398" s="174">
        <v>200000</v>
      </c>
    </row>
    <row r="399" spans="1:2" x14ac:dyDescent="0.25">
      <c r="A399" t="s">
        <v>403</v>
      </c>
      <c r="B399" s="174">
        <v>300000</v>
      </c>
    </row>
    <row r="400" spans="1:2" x14ac:dyDescent="0.25">
      <c r="A400" t="s">
        <v>401</v>
      </c>
      <c r="B400" s="174">
        <v>100000</v>
      </c>
    </row>
    <row r="401" spans="1:2" x14ac:dyDescent="0.25">
      <c r="A401" t="s">
        <v>402</v>
      </c>
      <c r="B401" s="174">
        <v>200000</v>
      </c>
    </row>
    <row r="402" spans="1:2" x14ac:dyDescent="0.25">
      <c r="A402" t="s">
        <v>403</v>
      </c>
      <c r="B402" s="174">
        <v>300000</v>
      </c>
    </row>
    <row r="403" spans="1:2" x14ac:dyDescent="0.25">
      <c r="A403" t="s">
        <v>401</v>
      </c>
      <c r="B403" s="174">
        <v>100000</v>
      </c>
    </row>
    <row r="404" spans="1:2" x14ac:dyDescent="0.25">
      <c r="A404" t="s">
        <v>402</v>
      </c>
      <c r="B404" s="174">
        <v>200000</v>
      </c>
    </row>
    <row r="405" spans="1:2" x14ac:dyDescent="0.25">
      <c r="A405" t="s">
        <v>403</v>
      </c>
      <c r="B405" s="174">
        <v>300000</v>
      </c>
    </row>
    <row r="406" spans="1:2" x14ac:dyDescent="0.25">
      <c r="A406" t="s">
        <v>401</v>
      </c>
      <c r="B406" s="174">
        <v>100000</v>
      </c>
    </row>
    <row r="407" spans="1:2" x14ac:dyDescent="0.25">
      <c r="A407" t="s">
        <v>402</v>
      </c>
      <c r="B407" s="174">
        <v>200000</v>
      </c>
    </row>
    <row r="408" spans="1:2" x14ac:dyDescent="0.25">
      <c r="A408" t="s">
        <v>403</v>
      </c>
      <c r="B408" s="174">
        <v>300000</v>
      </c>
    </row>
    <row r="409" spans="1:2" x14ac:dyDescent="0.25">
      <c r="A409" t="s">
        <v>401</v>
      </c>
      <c r="B409" s="174">
        <v>100000</v>
      </c>
    </row>
    <row r="410" spans="1:2" x14ac:dyDescent="0.25">
      <c r="A410" t="s">
        <v>402</v>
      </c>
      <c r="B410" s="174">
        <v>200000</v>
      </c>
    </row>
    <row r="411" spans="1:2" x14ac:dyDescent="0.25">
      <c r="A411" t="s">
        <v>403</v>
      </c>
      <c r="B411" s="174">
        <v>300000</v>
      </c>
    </row>
    <row r="412" spans="1:2" x14ac:dyDescent="0.25">
      <c r="A412" t="s">
        <v>401</v>
      </c>
      <c r="B412" s="174">
        <v>100000</v>
      </c>
    </row>
    <row r="413" spans="1:2" x14ac:dyDescent="0.25">
      <c r="A413" t="s">
        <v>402</v>
      </c>
      <c r="B413" s="174">
        <v>200000</v>
      </c>
    </row>
    <row r="414" spans="1:2" x14ac:dyDescent="0.25">
      <c r="A414" t="s">
        <v>403</v>
      </c>
      <c r="B414" s="174">
        <v>300000</v>
      </c>
    </row>
    <row r="415" spans="1:2" x14ac:dyDescent="0.25">
      <c r="A415" t="s">
        <v>401</v>
      </c>
      <c r="B415" s="174">
        <v>100000</v>
      </c>
    </row>
    <row r="416" spans="1:2" x14ac:dyDescent="0.25">
      <c r="A416" t="s">
        <v>402</v>
      </c>
      <c r="B416" s="174">
        <v>200000</v>
      </c>
    </row>
    <row r="417" spans="1:2" x14ac:dyDescent="0.25">
      <c r="A417" t="s">
        <v>403</v>
      </c>
      <c r="B417" s="174">
        <v>300000</v>
      </c>
    </row>
    <row r="418" spans="1:2" x14ac:dyDescent="0.25">
      <c r="A418" t="s">
        <v>401</v>
      </c>
      <c r="B418" s="174">
        <v>100000</v>
      </c>
    </row>
    <row r="419" spans="1:2" x14ac:dyDescent="0.25">
      <c r="A419" t="s">
        <v>402</v>
      </c>
      <c r="B419" s="174">
        <v>200000</v>
      </c>
    </row>
    <row r="420" spans="1:2" x14ac:dyDescent="0.25">
      <c r="A420" t="s">
        <v>403</v>
      </c>
      <c r="B420" s="174">
        <v>300000</v>
      </c>
    </row>
    <row r="421" spans="1:2" x14ac:dyDescent="0.25">
      <c r="A421" t="s">
        <v>401</v>
      </c>
      <c r="B421" s="174">
        <v>100000</v>
      </c>
    </row>
    <row r="422" spans="1:2" x14ac:dyDescent="0.25">
      <c r="A422" t="s">
        <v>402</v>
      </c>
      <c r="B422" s="174">
        <v>200000</v>
      </c>
    </row>
    <row r="423" spans="1:2" x14ac:dyDescent="0.25">
      <c r="A423" t="s">
        <v>403</v>
      </c>
      <c r="B423" s="174">
        <v>300000</v>
      </c>
    </row>
    <row r="424" spans="1:2" x14ac:dyDescent="0.25">
      <c r="A424" t="s">
        <v>401</v>
      </c>
      <c r="B424" s="174">
        <v>100000</v>
      </c>
    </row>
    <row r="425" spans="1:2" x14ac:dyDescent="0.25">
      <c r="A425" t="s">
        <v>402</v>
      </c>
      <c r="B425" s="174">
        <v>200000</v>
      </c>
    </row>
    <row r="426" spans="1:2" x14ac:dyDescent="0.25">
      <c r="A426" t="s">
        <v>403</v>
      </c>
      <c r="B426" s="174">
        <v>300000</v>
      </c>
    </row>
    <row r="427" spans="1:2" x14ac:dyDescent="0.25">
      <c r="A427" t="s">
        <v>401</v>
      </c>
      <c r="B427" s="174">
        <v>100000</v>
      </c>
    </row>
    <row r="428" spans="1:2" x14ac:dyDescent="0.25">
      <c r="A428" t="s">
        <v>402</v>
      </c>
      <c r="B428" s="174">
        <v>200000</v>
      </c>
    </row>
    <row r="429" spans="1:2" x14ac:dyDescent="0.25">
      <c r="A429" t="s">
        <v>403</v>
      </c>
      <c r="B429" s="174">
        <v>300000</v>
      </c>
    </row>
    <row r="430" spans="1:2" x14ac:dyDescent="0.25">
      <c r="A430" t="s">
        <v>401</v>
      </c>
      <c r="B430" s="174">
        <v>100000</v>
      </c>
    </row>
    <row r="431" spans="1:2" x14ac:dyDescent="0.25">
      <c r="A431" t="s">
        <v>402</v>
      </c>
      <c r="B431" s="174">
        <v>200000</v>
      </c>
    </row>
    <row r="432" spans="1:2" x14ac:dyDescent="0.25">
      <c r="A432" t="s">
        <v>403</v>
      </c>
      <c r="B432" s="174">
        <v>300000</v>
      </c>
    </row>
    <row r="433" spans="1:2" x14ac:dyDescent="0.25">
      <c r="A433" t="s">
        <v>401</v>
      </c>
      <c r="B433" s="174">
        <v>100000</v>
      </c>
    </row>
    <row r="434" spans="1:2" x14ac:dyDescent="0.25">
      <c r="A434" t="s">
        <v>402</v>
      </c>
      <c r="B434" s="174">
        <v>200000</v>
      </c>
    </row>
    <row r="435" spans="1:2" x14ac:dyDescent="0.25">
      <c r="A435" t="s">
        <v>403</v>
      </c>
      <c r="B435" s="174">
        <v>300000</v>
      </c>
    </row>
    <row r="436" spans="1:2" x14ac:dyDescent="0.25">
      <c r="A436" t="s">
        <v>401</v>
      </c>
      <c r="B436" s="174">
        <v>100000</v>
      </c>
    </row>
    <row r="437" spans="1:2" x14ac:dyDescent="0.25">
      <c r="A437" t="s">
        <v>402</v>
      </c>
      <c r="B437" s="174">
        <v>200000</v>
      </c>
    </row>
    <row r="438" spans="1:2" x14ac:dyDescent="0.25">
      <c r="A438" t="s">
        <v>403</v>
      </c>
      <c r="B438" s="174">
        <v>300000</v>
      </c>
    </row>
    <row r="439" spans="1:2" x14ac:dyDescent="0.25">
      <c r="A439" t="s">
        <v>401</v>
      </c>
      <c r="B439" s="174">
        <v>100000</v>
      </c>
    </row>
    <row r="440" spans="1:2" x14ac:dyDescent="0.25">
      <c r="A440" t="s">
        <v>402</v>
      </c>
      <c r="B440" s="174">
        <v>200000</v>
      </c>
    </row>
    <row r="441" spans="1:2" x14ac:dyDescent="0.25">
      <c r="A441" t="s">
        <v>403</v>
      </c>
      <c r="B441" s="174">
        <v>300000</v>
      </c>
    </row>
    <row r="442" spans="1:2" x14ac:dyDescent="0.25">
      <c r="A442" t="s">
        <v>401</v>
      </c>
      <c r="B442" s="174">
        <v>100000</v>
      </c>
    </row>
    <row r="443" spans="1:2" x14ac:dyDescent="0.25">
      <c r="A443" t="s">
        <v>402</v>
      </c>
      <c r="B443" s="174">
        <v>200000</v>
      </c>
    </row>
    <row r="444" spans="1:2" x14ac:dyDescent="0.25">
      <c r="A444" t="s">
        <v>403</v>
      </c>
      <c r="B444" s="174">
        <v>300000</v>
      </c>
    </row>
    <row r="445" spans="1:2" x14ac:dyDescent="0.25">
      <c r="A445" t="s">
        <v>401</v>
      </c>
      <c r="B445" s="174">
        <v>100000</v>
      </c>
    </row>
    <row r="446" spans="1:2" x14ac:dyDescent="0.25">
      <c r="A446" t="s">
        <v>402</v>
      </c>
      <c r="B446" s="174">
        <v>200000</v>
      </c>
    </row>
    <row r="447" spans="1:2" x14ac:dyDescent="0.25">
      <c r="A447" t="s">
        <v>403</v>
      </c>
      <c r="B447" s="174">
        <v>300000</v>
      </c>
    </row>
    <row r="448" spans="1:2" x14ac:dyDescent="0.25">
      <c r="A448" t="s">
        <v>401</v>
      </c>
      <c r="B448" s="174">
        <v>100000</v>
      </c>
    </row>
    <row r="449" spans="1:2" x14ac:dyDescent="0.25">
      <c r="A449" t="s">
        <v>402</v>
      </c>
      <c r="B449" s="174">
        <v>200000</v>
      </c>
    </row>
    <row r="450" spans="1:2" x14ac:dyDescent="0.25">
      <c r="A450" t="s">
        <v>403</v>
      </c>
      <c r="B450" s="174">
        <v>300000</v>
      </c>
    </row>
    <row r="451" spans="1:2" x14ac:dyDescent="0.25">
      <c r="A451" t="s">
        <v>401</v>
      </c>
      <c r="B451" s="174">
        <v>100000</v>
      </c>
    </row>
    <row r="452" spans="1:2" x14ac:dyDescent="0.25">
      <c r="A452" t="s">
        <v>402</v>
      </c>
      <c r="B452" s="174">
        <v>200000</v>
      </c>
    </row>
    <row r="453" spans="1:2" x14ac:dyDescent="0.25">
      <c r="A453" t="s">
        <v>403</v>
      </c>
      <c r="B453" s="174">
        <v>300000</v>
      </c>
    </row>
    <row r="454" spans="1:2" x14ac:dyDescent="0.25">
      <c r="A454" t="s">
        <v>401</v>
      </c>
      <c r="B454" s="174">
        <v>100000</v>
      </c>
    </row>
    <row r="455" spans="1:2" x14ac:dyDescent="0.25">
      <c r="A455" t="s">
        <v>402</v>
      </c>
      <c r="B455" s="174">
        <v>200000</v>
      </c>
    </row>
    <row r="456" spans="1:2" x14ac:dyDescent="0.25">
      <c r="A456" t="s">
        <v>403</v>
      </c>
      <c r="B456" s="174">
        <v>300000</v>
      </c>
    </row>
    <row r="457" spans="1:2" x14ac:dyDescent="0.25">
      <c r="A457" t="s">
        <v>401</v>
      </c>
      <c r="B457" s="174">
        <v>100000</v>
      </c>
    </row>
    <row r="458" spans="1:2" x14ac:dyDescent="0.25">
      <c r="A458" t="s">
        <v>402</v>
      </c>
      <c r="B458" s="174">
        <v>200000</v>
      </c>
    </row>
    <row r="459" spans="1:2" x14ac:dyDescent="0.25">
      <c r="A459" t="s">
        <v>403</v>
      </c>
      <c r="B459" s="174">
        <v>300000</v>
      </c>
    </row>
    <row r="460" spans="1:2" x14ac:dyDescent="0.25">
      <c r="A460" t="s">
        <v>401</v>
      </c>
      <c r="B460" s="174">
        <v>100000</v>
      </c>
    </row>
    <row r="461" spans="1:2" x14ac:dyDescent="0.25">
      <c r="A461" t="s">
        <v>402</v>
      </c>
      <c r="B461" s="174">
        <v>200000</v>
      </c>
    </row>
    <row r="462" spans="1:2" x14ac:dyDescent="0.25">
      <c r="A462" t="s">
        <v>403</v>
      </c>
      <c r="B462" s="174">
        <v>300000</v>
      </c>
    </row>
    <row r="463" spans="1:2" x14ac:dyDescent="0.25">
      <c r="A463" t="s">
        <v>401</v>
      </c>
      <c r="B463" s="174">
        <v>100000</v>
      </c>
    </row>
    <row r="464" spans="1:2" x14ac:dyDescent="0.25">
      <c r="A464" t="s">
        <v>402</v>
      </c>
      <c r="B464" s="174">
        <v>200000</v>
      </c>
    </row>
    <row r="465" spans="1:2" x14ac:dyDescent="0.25">
      <c r="A465" t="s">
        <v>403</v>
      </c>
      <c r="B465" s="174">
        <v>300000</v>
      </c>
    </row>
    <row r="466" spans="1:2" x14ac:dyDescent="0.25">
      <c r="A466" t="s">
        <v>401</v>
      </c>
      <c r="B466" s="174">
        <v>100000</v>
      </c>
    </row>
    <row r="467" spans="1:2" x14ac:dyDescent="0.25">
      <c r="A467" t="s">
        <v>402</v>
      </c>
      <c r="B467" s="174">
        <v>200000</v>
      </c>
    </row>
    <row r="468" spans="1:2" x14ac:dyDescent="0.25">
      <c r="A468" t="s">
        <v>403</v>
      </c>
      <c r="B468" s="174">
        <v>300000</v>
      </c>
    </row>
    <row r="469" spans="1:2" x14ac:dyDescent="0.25">
      <c r="A469" t="s">
        <v>401</v>
      </c>
      <c r="B469" s="174">
        <v>100000</v>
      </c>
    </row>
    <row r="470" spans="1:2" x14ac:dyDescent="0.25">
      <c r="A470" t="s">
        <v>402</v>
      </c>
      <c r="B470" s="174">
        <v>200000</v>
      </c>
    </row>
    <row r="471" spans="1:2" x14ac:dyDescent="0.25">
      <c r="A471" t="s">
        <v>403</v>
      </c>
      <c r="B471" s="174">
        <v>300000</v>
      </c>
    </row>
    <row r="472" spans="1:2" x14ac:dyDescent="0.25">
      <c r="A472" t="s">
        <v>401</v>
      </c>
      <c r="B472" s="174">
        <v>100000</v>
      </c>
    </row>
    <row r="473" spans="1:2" x14ac:dyDescent="0.25">
      <c r="A473" t="s">
        <v>402</v>
      </c>
      <c r="B473" s="174">
        <v>200000</v>
      </c>
    </row>
    <row r="474" spans="1:2" x14ac:dyDescent="0.25">
      <c r="A474" t="s">
        <v>403</v>
      </c>
      <c r="B474" s="174">
        <v>300000</v>
      </c>
    </row>
    <row r="475" spans="1:2" x14ac:dyDescent="0.25">
      <c r="A475" t="s">
        <v>401</v>
      </c>
      <c r="B475" s="174">
        <v>100000</v>
      </c>
    </row>
    <row r="476" spans="1:2" x14ac:dyDescent="0.25">
      <c r="A476" t="s">
        <v>402</v>
      </c>
      <c r="B476" s="174">
        <v>200000</v>
      </c>
    </row>
    <row r="477" spans="1:2" x14ac:dyDescent="0.25">
      <c r="A477" t="s">
        <v>403</v>
      </c>
      <c r="B477" s="174">
        <v>300000</v>
      </c>
    </row>
    <row r="478" spans="1:2" x14ac:dyDescent="0.25">
      <c r="A478" t="s">
        <v>401</v>
      </c>
      <c r="B478" s="174">
        <v>100000</v>
      </c>
    </row>
    <row r="479" spans="1:2" x14ac:dyDescent="0.25">
      <c r="A479" t="s">
        <v>402</v>
      </c>
      <c r="B479" s="174">
        <v>200000</v>
      </c>
    </row>
    <row r="480" spans="1:2" x14ac:dyDescent="0.25">
      <c r="A480" t="s">
        <v>403</v>
      </c>
      <c r="B480" s="174">
        <v>300000</v>
      </c>
    </row>
    <row r="481" spans="1:2" x14ac:dyDescent="0.25">
      <c r="A481" t="s">
        <v>401</v>
      </c>
      <c r="B481" s="174">
        <v>100000</v>
      </c>
    </row>
    <row r="482" spans="1:2" x14ac:dyDescent="0.25">
      <c r="A482" t="s">
        <v>402</v>
      </c>
      <c r="B482" s="174">
        <v>200000</v>
      </c>
    </row>
    <row r="483" spans="1:2" x14ac:dyDescent="0.25">
      <c r="A483" t="s">
        <v>403</v>
      </c>
      <c r="B483" s="174">
        <v>300000</v>
      </c>
    </row>
    <row r="484" spans="1:2" x14ac:dyDescent="0.25">
      <c r="A484" t="s">
        <v>401</v>
      </c>
      <c r="B484" s="174">
        <v>100000</v>
      </c>
    </row>
    <row r="485" spans="1:2" x14ac:dyDescent="0.25">
      <c r="A485" t="s">
        <v>402</v>
      </c>
      <c r="B485" s="174">
        <v>200000</v>
      </c>
    </row>
    <row r="486" spans="1:2" x14ac:dyDescent="0.25">
      <c r="A486" t="s">
        <v>403</v>
      </c>
      <c r="B486" s="174">
        <v>300000</v>
      </c>
    </row>
    <row r="487" spans="1:2" x14ac:dyDescent="0.25">
      <c r="A487" t="s">
        <v>401</v>
      </c>
      <c r="B487" s="174">
        <v>100000</v>
      </c>
    </row>
    <row r="488" spans="1:2" x14ac:dyDescent="0.25">
      <c r="A488" t="s">
        <v>402</v>
      </c>
      <c r="B488" s="174">
        <v>200000</v>
      </c>
    </row>
    <row r="489" spans="1:2" x14ac:dyDescent="0.25">
      <c r="A489" t="s">
        <v>403</v>
      </c>
      <c r="B489" s="174">
        <v>300000</v>
      </c>
    </row>
    <row r="490" spans="1:2" x14ac:dyDescent="0.25">
      <c r="A490" t="s">
        <v>401</v>
      </c>
      <c r="B490" s="174">
        <v>100000</v>
      </c>
    </row>
    <row r="491" spans="1:2" x14ac:dyDescent="0.25">
      <c r="A491" t="s">
        <v>402</v>
      </c>
      <c r="B491" s="174">
        <v>200000</v>
      </c>
    </row>
    <row r="492" spans="1:2" x14ac:dyDescent="0.25">
      <c r="A492" t="s">
        <v>403</v>
      </c>
      <c r="B492" s="174">
        <v>300000</v>
      </c>
    </row>
    <row r="493" spans="1:2" x14ac:dyDescent="0.25">
      <c r="A493" t="s">
        <v>401</v>
      </c>
      <c r="B493" s="174">
        <v>100000</v>
      </c>
    </row>
    <row r="494" spans="1:2" x14ac:dyDescent="0.25">
      <c r="A494" t="s">
        <v>402</v>
      </c>
      <c r="B494" s="174">
        <v>200000</v>
      </c>
    </row>
    <row r="495" spans="1:2" x14ac:dyDescent="0.25">
      <c r="A495" t="s">
        <v>403</v>
      </c>
      <c r="B495" s="174">
        <v>300000</v>
      </c>
    </row>
    <row r="496" spans="1:2" x14ac:dyDescent="0.25">
      <c r="A496" t="s">
        <v>401</v>
      </c>
      <c r="B496" s="174">
        <v>100000</v>
      </c>
    </row>
    <row r="497" spans="1:2" x14ac:dyDescent="0.25">
      <c r="A497" t="s">
        <v>402</v>
      </c>
      <c r="B497" s="174">
        <v>200000</v>
      </c>
    </row>
    <row r="498" spans="1:2" x14ac:dyDescent="0.25">
      <c r="A498" t="s">
        <v>403</v>
      </c>
      <c r="B498" s="174">
        <v>300000</v>
      </c>
    </row>
    <row r="499" spans="1:2" x14ac:dyDescent="0.25">
      <c r="A499" t="s">
        <v>401</v>
      </c>
      <c r="B499" s="174">
        <v>100000</v>
      </c>
    </row>
    <row r="500" spans="1:2" x14ac:dyDescent="0.25">
      <c r="A500" t="s">
        <v>402</v>
      </c>
      <c r="B500" s="174">
        <v>200000</v>
      </c>
    </row>
    <row r="501" spans="1:2" x14ac:dyDescent="0.25">
      <c r="A501" t="s">
        <v>403</v>
      </c>
      <c r="B501" s="174">
        <v>300000</v>
      </c>
    </row>
    <row r="502" spans="1:2" x14ac:dyDescent="0.25">
      <c r="A502" t="s">
        <v>401</v>
      </c>
      <c r="B502" s="174">
        <v>100000</v>
      </c>
    </row>
    <row r="503" spans="1:2" x14ac:dyDescent="0.25">
      <c r="A503" t="s">
        <v>402</v>
      </c>
      <c r="B503" s="174">
        <v>200000</v>
      </c>
    </row>
    <row r="504" spans="1:2" x14ac:dyDescent="0.25">
      <c r="A504" t="s">
        <v>403</v>
      </c>
      <c r="B504" s="174">
        <v>300000</v>
      </c>
    </row>
    <row r="505" spans="1:2" x14ac:dyDescent="0.25">
      <c r="A505" t="s">
        <v>401</v>
      </c>
      <c r="B505" s="174">
        <v>100000</v>
      </c>
    </row>
    <row r="506" spans="1:2" x14ac:dyDescent="0.25">
      <c r="A506" t="s">
        <v>402</v>
      </c>
      <c r="B506" s="174">
        <v>200000</v>
      </c>
    </row>
    <row r="507" spans="1:2" x14ac:dyDescent="0.25">
      <c r="A507" t="s">
        <v>403</v>
      </c>
      <c r="B507" s="174">
        <v>300000</v>
      </c>
    </row>
    <row r="508" spans="1:2" x14ac:dyDescent="0.25">
      <c r="A508" t="s">
        <v>401</v>
      </c>
      <c r="B508" s="174">
        <v>100000</v>
      </c>
    </row>
    <row r="509" spans="1:2" x14ac:dyDescent="0.25">
      <c r="A509" t="s">
        <v>402</v>
      </c>
      <c r="B509" s="174">
        <v>200000</v>
      </c>
    </row>
    <row r="510" spans="1:2" x14ac:dyDescent="0.25">
      <c r="A510" t="s">
        <v>403</v>
      </c>
      <c r="B510" s="174">
        <v>300000</v>
      </c>
    </row>
    <row r="511" spans="1:2" x14ac:dyDescent="0.25">
      <c r="A511" t="s">
        <v>401</v>
      </c>
      <c r="B511" s="174">
        <v>100000</v>
      </c>
    </row>
    <row r="512" spans="1:2" x14ac:dyDescent="0.25">
      <c r="A512" t="s">
        <v>402</v>
      </c>
      <c r="B512" s="174">
        <v>200000</v>
      </c>
    </row>
    <row r="513" spans="1:2" x14ac:dyDescent="0.25">
      <c r="A513" t="s">
        <v>403</v>
      </c>
      <c r="B513" s="174">
        <v>300000</v>
      </c>
    </row>
    <row r="514" spans="1:2" x14ac:dyDescent="0.25">
      <c r="A514" t="s">
        <v>401</v>
      </c>
      <c r="B514" s="174">
        <v>100000</v>
      </c>
    </row>
    <row r="515" spans="1:2" x14ac:dyDescent="0.25">
      <c r="A515" t="s">
        <v>402</v>
      </c>
      <c r="B515" s="174">
        <v>200000</v>
      </c>
    </row>
    <row r="516" spans="1:2" x14ac:dyDescent="0.25">
      <c r="A516" t="s">
        <v>403</v>
      </c>
      <c r="B516" s="174">
        <v>300000</v>
      </c>
    </row>
    <row r="517" spans="1:2" x14ac:dyDescent="0.25">
      <c r="A517" t="s">
        <v>401</v>
      </c>
      <c r="B517" s="174">
        <v>100000</v>
      </c>
    </row>
    <row r="518" spans="1:2" x14ac:dyDescent="0.25">
      <c r="A518" t="s">
        <v>402</v>
      </c>
      <c r="B518" s="174">
        <v>200000</v>
      </c>
    </row>
    <row r="519" spans="1:2" x14ac:dyDescent="0.25">
      <c r="A519" t="s">
        <v>403</v>
      </c>
      <c r="B519" s="174">
        <v>300000</v>
      </c>
    </row>
    <row r="520" spans="1:2" x14ac:dyDescent="0.25">
      <c r="A520" t="s">
        <v>401</v>
      </c>
      <c r="B520" s="174">
        <v>100000</v>
      </c>
    </row>
    <row r="521" spans="1:2" x14ac:dyDescent="0.25">
      <c r="A521" t="s">
        <v>402</v>
      </c>
      <c r="B521" s="174">
        <v>200000</v>
      </c>
    </row>
    <row r="522" spans="1:2" x14ac:dyDescent="0.25">
      <c r="A522" t="s">
        <v>403</v>
      </c>
      <c r="B522" s="174">
        <v>300000</v>
      </c>
    </row>
    <row r="523" spans="1:2" x14ac:dyDescent="0.25">
      <c r="A523" t="s">
        <v>401</v>
      </c>
      <c r="B523" s="174">
        <v>100000</v>
      </c>
    </row>
    <row r="524" spans="1:2" x14ac:dyDescent="0.25">
      <c r="A524" t="s">
        <v>402</v>
      </c>
      <c r="B524" s="174">
        <v>200000</v>
      </c>
    </row>
    <row r="525" spans="1:2" x14ac:dyDescent="0.25">
      <c r="A525" t="s">
        <v>403</v>
      </c>
      <c r="B525" s="174">
        <v>300000</v>
      </c>
    </row>
    <row r="526" spans="1:2" x14ac:dyDescent="0.25">
      <c r="A526" t="s">
        <v>401</v>
      </c>
      <c r="B526" s="174">
        <v>100000</v>
      </c>
    </row>
    <row r="527" spans="1:2" x14ac:dyDescent="0.25">
      <c r="A527" t="s">
        <v>402</v>
      </c>
      <c r="B527" s="174">
        <v>200000</v>
      </c>
    </row>
    <row r="528" spans="1:2" x14ac:dyDescent="0.25">
      <c r="A528" t="s">
        <v>403</v>
      </c>
      <c r="B528" s="174">
        <v>300000</v>
      </c>
    </row>
    <row r="529" spans="1:2" x14ac:dyDescent="0.25">
      <c r="A529" t="s">
        <v>401</v>
      </c>
      <c r="B529" s="174">
        <v>100000</v>
      </c>
    </row>
    <row r="530" spans="1:2" x14ac:dyDescent="0.25">
      <c r="A530" t="s">
        <v>402</v>
      </c>
      <c r="B530" s="174">
        <v>200000</v>
      </c>
    </row>
    <row r="531" spans="1:2" x14ac:dyDescent="0.25">
      <c r="A531" t="s">
        <v>403</v>
      </c>
      <c r="B531" s="174">
        <v>300000</v>
      </c>
    </row>
    <row r="532" spans="1:2" x14ac:dyDescent="0.25">
      <c r="A532" t="s">
        <v>401</v>
      </c>
      <c r="B532" s="174">
        <v>100000</v>
      </c>
    </row>
    <row r="533" spans="1:2" x14ac:dyDescent="0.25">
      <c r="A533" t="s">
        <v>402</v>
      </c>
      <c r="B533" s="174">
        <v>200000</v>
      </c>
    </row>
    <row r="534" spans="1:2" x14ac:dyDescent="0.25">
      <c r="A534" t="s">
        <v>403</v>
      </c>
      <c r="B534" s="174">
        <v>300000</v>
      </c>
    </row>
    <row r="535" spans="1:2" x14ac:dyDescent="0.25">
      <c r="A535" t="s">
        <v>401</v>
      </c>
      <c r="B535" s="174">
        <v>100000</v>
      </c>
    </row>
    <row r="536" spans="1:2" x14ac:dyDescent="0.25">
      <c r="A536" t="s">
        <v>402</v>
      </c>
      <c r="B536" s="174">
        <v>200000</v>
      </c>
    </row>
    <row r="537" spans="1:2" x14ac:dyDescent="0.25">
      <c r="A537" t="s">
        <v>403</v>
      </c>
      <c r="B537" s="174">
        <v>300000</v>
      </c>
    </row>
    <row r="538" spans="1:2" x14ac:dyDescent="0.25">
      <c r="A538" t="s">
        <v>401</v>
      </c>
      <c r="B538" s="174">
        <v>100000</v>
      </c>
    </row>
    <row r="539" spans="1:2" x14ac:dyDescent="0.25">
      <c r="A539" t="s">
        <v>402</v>
      </c>
      <c r="B539" s="174">
        <v>200000</v>
      </c>
    </row>
    <row r="540" spans="1:2" x14ac:dyDescent="0.25">
      <c r="A540" t="s">
        <v>403</v>
      </c>
      <c r="B540" s="174">
        <v>300000</v>
      </c>
    </row>
    <row r="541" spans="1:2" x14ac:dyDescent="0.25">
      <c r="A541" t="s">
        <v>401</v>
      </c>
      <c r="B541" s="174">
        <v>100000</v>
      </c>
    </row>
    <row r="542" spans="1:2" x14ac:dyDescent="0.25">
      <c r="A542" t="s">
        <v>402</v>
      </c>
      <c r="B542" s="174">
        <v>200000</v>
      </c>
    </row>
    <row r="543" spans="1:2" x14ac:dyDescent="0.25">
      <c r="A543" t="s">
        <v>403</v>
      </c>
      <c r="B543" s="174">
        <v>300000</v>
      </c>
    </row>
    <row r="544" spans="1:2" x14ac:dyDescent="0.25">
      <c r="A544" t="s">
        <v>401</v>
      </c>
      <c r="B544" s="174">
        <v>100000</v>
      </c>
    </row>
    <row r="545" spans="1:2" x14ac:dyDescent="0.25">
      <c r="A545" t="s">
        <v>402</v>
      </c>
      <c r="B545" s="174">
        <v>200000</v>
      </c>
    </row>
    <row r="546" spans="1:2" x14ac:dyDescent="0.25">
      <c r="A546" t="s">
        <v>403</v>
      </c>
      <c r="B546" s="174">
        <v>300000</v>
      </c>
    </row>
    <row r="547" spans="1:2" x14ac:dyDescent="0.25">
      <c r="A547" t="s">
        <v>401</v>
      </c>
      <c r="B547" s="174">
        <v>100000</v>
      </c>
    </row>
    <row r="548" spans="1:2" x14ac:dyDescent="0.25">
      <c r="A548" t="s">
        <v>402</v>
      </c>
      <c r="B548" s="174">
        <v>200000</v>
      </c>
    </row>
    <row r="549" spans="1:2" x14ac:dyDescent="0.25">
      <c r="A549" t="s">
        <v>403</v>
      </c>
      <c r="B549" s="174">
        <v>300000</v>
      </c>
    </row>
    <row r="550" spans="1:2" x14ac:dyDescent="0.25">
      <c r="A550" t="s">
        <v>401</v>
      </c>
      <c r="B550" s="174">
        <v>100000</v>
      </c>
    </row>
    <row r="551" spans="1:2" x14ac:dyDescent="0.25">
      <c r="A551" t="s">
        <v>402</v>
      </c>
      <c r="B551" s="174">
        <v>200000</v>
      </c>
    </row>
    <row r="552" spans="1:2" x14ac:dyDescent="0.25">
      <c r="A552" t="s">
        <v>403</v>
      </c>
      <c r="B552" s="174">
        <v>300000</v>
      </c>
    </row>
    <row r="553" spans="1:2" x14ac:dyDescent="0.25">
      <c r="A553" t="s">
        <v>401</v>
      </c>
      <c r="B553" s="174">
        <v>100000</v>
      </c>
    </row>
    <row r="554" spans="1:2" x14ac:dyDescent="0.25">
      <c r="A554" t="s">
        <v>402</v>
      </c>
      <c r="B554" s="174">
        <v>200000</v>
      </c>
    </row>
    <row r="555" spans="1:2" x14ac:dyDescent="0.25">
      <c r="A555" t="s">
        <v>403</v>
      </c>
      <c r="B555" s="174">
        <v>300000</v>
      </c>
    </row>
    <row r="556" spans="1:2" x14ac:dyDescent="0.25">
      <c r="A556" t="s">
        <v>401</v>
      </c>
      <c r="B556" s="174">
        <v>100000</v>
      </c>
    </row>
    <row r="557" spans="1:2" x14ac:dyDescent="0.25">
      <c r="A557" t="s">
        <v>402</v>
      </c>
      <c r="B557" s="174">
        <v>200000</v>
      </c>
    </row>
    <row r="558" spans="1:2" x14ac:dyDescent="0.25">
      <c r="A558" t="s">
        <v>403</v>
      </c>
      <c r="B558" s="174">
        <v>300000</v>
      </c>
    </row>
    <row r="559" spans="1:2" x14ac:dyDescent="0.25">
      <c r="A559" t="s">
        <v>401</v>
      </c>
      <c r="B559" s="174">
        <v>100000</v>
      </c>
    </row>
    <row r="560" spans="1:2" x14ac:dyDescent="0.25">
      <c r="A560" t="s">
        <v>402</v>
      </c>
      <c r="B560" s="174">
        <v>200000</v>
      </c>
    </row>
    <row r="561" spans="1:2" x14ac:dyDescent="0.25">
      <c r="A561" t="s">
        <v>403</v>
      </c>
      <c r="B561" s="174">
        <v>300000</v>
      </c>
    </row>
    <row r="562" spans="1:2" x14ac:dyDescent="0.25">
      <c r="A562" t="s">
        <v>401</v>
      </c>
      <c r="B562" s="174">
        <v>100000</v>
      </c>
    </row>
    <row r="563" spans="1:2" x14ac:dyDescent="0.25">
      <c r="A563" t="s">
        <v>402</v>
      </c>
      <c r="B563" s="174">
        <v>200000</v>
      </c>
    </row>
    <row r="564" spans="1:2" x14ac:dyDescent="0.25">
      <c r="A564" t="s">
        <v>403</v>
      </c>
      <c r="B564" s="174">
        <v>300000</v>
      </c>
    </row>
    <row r="565" spans="1:2" x14ac:dyDescent="0.25">
      <c r="A565" t="s">
        <v>401</v>
      </c>
      <c r="B565" s="174">
        <v>100000</v>
      </c>
    </row>
    <row r="566" spans="1:2" x14ac:dyDescent="0.25">
      <c r="A566" t="s">
        <v>402</v>
      </c>
      <c r="B566" s="174">
        <v>200000</v>
      </c>
    </row>
    <row r="567" spans="1:2" x14ac:dyDescent="0.25">
      <c r="A567" t="s">
        <v>403</v>
      </c>
      <c r="B567" s="174">
        <v>300000</v>
      </c>
    </row>
    <row r="568" spans="1:2" x14ac:dyDescent="0.25">
      <c r="A568" t="s">
        <v>401</v>
      </c>
      <c r="B568" s="174">
        <v>100000</v>
      </c>
    </row>
    <row r="569" spans="1:2" x14ac:dyDescent="0.25">
      <c r="A569" t="s">
        <v>402</v>
      </c>
      <c r="B569" s="174">
        <v>200000</v>
      </c>
    </row>
    <row r="570" spans="1:2" x14ac:dyDescent="0.25">
      <c r="A570" t="s">
        <v>403</v>
      </c>
      <c r="B570" s="174">
        <v>300000</v>
      </c>
    </row>
    <row r="571" spans="1:2" x14ac:dyDescent="0.25">
      <c r="A571" t="s">
        <v>401</v>
      </c>
      <c r="B571" s="174">
        <v>100000</v>
      </c>
    </row>
    <row r="572" spans="1:2" x14ac:dyDescent="0.25">
      <c r="A572" t="s">
        <v>402</v>
      </c>
      <c r="B572" s="174">
        <v>200000</v>
      </c>
    </row>
    <row r="573" spans="1:2" x14ac:dyDescent="0.25">
      <c r="A573" t="s">
        <v>403</v>
      </c>
      <c r="B573" s="174">
        <v>300000</v>
      </c>
    </row>
    <row r="574" spans="1:2" x14ac:dyDescent="0.25">
      <c r="A574" t="s">
        <v>401</v>
      </c>
      <c r="B574" s="174">
        <v>100000</v>
      </c>
    </row>
    <row r="575" spans="1:2" x14ac:dyDescent="0.25">
      <c r="A575" t="s">
        <v>402</v>
      </c>
      <c r="B575" s="174">
        <v>200000</v>
      </c>
    </row>
    <row r="576" spans="1:2" x14ac:dyDescent="0.25">
      <c r="A576" t="s">
        <v>403</v>
      </c>
      <c r="B576" s="174">
        <v>300000</v>
      </c>
    </row>
    <row r="577" spans="1:2" x14ac:dyDescent="0.25">
      <c r="A577" t="s">
        <v>401</v>
      </c>
      <c r="B577" s="174">
        <v>100000</v>
      </c>
    </row>
    <row r="578" spans="1:2" x14ac:dyDescent="0.25">
      <c r="A578" t="s">
        <v>402</v>
      </c>
      <c r="B578" s="174">
        <v>200000</v>
      </c>
    </row>
    <row r="579" spans="1:2" x14ac:dyDescent="0.25">
      <c r="A579" t="s">
        <v>403</v>
      </c>
      <c r="B579" s="174">
        <v>300000</v>
      </c>
    </row>
    <row r="580" spans="1:2" x14ac:dyDescent="0.25">
      <c r="A580" t="s">
        <v>401</v>
      </c>
      <c r="B580" s="174">
        <v>100000</v>
      </c>
    </row>
    <row r="581" spans="1:2" x14ac:dyDescent="0.25">
      <c r="A581" t="s">
        <v>402</v>
      </c>
      <c r="B581" s="174">
        <v>200000</v>
      </c>
    </row>
    <row r="582" spans="1:2" x14ac:dyDescent="0.25">
      <c r="A582" t="s">
        <v>403</v>
      </c>
      <c r="B582" s="174">
        <v>300000</v>
      </c>
    </row>
    <row r="583" spans="1:2" x14ac:dyDescent="0.25">
      <c r="A583" t="s">
        <v>401</v>
      </c>
      <c r="B583" s="174">
        <v>100000</v>
      </c>
    </row>
    <row r="584" spans="1:2" x14ac:dyDescent="0.25">
      <c r="A584" t="s">
        <v>402</v>
      </c>
      <c r="B584" s="174">
        <v>200000</v>
      </c>
    </row>
    <row r="585" spans="1:2" x14ac:dyDescent="0.25">
      <c r="A585" t="s">
        <v>403</v>
      </c>
      <c r="B585" s="174">
        <v>300000</v>
      </c>
    </row>
    <row r="586" spans="1:2" x14ac:dyDescent="0.25">
      <c r="A586" t="s">
        <v>401</v>
      </c>
      <c r="B586" s="174">
        <v>100000</v>
      </c>
    </row>
    <row r="587" spans="1:2" x14ac:dyDescent="0.25">
      <c r="A587" t="s">
        <v>402</v>
      </c>
      <c r="B587" s="174">
        <v>200000</v>
      </c>
    </row>
    <row r="588" spans="1:2" x14ac:dyDescent="0.25">
      <c r="A588" t="s">
        <v>403</v>
      </c>
      <c r="B588" s="174">
        <v>300000</v>
      </c>
    </row>
    <row r="589" spans="1:2" x14ac:dyDescent="0.25">
      <c r="A589" t="s">
        <v>401</v>
      </c>
      <c r="B589" s="174">
        <v>100000</v>
      </c>
    </row>
    <row r="590" spans="1:2" x14ac:dyDescent="0.25">
      <c r="A590" t="s">
        <v>402</v>
      </c>
      <c r="B590" s="174">
        <v>200000</v>
      </c>
    </row>
    <row r="591" spans="1:2" x14ac:dyDescent="0.25">
      <c r="A591" t="s">
        <v>403</v>
      </c>
      <c r="B591" s="174">
        <v>300000</v>
      </c>
    </row>
    <row r="592" spans="1:2" x14ac:dyDescent="0.25">
      <c r="A592" t="s">
        <v>401</v>
      </c>
      <c r="B592" s="174">
        <v>100000</v>
      </c>
    </row>
    <row r="593" spans="1:2" x14ac:dyDescent="0.25">
      <c r="A593" t="s">
        <v>402</v>
      </c>
      <c r="B593" s="174">
        <v>200000</v>
      </c>
    </row>
    <row r="594" spans="1:2" x14ac:dyDescent="0.25">
      <c r="A594" t="s">
        <v>403</v>
      </c>
      <c r="B594" s="174">
        <v>300000</v>
      </c>
    </row>
    <row r="595" spans="1:2" x14ac:dyDescent="0.25">
      <c r="A595" t="s">
        <v>401</v>
      </c>
      <c r="B595" s="174">
        <v>100000</v>
      </c>
    </row>
    <row r="596" spans="1:2" x14ac:dyDescent="0.25">
      <c r="A596" t="s">
        <v>402</v>
      </c>
      <c r="B596" s="174">
        <v>200000</v>
      </c>
    </row>
    <row r="597" spans="1:2" x14ac:dyDescent="0.25">
      <c r="A597" t="s">
        <v>403</v>
      </c>
      <c r="B597" s="174">
        <v>300000</v>
      </c>
    </row>
    <row r="598" spans="1:2" x14ac:dyDescent="0.25">
      <c r="A598" t="s">
        <v>401</v>
      </c>
      <c r="B598" s="174">
        <v>100000</v>
      </c>
    </row>
    <row r="599" spans="1:2" x14ac:dyDescent="0.25">
      <c r="A599" t="s">
        <v>402</v>
      </c>
      <c r="B599" s="174">
        <v>200000</v>
      </c>
    </row>
    <row r="600" spans="1:2" x14ac:dyDescent="0.25">
      <c r="A600" t="s">
        <v>403</v>
      </c>
      <c r="B600" s="174">
        <v>300000</v>
      </c>
    </row>
    <row r="601" spans="1:2" x14ac:dyDescent="0.25">
      <c r="A601" t="s">
        <v>401</v>
      </c>
      <c r="B601" s="174">
        <v>100000</v>
      </c>
    </row>
    <row r="602" spans="1:2" x14ac:dyDescent="0.25">
      <c r="A602" t="s">
        <v>402</v>
      </c>
      <c r="B602" s="174">
        <v>200000</v>
      </c>
    </row>
    <row r="603" spans="1:2" x14ac:dyDescent="0.25">
      <c r="A603" t="s">
        <v>403</v>
      </c>
      <c r="B603" s="174">
        <v>300000</v>
      </c>
    </row>
    <row r="604" spans="1:2" x14ac:dyDescent="0.25">
      <c r="A604" t="s">
        <v>401</v>
      </c>
      <c r="B604" s="174">
        <v>100000</v>
      </c>
    </row>
    <row r="605" spans="1:2" x14ac:dyDescent="0.25">
      <c r="A605" t="s">
        <v>402</v>
      </c>
      <c r="B605" s="174">
        <v>200000</v>
      </c>
    </row>
    <row r="606" spans="1:2" x14ac:dyDescent="0.25">
      <c r="A606" t="s">
        <v>403</v>
      </c>
      <c r="B606" s="174">
        <v>300000</v>
      </c>
    </row>
    <row r="607" spans="1:2" x14ac:dyDescent="0.25">
      <c r="A607" t="s">
        <v>401</v>
      </c>
      <c r="B607" s="174">
        <v>100000</v>
      </c>
    </row>
    <row r="608" spans="1:2" x14ac:dyDescent="0.25">
      <c r="A608" t="s">
        <v>402</v>
      </c>
      <c r="B608" s="174">
        <v>200000</v>
      </c>
    </row>
    <row r="609" spans="1:2" x14ac:dyDescent="0.25">
      <c r="A609" t="s">
        <v>403</v>
      </c>
      <c r="B609" s="174">
        <v>300000</v>
      </c>
    </row>
    <row r="610" spans="1:2" x14ac:dyDescent="0.25">
      <c r="A610" t="s">
        <v>401</v>
      </c>
      <c r="B610" s="174">
        <v>100000</v>
      </c>
    </row>
    <row r="611" spans="1:2" x14ac:dyDescent="0.25">
      <c r="A611" t="s">
        <v>402</v>
      </c>
      <c r="B611" s="174">
        <v>200000</v>
      </c>
    </row>
    <row r="612" spans="1:2" x14ac:dyDescent="0.25">
      <c r="A612" t="s">
        <v>403</v>
      </c>
      <c r="B612" s="174">
        <v>300000</v>
      </c>
    </row>
    <row r="613" spans="1:2" x14ac:dyDescent="0.25">
      <c r="A613" t="s">
        <v>401</v>
      </c>
      <c r="B613" s="174">
        <v>100000</v>
      </c>
    </row>
    <row r="614" spans="1:2" x14ac:dyDescent="0.25">
      <c r="A614" t="s">
        <v>402</v>
      </c>
      <c r="B614" s="174">
        <v>200000</v>
      </c>
    </row>
    <row r="615" spans="1:2" x14ac:dyDescent="0.25">
      <c r="A615" t="s">
        <v>403</v>
      </c>
      <c r="B615" s="174">
        <v>300000</v>
      </c>
    </row>
    <row r="616" spans="1:2" x14ac:dyDescent="0.25">
      <c r="A616" t="s">
        <v>401</v>
      </c>
      <c r="B616" s="174">
        <v>100000</v>
      </c>
    </row>
    <row r="617" spans="1:2" x14ac:dyDescent="0.25">
      <c r="A617" t="s">
        <v>402</v>
      </c>
      <c r="B617" s="174">
        <v>200000</v>
      </c>
    </row>
    <row r="618" spans="1:2" x14ac:dyDescent="0.25">
      <c r="A618" t="s">
        <v>403</v>
      </c>
      <c r="B618" s="174">
        <v>300000</v>
      </c>
    </row>
    <row r="619" spans="1:2" x14ac:dyDescent="0.25">
      <c r="A619" t="s">
        <v>401</v>
      </c>
      <c r="B619" s="174">
        <v>100000</v>
      </c>
    </row>
    <row r="620" spans="1:2" x14ac:dyDescent="0.25">
      <c r="A620" t="s">
        <v>402</v>
      </c>
      <c r="B620" s="174">
        <v>200000</v>
      </c>
    </row>
    <row r="621" spans="1:2" x14ac:dyDescent="0.25">
      <c r="A621" t="s">
        <v>403</v>
      </c>
      <c r="B621" s="174">
        <v>300000</v>
      </c>
    </row>
    <row r="622" spans="1:2" x14ac:dyDescent="0.25">
      <c r="A622" t="s">
        <v>401</v>
      </c>
      <c r="B622" s="174">
        <v>100000</v>
      </c>
    </row>
    <row r="623" spans="1:2" x14ac:dyDescent="0.25">
      <c r="A623" t="s">
        <v>402</v>
      </c>
      <c r="B623" s="174">
        <v>200000</v>
      </c>
    </row>
    <row r="624" spans="1:2" x14ac:dyDescent="0.25">
      <c r="A624" t="s">
        <v>403</v>
      </c>
      <c r="B624" s="174">
        <v>300000</v>
      </c>
    </row>
    <row r="625" spans="1:2" x14ac:dyDescent="0.25">
      <c r="A625" t="s">
        <v>401</v>
      </c>
      <c r="B625" s="174">
        <v>100000</v>
      </c>
    </row>
    <row r="626" spans="1:2" x14ac:dyDescent="0.25">
      <c r="A626" t="s">
        <v>402</v>
      </c>
      <c r="B626" s="174">
        <v>200000</v>
      </c>
    </row>
    <row r="627" spans="1:2" x14ac:dyDescent="0.25">
      <c r="A627" t="s">
        <v>403</v>
      </c>
      <c r="B627" s="174">
        <v>300000</v>
      </c>
    </row>
    <row r="628" spans="1:2" x14ac:dyDescent="0.25">
      <c r="A628" t="s">
        <v>401</v>
      </c>
      <c r="B628" s="174">
        <v>100000</v>
      </c>
    </row>
    <row r="629" spans="1:2" x14ac:dyDescent="0.25">
      <c r="A629" t="s">
        <v>402</v>
      </c>
      <c r="B629" s="174">
        <v>200000</v>
      </c>
    </row>
    <row r="630" spans="1:2" x14ac:dyDescent="0.25">
      <c r="A630" t="s">
        <v>403</v>
      </c>
      <c r="B630" s="174">
        <v>300000</v>
      </c>
    </row>
    <row r="631" spans="1:2" x14ac:dyDescent="0.25">
      <c r="A631" t="s">
        <v>401</v>
      </c>
      <c r="B631" s="174">
        <v>100000</v>
      </c>
    </row>
    <row r="632" spans="1:2" x14ac:dyDescent="0.25">
      <c r="A632" t="s">
        <v>402</v>
      </c>
      <c r="B632" s="174">
        <v>200000</v>
      </c>
    </row>
    <row r="633" spans="1:2" x14ac:dyDescent="0.25">
      <c r="A633" t="s">
        <v>403</v>
      </c>
      <c r="B633" s="174">
        <v>300000</v>
      </c>
    </row>
    <row r="634" spans="1:2" x14ac:dyDescent="0.25">
      <c r="A634" t="s">
        <v>401</v>
      </c>
      <c r="B634" s="174">
        <v>100000</v>
      </c>
    </row>
    <row r="635" spans="1:2" x14ac:dyDescent="0.25">
      <c r="A635" t="s">
        <v>402</v>
      </c>
      <c r="B635" s="174">
        <v>200000</v>
      </c>
    </row>
    <row r="636" spans="1:2" x14ac:dyDescent="0.25">
      <c r="A636" t="s">
        <v>403</v>
      </c>
      <c r="B636" s="174">
        <v>300000</v>
      </c>
    </row>
    <row r="637" spans="1:2" x14ac:dyDescent="0.25">
      <c r="A637" t="s">
        <v>401</v>
      </c>
      <c r="B637" s="174">
        <v>100000</v>
      </c>
    </row>
    <row r="638" spans="1:2" x14ac:dyDescent="0.25">
      <c r="A638" t="s">
        <v>402</v>
      </c>
      <c r="B638" s="174">
        <v>200000</v>
      </c>
    </row>
    <row r="639" spans="1:2" x14ac:dyDescent="0.25">
      <c r="A639" t="s">
        <v>403</v>
      </c>
      <c r="B639" s="174">
        <v>300000</v>
      </c>
    </row>
    <row r="640" spans="1:2" x14ac:dyDescent="0.25">
      <c r="A640" t="s">
        <v>401</v>
      </c>
      <c r="B640" s="174">
        <v>100000</v>
      </c>
    </row>
    <row r="641" spans="1:2" x14ac:dyDescent="0.25">
      <c r="A641" t="s">
        <v>402</v>
      </c>
      <c r="B641" s="174">
        <v>200000</v>
      </c>
    </row>
    <row r="642" spans="1:2" x14ac:dyDescent="0.25">
      <c r="A642" t="s">
        <v>403</v>
      </c>
      <c r="B642" s="174">
        <v>300000</v>
      </c>
    </row>
    <row r="643" spans="1:2" x14ac:dyDescent="0.25">
      <c r="A643" t="s">
        <v>401</v>
      </c>
      <c r="B643" s="174">
        <v>100000</v>
      </c>
    </row>
    <row r="644" spans="1:2" x14ac:dyDescent="0.25">
      <c r="A644" t="s">
        <v>402</v>
      </c>
      <c r="B644" s="174">
        <v>200000</v>
      </c>
    </row>
    <row r="645" spans="1:2" x14ac:dyDescent="0.25">
      <c r="A645" t="s">
        <v>403</v>
      </c>
      <c r="B645" s="174">
        <v>300000</v>
      </c>
    </row>
    <row r="646" spans="1:2" x14ac:dyDescent="0.25">
      <c r="A646" t="s">
        <v>401</v>
      </c>
      <c r="B646" s="174">
        <v>100000</v>
      </c>
    </row>
    <row r="647" spans="1:2" x14ac:dyDescent="0.25">
      <c r="A647" t="s">
        <v>402</v>
      </c>
      <c r="B647" s="174">
        <v>200000</v>
      </c>
    </row>
    <row r="648" spans="1:2" x14ac:dyDescent="0.25">
      <c r="A648" t="s">
        <v>403</v>
      </c>
      <c r="B648" s="174">
        <v>300000</v>
      </c>
    </row>
    <row r="649" spans="1:2" x14ac:dyDescent="0.25">
      <c r="A649" t="s">
        <v>401</v>
      </c>
      <c r="B649" s="174">
        <v>100000</v>
      </c>
    </row>
    <row r="650" spans="1:2" x14ac:dyDescent="0.25">
      <c r="A650" t="s">
        <v>402</v>
      </c>
      <c r="B650" s="174">
        <v>200000</v>
      </c>
    </row>
    <row r="651" spans="1:2" x14ac:dyDescent="0.25">
      <c r="A651" t="s">
        <v>403</v>
      </c>
      <c r="B651" s="174">
        <v>300000</v>
      </c>
    </row>
    <row r="652" spans="1:2" x14ac:dyDescent="0.25">
      <c r="A652" t="s">
        <v>401</v>
      </c>
      <c r="B652" s="174">
        <v>100000</v>
      </c>
    </row>
    <row r="653" spans="1:2" x14ac:dyDescent="0.25">
      <c r="A653" t="s">
        <v>402</v>
      </c>
      <c r="B653" s="174">
        <v>200000</v>
      </c>
    </row>
    <row r="654" spans="1:2" x14ac:dyDescent="0.25">
      <c r="A654" t="s">
        <v>403</v>
      </c>
      <c r="B654" s="174">
        <v>300000</v>
      </c>
    </row>
    <row r="655" spans="1:2" x14ac:dyDescent="0.25">
      <c r="A655" t="s">
        <v>401</v>
      </c>
      <c r="B655" s="174">
        <v>100000</v>
      </c>
    </row>
    <row r="656" spans="1:2" x14ac:dyDescent="0.25">
      <c r="A656" t="s">
        <v>402</v>
      </c>
      <c r="B656" s="174">
        <v>200000</v>
      </c>
    </row>
    <row r="657" spans="1:2" x14ac:dyDescent="0.25">
      <c r="A657" t="s">
        <v>403</v>
      </c>
      <c r="B657" s="174">
        <v>300000</v>
      </c>
    </row>
    <row r="658" spans="1:2" x14ac:dyDescent="0.25">
      <c r="A658" t="s">
        <v>401</v>
      </c>
      <c r="B658" s="174">
        <v>100000</v>
      </c>
    </row>
    <row r="659" spans="1:2" x14ac:dyDescent="0.25">
      <c r="A659" t="s">
        <v>402</v>
      </c>
      <c r="B659" s="174">
        <v>200000</v>
      </c>
    </row>
    <row r="660" spans="1:2" x14ac:dyDescent="0.25">
      <c r="A660" t="s">
        <v>403</v>
      </c>
      <c r="B660" s="174">
        <v>300000</v>
      </c>
    </row>
    <row r="661" spans="1:2" x14ac:dyDescent="0.25">
      <c r="A661" t="s">
        <v>401</v>
      </c>
      <c r="B661" s="174">
        <v>100000</v>
      </c>
    </row>
    <row r="662" spans="1:2" x14ac:dyDescent="0.25">
      <c r="A662" t="s">
        <v>402</v>
      </c>
      <c r="B662" s="174">
        <v>200000</v>
      </c>
    </row>
    <row r="663" spans="1:2" x14ac:dyDescent="0.25">
      <c r="A663" t="s">
        <v>403</v>
      </c>
      <c r="B663" s="174">
        <v>300000</v>
      </c>
    </row>
    <row r="664" spans="1:2" x14ac:dyDescent="0.25">
      <c r="A664" t="s">
        <v>401</v>
      </c>
      <c r="B664" s="174">
        <v>100000</v>
      </c>
    </row>
    <row r="665" spans="1:2" x14ac:dyDescent="0.25">
      <c r="A665" t="s">
        <v>402</v>
      </c>
      <c r="B665" s="174">
        <v>200000</v>
      </c>
    </row>
    <row r="666" spans="1:2" x14ac:dyDescent="0.25">
      <c r="A666" t="s">
        <v>403</v>
      </c>
      <c r="B666" s="174">
        <v>300000</v>
      </c>
    </row>
    <row r="667" spans="1:2" x14ac:dyDescent="0.25">
      <c r="A667" t="s">
        <v>401</v>
      </c>
      <c r="B667" s="174">
        <v>100000</v>
      </c>
    </row>
    <row r="668" spans="1:2" x14ac:dyDescent="0.25">
      <c r="A668" t="s">
        <v>402</v>
      </c>
      <c r="B668" s="174">
        <v>200000</v>
      </c>
    </row>
    <row r="669" spans="1:2" x14ac:dyDescent="0.25">
      <c r="A669" t="s">
        <v>403</v>
      </c>
      <c r="B669" s="174">
        <v>300000</v>
      </c>
    </row>
    <row r="670" spans="1:2" x14ac:dyDescent="0.25">
      <c r="A670" t="s">
        <v>401</v>
      </c>
      <c r="B670" s="174">
        <v>100000</v>
      </c>
    </row>
    <row r="671" spans="1:2" x14ac:dyDescent="0.25">
      <c r="A671" t="s">
        <v>402</v>
      </c>
      <c r="B671" s="174">
        <v>200000</v>
      </c>
    </row>
    <row r="672" spans="1:2" x14ac:dyDescent="0.25">
      <c r="A672" t="s">
        <v>403</v>
      </c>
      <c r="B672" s="174">
        <v>300000</v>
      </c>
    </row>
    <row r="673" spans="1:2" x14ac:dyDescent="0.25">
      <c r="A673" t="s">
        <v>401</v>
      </c>
      <c r="B673" s="174">
        <v>100000</v>
      </c>
    </row>
    <row r="674" spans="1:2" x14ac:dyDescent="0.25">
      <c r="A674" t="s">
        <v>402</v>
      </c>
      <c r="B674" s="174">
        <v>200000</v>
      </c>
    </row>
    <row r="675" spans="1:2" x14ac:dyDescent="0.25">
      <c r="A675" t="s">
        <v>403</v>
      </c>
      <c r="B675" s="174">
        <v>300000</v>
      </c>
    </row>
    <row r="676" spans="1:2" x14ac:dyDescent="0.25">
      <c r="A676" t="s">
        <v>401</v>
      </c>
      <c r="B676" s="174">
        <v>100000</v>
      </c>
    </row>
    <row r="677" spans="1:2" x14ac:dyDescent="0.25">
      <c r="A677" t="s">
        <v>402</v>
      </c>
      <c r="B677" s="174">
        <v>200000</v>
      </c>
    </row>
    <row r="678" spans="1:2" x14ac:dyDescent="0.25">
      <c r="A678" t="s">
        <v>403</v>
      </c>
      <c r="B678" s="174">
        <v>300000</v>
      </c>
    </row>
    <row r="679" spans="1:2" x14ac:dyDescent="0.25">
      <c r="A679" t="s">
        <v>401</v>
      </c>
      <c r="B679" s="174">
        <v>100000</v>
      </c>
    </row>
    <row r="680" spans="1:2" x14ac:dyDescent="0.25">
      <c r="A680" t="s">
        <v>402</v>
      </c>
      <c r="B680" s="174">
        <v>200000</v>
      </c>
    </row>
    <row r="681" spans="1:2" x14ac:dyDescent="0.25">
      <c r="A681" t="s">
        <v>403</v>
      </c>
      <c r="B681" s="174">
        <v>300000</v>
      </c>
    </row>
    <row r="682" spans="1:2" x14ac:dyDescent="0.25">
      <c r="A682" t="s">
        <v>401</v>
      </c>
      <c r="B682" s="174">
        <v>100000</v>
      </c>
    </row>
    <row r="683" spans="1:2" x14ac:dyDescent="0.25">
      <c r="A683" t="s">
        <v>402</v>
      </c>
      <c r="B683" s="174">
        <v>200000</v>
      </c>
    </row>
    <row r="684" spans="1:2" x14ac:dyDescent="0.25">
      <c r="A684" t="s">
        <v>403</v>
      </c>
      <c r="B684" s="174">
        <v>300000</v>
      </c>
    </row>
    <row r="685" spans="1:2" x14ac:dyDescent="0.25">
      <c r="A685" t="s">
        <v>401</v>
      </c>
      <c r="B685" s="174">
        <v>100000</v>
      </c>
    </row>
    <row r="686" spans="1:2" x14ac:dyDescent="0.25">
      <c r="A686" t="s">
        <v>402</v>
      </c>
      <c r="B686" s="174">
        <v>200000</v>
      </c>
    </row>
    <row r="687" spans="1:2" x14ac:dyDescent="0.25">
      <c r="A687" t="s">
        <v>403</v>
      </c>
      <c r="B687" s="174">
        <v>300000</v>
      </c>
    </row>
    <row r="688" spans="1:2" x14ac:dyDescent="0.25">
      <c r="A688" t="s">
        <v>401</v>
      </c>
      <c r="B688" s="174">
        <v>100000</v>
      </c>
    </row>
    <row r="689" spans="1:2" x14ac:dyDescent="0.25">
      <c r="A689" t="s">
        <v>402</v>
      </c>
      <c r="B689" s="174">
        <v>200000</v>
      </c>
    </row>
    <row r="690" spans="1:2" x14ac:dyDescent="0.25">
      <c r="A690" t="s">
        <v>403</v>
      </c>
      <c r="B690" s="174">
        <v>300000</v>
      </c>
    </row>
    <row r="691" spans="1:2" x14ac:dyDescent="0.25">
      <c r="A691" t="s">
        <v>401</v>
      </c>
      <c r="B691" s="174">
        <v>100000</v>
      </c>
    </row>
    <row r="692" spans="1:2" x14ac:dyDescent="0.25">
      <c r="A692" t="s">
        <v>402</v>
      </c>
      <c r="B692" s="174">
        <v>200000</v>
      </c>
    </row>
    <row r="693" spans="1:2" x14ac:dyDescent="0.25">
      <c r="A693" t="s">
        <v>403</v>
      </c>
      <c r="B693" s="174">
        <v>300000</v>
      </c>
    </row>
    <row r="694" spans="1:2" x14ac:dyDescent="0.25">
      <c r="A694" t="s">
        <v>401</v>
      </c>
      <c r="B694" s="174">
        <v>100000</v>
      </c>
    </row>
    <row r="695" spans="1:2" x14ac:dyDescent="0.25">
      <c r="A695" t="s">
        <v>402</v>
      </c>
      <c r="B695" s="174">
        <v>200000</v>
      </c>
    </row>
    <row r="696" spans="1:2" x14ac:dyDescent="0.25">
      <c r="A696" t="s">
        <v>403</v>
      </c>
      <c r="B696" s="174">
        <v>300000</v>
      </c>
    </row>
    <row r="697" spans="1:2" x14ac:dyDescent="0.25">
      <c r="A697" t="s">
        <v>401</v>
      </c>
      <c r="B697" s="174">
        <v>100000</v>
      </c>
    </row>
    <row r="698" spans="1:2" x14ac:dyDescent="0.25">
      <c r="A698" t="s">
        <v>402</v>
      </c>
      <c r="B698" s="174">
        <v>200000</v>
      </c>
    </row>
    <row r="699" spans="1:2" x14ac:dyDescent="0.25">
      <c r="A699" t="s">
        <v>403</v>
      </c>
      <c r="B699" s="174">
        <v>300000</v>
      </c>
    </row>
    <row r="700" spans="1:2" x14ac:dyDescent="0.25">
      <c r="A700" t="s">
        <v>401</v>
      </c>
      <c r="B700" s="174">
        <v>100000</v>
      </c>
    </row>
    <row r="701" spans="1:2" x14ac:dyDescent="0.25">
      <c r="A701" t="s">
        <v>402</v>
      </c>
      <c r="B701" s="174">
        <v>200000</v>
      </c>
    </row>
    <row r="702" spans="1:2" x14ac:dyDescent="0.25">
      <c r="A702" t="s">
        <v>403</v>
      </c>
      <c r="B702" s="174">
        <v>300000</v>
      </c>
    </row>
    <row r="703" spans="1:2" x14ac:dyDescent="0.25">
      <c r="A703" t="s">
        <v>401</v>
      </c>
      <c r="B703" s="174">
        <v>100000</v>
      </c>
    </row>
    <row r="704" spans="1:2" x14ac:dyDescent="0.25">
      <c r="A704" t="s">
        <v>402</v>
      </c>
      <c r="B704" s="174">
        <v>200000</v>
      </c>
    </row>
    <row r="705" spans="1:2" x14ac:dyDescent="0.25">
      <c r="A705" t="s">
        <v>403</v>
      </c>
      <c r="B705" s="174">
        <v>300000</v>
      </c>
    </row>
    <row r="706" spans="1:2" x14ac:dyDescent="0.25">
      <c r="A706" t="s">
        <v>401</v>
      </c>
      <c r="B706" s="174">
        <v>100000</v>
      </c>
    </row>
    <row r="707" spans="1:2" x14ac:dyDescent="0.25">
      <c r="A707" t="s">
        <v>402</v>
      </c>
      <c r="B707" s="174">
        <v>200000</v>
      </c>
    </row>
    <row r="708" spans="1:2" x14ac:dyDescent="0.25">
      <c r="A708" t="s">
        <v>403</v>
      </c>
      <c r="B708" s="174">
        <v>300000</v>
      </c>
    </row>
    <row r="709" spans="1:2" x14ac:dyDescent="0.25">
      <c r="A709" t="s">
        <v>401</v>
      </c>
      <c r="B709" s="174">
        <v>100000</v>
      </c>
    </row>
    <row r="710" spans="1:2" x14ac:dyDescent="0.25">
      <c r="A710" t="s">
        <v>402</v>
      </c>
      <c r="B710" s="174">
        <v>200000</v>
      </c>
    </row>
    <row r="711" spans="1:2" x14ac:dyDescent="0.25">
      <c r="A711" t="s">
        <v>403</v>
      </c>
      <c r="B711" s="174">
        <v>300000</v>
      </c>
    </row>
    <row r="712" spans="1:2" x14ac:dyDescent="0.25">
      <c r="A712" t="s">
        <v>401</v>
      </c>
      <c r="B712" s="174">
        <v>100000</v>
      </c>
    </row>
    <row r="713" spans="1:2" x14ac:dyDescent="0.25">
      <c r="A713" t="s">
        <v>402</v>
      </c>
      <c r="B713" s="174">
        <v>200000</v>
      </c>
    </row>
    <row r="714" spans="1:2" x14ac:dyDescent="0.25">
      <c r="A714" t="s">
        <v>403</v>
      </c>
      <c r="B714" s="174">
        <v>300000</v>
      </c>
    </row>
    <row r="715" spans="1:2" x14ac:dyDescent="0.25">
      <c r="A715" t="s">
        <v>401</v>
      </c>
      <c r="B715" s="174">
        <v>100000</v>
      </c>
    </row>
    <row r="716" spans="1:2" x14ac:dyDescent="0.25">
      <c r="A716" t="s">
        <v>402</v>
      </c>
      <c r="B716" s="174">
        <v>200000</v>
      </c>
    </row>
    <row r="717" spans="1:2" x14ac:dyDescent="0.25">
      <c r="A717" t="s">
        <v>403</v>
      </c>
      <c r="B717" s="174">
        <v>300000</v>
      </c>
    </row>
    <row r="718" spans="1:2" x14ac:dyDescent="0.25">
      <c r="A718" t="s">
        <v>401</v>
      </c>
      <c r="B718" s="174">
        <v>100000</v>
      </c>
    </row>
    <row r="719" spans="1:2" x14ac:dyDescent="0.25">
      <c r="A719" t="s">
        <v>402</v>
      </c>
      <c r="B719" s="174">
        <v>200000</v>
      </c>
    </row>
    <row r="720" spans="1:2" x14ac:dyDescent="0.25">
      <c r="A720" t="s">
        <v>403</v>
      </c>
      <c r="B720" s="174">
        <v>300000</v>
      </c>
    </row>
    <row r="721" spans="1:2" x14ac:dyDescent="0.25">
      <c r="A721" t="s">
        <v>401</v>
      </c>
      <c r="B721" s="174">
        <v>100000</v>
      </c>
    </row>
    <row r="722" spans="1:2" x14ac:dyDescent="0.25">
      <c r="A722" t="s">
        <v>402</v>
      </c>
      <c r="B722" s="174">
        <v>200000</v>
      </c>
    </row>
    <row r="723" spans="1:2" x14ac:dyDescent="0.25">
      <c r="A723" t="s">
        <v>403</v>
      </c>
      <c r="B723" s="174">
        <v>300000</v>
      </c>
    </row>
    <row r="724" spans="1:2" x14ac:dyDescent="0.25">
      <c r="A724" t="s">
        <v>401</v>
      </c>
      <c r="B724" s="174">
        <v>100000</v>
      </c>
    </row>
    <row r="725" spans="1:2" x14ac:dyDescent="0.25">
      <c r="A725" t="s">
        <v>402</v>
      </c>
      <c r="B725" s="174">
        <v>200000</v>
      </c>
    </row>
    <row r="726" spans="1:2" x14ac:dyDescent="0.25">
      <c r="A726" t="s">
        <v>403</v>
      </c>
      <c r="B726" s="174">
        <v>300000</v>
      </c>
    </row>
    <row r="727" spans="1:2" x14ac:dyDescent="0.25">
      <c r="A727" t="s">
        <v>401</v>
      </c>
      <c r="B727" s="174">
        <v>100000</v>
      </c>
    </row>
    <row r="728" spans="1:2" x14ac:dyDescent="0.25">
      <c r="A728" t="s">
        <v>402</v>
      </c>
      <c r="B728" s="174">
        <v>200000</v>
      </c>
    </row>
    <row r="729" spans="1:2" x14ac:dyDescent="0.25">
      <c r="A729" t="s">
        <v>403</v>
      </c>
      <c r="B729" s="174">
        <v>300000</v>
      </c>
    </row>
    <row r="730" spans="1:2" x14ac:dyDescent="0.25">
      <c r="A730" t="s">
        <v>401</v>
      </c>
      <c r="B730" s="174">
        <v>100000</v>
      </c>
    </row>
    <row r="731" spans="1:2" x14ac:dyDescent="0.25">
      <c r="A731" t="s">
        <v>402</v>
      </c>
      <c r="B731" s="174">
        <v>200000</v>
      </c>
    </row>
    <row r="732" spans="1:2" x14ac:dyDescent="0.25">
      <c r="A732" t="s">
        <v>403</v>
      </c>
      <c r="B732" s="174">
        <v>300000</v>
      </c>
    </row>
    <row r="733" spans="1:2" x14ac:dyDescent="0.25">
      <c r="A733" t="s">
        <v>401</v>
      </c>
      <c r="B733" s="174">
        <v>100000</v>
      </c>
    </row>
    <row r="734" spans="1:2" x14ac:dyDescent="0.25">
      <c r="A734" t="s">
        <v>402</v>
      </c>
      <c r="B734" s="174">
        <v>200000</v>
      </c>
    </row>
    <row r="735" spans="1:2" x14ac:dyDescent="0.25">
      <c r="A735" t="s">
        <v>403</v>
      </c>
      <c r="B735" s="174">
        <v>300000</v>
      </c>
    </row>
    <row r="736" spans="1:2" x14ac:dyDescent="0.25">
      <c r="A736" t="s">
        <v>401</v>
      </c>
      <c r="B736" s="174">
        <v>100000</v>
      </c>
    </row>
    <row r="737" spans="1:2" x14ac:dyDescent="0.25">
      <c r="A737" t="s">
        <v>402</v>
      </c>
      <c r="B737" s="174">
        <v>200000</v>
      </c>
    </row>
    <row r="738" spans="1:2" x14ac:dyDescent="0.25">
      <c r="A738" t="s">
        <v>403</v>
      </c>
      <c r="B738" s="174">
        <v>300000</v>
      </c>
    </row>
    <row r="739" spans="1:2" x14ac:dyDescent="0.25">
      <c r="A739" t="s">
        <v>401</v>
      </c>
      <c r="B739" s="174">
        <v>100000</v>
      </c>
    </row>
    <row r="740" spans="1:2" x14ac:dyDescent="0.25">
      <c r="A740" t="s">
        <v>402</v>
      </c>
      <c r="B740" s="174">
        <v>200000</v>
      </c>
    </row>
    <row r="741" spans="1:2" x14ac:dyDescent="0.25">
      <c r="A741" t="s">
        <v>403</v>
      </c>
      <c r="B741" s="174">
        <v>300000</v>
      </c>
    </row>
    <row r="742" spans="1:2" x14ac:dyDescent="0.25">
      <c r="A742" t="s">
        <v>401</v>
      </c>
      <c r="B742" s="174">
        <v>100000</v>
      </c>
    </row>
    <row r="743" spans="1:2" x14ac:dyDescent="0.25">
      <c r="A743" t="s">
        <v>402</v>
      </c>
      <c r="B743" s="174">
        <v>200000</v>
      </c>
    </row>
    <row r="744" spans="1:2" x14ac:dyDescent="0.25">
      <c r="A744" t="s">
        <v>403</v>
      </c>
      <c r="B744" s="174">
        <v>300000</v>
      </c>
    </row>
    <row r="745" spans="1:2" x14ac:dyDescent="0.25">
      <c r="A745" t="s">
        <v>401</v>
      </c>
      <c r="B745" s="174">
        <v>100000</v>
      </c>
    </row>
    <row r="746" spans="1:2" x14ac:dyDescent="0.25">
      <c r="A746" t="s">
        <v>402</v>
      </c>
      <c r="B746" s="174">
        <v>200000</v>
      </c>
    </row>
    <row r="747" spans="1:2" x14ac:dyDescent="0.25">
      <c r="A747" t="s">
        <v>403</v>
      </c>
      <c r="B747" s="174">
        <v>300000</v>
      </c>
    </row>
    <row r="748" spans="1:2" x14ac:dyDescent="0.25">
      <c r="A748" t="s">
        <v>401</v>
      </c>
      <c r="B748" s="174">
        <v>100000</v>
      </c>
    </row>
    <row r="749" spans="1:2" x14ac:dyDescent="0.25">
      <c r="A749" t="s">
        <v>402</v>
      </c>
      <c r="B749" s="174">
        <v>200000</v>
      </c>
    </row>
    <row r="750" spans="1:2" x14ac:dyDescent="0.25">
      <c r="A750" t="s">
        <v>403</v>
      </c>
      <c r="B750" s="174">
        <v>300000</v>
      </c>
    </row>
    <row r="751" spans="1:2" x14ac:dyDescent="0.25">
      <c r="A751" t="s">
        <v>401</v>
      </c>
      <c r="B751" s="174">
        <v>100000</v>
      </c>
    </row>
    <row r="752" spans="1:2" x14ac:dyDescent="0.25">
      <c r="A752" t="s">
        <v>402</v>
      </c>
      <c r="B752" s="174">
        <v>200000</v>
      </c>
    </row>
    <row r="753" spans="1:2" x14ac:dyDescent="0.25">
      <c r="A753" t="s">
        <v>403</v>
      </c>
      <c r="B753" s="174">
        <v>300000</v>
      </c>
    </row>
    <row r="754" spans="1:2" x14ac:dyDescent="0.25">
      <c r="A754" t="s">
        <v>401</v>
      </c>
      <c r="B754" s="174">
        <v>100000</v>
      </c>
    </row>
    <row r="755" spans="1:2" x14ac:dyDescent="0.25">
      <c r="A755" t="s">
        <v>402</v>
      </c>
      <c r="B755" s="174">
        <v>200000</v>
      </c>
    </row>
    <row r="756" spans="1:2" x14ac:dyDescent="0.25">
      <c r="A756" t="s">
        <v>403</v>
      </c>
      <c r="B756" s="174">
        <v>300000</v>
      </c>
    </row>
    <row r="757" spans="1:2" x14ac:dyDescent="0.25">
      <c r="A757" t="s">
        <v>401</v>
      </c>
      <c r="B757" s="174">
        <v>100000</v>
      </c>
    </row>
    <row r="758" spans="1:2" x14ac:dyDescent="0.25">
      <c r="A758" t="s">
        <v>402</v>
      </c>
      <c r="B758" s="174">
        <v>200000</v>
      </c>
    </row>
    <row r="759" spans="1:2" x14ac:dyDescent="0.25">
      <c r="A759" t="s">
        <v>403</v>
      </c>
      <c r="B759" s="174">
        <v>300000</v>
      </c>
    </row>
    <row r="760" spans="1:2" x14ac:dyDescent="0.25">
      <c r="A760" t="s">
        <v>401</v>
      </c>
      <c r="B760" s="174">
        <v>100000</v>
      </c>
    </row>
    <row r="761" spans="1:2" x14ac:dyDescent="0.25">
      <c r="A761" t="s">
        <v>402</v>
      </c>
      <c r="B761" s="174">
        <v>200000</v>
      </c>
    </row>
    <row r="762" spans="1:2" x14ac:dyDescent="0.25">
      <c r="A762" t="s">
        <v>403</v>
      </c>
      <c r="B762" s="174">
        <v>300000</v>
      </c>
    </row>
    <row r="763" spans="1:2" x14ac:dyDescent="0.25">
      <c r="A763" t="s">
        <v>401</v>
      </c>
      <c r="B763" s="174">
        <v>100000</v>
      </c>
    </row>
    <row r="764" spans="1:2" x14ac:dyDescent="0.25">
      <c r="A764" t="s">
        <v>402</v>
      </c>
      <c r="B764" s="174">
        <v>200000</v>
      </c>
    </row>
    <row r="765" spans="1:2" x14ac:dyDescent="0.25">
      <c r="A765" t="s">
        <v>403</v>
      </c>
      <c r="B765" s="174">
        <v>300000</v>
      </c>
    </row>
    <row r="766" spans="1:2" x14ac:dyDescent="0.25">
      <c r="A766" t="s">
        <v>401</v>
      </c>
      <c r="B766" s="174">
        <v>100000</v>
      </c>
    </row>
    <row r="767" spans="1:2" x14ac:dyDescent="0.25">
      <c r="A767" t="s">
        <v>402</v>
      </c>
      <c r="B767" s="174">
        <v>200000</v>
      </c>
    </row>
    <row r="768" spans="1:2" x14ac:dyDescent="0.25">
      <c r="A768" t="s">
        <v>403</v>
      </c>
      <c r="B768" s="174">
        <v>300000</v>
      </c>
    </row>
    <row r="769" spans="1:2" x14ac:dyDescent="0.25">
      <c r="A769" t="s">
        <v>401</v>
      </c>
      <c r="B769" s="174">
        <v>100000</v>
      </c>
    </row>
    <row r="770" spans="1:2" x14ac:dyDescent="0.25">
      <c r="A770" t="s">
        <v>402</v>
      </c>
      <c r="B770" s="174">
        <v>200000</v>
      </c>
    </row>
    <row r="771" spans="1:2" x14ac:dyDescent="0.25">
      <c r="A771" t="s">
        <v>403</v>
      </c>
      <c r="B771" s="174">
        <v>300000</v>
      </c>
    </row>
    <row r="772" spans="1:2" x14ac:dyDescent="0.25">
      <c r="A772" t="s">
        <v>401</v>
      </c>
      <c r="B772" s="174">
        <v>100000</v>
      </c>
    </row>
    <row r="773" spans="1:2" x14ac:dyDescent="0.25">
      <c r="A773" t="s">
        <v>402</v>
      </c>
      <c r="B773" s="174">
        <v>200000</v>
      </c>
    </row>
    <row r="774" spans="1:2" x14ac:dyDescent="0.25">
      <c r="A774" t="s">
        <v>403</v>
      </c>
      <c r="B774" s="174">
        <v>300000</v>
      </c>
    </row>
    <row r="775" spans="1:2" x14ac:dyDescent="0.25">
      <c r="A775" t="s">
        <v>401</v>
      </c>
      <c r="B775" s="174">
        <v>100000</v>
      </c>
    </row>
    <row r="776" spans="1:2" x14ac:dyDescent="0.25">
      <c r="A776" t="s">
        <v>402</v>
      </c>
      <c r="B776" s="174">
        <v>200000</v>
      </c>
    </row>
    <row r="777" spans="1:2" x14ac:dyDescent="0.25">
      <c r="A777" t="s">
        <v>403</v>
      </c>
      <c r="B777" s="174">
        <v>300000</v>
      </c>
    </row>
    <row r="778" spans="1:2" x14ac:dyDescent="0.25">
      <c r="A778" t="s">
        <v>401</v>
      </c>
      <c r="B778" s="174">
        <v>100000</v>
      </c>
    </row>
    <row r="779" spans="1:2" x14ac:dyDescent="0.25">
      <c r="A779" t="s">
        <v>402</v>
      </c>
      <c r="B779" s="174">
        <v>200000</v>
      </c>
    </row>
    <row r="780" spans="1:2" x14ac:dyDescent="0.25">
      <c r="A780" t="s">
        <v>403</v>
      </c>
      <c r="B780" s="174">
        <v>300000</v>
      </c>
    </row>
    <row r="781" spans="1:2" x14ac:dyDescent="0.25">
      <c r="A781" t="s">
        <v>401</v>
      </c>
      <c r="B781" s="174">
        <v>100000</v>
      </c>
    </row>
    <row r="782" spans="1:2" x14ac:dyDescent="0.25">
      <c r="A782" t="s">
        <v>402</v>
      </c>
      <c r="B782" s="174">
        <v>200000</v>
      </c>
    </row>
    <row r="783" spans="1:2" x14ac:dyDescent="0.25">
      <c r="A783" t="s">
        <v>403</v>
      </c>
      <c r="B783" s="174">
        <v>300000</v>
      </c>
    </row>
    <row r="784" spans="1:2" x14ac:dyDescent="0.25">
      <c r="A784" t="s">
        <v>401</v>
      </c>
      <c r="B784" s="174">
        <v>100000</v>
      </c>
    </row>
    <row r="785" spans="1:2" x14ac:dyDescent="0.25">
      <c r="A785" t="s">
        <v>402</v>
      </c>
      <c r="B785" s="174">
        <v>200000</v>
      </c>
    </row>
    <row r="786" spans="1:2" x14ac:dyDescent="0.25">
      <c r="A786" t="s">
        <v>403</v>
      </c>
      <c r="B786" s="174">
        <v>300000</v>
      </c>
    </row>
    <row r="787" spans="1:2" x14ac:dyDescent="0.25">
      <c r="A787" t="s">
        <v>401</v>
      </c>
      <c r="B787" s="174">
        <v>100000</v>
      </c>
    </row>
    <row r="788" spans="1:2" x14ac:dyDescent="0.25">
      <c r="A788" t="s">
        <v>402</v>
      </c>
      <c r="B788" s="174">
        <v>200000</v>
      </c>
    </row>
    <row r="789" spans="1:2" x14ac:dyDescent="0.25">
      <c r="A789" t="s">
        <v>403</v>
      </c>
      <c r="B789" s="174">
        <v>300000</v>
      </c>
    </row>
    <row r="790" spans="1:2" x14ac:dyDescent="0.25">
      <c r="A790" t="s">
        <v>401</v>
      </c>
      <c r="B790" s="174">
        <v>100000</v>
      </c>
    </row>
    <row r="791" spans="1:2" x14ac:dyDescent="0.25">
      <c r="A791" t="s">
        <v>402</v>
      </c>
      <c r="B791" s="174">
        <v>200000</v>
      </c>
    </row>
    <row r="792" spans="1:2" x14ac:dyDescent="0.25">
      <c r="A792" t="s">
        <v>403</v>
      </c>
      <c r="B792" s="174">
        <v>300000</v>
      </c>
    </row>
    <row r="793" spans="1:2" x14ac:dyDescent="0.25">
      <c r="A793" t="s">
        <v>401</v>
      </c>
      <c r="B793" s="174">
        <v>100000</v>
      </c>
    </row>
    <row r="794" spans="1:2" x14ac:dyDescent="0.25">
      <c r="A794" t="s">
        <v>402</v>
      </c>
      <c r="B794" s="174">
        <v>200000</v>
      </c>
    </row>
    <row r="795" spans="1:2" x14ac:dyDescent="0.25">
      <c r="A795" t="s">
        <v>403</v>
      </c>
      <c r="B795" s="174">
        <v>300000</v>
      </c>
    </row>
    <row r="796" spans="1:2" x14ac:dyDescent="0.25">
      <c r="A796" t="s">
        <v>401</v>
      </c>
      <c r="B796" s="174">
        <v>100000</v>
      </c>
    </row>
    <row r="797" spans="1:2" x14ac:dyDescent="0.25">
      <c r="A797" t="s">
        <v>402</v>
      </c>
      <c r="B797" s="174">
        <v>200000</v>
      </c>
    </row>
    <row r="798" spans="1:2" x14ac:dyDescent="0.25">
      <c r="A798" t="s">
        <v>403</v>
      </c>
      <c r="B798" s="174">
        <v>300000</v>
      </c>
    </row>
    <row r="799" spans="1:2" x14ac:dyDescent="0.25">
      <c r="A799" t="s">
        <v>401</v>
      </c>
      <c r="B799" s="174">
        <v>100000</v>
      </c>
    </row>
    <row r="800" spans="1:2" x14ac:dyDescent="0.25">
      <c r="A800" t="s">
        <v>402</v>
      </c>
      <c r="B800" s="174">
        <v>200000</v>
      </c>
    </row>
    <row r="801" spans="1:2" x14ac:dyDescent="0.25">
      <c r="A801" t="s">
        <v>403</v>
      </c>
      <c r="B801" s="174">
        <v>300000</v>
      </c>
    </row>
    <row r="802" spans="1:2" x14ac:dyDescent="0.25">
      <c r="A802" t="s">
        <v>401</v>
      </c>
      <c r="B802" s="174">
        <v>100000</v>
      </c>
    </row>
    <row r="803" spans="1:2" x14ac:dyDescent="0.25">
      <c r="A803" t="s">
        <v>402</v>
      </c>
      <c r="B803" s="174">
        <v>200000</v>
      </c>
    </row>
    <row r="804" spans="1:2" x14ac:dyDescent="0.25">
      <c r="A804" t="s">
        <v>403</v>
      </c>
      <c r="B804" s="174">
        <v>300000</v>
      </c>
    </row>
    <row r="805" spans="1:2" x14ac:dyDescent="0.25">
      <c r="A805" t="s">
        <v>401</v>
      </c>
      <c r="B805" s="174">
        <v>100000</v>
      </c>
    </row>
    <row r="806" spans="1:2" x14ac:dyDescent="0.25">
      <c r="A806" t="s">
        <v>402</v>
      </c>
      <c r="B806" s="174">
        <v>200000</v>
      </c>
    </row>
    <row r="807" spans="1:2" x14ac:dyDescent="0.25">
      <c r="A807" t="s">
        <v>403</v>
      </c>
      <c r="B807" s="174">
        <v>300000</v>
      </c>
    </row>
    <row r="808" spans="1:2" x14ac:dyDescent="0.25">
      <c r="A808" t="s">
        <v>401</v>
      </c>
      <c r="B808" s="174">
        <v>100000</v>
      </c>
    </row>
    <row r="809" spans="1:2" x14ac:dyDescent="0.25">
      <c r="A809" t="s">
        <v>402</v>
      </c>
      <c r="B809" s="174">
        <v>200000</v>
      </c>
    </row>
    <row r="810" spans="1:2" x14ac:dyDescent="0.25">
      <c r="A810" t="s">
        <v>403</v>
      </c>
      <c r="B810" s="174">
        <v>300000</v>
      </c>
    </row>
    <row r="811" spans="1:2" x14ac:dyDescent="0.25">
      <c r="A811" t="s">
        <v>401</v>
      </c>
      <c r="B811" s="174">
        <v>100000</v>
      </c>
    </row>
    <row r="812" spans="1:2" x14ac:dyDescent="0.25">
      <c r="A812" t="s">
        <v>402</v>
      </c>
      <c r="B812" s="174">
        <v>200000</v>
      </c>
    </row>
    <row r="813" spans="1:2" x14ac:dyDescent="0.25">
      <c r="A813" t="s">
        <v>403</v>
      </c>
      <c r="B813" s="174">
        <v>300000</v>
      </c>
    </row>
    <row r="814" spans="1:2" x14ac:dyDescent="0.25">
      <c r="A814" t="s">
        <v>401</v>
      </c>
      <c r="B814" s="174">
        <v>100000</v>
      </c>
    </row>
    <row r="815" spans="1:2" x14ac:dyDescent="0.25">
      <c r="A815" t="s">
        <v>402</v>
      </c>
      <c r="B815" s="174">
        <v>200000</v>
      </c>
    </row>
    <row r="816" spans="1:2" x14ac:dyDescent="0.25">
      <c r="A816" t="s">
        <v>403</v>
      </c>
      <c r="B816" s="174">
        <v>300000</v>
      </c>
    </row>
    <row r="817" spans="1:2" x14ac:dyDescent="0.25">
      <c r="A817" t="s">
        <v>401</v>
      </c>
      <c r="B817" s="174">
        <v>100000</v>
      </c>
    </row>
    <row r="818" spans="1:2" x14ac:dyDescent="0.25">
      <c r="A818" t="s">
        <v>402</v>
      </c>
      <c r="B818" s="174">
        <v>200000</v>
      </c>
    </row>
    <row r="819" spans="1:2" x14ac:dyDescent="0.25">
      <c r="A819" t="s">
        <v>403</v>
      </c>
      <c r="B819" s="174">
        <v>300000</v>
      </c>
    </row>
    <row r="820" spans="1:2" x14ac:dyDescent="0.25">
      <c r="A820" t="s">
        <v>401</v>
      </c>
      <c r="B820" s="174">
        <v>100000</v>
      </c>
    </row>
    <row r="821" spans="1:2" x14ac:dyDescent="0.25">
      <c r="A821" t="s">
        <v>402</v>
      </c>
      <c r="B821" s="174">
        <v>200000</v>
      </c>
    </row>
    <row r="822" spans="1:2" x14ac:dyDescent="0.25">
      <c r="A822" t="s">
        <v>403</v>
      </c>
      <c r="B822" s="174">
        <v>300000</v>
      </c>
    </row>
    <row r="823" spans="1:2" x14ac:dyDescent="0.25">
      <c r="A823" t="s">
        <v>401</v>
      </c>
      <c r="B823" s="174">
        <v>100000</v>
      </c>
    </row>
    <row r="824" spans="1:2" x14ac:dyDescent="0.25">
      <c r="A824" t="s">
        <v>402</v>
      </c>
      <c r="B824" s="174">
        <v>200000</v>
      </c>
    </row>
    <row r="825" spans="1:2" x14ac:dyDescent="0.25">
      <c r="A825" t="s">
        <v>403</v>
      </c>
      <c r="B825" s="174">
        <v>300000</v>
      </c>
    </row>
    <row r="826" spans="1:2" x14ac:dyDescent="0.25">
      <c r="A826" t="s">
        <v>401</v>
      </c>
      <c r="B826" s="174">
        <v>100000</v>
      </c>
    </row>
    <row r="827" spans="1:2" x14ac:dyDescent="0.25">
      <c r="A827" t="s">
        <v>402</v>
      </c>
      <c r="B827" s="174">
        <v>200000</v>
      </c>
    </row>
    <row r="828" spans="1:2" x14ac:dyDescent="0.25">
      <c r="A828" t="s">
        <v>403</v>
      </c>
      <c r="B828" s="174">
        <v>300000</v>
      </c>
    </row>
    <row r="829" spans="1:2" x14ac:dyDescent="0.25">
      <c r="A829" t="s">
        <v>401</v>
      </c>
      <c r="B829" s="174">
        <v>100000</v>
      </c>
    </row>
    <row r="830" spans="1:2" x14ac:dyDescent="0.25">
      <c r="A830" t="s">
        <v>402</v>
      </c>
      <c r="B830" s="174">
        <v>200000</v>
      </c>
    </row>
    <row r="831" spans="1:2" x14ac:dyDescent="0.25">
      <c r="A831" t="s">
        <v>403</v>
      </c>
      <c r="B831" s="174">
        <v>300000</v>
      </c>
    </row>
    <row r="832" spans="1:2" x14ac:dyDescent="0.25">
      <c r="A832" t="s">
        <v>401</v>
      </c>
      <c r="B832" s="174">
        <v>100000</v>
      </c>
    </row>
    <row r="833" spans="1:2" x14ac:dyDescent="0.25">
      <c r="A833" t="s">
        <v>402</v>
      </c>
      <c r="B833" s="174">
        <v>200000</v>
      </c>
    </row>
    <row r="834" spans="1:2" x14ac:dyDescent="0.25">
      <c r="A834" t="s">
        <v>403</v>
      </c>
      <c r="B834" s="174">
        <v>300000</v>
      </c>
    </row>
    <row r="835" spans="1:2" x14ac:dyDescent="0.25">
      <c r="A835" t="s">
        <v>401</v>
      </c>
      <c r="B835" s="174">
        <v>100000</v>
      </c>
    </row>
    <row r="836" spans="1:2" x14ac:dyDescent="0.25">
      <c r="A836" t="s">
        <v>402</v>
      </c>
      <c r="B836" s="174">
        <v>200000</v>
      </c>
    </row>
    <row r="837" spans="1:2" x14ac:dyDescent="0.25">
      <c r="A837" t="s">
        <v>403</v>
      </c>
      <c r="B837" s="174">
        <v>300000</v>
      </c>
    </row>
    <row r="838" spans="1:2" x14ac:dyDescent="0.25">
      <c r="A838" t="s">
        <v>401</v>
      </c>
      <c r="B838" s="174">
        <v>100000</v>
      </c>
    </row>
    <row r="839" spans="1:2" x14ac:dyDescent="0.25">
      <c r="A839" t="s">
        <v>402</v>
      </c>
      <c r="B839" s="174">
        <v>200000</v>
      </c>
    </row>
    <row r="840" spans="1:2" x14ac:dyDescent="0.25">
      <c r="A840" t="s">
        <v>403</v>
      </c>
      <c r="B840" s="174">
        <v>300000</v>
      </c>
    </row>
    <row r="841" spans="1:2" x14ac:dyDescent="0.25">
      <c r="A841" t="s">
        <v>401</v>
      </c>
      <c r="B841" s="174">
        <v>100000</v>
      </c>
    </row>
    <row r="842" spans="1:2" x14ac:dyDescent="0.25">
      <c r="A842" t="s">
        <v>402</v>
      </c>
      <c r="B842" s="174">
        <v>200000</v>
      </c>
    </row>
    <row r="843" spans="1:2" x14ac:dyDescent="0.25">
      <c r="A843" t="s">
        <v>403</v>
      </c>
      <c r="B843" s="174">
        <v>300000</v>
      </c>
    </row>
    <row r="844" spans="1:2" x14ac:dyDescent="0.25">
      <c r="A844" t="s">
        <v>401</v>
      </c>
      <c r="B844" s="174">
        <v>100000</v>
      </c>
    </row>
    <row r="845" spans="1:2" x14ac:dyDescent="0.25">
      <c r="A845" t="s">
        <v>402</v>
      </c>
      <c r="B845" s="174">
        <v>200000</v>
      </c>
    </row>
    <row r="846" spans="1:2" x14ac:dyDescent="0.25">
      <c r="A846" t="s">
        <v>403</v>
      </c>
      <c r="B846" s="174">
        <v>300000</v>
      </c>
    </row>
    <row r="847" spans="1:2" x14ac:dyDescent="0.25">
      <c r="A847" t="s">
        <v>401</v>
      </c>
      <c r="B847" s="174">
        <v>100000</v>
      </c>
    </row>
    <row r="848" spans="1:2" x14ac:dyDescent="0.25">
      <c r="A848" t="s">
        <v>402</v>
      </c>
      <c r="B848" s="174">
        <v>200000</v>
      </c>
    </row>
    <row r="849" spans="1:2" x14ac:dyDescent="0.25">
      <c r="A849" t="s">
        <v>403</v>
      </c>
      <c r="B849" s="174">
        <v>300000</v>
      </c>
    </row>
    <row r="850" spans="1:2" x14ac:dyDescent="0.25">
      <c r="A850" t="s">
        <v>401</v>
      </c>
      <c r="B850" s="174">
        <v>100000</v>
      </c>
    </row>
    <row r="851" spans="1:2" x14ac:dyDescent="0.25">
      <c r="A851" t="s">
        <v>402</v>
      </c>
      <c r="B851" s="174">
        <v>200000</v>
      </c>
    </row>
    <row r="852" spans="1:2" x14ac:dyDescent="0.25">
      <c r="A852" t="s">
        <v>403</v>
      </c>
      <c r="B852" s="174">
        <v>300000</v>
      </c>
    </row>
    <row r="853" spans="1:2" x14ac:dyDescent="0.25">
      <c r="A853" t="s">
        <v>401</v>
      </c>
      <c r="B853" s="174">
        <v>100000</v>
      </c>
    </row>
    <row r="854" spans="1:2" x14ac:dyDescent="0.25">
      <c r="A854" t="s">
        <v>402</v>
      </c>
      <c r="B854" s="174">
        <v>200000</v>
      </c>
    </row>
    <row r="855" spans="1:2" x14ac:dyDescent="0.25">
      <c r="A855" t="s">
        <v>403</v>
      </c>
      <c r="B855" s="174">
        <v>300000</v>
      </c>
    </row>
    <row r="856" spans="1:2" x14ac:dyDescent="0.25">
      <c r="A856" t="s">
        <v>401</v>
      </c>
      <c r="B856" s="174">
        <v>100000</v>
      </c>
    </row>
    <row r="857" spans="1:2" x14ac:dyDescent="0.25">
      <c r="A857" t="s">
        <v>402</v>
      </c>
      <c r="B857" s="174">
        <v>200000</v>
      </c>
    </row>
    <row r="858" spans="1:2" x14ac:dyDescent="0.25">
      <c r="A858" t="s">
        <v>403</v>
      </c>
      <c r="B858" s="174">
        <v>300000</v>
      </c>
    </row>
    <row r="859" spans="1:2" x14ac:dyDescent="0.25">
      <c r="A859" t="s">
        <v>401</v>
      </c>
      <c r="B859" s="174">
        <v>100000</v>
      </c>
    </row>
    <row r="860" spans="1:2" x14ac:dyDescent="0.25">
      <c r="A860" t="s">
        <v>402</v>
      </c>
      <c r="B860" s="174">
        <v>200000</v>
      </c>
    </row>
    <row r="861" spans="1:2" x14ac:dyDescent="0.25">
      <c r="A861" t="s">
        <v>403</v>
      </c>
      <c r="B861" s="174">
        <v>300000</v>
      </c>
    </row>
    <row r="862" spans="1:2" x14ac:dyDescent="0.25">
      <c r="A862" t="s">
        <v>401</v>
      </c>
      <c r="B862" s="174">
        <v>100000</v>
      </c>
    </row>
    <row r="863" spans="1:2" x14ac:dyDescent="0.25">
      <c r="A863" t="s">
        <v>402</v>
      </c>
      <c r="B863" s="174">
        <v>200000</v>
      </c>
    </row>
    <row r="864" spans="1:2" x14ac:dyDescent="0.25">
      <c r="A864" t="s">
        <v>403</v>
      </c>
      <c r="B864" s="174">
        <v>300000</v>
      </c>
    </row>
    <row r="865" spans="1:2" x14ac:dyDescent="0.25">
      <c r="A865" t="s">
        <v>401</v>
      </c>
      <c r="B865" s="174">
        <v>100000</v>
      </c>
    </row>
    <row r="866" spans="1:2" x14ac:dyDescent="0.25">
      <c r="A866" t="s">
        <v>402</v>
      </c>
      <c r="B866" s="174">
        <v>200000</v>
      </c>
    </row>
    <row r="867" spans="1:2" x14ac:dyDescent="0.25">
      <c r="A867" t="s">
        <v>403</v>
      </c>
      <c r="B867" s="174">
        <v>300000</v>
      </c>
    </row>
    <row r="868" spans="1:2" x14ac:dyDescent="0.25">
      <c r="A868" t="s">
        <v>401</v>
      </c>
      <c r="B868" s="174">
        <v>100000</v>
      </c>
    </row>
    <row r="869" spans="1:2" x14ac:dyDescent="0.25">
      <c r="A869" t="s">
        <v>402</v>
      </c>
      <c r="B869" s="174">
        <v>200000</v>
      </c>
    </row>
    <row r="870" spans="1:2" x14ac:dyDescent="0.25">
      <c r="A870" t="s">
        <v>403</v>
      </c>
      <c r="B870" s="174">
        <v>300000</v>
      </c>
    </row>
    <row r="871" spans="1:2" x14ac:dyDescent="0.25">
      <c r="A871" t="s">
        <v>401</v>
      </c>
      <c r="B871" s="174">
        <v>100000</v>
      </c>
    </row>
    <row r="872" spans="1:2" x14ac:dyDescent="0.25">
      <c r="A872" t="s">
        <v>402</v>
      </c>
      <c r="B872" s="174">
        <v>200000</v>
      </c>
    </row>
    <row r="873" spans="1:2" x14ac:dyDescent="0.25">
      <c r="A873" t="s">
        <v>403</v>
      </c>
      <c r="B873" s="174">
        <v>300000</v>
      </c>
    </row>
    <row r="874" spans="1:2" x14ac:dyDescent="0.25">
      <c r="A874" t="s">
        <v>401</v>
      </c>
      <c r="B874" s="174">
        <v>100000</v>
      </c>
    </row>
    <row r="875" spans="1:2" x14ac:dyDescent="0.25">
      <c r="A875" t="s">
        <v>402</v>
      </c>
      <c r="B875" s="174">
        <v>200000</v>
      </c>
    </row>
    <row r="876" spans="1:2" x14ac:dyDescent="0.25">
      <c r="A876" t="s">
        <v>403</v>
      </c>
      <c r="B876" s="174">
        <v>300000</v>
      </c>
    </row>
    <row r="877" spans="1:2" x14ac:dyDescent="0.25">
      <c r="A877" t="s">
        <v>401</v>
      </c>
      <c r="B877" s="174">
        <v>100000</v>
      </c>
    </row>
    <row r="878" spans="1:2" x14ac:dyDescent="0.25">
      <c r="A878" t="s">
        <v>402</v>
      </c>
      <c r="B878" s="174">
        <v>200000</v>
      </c>
    </row>
    <row r="879" spans="1:2" x14ac:dyDescent="0.25">
      <c r="A879" t="s">
        <v>403</v>
      </c>
      <c r="B879" s="174">
        <v>300000</v>
      </c>
    </row>
    <row r="880" spans="1:2" x14ac:dyDescent="0.25">
      <c r="A880" t="s">
        <v>401</v>
      </c>
      <c r="B880" s="174">
        <v>100000</v>
      </c>
    </row>
    <row r="881" spans="1:2" x14ac:dyDescent="0.25">
      <c r="A881" t="s">
        <v>402</v>
      </c>
      <c r="B881" s="174">
        <v>200000</v>
      </c>
    </row>
    <row r="882" spans="1:2" x14ac:dyDescent="0.25">
      <c r="A882" t="s">
        <v>403</v>
      </c>
      <c r="B882" s="174">
        <v>300000</v>
      </c>
    </row>
    <row r="883" spans="1:2" x14ac:dyDescent="0.25">
      <c r="A883" t="s">
        <v>401</v>
      </c>
      <c r="B883" s="174">
        <v>100000</v>
      </c>
    </row>
    <row r="884" spans="1:2" x14ac:dyDescent="0.25">
      <c r="A884" t="s">
        <v>402</v>
      </c>
      <c r="B884" s="174">
        <v>200000</v>
      </c>
    </row>
    <row r="885" spans="1:2" x14ac:dyDescent="0.25">
      <c r="A885" t="s">
        <v>403</v>
      </c>
      <c r="B885" s="174">
        <v>300000</v>
      </c>
    </row>
    <row r="886" spans="1:2" x14ac:dyDescent="0.25">
      <c r="A886" t="s">
        <v>401</v>
      </c>
      <c r="B886" s="174">
        <v>100000</v>
      </c>
    </row>
    <row r="887" spans="1:2" x14ac:dyDescent="0.25">
      <c r="A887" t="s">
        <v>402</v>
      </c>
      <c r="B887" s="174">
        <v>200000</v>
      </c>
    </row>
    <row r="888" spans="1:2" x14ac:dyDescent="0.25">
      <c r="A888" t="s">
        <v>403</v>
      </c>
      <c r="B888" s="174">
        <v>300000</v>
      </c>
    </row>
    <row r="889" spans="1:2" x14ac:dyDescent="0.25">
      <c r="A889" t="s">
        <v>401</v>
      </c>
      <c r="B889" s="174">
        <v>100000</v>
      </c>
    </row>
    <row r="890" spans="1:2" x14ac:dyDescent="0.25">
      <c r="A890" t="s">
        <v>402</v>
      </c>
      <c r="B890" s="174">
        <v>200000</v>
      </c>
    </row>
    <row r="891" spans="1:2" x14ac:dyDescent="0.25">
      <c r="A891" t="s">
        <v>403</v>
      </c>
      <c r="B891" s="174">
        <v>300000</v>
      </c>
    </row>
    <row r="892" spans="1:2" x14ac:dyDescent="0.25">
      <c r="A892" t="s">
        <v>401</v>
      </c>
      <c r="B892" s="174">
        <v>100000</v>
      </c>
    </row>
    <row r="893" spans="1:2" x14ac:dyDescent="0.25">
      <c r="A893" t="s">
        <v>402</v>
      </c>
      <c r="B893" s="174">
        <v>200000</v>
      </c>
    </row>
    <row r="894" spans="1:2" x14ac:dyDescent="0.25">
      <c r="A894" t="s">
        <v>403</v>
      </c>
      <c r="B894" s="174">
        <v>300000</v>
      </c>
    </row>
    <row r="895" spans="1:2" x14ac:dyDescent="0.25">
      <c r="A895" t="s">
        <v>401</v>
      </c>
      <c r="B895" s="174">
        <v>100000</v>
      </c>
    </row>
    <row r="896" spans="1:2" x14ac:dyDescent="0.25">
      <c r="A896" t="s">
        <v>402</v>
      </c>
      <c r="B896" s="174">
        <v>200000</v>
      </c>
    </row>
    <row r="897" spans="1:2" x14ac:dyDescent="0.25">
      <c r="A897" t="s">
        <v>403</v>
      </c>
      <c r="B897" s="174">
        <v>300000</v>
      </c>
    </row>
    <row r="898" spans="1:2" x14ac:dyDescent="0.25">
      <c r="A898" t="s">
        <v>401</v>
      </c>
      <c r="B898" s="174">
        <v>100000</v>
      </c>
    </row>
    <row r="899" spans="1:2" x14ac:dyDescent="0.25">
      <c r="A899" t="s">
        <v>402</v>
      </c>
      <c r="B899" s="174">
        <v>200000</v>
      </c>
    </row>
    <row r="900" spans="1:2" x14ac:dyDescent="0.25">
      <c r="A900" t="s">
        <v>403</v>
      </c>
      <c r="B900" s="174">
        <v>300000</v>
      </c>
    </row>
    <row r="901" spans="1:2" x14ac:dyDescent="0.25">
      <c r="A901" t="s">
        <v>401</v>
      </c>
      <c r="B901" s="174">
        <v>100000</v>
      </c>
    </row>
    <row r="902" spans="1:2" x14ac:dyDescent="0.25">
      <c r="A902" t="s">
        <v>402</v>
      </c>
      <c r="B902" s="174">
        <v>200000</v>
      </c>
    </row>
    <row r="903" spans="1:2" x14ac:dyDescent="0.25">
      <c r="A903" t="s">
        <v>403</v>
      </c>
      <c r="B903" s="174">
        <v>300000</v>
      </c>
    </row>
    <row r="904" spans="1:2" x14ac:dyDescent="0.25">
      <c r="A904" t="s">
        <v>401</v>
      </c>
      <c r="B904" s="174">
        <v>100000</v>
      </c>
    </row>
    <row r="905" spans="1:2" x14ac:dyDescent="0.25">
      <c r="A905" t="s">
        <v>402</v>
      </c>
      <c r="B905" s="174">
        <v>200000</v>
      </c>
    </row>
    <row r="906" spans="1:2" x14ac:dyDescent="0.25">
      <c r="A906" t="s">
        <v>403</v>
      </c>
      <c r="B906" s="174">
        <v>300000</v>
      </c>
    </row>
    <row r="907" spans="1:2" x14ac:dyDescent="0.25">
      <c r="A907" t="s">
        <v>401</v>
      </c>
      <c r="B907" s="174">
        <v>100000</v>
      </c>
    </row>
    <row r="908" spans="1:2" x14ac:dyDescent="0.25">
      <c r="A908" t="s">
        <v>402</v>
      </c>
      <c r="B908" s="174">
        <v>200000</v>
      </c>
    </row>
    <row r="909" spans="1:2" x14ac:dyDescent="0.25">
      <c r="A909" t="s">
        <v>403</v>
      </c>
      <c r="B909" s="174">
        <v>300000</v>
      </c>
    </row>
    <row r="910" spans="1:2" x14ac:dyDescent="0.25">
      <c r="A910" t="s">
        <v>401</v>
      </c>
      <c r="B910" s="174">
        <v>100000</v>
      </c>
    </row>
    <row r="911" spans="1:2" x14ac:dyDescent="0.25">
      <c r="A911" t="s">
        <v>402</v>
      </c>
      <c r="B911" s="174">
        <v>200000</v>
      </c>
    </row>
    <row r="912" spans="1:2" x14ac:dyDescent="0.25">
      <c r="A912" t="s">
        <v>403</v>
      </c>
      <c r="B912" s="174">
        <v>300000</v>
      </c>
    </row>
    <row r="913" spans="1:2" x14ac:dyDescent="0.25">
      <c r="A913" t="s">
        <v>401</v>
      </c>
      <c r="B913" s="174">
        <v>100000</v>
      </c>
    </row>
    <row r="914" spans="1:2" x14ac:dyDescent="0.25">
      <c r="A914" t="s">
        <v>402</v>
      </c>
      <c r="B914" s="174">
        <v>200000</v>
      </c>
    </row>
    <row r="915" spans="1:2" x14ac:dyDescent="0.25">
      <c r="A915" t="s">
        <v>403</v>
      </c>
      <c r="B915" s="174">
        <v>300000</v>
      </c>
    </row>
    <row r="916" spans="1:2" x14ac:dyDescent="0.25">
      <c r="A916" t="s">
        <v>401</v>
      </c>
      <c r="B916" s="174">
        <v>100000</v>
      </c>
    </row>
    <row r="917" spans="1:2" x14ac:dyDescent="0.25">
      <c r="A917" t="s">
        <v>402</v>
      </c>
      <c r="B917" s="174">
        <v>200000</v>
      </c>
    </row>
    <row r="918" spans="1:2" x14ac:dyDescent="0.25">
      <c r="A918" t="s">
        <v>403</v>
      </c>
      <c r="B918" s="174">
        <v>300000</v>
      </c>
    </row>
    <row r="919" spans="1:2" x14ac:dyDescent="0.25">
      <c r="A919" t="s">
        <v>401</v>
      </c>
      <c r="B919" s="174">
        <v>100000</v>
      </c>
    </row>
    <row r="920" spans="1:2" x14ac:dyDescent="0.25">
      <c r="A920" t="s">
        <v>402</v>
      </c>
      <c r="B920" s="174">
        <v>200000</v>
      </c>
    </row>
    <row r="921" spans="1:2" x14ac:dyDescent="0.25">
      <c r="A921" t="s">
        <v>403</v>
      </c>
      <c r="B921" s="174">
        <v>300000</v>
      </c>
    </row>
    <row r="922" spans="1:2" x14ac:dyDescent="0.25">
      <c r="A922" t="s">
        <v>401</v>
      </c>
      <c r="B922" s="174">
        <v>100000</v>
      </c>
    </row>
    <row r="923" spans="1:2" x14ac:dyDescent="0.25">
      <c r="A923" t="s">
        <v>402</v>
      </c>
      <c r="B923" s="174">
        <v>200000</v>
      </c>
    </row>
    <row r="924" spans="1:2" x14ac:dyDescent="0.25">
      <c r="A924" t="s">
        <v>403</v>
      </c>
      <c r="B924" s="174">
        <v>300000</v>
      </c>
    </row>
    <row r="925" spans="1:2" x14ac:dyDescent="0.25">
      <c r="A925" t="s">
        <v>401</v>
      </c>
      <c r="B925" s="174">
        <v>100000</v>
      </c>
    </row>
    <row r="926" spans="1:2" x14ac:dyDescent="0.25">
      <c r="A926" t="s">
        <v>402</v>
      </c>
      <c r="B926" s="174">
        <v>200000</v>
      </c>
    </row>
    <row r="927" spans="1:2" x14ac:dyDescent="0.25">
      <c r="A927" t="s">
        <v>403</v>
      </c>
      <c r="B927" s="174">
        <v>300000</v>
      </c>
    </row>
    <row r="928" spans="1:2" x14ac:dyDescent="0.25">
      <c r="A928" t="s">
        <v>401</v>
      </c>
      <c r="B928" s="174">
        <v>100000</v>
      </c>
    </row>
    <row r="929" spans="1:2" x14ac:dyDescent="0.25">
      <c r="A929" t="s">
        <v>402</v>
      </c>
      <c r="B929" s="174">
        <v>200000</v>
      </c>
    </row>
    <row r="930" spans="1:2" x14ac:dyDescent="0.25">
      <c r="A930" t="s">
        <v>403</v>
      </c>
      <c r="B930" s="174">
        <v>300000</v>
      </c>
    </row>
    <row r="931" spans="1:2" x14ac:dyDescent="0.25">
      <c r="A931" t="s">
        <v>401</v>
      </c>
      <c r="B931" s="174">
        <v>100000</v>
      </c>
    </row>
    <row r="932" spans="1:2" x14ac:dyDescent="0.25">
      <c r="A932" t="s">
        <v>402</v>
      </c>
      <c r="B932" s="174">
        <v>200000</v>
      </c>
    </row>
    <row r="933" spans="1:2" x14ac:dyDescent="0.25">
      <c r="A933" t="s">
        <v>403</v>
      </c>
      <c r="B933" s="174">
        <v>300000</v>
      </c>
    </row>
    <row r="934" spans="1:2" x14ac:dyDescent="0.25">
      <c r="A934" t="s">
        <v>401</v>
      </c>
      <c r="B934" s="174">
        <v>100000</v>
      </c>
    </row>
    <row r="935" spans="1:2" x14ac:dyDescent="0.25">
      <c r="A935" t="s">
        <v>402</v>
      </c>
      <c r="B935" s="174">
        <v>200000</v>
      </c>
    </row>
    <row r="936" spans="1:2" x14ac:dyDescent="0.25">
      <c r="A936" t="s">
        <v>403</v>
      </c>
      <c r="B936" s="174">
        <v>300000</v>
      </c>
    </row>
    <row r="937" spans="1:2" x14ac:dyDescent="0.25">
      <c r="A937" t="s">
        <v>401</v>
      </c>
      <c r="B937" s="174">
        <v>100000</v>
      </c>
    </row>
    <row r="938" spans="1:2" x14ac:dyDescent="0.25">
      <c r="A938" t="s">
        <v>402</v>
      </c>
      <c r="B938" s="174">
        <v>200000</v>
      </c>
    </row>
    <row r="939" spans="1:2" x14ac:dyDescent="0.25">
      <c r="A939" t="s">
        <v>403</v>
      </c>
      <c r="B939" s="174">
        <v>300000</v>
      </c>
    </row>
    <row r="940" spans="1:2" x14ac:dyDescent="0.25">
      <c r="A940" t="s">
        <v>401</v>
      </c>
      <c r="B940" s="174">
        <v>100000</v>
      </c>
    </row>
    <row r="941" spans="1:2" x14ac:dyDescent="0.25">
      <c r="A941" t="s">
        <v>402</v>
      </c>
      <c r="B941" s="174">
        <v>200000</v>
      </c>
    </row>
    <row r="942" spans="1:2" x14ac:dyDescent="0.25">
      <c r="A942" t="s">
        <v>403</v>
      </c>
      <c r="B942" s="174">
        <v>300000</v>
      </c>
    </row>
    <row r="943" spans="1:2" x14ac:dyDescent="0.25">
      <c r="A943" t="s">
        <v>401</v>
      </c>
      <c r="B943" s="174">
        <v>100000</v>
      </c>
    </row>
    <row r="944" spans="1:2" x14ac:dyDescent="0.25">
      <c r="A944" t="s">
        <v>402</v>
      </c>
      <c r="B944" s="174">
        <v>200000</v>
      </c>
    </row>
    <row r="945" spans="1:2" x14ac:dyDescent="0.25">
      <c r="A945" t="s">
        <v>403</v>
      </c>
      <c r="B945" s="174">
        <v>300000</v>
      </c>
    </row>
    <row r="946" spans="1:2" x14ac:dyDescent="0.25">
      <c r="A946" t="s">
        <v>401</v>
      </c>
      <c r="B946" s="174">
        <v>100000</v>
      </c>
    </row>
    <row r="947" spans="1:2" x14ac:dyDescent="0.25">
      <c r="A947" t="s">
        <v>402</v>
      </c>
      <c r="B947" s="174">
        <v>200000</v>
      </c>
    </row>
    <row r="948" spans="1:2" x14ac:dyDescent="0.25">
      <c r="A948" t="s">
        <v>403</v>
      </c>
      <c r="B948" s="174">
        <v>300000</v>
      </c>
    </row>
    <row r="949" spans="1:2" x14ac:dyDescent="0.25">
      <c r="A949" t="s">
        <v>401</v>
      </c>
      <c r="B949" s="174">
        <v>100000</v>
      </c>
    </row>
    <row r="950" spans="1:2" x14ac:dyDescent="0.25">
      <c r="A950" t="s">
        <v>402</v>
      </c>
      <c r="B950" s="174">
        <v>200000</v>
      </c>
    </row>
    <row r="951" spans="1:2" x14ac:dyDescent="0.25">
      <c r="A951" t="s">
        <v>403</v>
      </c>
      <c r="B951" s="174">
        <v>300000</v>
      </c>
    </row>
    <row r="952" spans="1:2" x14ac:dyDescent="0.25">
      <c r="A952" t="s">
        <v>401</v>
      </c>
      <c r="B952" s="174">
        <v>100000</v>
      </c>
    </row>
    <row r="953" spans="1:2" x14ac:dyDescent="0.25">
      <c r="A953" t="s">
        <v>402</v>
      </c>
      <c r="B953" s="174">
        <v>200000</v>
      </c>
    </row>
    <row r="954" spans="1:2" x14ac:dyDescent="0.25">
      <c r="A954" t="s">
        <v>403</v>
      </c>
      <c r="B954" s="174">
        <v>300000</v>
      </c>
    </row>
    <row r="955" spans="1:2" x14ac:dyDescent="0.25">
      <c r="A955" t="s">
        <v>401</v>
      </c>
      <c r="B955" s="174">
        <v>100000</v>
      </c>
    </row>
    <row r="956" spans="1:2" x14ac:dyDescent="0.25">
      <c r="A956" t="s">
        <v>402</v>
      </c>
      <c r="B956" s="174">
        <v>200000</v>
      </c>
    </row>
    <row r="957" spans="1:2" x14ac:dyDescent="0.25">
      <c r="A957" t="s">
        <v>403</v>
      </c>
      <c r="B957" s="174">
        <v>300000</v>
      </c>
    </row>
    <row r="958" spans="1:2" x14ac:dyDescent="0.25">
      <c r="A958" t="s">
        <v>401</v>
      </c>
      <c r="B958" s="174">
        <v>100000</v>
      </c>
    </row>
    <row r="959" spans="1:2" x14ac:dyDescent="0.25">
      <c r="A959" t="s">
        <v>402</v>
      </c>
      <c r="B959" s="174">
        <v>200000</v>
      </c>
    </row>
    <row r="960" spans="1:2" x14ac:dyDescent="0.25">
      <c r="A960" t="s">
        <v>403</v>
      </c>
      <c r="B960" s="174">
        <v>300000</v>
      </c>
    </row>
    <row r="961" spans="1:2" x14ac:dyDescent="0.25">
      <c r="A961" t="s">
        <v>401</v>
      </c>
      <c r="B961" s="174">
        <v>100000</v>
      </c>
    </row>
    <row r="962" spans="1:2" x14ac:dyDescent="0.25">
      <c r="A962" t="s">
        <v>402</v>
      </c>
      <c r="B962" s="174">
        <v>200000</v>
      </c>
    </row>
    <row r="963" spans="1:2" x14ac:dyDescent="0.25">
      <c r="A963" t="s">
        <v>403</v>
      </c>
      <c r="B963" s="174">
        <v>300000</v>
      </c>
    </row>
    <row r="964" spans="1:2" x14ac:dyDescent="0.25">
      <c r="A964" t="s">
        <v>401</v>
      </c>
      <c r="B964" s="174">
        <v>100000</v>
      </c>
    </row>
    <row r="965" spans="1:2" x14ac:dyDescent="0.25">
      <c r="A965" t="s">
        <v>402</v>
      </c>
      <c r="B965" s="174">
        <v>200000</v>
      </c>
    </row>
    <row r="966" spans="1:2" x14ac:dyDescent="0.25">
      <c r="A966" t="s">
        <v>403</v>
      </c>
      <c r="B966" s="174">
        <v>300000</v>
      </c>
    </row>
    <row r="967" spans="1:2" x14ac:dyDescent="0.25">
      <c r="A967" t="s">
        <v>401</v>
      </c>
      <c r="B967" s="174">
        <v>100000</v>
      </c>
    </row>
    <row r="968" spans="1:2" x14ac:dyDescent="0.25">
      <c r="A968" t="s">
        <v>402</v>
      </c>
      <c r="B968" s="174">
        <v>200000</v>
      </c>
    </row>
    <row r="969" spans="1:2" x14ac:dyDescent="0.25">
      <c r="A969" t="s">
        <v>403</v>
      </c>
      <c r="B969" s="174">
        <v>300000</v>
      </c>
    </row>
    <row r="970" spans="1:2" x14ac:dyDescent="0.25">
      <c r="A970" t="s">
        <v>401</v>
      </c>
      <c r="B970" s="174">
        <v>100000</v>
      </c>
    </row>
    <row r="971" spans="1:2" x14ac:dyDescent="0.25">
      <c r="A971" t="s">
        <v>402</v>
      </c>
      <c r="B971" s="174">
        <v>200000</v>
      </c>
    </row>
    <row r="972" spans="1:2" x14ac:dyDescent="0.25">
      <c r="A972" t="s">
        <v>403</v>
      </c>
      <c r="B972" s="174">
        <v>300000</v>
      </c>
    </row>
    <row r="973" spans="1:2" x14ac:dyDescent="0.25">
      <c r="A973" t="s">
        <v>401</v>
      </c>
      <c r="B973" s="174">
        <v>100000</v>
      </c>
    </row>
    <row r="974" spans="1:2" x14ac:dyDescent="0.25">
      <c r="A974" t="s">
        <v>402</v>
      </c>
      <c r="B974" s="174">
        <v>200000</v>
      </c>
    </row>
    <row r="975" spans="1:2" x14ac:dyDescent="0.25">
      <c r="A975" t="s">
        <v>403</v>
      </c>
      <c r="B975" s="174">
        <v>300000</v>
      </c>
    </row>
    <row r="976" spans="1:2" x14ac:dyDescent="0.25">
      <c r="A976" t="s">
        <v>401</v>
      </c>
      <c r="B976" s="174">
        <v>100000</v>
      </c>
    </row>
    <row r="977" spans="1:2" x14ac:dyDescent="0.25">
      <c r="A977" t="s">
        <v>402</v>
      </c>
      <c r="B977" s="174">
        <v>200000</v>
      </c>
    </row>
    <row r="978" spans="1:2" x14ac:dyDescent="0.25">
      <c r="A978" t="s">
        <v>403</v>
      </c>
      <c r="B978" s="174">
        <v>300000</v>
      </c>
    </row>
    <row r="979" spans="1:2" x14ac:dyDescent="0.25">
      <c r="A979" t="s">
        <v>401</v>
      </c>
      <c r="B979" s="174">
        <v>100000</v>
      </c>
    </row>
    <row r="980" spans="1:2" x14ac:dyDescent="0.25">
      <c r="A980" t="s">
        <v>402</v>
      </c>
      <c r="B980" s="174">
        <v>200000</v>
      </c>
    </row>
    <row r="981" spans="1:2" x14ac:dyDescent="0.25">
      <c r="A981" t="s">
        <v>403</v>
      </c>
      <c r="B981" s="174">
        <v>300000</v>
      </c>
    </row>
    <row r="982" spans="1:2" x14ac:dyDescent="0.25">
      <c r="A982" t="s">
        <v>401</v>
      </c>
      <c r="B982" s="174">
        <v>100000</v>
      </c>
    </row>
    <row r="983" spans="1:2" x14ac:dyDescent="0.25">
      <c r="A983" t="s">
        <v>402</v>
      </c>
      <c r="B983" s="174">
        <v>200000</v>
      </c>
    </row>
    <row r="984" spans="1:2" x14ac:dyDescent="0.25">
      <c r="A984" t="s">
        <v>403</v>
      </c>
      <c r="B984" s="174">
        <v>300000</v>
      </c>
    </row>
    <row r="985" spans="1:2" x14ac:dyDescent="0.25">
      <c r="A985" t="s">
        <v>401</v>
      </c>
      <c r="B985" s="174">
        <v>100000</v>
      </c>
    </row>
    <row r="986" spans="1:2" x14ac:dyDescent="0.25">
      <c r="A986" t="s">
        <v>402</v>
      </c>
      <c r="B986" s="174">
        <v>200000</v>
      </c>
    </row>
    <row r="987" spans="1:2" x14ac:dyDescent="0.25">
      <c r="A987" t="s">
        <v>403</v>
      </c>
      <c r="B987" s="174">
        <v>300000</v>
      </c>
    </row>
    <row r="988" spans="1:2" x14ac:dyDescent="0.25">
      <c r="A988" t="s">
        <v>401</v>
      </c>
      <c r="B988" s="174">
        <v>100000</v>
      </c>
    </row>
    <row r="989" spans="1:2" x14ac:dyDescent="0.25">
      <c r="A989" t="s">
        <v>402</v>
      </c>
      <c r="B989" s="174">
        <v>200000</v>
      </c>
    </row>
    <row r="990" spans="1:2" x14ac:dyDescent="0.25">
      <c r="A990" t="s">
        <v>403</v>
      </c>
      <c r="B990" s="174">
        <v>300000</v>
      </c>
    </row>
    <row r="991" spans="1:2" x14ac:dyDescent="0.25">
      <c r="A991" t="s">
        <v>401</v>
      </c>
      <c r="B991" s="174">
        <v>100000</v>
      </c>
    </row>
    <row r="992" spans="1:2" x14ac:dyDescent="0.25">
      <c r="A992" t="s">
        <v>402</v>
      </c>
      <c r="B992" s="174">
        <v>200000</v>
      </c>
    </row>
    <row r="993" spans="1:2" x14ac:dyDescent="0.25">
      <c r="A993" t="s">
        <v>403</v>
      </c>
      <c r="B993" s="174">
        <v>300000</v>
      </c>
    </row>
    <row r="994" spans="1:2" x14ac:dyDescent="0.25">
      <c r="A994" t="s">
        <v>401</v>
      </c>
      <c r="B994" s="174">
        <v>100000</v>
      </c>
    </row>
    <row r="995" spans="1:2" x14ac:dyDescent="0.25">
      <c r="A995" t="s">
        <v>402</v>
      </c>
      <c r="B995" s="174">
        <v>200000</v>
      </c>
    </row>
    <row r="996" spans="1:2" x14ac:dyDescent="0.25">
      <c r="A996" t="s">
        <v>403</v>
      </c>
      <c r="B996" s="174">
        <v>300000</v>
      </c>
    </row>
    <row r="997" spans="1:2" x14ac:dyDescent="0.25">
      <c r="A997" t="s">
        <v>401</v>
      </c>
      <c r="B997" s="174">
        <v>100000</v>
      </c>
    </row>
    <row r="998" spans="1:2" x14ac:dyDescent="0.25">
      <c r="A998" t="s">
        <v>402</v>
      </c>
      <c r="B998" s="174">
        <v>200000</v>
      </c>
    </row>
    <row r="999" spans="1:2" x14ac:dyDescent="0.25">
      <c r="A999" t="s">
        <v>403</v>
      </c>
      <c r="B999" s="174">
        <v>300000</v>
      </c>
    </row>
    <row r="1000" spans="1:2" x14ac:dyDescent="0.25">
      <c r="A1000" t="s">
        <v>401</v>
      </c>
      <c r="B1000" s="174">
        <v>100000</v>
      </c>
    </row>
    <row r="1001" spans="1:2" x14ac:dyDescent="0.25">
      <c r="A1001" t="s">
        <v>402</v>
      </c>
      <c r="B1001" s="174">
        <v>200000</v>
      </c>
    </row>
    <row r="1002" spans="1:2" x14ac:dyDescent="0.25">
      <c r="A1002" t="s">
        <v>403</v>
      </c>
      <c r="B1002" s="174">
        <v>300000</v>
      </c>
    </row>
    <row r="1003" spans="1:2" x14ac:dyDescent="0.25">
      <c r="A1003" t="s">
        <v>401</v>
      </c>
      <c r="B1003" s="174">
        <v>100000</v>
      </c>
    </row>
    <row r="1004" spans="1:2" x14ac:dyDescent="0.25">
      <c r="A1004" t="s">
        <v>402</v>
      </c>
      <c r="B1004" s="174">
        <v>200000</v>
      </c>
    </row>
    <row r="1005" spans="1:2" x14ac:dyDescent="0.25">
      <c r="A1005" t="s">
        <v>403</v>
      </c>
      <c r="B1005" s="174">
        <v>300000</v>
      </c>
    </row>
    <row r="1006" spans="1:2" x14ac:dyDescent="0.25">
      <c r="A1006" t="s">
        <v>401</v>
      </c>
      <c r="B1006" s="174">
        <v>100000</v>
      </c>
    </row>
    <row r="1007" spans="1:2" x14ac:dyDescent="0.25">
      <c r="A1007" t="s">
        <v>402</v>
      </c>
      <c r="B1007" s="174">
        <v>200000</v>
      </c>
    </row>
    <row r="1008" spans="1:2" x14ac:dyDescent="0.25">
      <c r="A1008" t="s">
        <v>403</v>
      </c>
      <c r="B1008" s="174">
        <v>300000</v>
      </c>
    </row>
    <row r="1009" spans="1:2" x14ac:dyDescent="0.25">
      <c r="A1009" t="s">
        <v>401</v>
      </c>
      <c r="B1009" s="174">
        <v>100000</v>
      </c>
    </row>
    <row r="1010" spans="1:2" x14ac:dyDescent="0.25">
      <c r="A1010" t="s">
        <v>402</v>
      </c>
      <c r="B1010" s="174">
        <v>200000</v>
      </c>
    </row>
    <row r="1011" spans="1:2" x14ac:dyDescent="0.25">
      <c r="A1011" t="s">
        <v>403</v>
      </c>
      <c r="B1011" s="174">
        <v>300000</v>
      </c>
    </row>
    <row r="1012" spans="1:2" x14ac:dyDescent="0.25">
      <c r="A1012" t="s">
        <v>401</v>
      </c>
      <c r="B1012" s="174">
        <v>100000</v>
      </c>
    </row>
    <row r="1013" spans="1:2" x14ac:dyDescent="0.25">
      <c r="A1013" t="s">
        <v>402</v>
      </c>
      <c r="B1013" s="174">
        <v>200000</v>
      </c>
    </row>
    <row r="1014" spans="1:2" x14ac:dyDescent="0.25">
      <c r="A1014" t="s">
        <v>403</v>
      </c>
      <c r="B1014" s="174">
        <v>300000</v>
      </c>
    </row>
    <row r="1015" spans="1:2" x14ac:dyDescent="0.25">
      <c r="A1015" t="s">
        <v>401</v>
      </c>
      <c r="B1015" s="174">
        <v>100000</v>
      </c>
    </row>
    <row r="1016" spans="1:2" x14ac:dyDescent="0.25">
      <c r="A1016" t="s">
        <v>402</v>
      </c>
      <c r="B1016" s="174">
        <v>200000</v>
      </c>
    </row>
    <row r="1017" spans="1:2" x14ac:dyDescent="0.25">
      <c r="A1017" t="s">
        <v>403</v>
      </c>
      <c r="B1017" s="174">
        <v>300000</v>
      </c>
    </row>
    <row r="1018" spans="1:2" x14ac:dyDescent="0.25">
      <c r="A1018" t="s">
        <v>401</v>
      </c>
      <c r="B1018" s="174">
        <v>100000</v>
      </c>
    </row>
    <row r="1019" spans="1:2" x14ac:dyDescent="0.25">
      <c r="A1019" t="s">
        <v>402</v>
      </c>
      <c r="B1019" s="174">
        <v>200000</v>
      </c>
    </row>
    <row r="1020" spans="1:2" x14ac:dyDescent="0.25">
      <c r="A1020" t="s">
        <v>403</v>
      </c>
      <c r="B1020" s="174">
        <v>300000</v>
      </c>
    </row>
    <row r="1021" spans="1:2" x14ac:dyDescent="0.25">
      <c r="A1021" t="s">
        <v>401</v>
      </c>
      <c r="B1021" s="174">
        <v>100000</v>
      </c>
    </row>
    <row r="1022" spans="1:2" x14ac:dyDescent="0.25">
      <c r="A1022" t="s">
        <v>402</v>
      </c>
      <c r="B1022" s="174">
        <v>200000</v>
      </c>
    </row>
    <row r="1023" spans="1:2" x14ac:dyDescent="0.25">
      <c r="A1023" t="s">
        <v>403</v>
      </c>
      <c r="B1023" s="174">
        <v>300000</v>
      </c>
    </row>
    <row r="1024" spans="1:2" x14ac:dyDescent="0.25">
      <c r="A1024" t="s">
        <v>401</v>
      </c>
      <c r="B1024" s="174">
        <v>100000</v>
      </c>
    </row>
    <row r="1025" spans="1:2" x14ac:dyDescent="0.25">
      <c r="A1025" t="s">
        <v>402</v>
      </c>
      <c r="B1025" s="174">
        <v>200000</v>
      </c>
    </row>
    <row r="1026" spans="1:2" x14ac:dyDescent="0.25">
      <c r="A1026" t="s">
        <v>403</v>
      </c>
      <c r="B1026" s="174">
        <v>300000</v>
      </c>
    </row>
    <row r="1027" spans="1:2" x14ac:dyDescent="0.25">
      <c r="A1027" t="s">
        <v>401</v>
      </c>
      <c r="B1027" s="174">
        <v>100000</v>
      </c>
    </row>
    <row r="1028" spans="1:2" x14ac:dyDescent="0.25">
      <c r="A1028" t="s">
        <v>402</v>
      </c>
      <c r="B1028" s="174">
        <v>200000</v>
      </c>
    </row>
    <row r="1029" spans="1:2" x14ac:dyDescent="0.25">
      <c r="A1029" t="s">
        <v>403</v>
      </c>
      <c r="B1029" s="174">
        <v>300000</v>
      </c>
    </row>
    <row r="1030" spans="1:2" x14ac:dyDescent="0.25">
      <c r="A1030" t="s">
        <v>401</v>
      </c>
      <c r="B1030" s="174">
        <v>100000</v>
      </c>
    </row>
    <row r="1031" spans="1:2" x14ac:dyDescent="0.25">
      <c r="A1031" t="s">
        <v>402</v>
      </c>
      <c r="B1031" s="174">
        <v>200000</v>
      </c>
    </row>
    <row r="1032" spans="1:2" x14ac:dyDescent="0.25">
      <c r="A1032" t="s">
        <v>403</v>
      </c>
      <c r="B1032" s="174">
        <v>300000</v>
      </c>
    </row>
    <row r="1033" spans="1:2" x14ac:dyDescent="0.25">
      <c r="A1033" t="s">
        <v>401</v>
      </c>
      <c r="B1033" s="174">
        <v>100000</v>
      </c>
    </row>
    <row r="1034" spans="1:2" x14ac:dyDescent="0.25">
      <c r="A1034" t="s">
        <v>402</v>
      </c>
      <c r="B1034" s="174">
        <v>200000</v>
      </c>
    </row>
    <row r="1035" spans="1:2" x14ac:dyDescent="0.25">
      <c r="A1035" t="s">
        <v>403</v>
      </c>
      <c r="B1035" s="174">
        <v>300000</v>
      </c>
    </row>
    <row r="1036" spans="1:2" x14ac:dyDescent="0.25">
      <c r="A1036" t="s">
        <v>401</v>
      </c>
      <c r="B1036" s="174">
        <v>100000</v>
      </c>
    </row>
    <row r="1037" spans="1:2" x14ac:dyDescent="0.25">
      <c r="A1037" t="s">
        <v>402</v>
      </c>
      <c r="B1037" s="174">
        <v>200000</v>
      </c>
    </row>
    <row r="1038" spans="1:2" x14ac:dyDescent="0.25">
      <c r="A1038" t="s">
        <v>403</v>
      </c>
      <c r="B1038" s="174">
        <v>300000</v>
      </c>
    </row>
    <row r="1039" spans="1:2" x14ac:dyDescent="0.25">
      <c r="A1039" t="s">
        <v>401</v>
      </c>
      <c r="B1039" s="174">
        <v>100000</v>
      </c>
    </row>
    <row r="1040" spans="1:2" x14ac:dyDescent="0.25">
      <c r="A1040" t="s">
        <v>402</v>
      </c>
      <c r="B1040" s="174">
        <v>200000</v>
      </c>
    </row>
    <row r="1041" spans="1:2" x14ac:dyDescent="0.25">
      <c r="A1041" t="s">
        <v>403</v>
      </c>
      <c r="B1041" s="174">
        <v>300000</v>
      </c>
    </row>
    <row r="1042" spans="1:2" x14ac:dyDescent="0.25">
      <c r="A1042" t="s">
        <v>401</v>
      </c>
      <c r="B1042" s="174">
        <v>100000</v>
      </c>
    </row>
    <row r="1043" spans="1:2" x14ac:dyDescent="0.25">
      <c r="A1043" t="s">
        <v>402</v>
      </c>
      <c r="B1043" s="174">
        <v>200000</v>
      </c>
    </row>
    <row r="1044" spans="1:2" x14ac:dyDescent="0.25">
      <c r="A1044" t="s">
        <v>403</v>
      </c>
      <c r="B1044" s="174">
        <v>300000</v>
      </c>
    </row>
    <row r="1045" spans="1:2" x14ac:dyDescent="0.25">
      <c r="A1045" t="s">
        <v>401</v>
      </c>
      <c r="B1045" s="174">
        <v>100000</v>
      </c>
    </row>
    <row r="1046" spans="1:2" x14ac:dyDescent="0.25">
      <c r="A1046" t="s">
        <v>402</v>
      </c>
      <c r="B1046" s="174">
        <v>200000</v>
      </c>
    </row>
    <row r="1047" spans="1:2" x14ac:dyDescent="0.25">
      <c r="A1047" t="s">
        <v>403</v>
      </c>
      <c r="B1047" s="174">
        <v>300000</v>
      </c>
    </row>
    <row r="1048" spans="1:2" x14ac:dyDescent="0.25">
      <c r="A1048" t="s">
        <v>401</v>
      </c>
      <c r="B1048" s="174">
        <v>100000</v>
      </c>
    </row>
    <row r="1049" spans="1:2" x14ac:dyDescent="0.25">
      <c r="A1049" t="s">
        <v>402</v>
      </c>
      <c r="B1049" s="174">
        <v>200000</v>
      </c>
    </row>
    <row r="1050" spans="1:2" x14ac:dyDescent="0.25">
      <c r="A1050" t="s">
        <v>403</v>
      </c>
      <c r="B1050" s="174">
        <v>300000</v>
      </c>
    </row>
    <row r="1051" spans="1:2" x14ac:dyDescent="0.25">
      <c r="A1051" t="s">
        <v>401</v>
      </c>
      <c r="B1051" s="174">
        <v>100000</v>
      </c>
    </row>
    <row r="1052" spans="1:2" x14ac:dyDescent="0.25">
      <c r="A1052" t="s">
        <v>402</v>
      </c>
      <c r="B1052" s="174">
        <v>200000</v>
      </c>
    </row>
    <row r="1053" spans="1:2" x14ac:dyDescent="0.25">
      <c r="A1053" t="s">
        <v>403</v>
      </c>
      <c r="B1053" s="174">
        <v>300000</v>
      </c>
    </row>
    <row r="1054" spans="1:2" x14ac:dyDescent="0.25">
      <c r="A1054" t="s">
        <v>401</v>
      </c>
      <c r="B1054" s="174">
        <v>100000</v>
      </c>
    </row>
    <row r="1055" spans="1:2" x14ac:dyDescent="0.25">
      <c r="A1055" t="s">
        <v>402</v>
      </c>
      <c r="B1055" s="174">
        <v>200000</v>
      </c>
    </row>
    <row r="1056" spans="1:2" x14ac:dyDescent="0.25">
      <c r="A1056" t="s">
        <v>403</v>
      </c>
      <c r="B1056" s="174">
        <v>300000</v>
      </c>
    </row>
    <row r="1057" spans="1:2" x14ac:dyDescent="0.25">
      <c r="A1057" t="s">
        <v>401</v>
      </c>
      <c r="B1057" s="174">
        <v>100000</v>
      </c>
    </row>
    <row r="1058" spans="1:2" x14ac:dyDescent="0.25">
      <c r="A1058" t="s">
        <v>402</v>
      </c>
      <c r="B1058" s="174">
        <v>200000</v>
      </c>
    </row>
    <row r="1059" spans="1:2" x14ac:dyDescent="0.25">
      <c r="A1059" t="s">
        <v>403</v>
      </c>
      <c r="B1059" s="174">
        <v>300000</v>
      </c>
    </row>
    <row r="1060" spans="1:2" x14ac:dyDescent="0.25">
      <c r="A1060" t="s">
        <v>401</v>
      </c>
      <c r="B1060" s="174">
        <v>100000</v>
      </c>
    </row>
    <row r="1061" spans="1:2" x14ac:dyDescent="0.25">
      <c r="A1061" t="s">
        <v>402</v>
      </c>
      <c r="B1061" s="174">
        <v>200000</v>
      </c>
    </row>
    <row r="1062" spans="1:2" x14ac:dyDescent="0.25">
      <c r="A1062" t="s">
        <v>403</v>
      </c>
      <c r="B1062" s="174">
        <v>300000</v>
      </c>
    </row>
    <row r="1063" spans="1:2" x14ac:dyDescent="0.25">
      <c r="A1063" t="s">
        <v>401</v>
      </c>
      <c r="B1063" s="174">
        <v>100000</v>
      </c>
    </row>
    <row r="1064" spans="1:2" x14ac:dyDescent="0.25">
      <c r="A1064" t="s">
        <v>402</v>
      </c>
      <c r="B1064" s="174">
        <v>200000</v>
      </c>
    </row>
    <row r="1065" spans="1:2" x14ac:dyDescent="0.25">
      <c r="A1065" t="s">
        <v>403</v>
      </c>
      <c r="B1065" s="174">
        <v>300000</v>
      </c>
    </row>
    <row r="1066" spans="1:2" x14ac:dyDescent="0.25">
      <c r="A1066" t="s">
        <v>401</v>
      </c>
      <c r="B1066" s="174">
        <v>100000</v>
      </c>
    </row>
    <row r="1067" spans="1:2" x14ac:dyDescent="0.25">
      <c r="A1067" t="s">
        <v>402</v>
      </c>
      <c r="B1067" s="174">
        <v>200000</v>
      </c>
    </row>
    <row r="1068" spans="1:2" x14ac:dyDescent="0.25">
      <c r="A1068" t="s">
        <v>403</v>
      </c>
      <c r="B1068" s="174">
        <v>300000</v>
      </c>
    </row>
    <row r="1069" spans="1:2" x14ac:dyDescent="0.25">
      <c r="A1069" t="s">
        <v>401</v>
      </c>
      <c r="B1069" s="174">
        <v>100000</v>
      </c>
    </row>
    <row r="1070" spans="1:2" x14ac:dyDescent="0.25">
      <c r="A1070" t="s">
        <v>402</v>
      </c>
      <c r="B1070" s="174">
        <v>200000</v>
      </c>
    </row>
    <row r="1071" spans="1:2" x14ac:dyDescent="0.25">
      <c r="A1071" t="s">
        <v>403</v>
      </c>
      <c r="B1071" s="174">
        <v>300000</v>
      </c>
    </row>
    <row r="1072" spans="1:2" x14ac:dyDescent="0.25">
      <c r="A1072" t="s">
        <v>401</v>
      </c>
      <c r="B1072" s="174">
        <v>100000</v>
      </c>
    </row>
    <row r="1073" spans="1:2" x14ac:dyDescent="0.25">
      <c r="A1073" t="s">
        <v>402</v>
      </c>
      <c r="B1073" s="174">
        <v>200000</v>
      </c>
    </row>
    <row r="1074" spans="1:2" x14ac:dyDescent="0.25">
      <c r="A1074" t="s">
        <v>403</v>
      </c>
      <c r="B1074" s="174">
        <v>300000</v>
      </c>
    </row>
    <row r="1075" spans="1:2" x14ac:dyDescent="0.25">
      <c r="A1075" t="s">
        <v>401</v>
      </c>
      <c r="B1075" s="174">
        <v>100000</v>
      </c>
    </row>
    <row r="1076" spans="1:2" x14ac:dyDescent="0.25">
      <c r="A1076" t="s">
        <v>402</v>
      </c>
      <c r="B1076" s="174">
        <v>200000</v>
      </c>
    </row>
    <row r="1077" spans="1:2" x14ac:dyDescent="0.25">
      <c r="A1077" t="s">
        <v>403</v>
      </c>
      <c r="B1077" s="174">
        <v>300000</v>
      </c>
    </row>
    <row r="1078" spans="1:2" x14ac:dyDescent="0.25">
      <c r="A1078" t="s">
        <v>401</v>
      </c>
      <c r="B1078" s="174">
        <v>100000</v>
      </c>
    </row>
    <row r="1079" spans="1:2" x14ac:dyDescent="0.25">
      <c r="A1079" t="s">
        <v>402</v>
      </c>
      <c r="B1079" s="174">
        <v>200000</v>
      </c>
    </row>
    <row r="1080" spans="1:2" x14ac:dyDescent="0.25">
      <c r="A1080" t="s">
        <v>403</v>
      </c>
      <c r="B1080" s="174">
        <v>300000</v>
      </c>
    </row>
    <row r="1081" spans="1:2" x14ac:dyDescent="0.25">
      <c r="A1081" t="s">
        <v>401</v>
      </c>
      <c r="B1081" s="174">
        <v>100000</v>
      </c>
    </row>
    <row r="1082" spans="1:2" x14ac:dyDescent="0.25">
      <c r="A1082" t="s">
        <v>402</v>
      </c>
      <c r="B1082" s="174">
        <v>200000</v>
      </c>
    </row>
    <row r="1083" spans="1:2" x14ac:dyDescent="0.25">
      <c r="A1083" t="s">
        <v>403</v>
      </c>
      <c r="B1083" s="174">
        <v>300000</v>
      </c>
    </row>
    <row r="1084" spans="1:2" x14ac:dyDescent="0.25">
      <c r="A1084" t="s">
        <v>401</v>
      </c>
      <c r="B1084" s="174">
        <v>100000</v>
      </c>
    </row>
    <row r="1085" spans="1:2" x14ac:dyDescent="0.25">
      <c r="A1085" t="s">
        <v>402</v>
      </c>
      <c r="B1085" s="174">
        <v>200000</v>
      </c>
    </row>
    <row r="1086" spans="1:2" x14ac:dyDescent="0.25">
      <c r="A1086" t="s">
        <v>403</v>
      </c>
      <c r="B1086" s="174">
        <v>300000</v>
      </c>
    </row>
    <row r="1087" spans="1:2" x14ac:dyDescent="0.25">
      <c r="A1087" t="s">
        <v>401</v>
      </c>
      <c r="B1087" s="174">
        <v>100000</v>
      </c>
    </row>
    <row r="1088" spans="1:2" x14ac:dyDescent="0.25">
      <c r="A1088" t="s">
        <v>402</v>
      </c>
      <c r="B1088" s="174">
        <v>200000</v>
      </c>
    </row>
    <row r="1089" spans="1:2" x14ac:dyDescent="0.25">
      <c r="A1089" t="s">
        <v>403</v>
      </c>
      <c r="B1089" s="174">
        <v>300000</v>
      </c>
    </row>
    <row r="1090" spans="1:2" x14ac:dyDescent="0.25">
      <c r="A1090" t="s">
        <v>401</v>
      </c>
      <c r="B1090" s="174">
        <v>100000</v>
      </c>
    </row>
    <row r="1091" spans="1:2" x14ac:dyDescent="0.25">
      <c r="A1091" t="s">
        <v>402</v>
      </c>
      <c r="B1091" s="174">
        <v>200000</v>
      </c>
    </row>
    <row r="1092" spans="1:2" x14ac:dyDescent="0.25">
      <c r="A1092" t="s">
        <v>403</v>
      </c>
      <c r="B1092" s="174">
        <v>300000</v>
      </c>
    </row>
    <row r="1093" spans="1:2" x14ac:dyDescent="0.25">
      <c r="A1093" t="s">
        <v>401</v>
      </c>
      <c r="B1093" s="174">
        <v>100000</v>
      </c>
    </row>
    <row r="1094" spans="1:2" x14ac:dyDescent="0.25">
      <c r="A1094" t="s">
        <v>402</v>
      </c>
      <c r="B1094" s="174">
        <v>200000</v>
      </c>
    </row>
    <row r="1095" spans="1:2" x14ac:dyDescent="0.25">
      <c r="A1095" t="s">
        <v>403</v>
      </c>
      <c r="B1095" s="174">
        <v>300000</v>
      </c>
    </row>
    <row r="1096" spans="1:2" x14ac:dyDescent="0.25">
      <c r="A1096" t="s">
        <v>401</v>
      </c>
      <c r="B1096" s="174">
        <v>100000</v>
      </c>
    </row>
    <row r="1097" spans="1:2" x14ac:dyDescent="0.25">
      <c r="A1097" t="s">
        <v>402</v>
      </c>
      <c r="B1097" s="174">
        <v>200000</v>
      </c>
    </row>
    <row r="1098" spans="1:2" x14ac:dyDescent="0.25">
      <c r="A1098" t="s">
        <v>403</v>
      </c>
      <c r="B1098" s="174">
        <v>300000</v>
      </c>
    </row>
    <row r="1099" spans="1:2" x14ac:dyDescent="0.25">
      <c r="A1099" t="s">
        <v>401</v>
      </c>
      <c r="B1099" s="174">
        <v>100000</v>
      </c>
    </row>
    <row r="1100" spans="1:2" x14ac:dyDescent="0.25">
      <c r="A1100" t="s">
        <v>402</v>
      </c>
      <c r="B1100" s="174">
        <v>200000</v>
      </c>
    </row>
    <row r="1101" spans="1:2" x14ac:dyDescent="0.25">
      <c r="A1101" t="s">
        <v>403</v>
      </c>
      <c r="B1101" s="174">
        <v>300000</v>
      </c>
    </row>
    <row r="1102" spans="1:2" x14ac:dyDescent="0.25">
      <c r="A1102" t="s">
        <v>401</v>
      </c>
      <c r="B1102" s="174">
        <v>100000</v>
      </c>
    </row>
    <row r="1103" spans="1:2" x14ac:dyDescent="0.25">
      <c r="A1103" t="s">
        <v>402</v>
      </c>
      <c r="B1103" s="174">
        <v>200000</v>
      </c>
    </row>
    <row r="1104" spans="1:2" x14ac:dyDescent="0.25">
      <c r="A1104" t="s">
        <v>403</v>
      </c>
      <c r="B1104" s="174">
        <v>300000</v>
      </c>
    </row>
    <row r="1105" spans="1:2" x14ac:dyDescent="0.25">
      <c r="A1105" t="s">
        <v>401</v>
      </c>
      <c r="B1105" s="174">
        <v>100000</v>
      </c>
    </row>
    <row r="1106" spans="1:2" x14ac:dyDescent="0.25">
      <c r="A1106" t="s">
        <v>402</v>
      </c>
      <c r="B1106" s="174">
        <v>200000</v>
      </c>
    </row>
    <row r="1107" spans="1:2" x14ac:dyDescent="0.25">
      <c r="A1107" t="s">
        <v>403</v>
      </c>
      <c r="B1107" s="174">
        <v>300000</v>
      </c>
    </row>
    <row r="1108" spans="1:2" x14ac:dyDescent="0.25">
      <c r="A1108" t="s">
        <v>401</v>
      </c>
      <c r="B1108" s="174">
        <v>100000</v>
      </c>
    </row>
    <row r="1109" spans="1:2" x14ac:dyDescent="0.25">
      <c r="A1109" t="s">
        <v>402</v>
      </c>
      <c r="B1109" s="174">
        <v>200000</v>
      </c>
    </row>
    <row r="1110" spans="1:2" x14ac:dyDescent="0.25">
      <c r="A1110" t="s">
        <v>403</v>
      </c>
      <c r="B1110" s="174">
        <v>300000</v>
      </c>
    </row>
    <row r="1111" spans="1:2" x14ac:dyDescent="0.25">
      <c r="A1111" t="s">
        <v>401</v>
      </c>
      <c r="B1111" s="174">
        <v>100000</v>
      </c>
    </row>
    <row r="1112" spans="1:2" x14ac:dyDescent="0.25">
      <c r="A1112" t="s">
        <v>402</v>
      </c>
      <c r="B1112" s="174">
        <v>200000</v>
      </c>
    </row>
    <row r="1113" spans="1:2" x14ac:dyDescent="0.25">
      <c r="A1113" t="s">
        <v>403</v>
      </c>
      <c r="B1113" s="174">
        <v>300000</v>
      </c>
    </row>
    <row r="1114" spans="1:2" x14ac:dyDescent="0.25">
      <c r="A1114" t="s">
        <v>401</v>
      </c>
      <c r="B1114" s="174">
        <v>100000</v>
      </c>
    </row>
    <row r="1115" spans="1:2" x14ac:dyDescent="0.25">
      <c r="A1115" t="s">
        <v>402</v>
      </c>
      <c r="B1115" s="174">
        <v>200000</v>
      </c>
    </row>
    <row r="1116" spans="1:2" x14ac:dyDescent="0.25">
      <c r="A1116" t="s">
        <v>403</v>
      </c>
      <c r="B1116" s="174">
        <v>300000</v>
      </c>
    </row>
    <row r="1117" spans="1:2" x14ac:dyDescent="0.25">
      <c r="A1117" t="s">
        <v>401</v>
      </c>
      <c r="B1117" s="174">
        <v>100000</v>
      </c>
    </row>
    <row r="1118" spans="1:2" x14ac:dyDescent="0.25">
      <c r="A1118" t="s">
        <v>402</v>
      </c>
      <c r="B1118" s="174">
        <v>200000</v>
      </c>
    </row>
    <row r="1119" spans="1:2" x14ac:dyDescent="0.25">
      <c r="A1119" t="s">
        <v>403</v>
      </c>
      <c r="B1119" s="174">
        <v>300000</v>
      </c>
    </row>
    <row r="1120" spans="1:2" x14ac:dyDescent="0.25">
      <c r="A1120" t="s">
        <v>401</v>
      </c>
      <c r="B1120" s="174">
        <v>100000</v>
      </c>
    </row>
    <row r="1121" spans="1:2" x14ac:dyDescent="0.25">
      <c r="A1121" t="s">
        <v>402</v>
      </c>
      <c r="B1121" s="174">
        <v>200000</v>
      </c>
    </row>
    <row r="1122" spans="1:2" x14ac:dyDescent="0.25">
      <c r="A1122" t="s">
        <v>403</v>
      </c>
      <c r="B1122" s="174">
        <v>300000</v>
      </c>
    </row>
    <row r="1123" spans="1:2" x14ac:dyDescent="0.25">
      <c r="A1123" t="s">
        <v>401</v>
      </c>
      <c r="B1123" s="174">
        <v>100000</v>
      </c>
    </row>
    <row r="1124" spans="1:2" x14ac:dyDescent="0.25">
      <c r="A1124" t="s">
        <v>402</v>
      </c>
      <c r="B1124" s="174">
        <v>200000</v>
      </c>
    </row>
    <row r="1125" spans="1:2" x14ac:dyDescent="0.25">
      <c r="A1125" t="s">
        <v>403</v>
      </c>
      <c r="B1125" s="174">
        <v>300000</v>
      </c>
    </row>
    <row r="1126" spans="1:2" x14ac:dyDescent="0.25">
      <c r="A1126" t="s">
        <v>401</v>
      </c>
      <c r="B1126" s="174">
        <v>100000</v>
      </c>
    </row>
    <row r="1127" spans="1:2" x14ac:dyDescent="0.25">
      <c r="A1127" t="s">
        <v>402</v>
      </c>
      <c r="B1127" s="174">
        <v>200000</v>
      </c>
    </row>
    <row r="1128" spans="1:2" x14ac:dyDescent="0.25">
      <c r="A1128" t="s">
        <v>403</v>
      </c>
      <c r="B1128" s="174">
        <v>300000</v>
      </c>
    </row>
    <row r="1129" spans="1:2" x14ac:dyDescent="0.25">
      <c r="A1129" t="s">
        <v>401</v>
      </c>
      <c r="B1129" s="174">
        <v>100000</v>
      </c>
    </row>
    <row r="1130" spans="1:2" x14ac:dyDescent="0.25">
      <c r="A1130" t="s">
        <v>402</v>
      </c>
      <c r="B1130" s="174">
        <v>200000</v>
      </c>
    </row>
    <row r="1131" spans="1:2" x14ac:dyDescent="0.25">
      <c r="A1131" t="s">
        <v>403</v>
      </c>
      <c r="B1131" s="174">
        <v>300000</v>
      </c>
    </row>
    <row r="1132" spans="1:2" x14ac:dyDescent="0.25">
      <c r="A1132" t="s">
        <v>401</v>
      </c>
      <c r="B1132" s="174">
        <v>100000</v>
      </c>
    </row>
    <row r="1133" spans="1:2" x14ac:dyDescent="0.25">
      <c r="A1133" t="s">
        <v>402</v>
      </c>
      <c r="B1133" s="174">
        <v>200000</v>
      </c>
    </row>
    <row r="1134" spans="1:2" x14ac:dyDescent="0.25">
      <c r="A1134" t="s">
        <v>403</v>
      </c>
      <c r="B1134" s="174">
        <v>300000</v>
      </c>
    </row>
    <row r="1135" spans="1:2" x14ac:dyDescent="0.25">
      <c r="A1135" t="s">
        <v>401</v>
      </c>
      <c r="B1135" s="174">
        <v>100000</v>
      </c>
    </row>
    <row r="1136" spans="1:2" x14ac:dyDescent="0.25">
      <c r="A1136" t="s">
        <v>402</v>
      </c>
      <c r="B1136" s="174">
        <v>200000</v>
      </c>
    </row>
    <row r="1137" spans="1:2" x14ac:dyDescent="0.25">
      <c r="A1137" t="s">
        <v>403</v>
      </c>
      <c r="B1137" s="174">
        <v>300000</v>
      </c>
    </row>
    <row r="1138" spans="1:2" x14ac:dyDescent="0.25">
      <c r="A1138" t="s">
        <v>401</v>
      </c>
      <c r="B1138" s="174">
        <v>100000</v>
      </c>
    </row>
    <row r="1139" spans="1:2" x14ac:dyDescent="0.25">
      <c r="A1139" t="s">
        <v>402</v>
      </c>
      <c r="B1139" s="174">
        <v>200000</v>
      </c>
    </row>
    <row r="1140" spans="1:2" x14ac:dyDescent="0.25">
      <c r="A1140" t="s">
        <v>403</v>
      </c>
      <c r="B1140" s="174">
        <v>300000</v>
      </c>
    </row>
    <row r="1141" spans="1:2" x14ac:dyDescent="0.25">
      <c r="A1141" t="s">
        <v>401</v>
      </c>
      <c r="B1141" s="174">
        <v>100000</v>
      </c>
    </row>
    <row r="1142" spans="1:2" x14ac:dyDescent="0.25">
      <c r="A1142" t="s">
        <v>402</v>
      </c>
      <c r="B1142" s="174">
        <v>200000</v>
      </c>
    </row>
    <row r="1143" spans="1:2" x14ac:dyDescent="0.25">
      <c r="A1143" t="s">
        <v>403</v>
      </c>
      <c r="B1143" s="174">
        <v>300000</v>
      </c>
    </row>
    <row r="1144" spans="1:2" x14ac:dyDescent="0.25">
      <c r="A1144" t="s">
        <v>401</v>
      </c>
      <c r="B1144" s="174">
        <v>100000</v>
      </c>
    </row>
    <row r="1145" spans="1:2" x14ac:dyDescent="0.25">
      <c r="A1145" t="s">
        <v>402</v>
      </c>
      <c r="B1145" s="174">
        <v>200000</v>
      </c>
    </row>
    <row r="1146" spans="1:2" x14ac:dyDescent="0.25">
      <c r="A1146" t="s">
        <v>403</v>
      </c>
      <c r="B1146" s="174">
        <v>300000</v>
      </c>
    </row>
    <row r="1147" spans="1:2" x14ac:dyDescent="0.25">
      <c r="A1147" t="s">
        <v>401</v>
      </c>
      <c r="B1147" s="174">
        <v>100000</v>
      </c>
    </row>
    <row r="1148" spans="1:2" x14ac:dyDescent="0.25">
      <c r="A1148" t="s">
        <v>402</v>
      </c>
      <c r="B1148" s="174">
        <v>200000</v>
      </c>
    </row>
    <row r="1149" spans="1:2" x14ac:dyDescent="0.25">
      <c r="A1149" t="s">
        <v>403</v>
      </c>
      <c r="B1149" s="174">
        <v>300000</v>
      </c>
    </row>
    <row r="1150" spans="1:2" x14ac:dyDescent="0.25">
      <c r="A1150" t="s">
        <v>401</v>
      </c>
      <c r="B1150" s="174">
        <v>100000</v>
      </c>
    </row>
    <row r="1151" spans="1:2" x14ac:dyDescent="0.25">
      <c r="A1151" t="s">
        <v>402</v>
      </c>
      <c r="B1151" s="174">
        <v>200000</v>
      </c>
    </row>
    <row r="1152" spans="1:2" x14ac:dyDescent="0.25">
      <c r="A1152" t="s">
        <v>403</v>
      </c>
      <c r="B1152" s="174">
        <v>300000</v>
      </c>
    </row>
    <row r="1153" spans="1:2" x14ac:dyDescent="0.25">
      <c r="A1153" t="s">
        <v>401</v>
      </c>
      <c r="B1153" s="174">
        <v>100000</v>
      </c>
    </row>
    <row r="1154" spans="1:2" x14ac:dyDescent="0.25">
      <c r="A1154" t="s">
        <v>402</v>
      </c>
      <c r="B1154" s="174">
        <v>200000</v>
      </c>
    </row>
    <row r="1155" spans="1:2" x14ac:dyDescent="0.25">
      <c r="A1155" t="s">
        <v>403</v>
      </c>
      <c r="B1155" s="174">
        <v>300000</v>
      </c>
    </row>
    <row r="1156" spans="1:2" x14ac:dyDescent="0.25">
      <c r="A1156" t="s">
        <v>401</v>
      </c>
      <c r="B1156" s="174">
        <v>100000</v>
      </c>
    </row>
    <row r="1157" spans="1:2" x14ac:dyDescent="0.25">
      <c r="A1157" t="s">
        <v>402</v>
      </c>
      <c r="B1157" s="174">
        <v>200000</v>
      </c>
    </row>
    <row r="1158" spans="1:2" x14ac:dyDescent="0.25">
      <c r="A1158" t="s">
        <v>403</v>
      </c>
      <c r="B1158" s="174">
        <v>300000</v>
      </c>
    </row>
    <row r="1159" spans="1:2" x14ac:dyDescent="0.25">
      <c r="A1159" t="s">
        <v>401</v>
      </c>
      <c r="B1159" s="174">
        <v>100000</v>
      </c>
    </row>
    <row r="1160" spans="1:2" x14ac:dyDescent="0.25">
      <c r="A1160" t="s">
        <v>402</v>
      </c>
      <c r="B1160" s="174">
        <v>200000</v>
      </c>
    </row>
    <row r="1161" spans="1:2" x14ac:dyDescent="0.25">
      <c r="A1161" t="s">
        <v>403</v>
      </c>
      <c r="B1161" s="174">
        <v>300000</v>
      </c>
    </row>
    <row r="1162" spans="1:2" x14ac:dyDescent="0.25">
      <c r="A1162" t="s">
        <v>401</v>
      </c>
      <c r="B1162" s="174">
        <v>100000</v>
      </c>
    </row>
    <row r="1163" spans="1:2" x14ac:dyDescent="0.25">
      <c r="A1163" t="s">
        <v>402</v>
      </c>
      <c r="B1163" s="174">
        <v>200000</v>
      </c>
    </row>
    <row r="1164" spans="1:2" x14ac:dyDescent="0.25">
      <c r="A1164" t="s">
        <v>403</v>
      </c>
      <c r="B1164" s="174">
        <v>300000</v>
      </c>
    </row>
    <row r="1165" spans="1:2" x14ac:dyDescent="0.25">
      <c r="A1165" t="s">
        <v>401</v>
      </c>
      <c r="B1165" s="174">
        <v>100000</v>
      </c>
    </row>
    <row r="1166" spans="1:2" x14ac:dyDescent="0.25">
      <c r="A1166" t="s">
        <v>402</v>
      </c>
      <c r="B1166" s="174">
        <v>200000</v>
      </c>
    </row>
    <row r="1167" spans="1:2" x14ac:dyDescent="0.25">
      <c r="A1167" t="s">
        <v>403</v>
      </c>
      <c r="B1167" s="174">
        <v>300000</v>
      </c>
    </row>
    <row r="1168" spans="1:2" x14ac:dyDescent="0.25">
      <c r="A1168" t="s">
        <v>401</v>
      </c>
      <c r="B1168" s="174">
        <v>100000</v>
      </c>
    </row>
    <row r="1169" spans="1:2" x14ac:dyDescent="0.25">
      <c r="A1169" t="s">
        <v>402</v>
      </c>
      <c r="B1169" s="174">
        <v>200000</v>
      </c>
    </row>
    <row r="1170" spans="1:2" x14ac:dyDescent="0.25">
      <c r="A1170" t="s">
        <v>403</v>
      </c>
      <c r="B1170" s="174">
        <v>300000</v>
      </c>
    </row>
    <row r="1171" spans="1:2" x14ac:dyDescent="0.25">
      <c r="A1171" t="s">
        <v>401</v>
      </c>
      <c r="B1171" s="174">
        <v>100000</v>
      </c>
    </row>
    <row r="1172" spans="1:2" x14ac:dyDescent="0.25">
      <c r="A1172" t="s">
        <v>402</v>
      </c>
      <c r="B1172" s="174">
        <v>200000</v>
      </c>
    </row>
    <row r="1173" spans="1:2" x14ac:dyDescent="0.25">
      <c r="A1173" t="s">
        <v>403</v>
      </c>
      <c r="B1173" s="174">
        <v>300000</v>
      </c>
    </row>
    <row r="1174" spans="1:2" x14ac:dyDescent="0.25">
      <c r="A1174" t="s">
        <v>401</v>
      </c>
      <c r="B1174" s="174">
        <v>100000</v>
      </c>
    </row>
    <row r="1175" spans="1:2" x14ac:dyDescent="0.25">
      <c r="A1175" t="s">
        <v>402</v>
      </c>
      <c r="B1175" s="174">
        <v>200000</v>
      </c>
    </row>
    <row r="1176" spans="1:2" x14ac:dyDescent="0.25">
      <c r="A1176" t="s">
        <v>403</v>
      </c>
      <c r="B1176" s="174">
        <v>300000</v>
      </c>
    </row>
    <row r="1177" spans="1:2" x14ac:dyDescent="0.25">
      <c r="A1177" t="s">
        <v>401</v>
      </c>
      <c r="B1177" s="174">
        <v>100000</v>
      </c>
    </row>
    <row r="1178" spans="1:2" x14ac:dyDescent="0.25">
      <c r="A1178" t="s">
        <v>402</v>
      </c>
      <c r="B1178" s="174">
        <v>200000</v>
      </c>
    </row>
    <row r="1179" spans="1:2" x14ac:dyDescent="0.25">
      <c r="A1179" t="s">
        <v>403</v>
      </c>
      <c r="B1179" s="174">
        <v>300000</v>
      </c>
    </row>
    <row r="1180" spans="1:2" x14ac:dyDescent="0.25">
      <c r="A1180" t="s">
        <v>401</v>
      </c>
      <c r="B1180" s="174">
        <v>100000</v>
      </c>
    </row>
    <row r="1181" spans="1:2" x14ac:dyDescent="0.25">
      <c r="A1181" t="s">
        <v>402</v>
      </c>
      <c r="B1181" s="174">
        <v>200000</v>
      </c>
    </row>
    <row r="1182" spans="1:2" x14ac:dyDescent="0.25">
      <c r="A1182" t="s">
        <v>403</v>
      </c>
      <c r="B1182" s="174">
        <v>300000</v>
      </c>
    </row>
    <row r="1183" spans="1:2" x14ac:dyDescent="0.25">
      <c r="A1183" t="s">
        <v>401</v>
      </c>
      <c r="B1183" s="174">
        <v>100000</v>
      </c>
    </row>
    <row r="1184" spans="1:2" x14ac:dyDescent="0.25">
      <c r="A1184" t="s">
        <v>402</v>
      </c>
      <c r="B1184" s="174">
        <v>200000</v>
      </c>
    </row>
    <row r="1185" spans="1:2" x14ac:dyDescent="0.25">
      <c r="A1185" t="s">
        <v>403</v>
      </c>
      <c r="B1185" s="174">
        <v>300000</v>
      </c>
    </row>
    <row r="1186" spans="1:2" x14ac:dyDescent="0.25">
      <c r="A1186" t="s">
        <v>401</v>
      </c>
      <c r="B1186" s="174">
        <v>100000</v>
      </c>
    </row>
    <row r="1187" spans="1:2" x14ac:dyDescent="0.25">
      <c r="A1187" t="s">
        <v>402</v>
      </c>
      <c r="B1187" s="174">
        <v>200000</v>
      </c>
    </row>
    <row r="1188" spans="1:2" x14ac:dyDescent="0.25">
      <c r="A1188" t="s">
        <v>403</v>
      </c>
      <c r="B1188" s="174">
        <v>300000</v>
      </c>
    </row>
    <row r="1189" spans="1:2" x14ac:dyDescent="0.25">
      <c r="A1189" t="s">
        <v>401</v>
      </c>
      <c r="B1189" s="174">
        <v>100000</v>
      </c>
    </row>
    <row r="1190" spans="1:2" x14ac:dyDescent="0.25">
      <c r="A1190" t="s">
        <v>402</v>
      </c>
      <c r="B1190" s="174">
        <v>200000</v>
      </c>
    </row>
    <row r="1191" spans="1:2" x14ac:dyDescent="0.25">
      <c r="A1191" t="s">
        <v>403</v>
      </c>
      <c r="B1191" s="174">
        <v>300000</v>
      </c>
    </row>
    <row r="1192" spans="1:2" x14ac:dyDescent="0.25">
      <c r="A1192" t="s">
        <v>401</v>
      </c>
      <c r="B1192" s="174">
        <v>100000</v>
      </c>
    </row>
    <row r="1193" spans="1:2" x14ac:dyDescent="0.25">
      <c r="A1193" t="s">
        <v>402</v>
      </c>
      <c r="B1193" s="174">
        <v>200000</v>
      </c>
    </row>
    <row r="1194" spans="1:2" x14ac:dyDescent="0.25">
      <c r="A1194" t="s">
        <v>403</v>
      </c>
      <c r="B1194" s="174">
        <v>300000</v>
      </c>
    </row>
    <row r="1195" spans="1:2" x14ac:dyDescent="0.25">
      <c r="A1195" t="s">
        <v>401</v>
      </c>
      <c r="B1195" s="174">
        <v>100000</v>
      </c>
    </row>
    <row r="1196" spans="1:2" x14ac:dyDescent="0.25">
      <c r="A1196" t="s">
        <v>402</v>
      </c>
      <c r="B1196" s="174">
        <v>200000</v>
      </c>
    </row>
    <row r="1197" spans="1:2" x14ac:dyDescent="0.25">
      <c r="A1197" t="s">
        <v>403</v>
      </c>
      <c r="B1197" s="174">
        <v>300000</v>
      </c>
    </row>
    <row r="1198" spans="1:2" x14ac:dyDescent="0.25">
      <c r="A1198" t="s">
        <v>401</v>
      </c>
      <c r="B1198" s="174">
        <v>100000</v>
      </c>
    </row>
    <row r="1199" spans="1:2" x14ac:dyDescent="0.25">
      <c r="A1199" t="s">
        <v>402</v>
      </c>
      <c r="B1199" s="174">
        <v>200000</v>
      </c>
    </row>
    <row r="1200" spans="1:2" x14ac:dyDescent="0.25">
      <c r="A1200" t="s">
        <v>403</v>
      </c>
      <c r="B1200" s="174">
        <v>300000</v>
      </c>
    </row>
    <row r="1201" spans="1:2" x14ac:dyDescent="0.25">
      <c r="A1201" t="s">
        <v>401</v>
      </c>
      <c r="B1201" s="174">
        <v>100000</v>
      </c>
    </row>
    <row r="1202" spans="1:2" x14ac:dyDescent="0.25">
      <c r="A1202" t="s">
        <v>402</v>
      </c>
      <c r="B1202" s="174">
        <v>200000</v>
      </c>
    </row>
    <row r="1203" spans="1:2" x14ac:dyDescent="0.25">
      <c r="A1203" t="s">
        <v>403</v>
      </c>
      <c r="B1203" s="174">
        <v>300000</v>
      </c>
    </row>
    <row r="1204" spans="1:2" x14ac:dyDescent="0.25">
      <c r="A1204" t="s">
        <v>401</v>
      </c>
      <c r="B1204" s="174">
        <v>100000</v>
      </c>
    </row>
    <row r="1205" spans="1:2" x14ac:dyDescent="0.25">
      <c r="A1205" t="s">
        <v>402</v>
      </c>
      <c r="B1205" s="174">
        <v>200000</v>
      </c>
    </row>
    <row r="1206" spans="1:2" x14ac:dyDescent="0.25">
      <c r="A1206" t="s">
        <v>403</v>
      </c>
      <c r="B1206" s="174">
        <v>300000</v>
      </c>
    </row>
    <row r="1207" spans="1:2" x14ac:dyDescent="0.25">
      <c r="A1207" t="s">
        <v>401</v>
      </c>
      <c r="B1207" s="174">
        <v>100000</v>
      </c>
    </row>
    <row r="1208" spans="1:2" x14ac:dyDescent="0.25">
      <c r="A1208" t="s">
        <v>402</v>
      </c>
      <c r="B1208" s="174">
        <v>200000</v>
      </c>
    </row>
    <row r="1209" spans="1:2" x14ac:dyDescent="0.25">
      <c r="A1209" t="s">
        <v>403</v>
      </c>
      <c r="B1209" s="174">
        <v>300000</v>
      </c>
    </row>
    <row r="1210" spans="1:2" x14ac:dyDescent="0.25">
      <c r="A1210" t="s">
        <v>401</v>
      </c>
      <c r="B1210" s="174">
        <v>100000</v>
      </c>
    </row>
    <row r="1211" spans="1:2" x14ac:dyDescent="0.25">
      <c r="A1211" t="s">
        <v>402</v>
      </c>
      <c r="B1211" s="174">
        <v>200000</v>
      </c>
    </row>
    <row r="1212" spans="1:2" x14ac:dyDescent="0.25">
      <c r="A1212" t="s">
        <v>403</v>
      </c>
      <c r="B1212" s="174">
        <v>300000</v>
      </c>
    </row>
    <row r="1213" spans="1:2" x14ac:dyDescent="0.25">
      <c r="A1213" t="s">
        <v>401</v>
      </c>
      <c r="B1213" s="174">
        <v>100000</v>
      </c>
    </row>
    <row r="1214" spans="1:2" x14ac:dyDescent="0.25">
      <c r="A1214" t="s">
        <v>402</v>
      </c>
      <c r="B1214" s="174">
        <v>200000</v>
      </c>
    </row>
    <row r="1215" spans="1:2" x14ac:dyDescent="0.25">
      <c r="A1215" t="s">
        <v>403</v>
      </c>
      <c r="B1215" s="174">
        <v>300000</v>
      </c>
    </row>
    <row r="1216" spans="1:2" x14ac:dyDescent="0.25">
      <c r="A1216" t="s">
        <v>401</v>
      </c>
      <c r="B1216" s="174">
        <v>100000</v>
      </c>
    </row>
    <row r="1217" spans="1:2" x14ac:dyDescent="0.25">
      <c r="A1217" t="s">
        <v>402</v>
      </c>
      <c r="B1217" s="174">
        <v>200000</v>
      </c>
    </row>
    <row r="1218" spans="1:2" x14ac:dyDescent="0.25">
      <c r="A1218" t="s">
        <v>403</v>
      </c>
      <c r="B1218" s="174">
        <v>300000</v>
      </c>
    </row>
    <row r="1219" spans="1:2" x14ac:dyDescent="0.25">
      <c r="A1219" t="s">
        <v>401</v>
      </c>
      <c r="B1219" s="174">
        <v>100000</v>
      </c>
    </row>
    <row r="1220" spans="1:2" x14ac:dyDescent="0.25">
      <c r="A1220" t="s">
        <v>402</v>
      </c>
      <c r="B1220" s="174">
        <v>200000</v>
      </c>
    </row>
    <row r="1221" spans="1:2" x14ac:dyDescent="0.25">
      <c r="A1221" t="s">
        <v>403</v>
      </c>
      <c r="B1221" s="174">
        <v>300000</v>
      </c>
    </row>
    <row r="1222" spans="1:2" x14ac:dyDescent="0.25">
      <c r="A1222" t="s">
        <v>401</v>
      </c>
      <c r="B1222" s="174">
        <v>100000</v>
      </c>
    </row>
    <row r="1223" spans="1:2" x14ac:dyDescent="0.25">
      <c r="A1223" t="s">
        <v>402</v>
      </c>
      <c r="B1223" s="174">
        <v>200000</v>
      </c>
    </row>
    <row r="1224" spans="1:2" x14ac:dyDescent="0.25">
      <c r="A1224" t="s">
        <v>403</v>
      </c>
      <c r="B1224" s="174">
        <v>300000</v>
      </c>
    </row>
    <row r="1225" spans="1:2" x14ac:dyDescent="0.25">
      <c r="A1225" t="s">
        <v>401</v>
      </c>
      <c r="B1225" s="174">
        <v>100000</v>
      </c>
    </row>
    <row r="1226" spans="1:2" x14ac:dyDescent="0.25">
      <c r="A1226" t="s">
        <v>402</v>
      </c>
      <c r="B1226" s="174">
        <v>200000</v>
      </c>
    </row>
    <row r="1227" spans="1:2" x14ac:dyDescent="0.25">
      <c r="A1227" t="s">
        <v>403</v>
      </c>
      <c r="B1227" s="174">
        <v>300000</v>
      </c>
    </row>
    <row r="1228" spans="1:2" x14ac:dyDescent="0.25">
      <c r="A1228" t="s">
        <v>401</v>
      </c>
      <c r="B1228" s="174">
        <v>100000</v>
      </c>
    </row>
    <row r="1229" spans="1:2" x14ac:dyDescent="0.25">
      <c r="A1229" t="s">
        <v>402</v>
      </c>
      <c r="B1229" s="174">
        <v>200000</v>
      </c>
    </row>
    <row r="1230" spans="1:2" x14ac:dyDescent="0.25">
      <c r="A1230" t="s">
        <v>403</v>
      </c>
      <c r="B1230" s="174">
        <v>300000</v>
      </c>
    </row>
    <row r="1231" spans="1:2" x14ac:dyDescent="0.25">
      <c r="A1231" t="s">
        <v>401</v>
      </c>
      <c r="B1231" s="174">
        <v>100000</v>
      </c>
    </row>
    <row r="1232" spans="1:2" x14ac:dyDescent="0.25">
      <c r="A1232" t="s">
        <v>402</v>
      </c>
      <c r="B1232" s="174">
        <v>200000</v>
      </c>
    </row>
    <row r="1233" spans="1:2" x14ac:dyDescent="0.25">
      <c r="A1233" t="s">
        <v>403</v>
      </c>
      <c r="B1233" s="174">
        <v>300000</v>
      </c>
    </row>
    <row r="1234" spans="1:2" x14ac:dyDescent="0.25">
      <c r="A1234" t="s">
        <v>401</v>
      </c>
      <c r="B1234" s="174">
        <v>100000</v>
      </c>
    </row>
    <row r="1235" spans="1:2" x14ac:dyDescent="0.25">
      <c r="A1235" t="s">
        <v>402</v>
      </c>
      <c r="B1235" s="174">
        <v>200000</v>
      </c>
    </row>
    <row r="1236" spans="1:2" x14ac:dyDescent="0.25">
      <c r="A1236" t="s">
        <v>403</v>
      </c>
      <c r="B1236" s="174">
        <v>300000</v>
      </c>
    </row>
    <row r="1237" spans="1:2" x14ac:dyDescent="0.25">
      <c r="A1237" t="s">
        <v>401</v>
      </c>
      <c r="B1237" s="174">
        <v>100000</v>
      </c>
    </row>
    <row r="1238" spans="1:2" x14ac:dyDescent="0.25">
      <c r="A1238" t="s">
        <v>402</v>
      </c>
      <c r="B1238" s="174">
        <v>200000</v>
      </c>
    </row>
    <row r="1239" spans="1:2" x14ac:dyDescent="0.25">
      <c r="A1239" t="s">
        <v>403</v>
      </c>
      <c r="B1239" s="174">
        <v>300000</v>
      </c>
    </row>
    <row r="1240" spans="1:2" x14ac:dyDescent="0.25">
      <c r="A1240" t="s">
        <v>401</v>
      </c>
      <c r="B1240" s="174">
        <v>100000</v>
      </c>
    </row>
    <row r="1241" spans="1:2" x14ac:dyDescent="0.25">
      <c r="A1241" t="s">
        <v>402</v>
      </c>
      <c r="B1241" s="174">
        <v>200000</v>
      </c>
    </row>
    <row r="1242" spans="1:2" x14ac:dyDescent="0.25">
      <c r="A1242" t="s">
        <v>403</v>
      </c>
      <c r="B1242" s="174">
        <v>300000</v>
      </c>
    </row>
    <row r="1243" spans="1:2" x14ac:dyDescent="0.25">
      <c r="A1243" t="s">
        <v>401</v>
      </c>
      <c r="B1243" s="174">
        <v>100000</v>
      </c>
    </row>
    <row r="1244" spans="1:2" x14ac:dyDescent="0.25">
      <c r="A1244" t="s">
        <v>402</v>
      </c>
      <c r="B1244" s="174">
        <v>200000</v>
      </c>
    </row>
    <row r="1245" spans="1:2" x14ac:dyDescent="0.25">
      <c r="A1245" t="s">
        <v>403</v>
      </c>
      <c r="B1245" s="174">
        <v>300000</v>
      </c>
    </row>
    <row r="1246" spans="1:2" x14ac:dyDescent="0.25">
      <c r="A1246" t="s">
        <v>401</v>
      </c>
      <c r="B1246" s="174">
        <v>100000</v>
      </c>
    </row>
    <row r="1247" spans="1:2" x14ac:dyDescent="0.25">
      <c r="A1247" t="s">
        <v>402</v>
      </c>
      <c r="B1247" s="174">
        <v>200000</v>
      </c>
    </row>
    <row r="1248" spans="1:2" x14ac:dyDescent="0.25">
      <c r="A1248" t="s">
        <v>403</v>
      </c>
      <c r="B1248" s="174">
        <v>300000</v>
      </c>
    </row>
    <row r="1249" spans="1:2" x14ac:dyDescent="0.25">
      <c r="A1249" t="s">
        <v>401</v>
      </c>
      <c r="B1249" s="174">
        <v>100000</v>
      </c>
    </row>
    <row r="1250" spans="1:2" x14ac:dyDescent="0.25">
      <c r="A1250" t="s">
        <v>402</v>
      </c>
      <c r="B1250" s="174">
        <v>200000</v>
      </c>
    </row>
    <row r="1251" spans="1:2" x14ac:dyDescent="0.25">
      <c r="A1251" t="s">
        <v>403</v>
      </c>
      <c r="B1251" s="174">
        <v>300000</v>
      </c>
    </row>
    <row r="1252" spans="1:2" x14ac:dyDescent="0.25">
      <c r="A1252" t="s">
        <v>401</v>
      </c>
      <c r="B1252" s="174">
        <v>100000</v>
      </c>
    </row>
    <row r="1253" spans="1:2" x14ac:dyDescent="0.25">
      <c r="A1253" t="s">
        <v>402</v>
      </c>
      <c r="B1253" s="174">
        <v>200000</v>
      </c>
    </row>
    <row r="1254" spans="1:2" x14ac:dyDescent="0.25">
      <c r="A1254" t="s">
        <v>403</v>
      </c>
      <c r="B1254" s="174">
        <v>300000</v>
      </c>
    </row>
    <row r="1255" spans="1:2" x14ac:dyDescent="0.25">
      <c r="A1255" t="s">
        <v>401</v>
      </c>
      <c r="B1255" s="174">
        <v>100000</v>
      </c>
    </row>
    <row r="1256" spans="1:2" x14ac:dyDescent="0.25">
      <c r="A1256" t="s">
        <v>402</v>
      </c>
      <c r="B1256" s="174">
        <v>200000</v>
      </c>
    </row>
    <row r="1257" spans="1:2" x14ac:dyDescent="0.25">
      <c r="A1257" t="s">
        <v>403</v>
      </c>
      <c r="B1257" s="174">
        <v>300000</v>
      </c>
    </row>
    <row r="1258" spans="1:2" x14ac:dyDescent="0.25">
      <c r="A1258" t="s">
        <v>401</v>
      </c>
      <c r="B1258" s="174">
        <v>100000</v>
      </c>
    </row>
    <row r="1259" spans="1:2" x14ac:dyDescent="0.25">
      <c r="A1259" t="s">
        <v>402</v>
      </c>
      <c r="B1259" s="174">
        <v>200000</v>
      </c>
    </row>
    <row r="1260" spans="1:2" x14ac:dyDescent="0.25">
      <c r="A1260" t="s">
        <v>403</v>
      </c>
      <c r="B1260" s="174">
        <v>300000</v>
      </c>
    </row>
    <row r="1261" spans="1:2" x14ac:dyDescent="0.25">
      <c r="A1261" t="s">
        <v>401</v>
      </c>
      <c r="B1261" s="174">
        <v>100000</v>
      </c>
    </row>
    <row r="1262" spans="1:2" x14ac:dyDescent="0.25">
      <c r="A1262" t="s">
        <v>402</v>
      </c>
      <c r="B1262" s="174">
        <v>200000</v>
      </c>
    </row>
    <row r="1263" spans="1:2" x14ac:dyDescent="0.25">
      <c r="A1263" t="s">
        <v>403</v>
      </c>
      <c r="B1263" s="174">
        <v>300000</v>
      </c>
    </row>
    <row r="1264" spans="1:2" x14ac:dyDescent="0.25">
      <c r="A1264" t="s">
        <v>401</v>
      </c>
      <c r="B1264" s="174">
        <v>100000</v>
      </c>
    </row>
    <row r="1265" spans="1:2" x14ac:dyDescent="0.25">
      <c r="A1265" t="s">
        <v>402</v>
      </c>
      <c r="B1265" s="174">
        <v>200000</v>
      </c>
    </row>
    <row r="1266" spans="1:2" x14ac:dyDescent="0.25">
      <c r="A1266" t="s">
        <v>403</v>
      </c>
      <c r="B1266" s="174">
        <v>300000</v>
      </c>
    </row>
    <row r="1267" spans="1:2" x14ac:dyDescent="0.25">
      <c r="A1267" t="s">
        <v>401</v>
      </c>
      <c r="B1267" s="174">
        <v>100000</v>
      </c>
    </row>
    <row r="1268" spans="1:2" x14ac:dyDescent="0.25">
      <c r="A1268" t="s">
        <v>402</v>
      </c>
      <c r="B1268" s="174">
        <v>200000</v>
      </c>
    </row>
    <row r="1269" spans="1:2" x14ac:dyDescent="0.25">
      <c r="A1269" t="s">
        <v>403</v>
      </c>
      <c r="B1269" s="174">
        <v>300000</v>
      </c>
    </row>
    <row r="1270" spans="1:2" x14ac:dyDescent="0.25">
      <c r="A1270" t="s">
        <v>401</v>
      </c>
      <c r="B1270" s="174">
        <v>100000</v>
      </c>
    </row>
    <row r="1271" spans="1:2" x14ac:dyDescent="0.25">
      <c r="A1271" t="s">
        <v>402</v>
      </c>
      <c r="B1271" s="174">
        <v>200000</v>
      </c>
    </row>
    <row r="1272" spans="1:2" x14ac:dyDescent="0.25">
      <c r="A1272" t="s">
        <v>403</v>
      </c>
      <c r="B1272" s="174">
        <v>300000</v>
      </c>
    </row>
    <row r="1273" spans="1:2" x14ac:dyDescent="0.25">
      <c r="A1273" t="s">
        <v>401</v>
      </c>
      <c r="B1273" s="174">
        <v>100000</v>
      </c>
    </row>
    <row r="1274" spans="1:2" x14ac:dyDescent="0.25">
      <c r="A1274" t="s">
        <v>402</v>
      </c>
      <c r="B1274" s="174">
        <v>200000</v>
      </c>
    </row>
    <row r="1275" spans="1:2" x14ac:dyDescent="0.25">
      <c r="A1275" t="s">
        <v>403</v>
      </c>
      <c r="B1275" s="174">
        <v>300000</v>
      </c>
    </row>
    <row r="1276" spans="1:2" x14ac:dyDescent="0.25">
      <c r="A1276" t="s">
        <v>401</v>
      </c>
      <c r="B1276" s="174">
        <v>100000</v>
      </c>
    </row>
    <row r="1277" spans="1:2" x14ac:dyDescent="0.25">
      <c r="A1277" t="s">
        <v>402</v>
      </c>
      <c r="B1277" s="174">
        <v>200000</v>
      </c>
    </row>
    <row r="1278" spans="1:2" x14ac:dyDescent="0.25">
      <c r="A1278" t="s">
        <v>403</v>
      </c>
      <c r="B1278" s="174">
        <v>300000</v>
      </c>
    </row>
    <row r="1279" spans="1:2" x14ac:dyDescent="0.25">
      <c r="A1279" t="s">
        <v>401</v>
      </c>
      <c r="B1279" s="174">
        <v>100000</v>
      </c>
    </row>
    <row r="1280" spans="1:2" x14ac:dyDescent="0.25">
      <c r="A1280" t="s">
        <v>402</v>
      </c>
      <c r="B1280" s="174">
        <v>200000</v>
      </c>
    </row>
    <row r="1281" spans="1:2" x14ac:dyDescent="0.25">
      <c r="A1281" t="s">
        <v>403</v>
      </c>
      <c r="B1281" s="174">
        <v>300000</v>
      </c>
    </row>
    <row r="1282" spans="1:2" x14ac:dyDescent="0.25">
      <c r="A1282" t="s">
        <v>401</v>
      </c>
      <c r="B1282" s="174">
        <v>100000</v>
      </c>
    </row>
    <row r="1283" spans="1:2" x14ac:dyDescent="0.25">
      <c r="A1283" t="s">
        <v>402</v>
      </c>
      <c r="B1283" s="174">
        <v>200000</v>
      </c>
    </row>
    <row r="1284" spans="1:2" x14ac:dyDescent="0.25">
      <c r="A1284" t="s">
        <v>403</v>
      </c>
      <c r="B1284" s="174">
        <v>300000</v>
      </c>
    </row>
    <row r="1285" spans="1:2" x14ac:dyDescent="0.25">
      <c r="A1285" t="s">
        <v>401</v>
      </c>
      <c r="B1285" s="174">
        <v>100000</v>
      </c>
    </row>
    <row r="1286" spans="1:2" x14ac:dyDescent="0.25">
      <c r="A1286" t="s">
        <v>402</v>
      </c>
      <c r="B1286" s="174">
        <v>200000</v>
      </c>
    </row>
    <row r="1287" spans="1:2" x14ac:dyDescent="0.25">
      <c r="A1287" t="s">
        <v>403</v>
      </c>
      <c r="B1287" s="174">
        <v>300000</v>
      </c>
    </row>
    <row r="1288" spans="1:2" x14ac:dyDescent="0.25">
      <c r="A1288" t="s">
        <v>401</v>
      </c>
      <c r="B1288" s="174">
        <v>100000</v>
      </c>
    </row>
    <row r="1289" spans="1:2" x14ac:dyDescent="0.25">
      <c r="A1289" t="s">
        <v>402</v>
      </c>
      <c r="B1289" s="174">
        <v>200000</v>
      </c>
    </row>
    <row r="1290" spans="1:2" x14ac:dyDescent="0.25">
      <c r="A1290" t="s">
        <v>403</v>
      </c>
      <c r="B1290" s="174">
        <v>300000</v>
      </c>
    </row>
    <row r="1291" spans="1:2" x14ac:dyDescent="0.25">
      <c r="A1291" t="s">
        <v>401</v>
      </c>
      <c r="B1291" s="174">
        <v>100000</v>
      </c>
    </row>
    <row r="1292" spans="1:2" x14ac:dyDescent="0.25">
      <c r="A1292" t="s">
        <v>402</v>
      </c>
      <c r="B1292" s="174">
        <v>200000</v>
      </c>
    </row>
    <row r="1293" spans="1:2" x14ac:dyDescent="0.25">
      <c r="A1293" t="s">
        <v>403</v>
      </c>
      <c r="B1293" s="174">
        <v>300000</v>
      </c>
    </row>
    <row r="1294" spans="1:2" x14ac:dyDescent="0.25">
      <c r="A1294" t="s">
        <v>401</v>
      </c>
      <c r="B1294" s="174">
        <v>100000</v>
      </c>
    </row>
    <row r="1295" spans="1:2" x14ac:dyDescent="0.25">
      <c r="A1295" t="s">
        <v>402</v>
      </c>
      <c r="B1295" s="174">
        <v>200000</v>
      </c>
    </row>
    <row r="1296" spans="1:2" x14ac:dyDescent="0.25">
      <c r="A1296" t="s">
        <v>403</v>
      </c>
      <c r="B1296" s="174">
        <v>300000</v>
      </c>
    </row>
    <row r="1297" spans="1:2" x14ac:dyDescent="0.25">
      <c r="A1297" t="s">
        <v>401</v>
      </c>
      <c r="B1297" s="174">
        <v>100000</v>
      </c>
    </row>
    <row r="1298" spans="1:2" x14ac:dyDescent="0.25">
      <c r="A1298" t="s">
        <v>402</v>
      </c>
      <c r="B1298" s="174">
        <v>200000</v>
      </c>
    </row>
    <row r="1299" spans="1:2" x14ac:dyDescent="0.25">
      <c r="A1299" t="s">
        <v>403</v>
      </c>
      <c r="B1299" s="174">
        <v>300000</v>
      </c>
    </row>
    <row r="1300" spans="1:2" x14ac:dyDescent="0.25">
      <c r="A1300" t="s">
        <v>401</v>
      </c>
      <c r="B1300" s="174">
        <v>100000</v>
      </c>
    </row>
    <row r="1301" spans="1:2" x14ac:dyDescent="0.25">
      <c r="A1301" t="s">
        <v>402</v>
      </c>
      <c r="B1301" s="174">
        <v>200000</v>
      </c>
    </row>
    <row r="1302" spans="1:2" x14ac:dyDescent="0.25">
      <c r="A1302" t="s">
        <v>403</v>
      </c>
      <c r="B1302" s="174">
        <v>300000</v>
      </c>
    </row>
    <row r="1303" spans="1:2" x14ac:dyDescent="0.25">
      <c r="A1303" t="s">
        <v>401</v>
      </c>
      <c r="B1303" s="174">
        <v>100000</v>
      </c>
    </row>
    <row r="1304" spans="1:2" x14ac:dyDescent="0.25">
      <c r="A1304" t="s">
        <v>402</v>
      </c>
      <c r="B1304" s="174">
        <v>200000</v>
      </c>
    </row>
    <row r="1305" spans="1:2" x14ac:dyDescent="0.25">
      <c r="A1305" t="s">
        <v>403</v>
      </c>
      <c r="B1305" s="174">
        <v>300000</v>
      </c>
    </row>
    <row r="1306" spans="1:2" x14ac:dyDescent="0.25">
      <c r="A1306" t="s">
        <v>401</v>
      </c>
      <c r="B1306" s="174">
        <v>100000</v>
      </c>
    </row>
    <row r="1307" spans="1:2" x14ac:dyDescent="0.25">
      <c r="A1307" t="s">
        <v>402</v>
      </c>
      <c r="B1307" s="174">
        <v>200000</v>
      </c>
    </row>
    <row r="1308" spans="1:2" x14ac:dyDescent="0.25">
      <c r="A1308" t="s">
        <v>403</v>
      </c>
      <c r="B1308" s="174">
        <v>300000</v>
      </c>
    </row>
    <row r="1309" spans="1:2" x14ac:dyDescent="0.25">
      <c r="A1309" t="s">
        <v>401</v>
      </c>
      <c r="B1309" s="174">
        <v>100000</v>
      </c>
    </row>
    <row r="1310" spans="1:2" x14ac:dyDescent="0.25">
      <c r="A1310" t="s">
        <v>402</v>
      </c>
      <c r="B1310" s="174">
        <v>200000</v>
      </c>
    </row>
    <row r="1311" spans="1:2" x14ac:dyDescent="0.25">
      <c r="A1311" t="s">
        <v>403</v>
      </c>
      <c r="B1311" s="174">
        <v>300000</v>
      </c>
    </row>
    <row r="1312" spans="1:2" x14ac:dyDescent="0.25">
      <c r="A1312" t="s">
        <v>401</v>
      </c>
      <c r="B1312" s="174">
        <v>100000</v>
      </c>
    </row>
    <row r="1313" spans="1:2" x14ac:dyDescent="0.25">
      <c r="A1313" t="s">
        <v>402</v>
      </c>
      <c r="B1313" s="174">
        <v>200000</v>
      </c>
    </row>
    <row r="1314" spans="1:2" x14ac:dyDescent="0.25">
      <c r="A1314" t="s">
        <v>403</v>
      </c>
      <c r="B1314" s="174">
        <v>300000</v>
      </c>
    </row>
    <row r="1315" spans="1:2" x14ac:dyDescent="0.25">
      <c r="A1315" t="s">
        <v>401</v>
      </c>
      <c r="B1315" s="174">
        <v>100000</v>
      </c>
    </row>
    <row r="1316" spans="1:2" x14ac:dyDescent="0.25">
      <c r="A1316" t="s">
        <v>402</v>
      </c>
      <c r="B1316" s="174">
        <v>200000</v>
      </c>
    </row>
    <row r="1317" spans="1:2" x14ac:dyDescent="0.25">
      <c r="A1317" t="s">
        <v>403</v>
      </c>
      <c r="B1317" s="174">
        <v>300000</v>
      </c>
    </row>
    <row r="1318" spans="1:2" x14ac:dyDescent="0.25">
      <c r="A1318" t="s">
        <v>401</v>
      </c>
      <c r="B1318" s="174">
        <v>100000</v>
      </c>
    </row>
    <row r="1319" spans="1:2" x14ac:dyDescent="0.25">
      <c r="A1319" t="s">
        <v>402</v>
      </c>
      <c r="B1319" s="174">
        <v>200000</v>
      </c>
    </row>
    <row r="1320" spans="1:2" x14ac:dyDescent="0.25">
      <c r="A1320" t="s">
        <v>403</v>
      </c>
      <c r="B1320" s="174">
        <v>300000</v>
      </c>
    </row>
    <row r="1321" spans="1:2" x14ac:dyDescent="0.25">
      <c r="A1321" t="s">
        <v>401</v>
      </c>
      <c r="B1321" s="174">
        <v>100000</v>
      </c>
    </row>
    <row r="1322" spans="1:2" x14ac:dyDescent="0.25">
      <c r="A1322" t="s">
        <v>402</v>
      </c>
      <c r="B1322" s="174">
        <v>200000</v>
      </c>
    </row>
    <row r="1323" spans="1:2" x14ac:dyDescent="0.25">
      <c r="A1323" t="s">
        <v>403</v>
      </c>
      <c r="B1323" s="174">
        <v>300000</v>
      </c>
    </row>
    <row r="1324" spans="1:2" x14ac:dyDescent="0.25">
      <c r="A1324" t="s">
        <v>401</v>
      </c>
      <c r="B1324" s="174">
        <v>100000</v>
      </c>
    </row>
    <row r="1325" spans="1:2" x14ac:dyDescent="0.25">
      <c r="A1325" t="s">
        <v>402</v>
      </c>
      <c r="B1325" s="174">
        <v>200000</v>
      </c>
    </row>
    <row r="1326" spans="1:2" x14ac:dyDescent="0.25">
      <c r="A1326" t="s">
        <v>403</v>
      </c>
      <c r="B1326" s="174">
        <v>300000</v>
      </c>
    </row>
    <row r="1327" spans="1:2" x14ac:dyDescent="0.25">
      <c r="A1327" t="s">
        <v>401</v>
      </c>
      <c r="B1327" s="174">
        <v>100000</v>
      </c>
    </row>
    <row r="1328" spans="1:2" x14ac:dyDescent="0.25">
      <c r="A1328" t="s">
        <v>402</v>
      </c>
      <c r="B1328" s="174">
        <v>200000</v>
      </c>
    </row>
    <row r="1329" spans="1:2" x14ac:dyDescent="0.25">
      <c r="A1329" t="s">
        <v>403</v>
      </c>
      <c r="B1329" s="174">
        <v>300000</v>
      </c>
    </row>
    <row r="1330" spans="1:2" x14ac:dyDescent="0.25">
      <c r="A1330" t="s">
        <v>401</v>
      </c>
      <c r="B1330" s="174">
        <v>100000</v>
      </c>
    </row>
    <row r="1331" spans="1:2" x14ac:dyDescent="0.25">
      <c r="A1331" t="s">
        <v>402</v>
      </c>
      <c r="B1331" s="174">
        <v>200000</v>
      </c>
    </row>
    <row r="1332" spans="1:2" x14ac:dyDescent="0.25">
      <c r="A1332" t="s">
        <v>403</v>
      </c>
      <c r="B1332" s="174">
        <v>300000</v>
      </c>
    </row>
    <row r="1333" spans="1:2" x14ac:dyDescent="0.25">
      <c r="A1333" t="s">
        <v>401</v>
      </c>
      <c r="B1333" s="174">
        <v>100000</v>
      </c>
    </row>
    <row r="1334" spans="1:2" x14ac:dyDescent="0.25">
      <c r="A1334" t="s">
        <v>402</v>
      </c>
      <c r="B1334" s="174">
        <v>200000</v>
      </c>
    </row>
    <row r="1335" spans="1:2" x14ac:dyDescent="0.25">
      <c r="A1335" t="s">
        <v>403</v>
      </c>
      <c r="B1335" s="174">
        <v>300000</v>
      </c>
    </row>
    <row r="1336" spans="1:2" x14ac:dyDescent="0.25">
      <c r="A1336" t="s">
        <v>401</v>
      </c>
      <c r="B1336" s="174">
        <v>100000</v>
      </c>
    </row>
    <row r="1337" spans="1:2" x14ac:dyDescent="0.25">
      <c r="A1337" t="s">
        <v>402</v>
      </c>
      <c r="B1337" s="174">
        <v>200000</v>
      </c>
    </row>
    <row r="1338" spans="1:2" x14ac:dyDescent="0.25">
      <c r="A1338" t="s">
        <v>403</v>
      </c>
      <c r="B1338" s="174">
        <v>300000</v>
      </c>
    </row>
    <row r="1339" spans="1:2" x14ac:dyDescent="0.25">
      <c r="A1339" t="s">
        <v>401</v>
      </c>
      <c r="B1339" s="174">
        <v>100000</v>
      </c>
    </row>
    <row r="1340" spans="1:2" x14ac:dyDescent="0.25">
      <c r="A1340" t="s">
        <v>402</v>
      </c>
      <c r="B1340" s="174">
        <v>200000</v>
      </c>
    </row>
    <row r="1341" spans="1:2" x14ac:dyDescent="0.25">
      <c r="A1341" t="s">
        <v>403</v>
      </c>
      <c r="B1341" s="174">
        <v>300000</v>
      </c>
    </row>
    <row r="1342" spans="1:2" x14ac:dyDescent="0.25">
      <c r="A1342" t="s">
        <v>401</v>
      </c>
      <c r="B1342" s="174">
        <v>100000</v>
      </c>
    </row>
    <row r="1343" spans="1:2" x14ac:dyDescent="0.25">
      <c r="A1343" t="s">
        <v>402</v>
      </c>
      <c r="B1343" s="174">
        <v>200000</v>
      </c>
    </row>
    <row r="1344" spans="1:2" x14ac:dyDescent="0.25">
      <c r="A1344" t="s">
        <v>403</v>
      </c>
      <c r="B1344" s="174">
        <v>300000</v>
      </c>
    </row>
    <row r="1345" spans="1:2" x14ac:dyDescent="0.25">
      <c r="A1345" t="s">
        <v>401</v>
      </c>
      <c r="B1345" s="174">
        <v>100000</v>
      </c>
    </row>
    <row r="1346" spans="1:2" x14ac:dyDescent="0.25">
      <c r="A1346" t="s">
        <v>402</v>
      </c>
      <c r="B1346" s="174">
        <v>200000</v>
      </c>
    </row>
    <row r="1347" spans="1:2" x14ac:dyDescent="0.25">
      <c r="A1347" t="s">
        <v>403</v>
      </c>
      <c r="B1347" s="174">
        <v>300000</v>
      </c>
    </row>
    <row r="1348" spans="1:2" x14ac:dyDescent="0.25">
      <c r="A1348" t="s">
        <v>401</v>
      </c>
      <c r="B1348" s="174">
        <v>100000</v>
      </c>
    </row>
    <row r="1349" spans="1:2" x14ac:dyDescent="0.25">
      <c r="A1349" t="s">
        <v>402</v>
      </c>
      <c r="B1349" s="174">
        <v>200000</v>
      </c>
    </row>
    <row r="1350" spans="1:2" x14ac:dyDescent="0.25">
      <c r="A1350" t="s">
        <v>403</v>
      </c>
      <c r="B1350" s="174">
        <v>300000</v>
      </c>
    </row>
    <row r="1351" spans="1:2" x14ac:dyDescent="0.25">
      <c r="A1351" t="s">
        <v>401</v>
      </c>
      <c r="B1351" s="174">
        <v>100000</v>
      </c>
    </row>
    <row r="1352" spans="1:2" x14ac:dyDescent="0.25">
      <c r="A1352" t="s">
        <v>402</v>
      </c>
      <c r="B1352" s="174">
        <v>200000</v>
      </c>
    </row>
    <row r="1353" spans="1:2" x14ac:dyDescent="0.25">
      <c r="A1353" t="s">
        <v>403</v>
      </c>
      <c r="B1353" s="174">
        <v>300000</v>
      </c>
    </row>
    <row r="1354" spans="1:2" x14ac:dyDescent="0.25">
      <c r="A1354" t="s">
        <v>401</v>
      </c>
      <c r="B1354" s="174">
        <v>100000</v>
      </c>
    </row>
    <row r="1355" spans="1:2" x14ac:dyDescent="0.25">
      <c r="A1355" t="s">
        <v>402</v>
      </c>
      <c r="B1355" s="174">
        <v>200000</v>
      </c>
    </row>
    <row r="1356" spans="1:2" x14ac:dyDescent="0.25">
      <c r="A1356" t="s">
        <v>403</v>
      </c>
      <c r="B1356" s="174">
        <v>300000</v>
      </c>
    </row>
    <row r="1357" spans="1:2" x14ac:dyDescent="0.25">
      <c r="A1357" t="s">
        <v>401</v>
      </c>
      <c r="B1357" s="174">
        <v>100000</v>
      </c>
    </row>
    <row r="1358" spans="1:2" x14ac:dyDescent="0.25">
      <c r="A1358" t="s">
        <v>402</v>
      </c>
      <c r="B1358" s="174">
        <v>200000</v>
      </c>
    </row>
    <row r="1359" spans="1:2" x14ac:dyDescent="0.25">
      <c r="A1359" t="s">
        <v>403</v>
      </c>
      <c r="B1359" s="174">
        <v>300000</v>
      </c>
    </row>
    <row r="1360" spans="1:2" x14ac:dyDescent="0.25">
      <c r="A1360" t="s">
        <v>401</v>
      </c>
      <c r="B1360" s="174">
        <v>100000</v>
      </c>
    </row>
    <row r="1361" spans="1:2" x14ac:dyDescent="0.25">
      <c r="A1361" t="s">
        <v>402</v>
      </c>
      <c r="B1361" s="174">
        <v>200000</v>
      </c>
    </row>
    <row r="1362" spans="1:2" x14ac:dyDescent="0.25">
      <c r="A1362" t="s">
        <v>403</v>
      </c>
      <c r="B1362" s="174">
        <v>300000</v>
      </c>
    </row>
    <row r="1363" spans="1:2" x14ac:dyDescent="0.25">
      <c r="A1363" t="s">
        <v>401</v>
      </c>
      <c r="B1363" s="174">
        <v>100000</v>
      </c>
    </row>
    <row r="1364" spans="1:2" x14ac:dyDescent="0.25">
      <c r="A1364" t="s">
        <v>402</v>
      </c>
      <c r="B1364" s="174">
        <v>200000</v>
      </c>
    </row>
    <row r="1365" spans="1:2" x14ac:dyDescent="0.25">
      <c r="A1365" t="s">
        <v>403</v>
      </c>
      <c r="B1365" s="174">
        <v>300000</v>
      </c>
    </row>
    <row r="1366" spans="1:2" x14ac:dyDescent="0.25">
      <c r="A1366" t="s">
        <v>401</v>
      </c>
      <c r="B1366" s="174">
        <v>100000</v>
      </c>
    </row>
    <row r="1367" spans="1:2" x14ac:dyDescent="0.25">
      <c r="A1367" t="s">
        <v>402</v>
      </c>
      <c r="B1367" s="174">
        <v>200000</v>
      </c>
    </row>
    <row r="1368" spans="1:2" x14ac:dyDescent="0.25">
      <c r="A1368" t="s">
        <v>403</v>
      </c>
      <c r="B1368" s="174">
        <v>300000</v>
      </c>
    </row>
    <row r="1369" spans="1:2" x14ac:dyDescent="0.25">
      <c r="A1369" t="s">
        <v>401</v>
      </c>
      <c r="B1369" s="174">
        <v>100000</v>
      </c>
    </row>
    <row r="1370" spans="1:2" x14ac:dyDescent="0.25">
      <c r="A1370" t="s">
        <v>402</v>
      </c>
      <c r="B1370" s="174">
        <v>200000</v>
      </c>
    </row>
    <row r="1371" spans="1:2" x14ac:dyDescent="0.25">
      <c r="A1371" t="s">
        <v>403</v>
      </c>
      <c r="B1371" s="174">
        <v>300000</v>
      </c>
    </row>
    <row r="1372" spans="1:2" x14ac:dyDescent="0.25">
      <c r="A1372" t="s">
        <v>401</v>
      </c>
      <c r="B1372" s="174">
        <v>100000</v>
      </c>
    </row>
    <row r="1373" spans="1:2" x14ac:dyDescent="0.25">
      <c r="A1373" t="s">
        <v>402</v>
      </c>
      <c r="B1373" s="174">
        <v>200000</v>
      </c>
    </row>
    <row r="1374" spans="1:2" x14ac:dyDescent="0.25">
      <c r="A1374" t="s">
        <v>403</v>
      </c>
      <c r="B1374" s="174">
        <v>300000</v>
      </c>
    </row>
    <row r="1375" spans="1:2" x14ac:dyDescent="0.25">
      <c r="A1375" t="s">
        <v>401</v>
      </c>
      <c r="B1375" s="174">
        <v>100000</v>
      </c>
    </row>
    <row r="1376" spans="1:2" x14ac:dyDescent="0.25">
      <c r="A1376" t="s">
        <v>402</v>
      </c>
      <c r="B1376" s="174">
        <v>200000</v>
      </c>
    </row>
    <row r="1377" spans="1:2" x14ac:dyDescent="0.25">
      <c r="A1377" t="s">
        <v>403</v>
      </c>
      <c r="B1377" s="174">
        <v>300000</v>
      </c>
    </row>
    <row r="1378" spans="1:2" x14ac:dyDescent="0.25">
      <c r="A1378" t="s">
        <v>401</v>
      </c>
      <c r="B1378" s="174">
        <v>100000</v>
      </c>
    </row>
    <row r="1379" spans="1:2" x14ac:dyDescent="0.25">
      <c r="A1379" t="s">
        <v>402</v>
      </c>
      <c r="B1379" s="174">
        <v>200000</v>
      </c>
    </row>
    <row r="1380" spans="1:2" x14ac:dyDescent="0.25">
      <c r="A1380" t="s">
        <v>403</v>
      </c>
      <c r="B1380" s="174">
        <v>300000</v>
      </c>
    </row>
    <row r="1381" spans="1:2" x14ac:dyDescent="0.25">
      <c r="A1381" t="s">
        <v>401</v>
      </c>
      <c r="B1381" s="174">
        <v>100000</v>
      </c>
    </row>
    <row r="1382" spans="1:2" x14ac:dyDescent="0.25">
      <c r="A1382" t="s">
        <v>402</v>
      </c>
      <c r="B1382" s="174">
        <v>200000</v>
      </c>
    </row>
    <row r="1383" spans="1:2" x14ac:dyDescent="0.25">
      <c r="A1383" t="s">
        <v>403</v>
      </c>
      <c r="B1383" s="174">
        <v>300000</v>
      </c>
    </row>
    <row r="1384" spans="1:2" x14ac:dyDescent="0.25">
      <c r="A1384" t="s">
        <v>401</v>
      </c>
      <c r="B1384" s="174">
        <v>100000</v>
      </c>
    </row>
    <row r="1385" spans="1:2" x14ac:dyDescent="0.25">
      <c r="A1385" t="s">
        <v>402</v>
      </c>
      <c r="B1385" s="174">
        <v>200000</v>
      </c>
    </row>
    <row r="1386" spans="1:2" x14ac:dyDescent="0.25">
      <c r="A1386" t="s">
        <v>403</v>
      </c>
      <c r="B1386" s="174">
        <v>300000</v>
      </c>
    </row>
    <row r="1387" spans="1:2" x14ac:dyDescent="0.25">
      <c r="A1387" t="s">
        <v>401</v>
      </c>
      <c r="B1387" s="174">
        <v>100000</v>
      </c>
    </row>
    <row r="1388" spans="1:2" x14ac:dyDescent="0.25">
      <c r="A1388" t="s">
        <v>402</v>
      </c>
      <c r="B1388" s="174">
        <v>200000</v>
      </c>
    </row>
    <row r="1389" spans="1:2" x14ac:dyDescent="0.25">
      <c r="A1389" t="s">
        <v>403</v>
      </c>
      <c r="B1389" s="174">
        <v>300000</v>
      </c>
    </row>
    <row r="1390" spans="1:2" x14ac:dyDescent="0.25">
      <c r="A1390" t="s">
        <v>401</v>
      </c>
      <c r="B1390" s="174">
        <v>100000</v>
      </c>
    </row>
    <row r="1391" spans="1:2" x14ac:dyDescent="0.25">
      <c r="A1391" t="s">
        <v>402</v>
      </c>
      <c r="B1391" s="174">
        <v>200000</v>
      </c>
    </row>
    <row r="1392" spans="1:2" x14ac:dyDescent="0.25">
      <c r="A1392" t="s">
        <v>403</v>
      </c>
      <c r="B1392" s="174">
        <v>300000</v>
      </c>
    </row>
    <row r="1393" spans="1:2" x14ac:dyDescent="0.25">
      <c r="A1393" t="s">
        <v>401</v>
      </c>
      <c r="B1393" s="174">
        <v>100000</v>
      </c>
    </row>
    <row r="1394" spans="1:2" x14ac:dyDescent="0.25">
      <c r="A1394" t="s">
        <v>402</v>
      </c>
      <c r="B1394" s="174">
        <v>200000</v>
      </c>
    </row>
    <row r="1395" spans="1:2" x14ac:dyDescent="0.25">
      <c r="A1395" t="s">
        <v>403</v>
      </c>
      <c r="B1395" s="174">
        <v>300000</v>
      </c>
    </row>
    <row r="1396" spans="1:2" x14ac:dyDescent="0.25">
      <c r="A1396" t="s">
        <v>401</v>
      </c>
      <c r="B1396" s="174">
        <v>100000</v>
      </c>
    </row>
    <row r="1397" spans="1:2" x14ac:dyDescent="0.25">
      <c r="A1397" t="s">
        <v>402</v>
      </c>
      <c r="B1397" s="174">
        <v>200000</v>
      </c>
    </row>
    <row r="1398" spans="1:2" x14ac:dyDescent="0.25">
      <c r="A1398" t="s">
        <v>403</v>
      </c>
      <c r="B1398" s="174">
        <v>300000</v>
      </c>
    </row>
    <row r="1399" spans="1:2" x14ac:dyDescent="0.25">
      <c r="A1399" t="s">
        <v>401</v>
      </c>
      <c r="B1399" s="174">
        <v>100000</v>
      </c>
    </row>
    <row r="1400" spans="1:2" x14ac:dyDescent="0.25">
      <c r="A1400" t="s">
        <v>402</v>
      </c>
      <c r="B1400" s="174">
        <v>200000</v>
      </c>
    </row>
    <row r="1401" spans="1:2" x14ac:dyDescent="0.25">
      <c r="A1401" t="s">
        <v>403</v>
      </c>
      <c r="B1401" s="174">
        <v>300000</v>
      </c>
    </row>
    <row r="1402" spans="1:2" x14ac:dyDescent="0.25">
      <c r="A1402" t="s">
        <v>401</v>
      </c>
      <c r="B1402" s="174">
        <v>100000</v>
      </c>
    </row>
    <row r="1403" spans="1:2" x14ac:dyDescent="0.25">
      <c r="A1403" t="s">
        <v>402</v>
      </c>
      <c r="B1403" s="174">
        <v>200000</v>
      </c>
    </row>
    <row r="1404" spans="1:2" x14ac:dyDescent="0.25">
      <c r="A1404" t="s">
        <v>403</v>
      </c>
      <c r="B1404" s="174">
        <v>300000</v>
      </c>
    </row>
    <row r="1405" spans="1:2" x14ac:dyDescent="0.25">
      <c r="A1405" t="s">
        <v>401</v>
      </c>
      <c r="B1405" s="174">
        <v>100000</v>
      </c>
    </row>
    <row r="1406" spans="1:2" x14ac:dyDescent="0.25">
      <c r="A1406" t="s">
        <v>402</v>
      </c>
      <c r="B1406" s="174">
        <v>200000</v>
      </c>
    </row>
    <row r="1407" spans="1:2" x14ac:dyDescent="0.25">
      <c r="A1407" t="s">
        <v>403</v>
      </c>
      <c r="B1407" s="174">
        <v>300000</v>
      </c>
    </row>
    <row r="1408" spans="1:2" x14ac:dyDescent="0.25">
      <c r="A1408" t="s">
        <v>401</v>
      </c>
      <c r="B1408" s="174">
        <v>100000</v>
      </c>
    </row>
    <row r="1409" spans="1:2" x14ac:dyDescent="0.25">
      <c r="A1409" t="s">
        <v>402</v>
      </c>
      <c r="B1409" s="174">
        <v>200000</v>
      </c>
    </row>
    <row r="1410" spans="1:2" x14ac:dyDescent="0.25">
      <c r="A1410" t="s">
        <v>403</v>
      </c>
      <c r="B1410" s="174">
        <v>300000</v>
      </c>
    </row>
    <row r="1411" spans="1:2" x14ac:dyDescent="0.25">
      <c r="A1411" t="s">
        <v>401</v>
      </c>
      <c r="B1411" s="174">
        <v>100000</v>
      </c>
    </row>
    <row r="1412" spans="1:2" x14ac:dyDescent="0.25">
      <c r="A1412" t="s">
        <v>402</v>
      </c>
      <c r="B1412" s="174">
        <v>200000</v>
      </c>
    </row>
    <row r="1413" spans="1:2" x14ac:dyDescent="0.25">
      <c r="A1413" t="s">
        <v>403</v>
      </c>
      <c r="B1413" s="174">
        <v>300000</v>
      </c>
    </row>
    <row r="1414" spans="1:2" x14ac:dyDescent="0.25">
      <c r="A1414" t="s">
        <v>401</v>
      </c>
      <c r="B1414" s="174">
        <v>100000</v>
      </c>
    </row>
    <row r="1415" spans="1:2" x14ac:dyDescent="0.25">
      <c r="A1415" t="s">
        <v>402</v>
      </c>
      <c r="B1415" s="174">
        <v>200000</v>
      </c>
    </row>
    <row r="1416" spans="1:2" x14ac:dyDescent="0.25">
      <c r="A1416" t="s">
        <v>403</v>
      </c>
      <c r="B1416" s="174">
        <v>300000</v>
      </c>
    </row>
    <row r="1417" spans="1:2" x14ac:dyDescent="0.25">
      <c r="A1417" t="s">
        <v>401</v>
      </c>
      <c r="B1417" s="174">
        <v>100000</v>
      </c>
    </row>
    <row r="1418" spans="1:2" x14ac:dyDescent="0.25">
      <c r="A1418" t="s">
        <v>402</v>
      </c>
      <c r="B1418" s="174">
        <v>200000</v>
      </c>
    </row>
    <row r="1419" spans="1:2" x14ac:dyDescent="0.25">
      <c r="A1419" t="s">
        <v>403</v>
      </c>
      <c r="B1419" s="174">
        <v>300000</v>
      </c>
    </row>
    <row r="1420" spans="1:2" x14ac:dyDescent="0.25">
      <c r="A1420" t="s">
        <v>401</v>
      </c>
      <c r="B1420" s="174">
        <v>100000</v>
      </c>
    </row>
    <row r="1421" spans="1:2" x14ac:dyDescent="0.25">
      <c r="A1421" t="s">
        <v>402</v>
      </c>
      <c r="B1421" s="174">
        <v>200000</v>
      </c>
    </row>
    <row r="1422" spans="1:2" x14ac:dyDescent="0.25">
      <c r="A1422" t="s">
        <v>403</v>
      </c>
      <c r="B1422" s="174">
        <v>300000</v>
      </c>
    </row>
    <row r="1423" spans="1:2" x14ac:dyDescent="0.25">
      <c r="A1423" t="s">
        <v>401</v>
      </c>
      <c r="B1423" s="174">
        <v>100000</v>
      </c>
    </row>
    <row r="1424" spans="1:2" x14ac:dyDescent="0.25">
      <c r="A1424" t="s">
        <v>402</v>
      </c>
      <c r="B1424" s="174">
        <v>200000</v>
      </c>
    </row>
    <row r="1425" spans="1:2" x14ac:dyDescent="0.25">
      <c r="A1425" t="s">
        <v>403</v>
      </c>
      <c r="B1425" s="174">
        <v>300000</v>
      </c>
    </row>
    <row r="1426" spans="1:2" x14ac:dyDescent="0.25">
      <c r="A1426" t="s">
        <v>401</v>
      </c>
      <c r="B1426" s="174">
        <v>100000</v>
      </c>
    </row>
    <row r="1427" spans="1:2" x14ac:dyDescent="0.25">
      <c r="A1427" t="s">
        <v>402</v>
      </c>
      <c r="B1427" s="174">
        <v>200000</v>
      </c>
    </row>
    <row r="1428" spans="1:2" x14ac:dyDescent="0.25">
      <c r="A1428" t="s">
        <v>403</v>
      </c>
      <c r="B1428" s="174">
        <v>300000</v>
      </c>
    </row>
    <row r="1429" spans="1:2" x14ac:dyDescent="0.25">
      <c r="A1429" t="s">
        <v>401</v>
      </c>
      <c r="B1429" s="174">
        <v>100000</v>
      </c>
    </row>
    <row r="1430" spans="1:2" x14ac:dyDescent="0.25">
      <c r="A1430" t="s">
        <v>402</v>
      </c>
      <c r="B1430" s="174">
        <v>200000</v>
      </c>
    </row>
    <row r="1431" spans="1:2" x14ac:dyDescent="0.25">
      <c r="A1431" t="s">
        <v>403</v>
      </c>
      <c r="B1431" s="174">
        <v>300000</v>
      </c>
    </row>
    <row r="1432" spans="1:2" x14ac:dyDescent="0.25">
      <c r="A1432" t="s">
        <v>401</v>
      </c>
      <c r="B1432" s="174">
        <v>100000</v>
      </c>
    </row>
    <row r="1433" spans="1:2" x14ac:dyDescent="0.25">
      <c r="A1433" t="s">
        <v>402</v>
      </c>
      <c r="B1433" s="174">
        <v>200000</v>
      </c>
    </row>
    <row r="1434" spans="1:2" x14ac:dyDescent="0.25">
      <c r="A1434" t="s">
        <v>403</v>
      </c>
      <c r="B1434" s="174">
        <v>300000</v>
      </c>
    </row>
    <row r="1435" spans="1:2" x14ac:dyDescent="0.25">
      <c r="A1435" t="s">
        <v>401</v>
      </c>
      <c r="B1435" s="174">
        <v>100000</v>
      </c>
    </row>
    <row r="1436" spans="1:2" x14ac:dyDescent="0.25">
      <c r="A1436" t="s">
        <v>402</v>
      </c>
      <c r="B1436" s="174">
        <v>200000</v>
      </c>
    </row>
    <row r="1437" spans="1:2" x14ac:dyDescent="0.25">
      <c r="A1437" t="s">
        <v>403</v>
      </c>
      <c r="B1437" s="174">
        <v>300000</v>
      </c>
    </row>
    <row r="1438" spans="1:2" x14ac:dyDescent="0.25">
      <c r="A1438" t="s">
        <v>401</v>
      </c>
      <c r="B1438" s="174">
        <v>100000</v>
      </c>
    </row>
    <row r="1439" spans="1:2" x14ac:dyDescent="0.25">
      <c r="A1439" t="s">
        <v>402</v>
      </c>
      <c r="B1439" s="174">
        <v>200000</v>
      </c>
    </row>
    <row r="1440" spans="1:2" x14ac:dyDescent="0.25">
      <c r="A1440" t="s">
        <v>403</v>
      </c>
      <c r="B1440" s="174">
        <v>300000</v>
      </c>
    </row>
    <row r="1441" spans="1:2" x14ac:dyDescent="0.25">
      <c r="A1441" t="s">
        <v>401</v>
      </c>
      <c r="B1441" s="174">
        <v>100000</v>
      </c>
    </row>
    <row r="1442" spans="1:2" x14ac:dyDescent="0.25">
      <c r="A1442" t="s">
        <v>402</v>
      </c>
      <c r="B1442" s="174">
        <v>200000</v>
      </c>
    </row>
    <row r="1443" spans="1:2" x14ac:dyDescent="0.25">
      <c r="A1443" t="s">
        <v>403</v>
      </c>
      <c r="B1443" s="174">
        <v>300000</v>
      </c>
    </row>
    <row r="1444" spans="1:2" x14ac:dyDescent="0.25">
      <c r="A1444" t="s">
        <v>401</v>
      </c>
      <c r="B1444" s="174">
        <v>100000</v>
      </c>
    </row>
    <row r="1445" spans="1:2" x14ac:dyDescent="0.25">
      <c r="A1445" t="s">
        <v>402</v>
      </c>
      <c r="B1445" s="174">
        <v>200000</v>
      </c>
    </row>
    <row r="1446" spans="1:2" x14ac:dyDescent="0.25">
      <c r="A1446" t="s">
        <v>403</v>
      </c>
      <c r="B1446" s="174">
        <v>300000</v>
      </c>
    </row>
    <row r="1447" spans="1:2" x14ac:dyDescent="0.25">
      <c r="A1447" t="s">
        <v>401</v>
      </c>
      <c r="B1447" s="174">
        <v>100000</v>
      </c>
    </row>
    <row r="1448" spans="1:2" x14ac:dyDescent="0.25">
      <c r="A1448" t="s">
        <v>402</v>
      </c>
      <c r="B1448" s="174">
        <v>200000</v>
      </c>
    </row>
    <row r="1449" spans="1:2" x14ac:dyDescent="0.25">
      <c r="A1449" t="s">
        <v>403</v>
      </c>
      <c r="B1449" s="174">
        <v>300000</v>
      </c>
    </row>
    <row r="1450" spans="1:2" x14ac:dyDescent="0.25">
      <c r="A1450" t="s">
        <v>401</v>
      </c>
      <c r="B1450" s="174">
        <v>100000</v>
      </c>
    </row>
    <row r="1451" spans="1:2" x14ac:dyDescent="0.25">
      <c r="A1451" t="s">
        <v>402</v>
      </c>
      <c r="B1451" s="174">
        <v>200000</v>
      </c>
    </row>
    <row r="1452" spans="1:2" x14ac:dyDescent="0.25">
      <c r="A1452" t="s">
        <v>403</v>
      </c>
      <c r="B1452" s="174">
        <v>300000</v>
      </c>
    </row>
    <row r="1453" spans="1:2" x14ac:dyDescent="0.25">
      <c r="A1453" t="s">
        <v>401</v>
      </c>
      <c r="B1453" s="174">
        <v>100000</v>
      </c>
    </row>
    <row r="1454" spans="1:2" x14ac:dyDescent="0.25">
      <c r="A1454" t="s">
        <v>402</v>
      </c>
      <c r="B1454" s="174">
        <v>200000</v>
      </c>
    </row>
    <row r="1455" spans="1:2" x14ac:dyDescent="0.25">
      <c r="A1455" t="s">
        <v>403</v>
      </c>
      <c r="B1455" s="174">
        <v>300000</v>
      </c>
    </row>
    <row r="1456" spans="1:2" x14ac:dyDescent="0.25">
      <c r="A1456" t="s">
        <v>401</v>
      </c>
      <c r="B1456" s="174">
        <v>100000</v>
      </c>
    </row>
    <row r="1457" spans="1:2" x14ac:dyDescent="0.25">
      <c r="A1457" t="s">
        <v>402</v>
      </c>
      <c r="B1457" s="174">
        <v>200000</v>
      </c>
    </row>
    <row r="1458" spans="1:2" x14ac:dyDescent="0.25">
      <c r="A1458" t="s">
        <v>403</v>
      </c>
      <c r="B1458" s="174">
        <v>300000</v>
      </c>
    </row>
    <row r="1459" spans="1:2" x14ac:dyDescent="0.25">
      <c r="A1459" t="s">
        <v>401</v>
      </c>
      <c r="B1459" s="174">
        <v>100000</v>
      </c>
    </row>
    <row r="1460" spans="1:2" x14ac:dyDescent="0.25">
      <c r="A1460" t="s">
        <v>402</v>
      </c>
      <c r="B1460" s="174">
        <v>200000</v>
      </c>
    </row>
    <row r="1461" spans="1:2" x14ac:dyDescent="0.25">
      <c r="A1461" t="s">
        <v>403</v>
      </c>
      <c r="B1461" s="174">
        <v>300000</v>
      </c>
    </row>
    <row r="1462" spans="1:2" x14ac:dyDescent="0.25">
      <c r="A1462" t="s">
        <v>401</v>
      </c>
      <c r="B1462" s="174">
        <v>100000</v>
      </c>
    </row>
    <row r="1463" spans="1:2" x14ac:dyDescent="0.25">
      <c r="A1463" t="s">
        <v>402</v>
      </c>
      <c r="B1463" s="174">
        <v>200000</v>
      </c>
    </row>
    <row r="1464" spans="1:2" x14ac:dyDescent="0.25">
      <c r="A1464" t="s">
        <v>403</v>
      </c>
      <c r="B1464" s="174">
        <v>300000</v>
      </c>
    </row>
    <row r="1465" spans="1:2" x14ac:dyDescent="0.25">
      <c r="A1465" t="s">
        <v>401</v>
      </c>
      <c r="B1465" s="174">
        <v>100000</v>
      </c>
    </row>
    <row r="1466" spans="1:2" x14ac:dyDescent="0.25">
      <c r="A1466" t="s">
        <v>402</v>
      </c>
      <c r="B1466" s="174">
        <v>200000</v>
      </c>
    </row>
    <row r="1467" spans="1:2" x14ac:dyDescent="0.25">
      <c r="A1467" t="s">
        <v>403</v>
      </c>
      <c r="B1467" s="174">
        <v>300000</v>
      </c>
    </row>
    <row r="1468" spans="1:2" x14ac:dyDescent="0.25">
      <c r="A1468" t="s">
        <v>401</v>
      </c>
      <c r="B1468" s="174">
        <v>100000</v>
      </c>
    </row>
    <row r="1469" spans="1:2" x14ac:dyDescent="0.25">
      <c r="A1469" t="s">
        <v>402</v>
      </c>
      <c r="B1469" s="174">
        <v>200000</v>
      </c>
    </row>
    <row r="1470" spans="1:2" x14ac:dyDescent="0.25">
      <c r="A1470" t="s">
        <v>403</v>
      </c>
      <c r="B1470" s="174">
        <v>300000</v>
      </c>
    </row>
    <row r="1471" spans="1:2" x14ac:dyDescent="0.25">
      <c r="A1471" t="s">
        <v>401</v>
      </c>
      <c r="B1471" s="174">
        <v>100000</v>
      </c>
    </row>
    <row r="1472" spans="1:2" x14ac:dyDescent="0.25">
      <c r="A1472" t="s">
        <v>402</v>
      </c>
      <c r="B1472" s="174">
        <v>200000</v>
      </c>
    </row>
    <row r="1473" spans="1:2" x14ac:dyDescent="0.25">
      <c r="A1473" t="s">
        <v>403</v>
      </c>
      <c r="B1473" s="174">
        <v>300000</v>
      </c>
    </row>
    <row r="1474" spans="1:2" x14ac:dyDescent="0.25">
      <c r="A1474" t="s">
        <v>401</v>
      </c>
      <c r="B1474" s="174">
        <v>100000</v>
      </c>
    </row>
    <row r="1475" spans="1:2" x14ac:dyDescent="0.25">
      <c r="A1475" t="s">
        <v>402</v>
      </c>
      <c r="B1475" s="174">
        <v>200000</v>
      </c>
    </row>
    <row r="1476" spans="1:2" x14ac:dyDescent="0.25">
      <c r="A1476" t="s">
        <v>403</v>
      </c>
      <c r="B1476" s="174">
        <v>300000</v>
      </c>
    </row>
    <row r="1477" spans="1:2" x14ac:dyDescent="0.25">
      <c r="A1477" t="s">
        <v>401</v>
      </c>
      <c r="B1477" s="174">
        <v>100000</v>
      </c>
    </row>
    <row r="1478" spans="1:2" x14ac:dyDescent="0.25">
      <c r="A1478" t="s">
        <v>402</v>
      </c>
      <c r="B1478" s="174">
        <v>200000</v>
      </c>
    </row>
    <row r="1479" spans="1:2" x14ac:dyDescent="0.25">
      <c r="A1479" t="s">
        <v>403</v>
      </c>
      <c r="B1479" s="174">
        <v>300000</v>
      </c>
    </row>
    <row r="1480" spans="1:2" x14ac:dyDescent="0.25">
      <c r="A1480" t="s">
        <v>401</v>
      </c>
      <c r="B1480" s="174">
        <v>100000</v>
      </c>
    </row>
    <row r="1481" spans="1:2" x14ac:dyDescent="0.25">
      <c r="A1481" t="s">
        <v>402</v>
      </c>
      <c r="B1481" s="174">
        <v>200000</v>
      </c>
    </row>
    <row r="1482" spans="1:2" x14ac:dyDescent="0.25">
      <c r="A1482" t="s">
        <v>403</v>
      </c>
      <c r="B1482" s="174">
        <v>300000</v>
      </c>
    </row>
    <row r="1483" spans="1:2" x14ac:dyDescent="0.25">
      <c r="A1483" t="s">
        <v>401</v>
      </c>
      <c r="B1483" s="174">
        <v>100000</v>
      </c>
    </row>
    <row r="1484" spans="1:2" x14ac:dyDescent="0.25">
      <c r="A1484" t="s">
        <v>402</v>
      </c>
      <c r="B1484" s="174">
        <v>200000</v>
      </c>
    </row>
    <row r="1485" spans="1:2" x14ac:dyDescent="0.25">
      <c r="A1485" t="s">
        <v>403</v>
      </c>
      <c r="B1485" s="174">
        <v>300000</v>
      </c>
    </row>
    <row r="1486" spans="1:2" x14ac:dyDescent="0.25">
      <c r="A1486" t="s">
        <v>401</v>
      </c>
      <c r="B1486" s="174">
        <v>100000</v>
      </c>
    </row>
    <row r="1487" spans="1:2" x14ac:dyDescent="0.25">
      <c r="A1487" t="s">
        <v>402</v>
      </c>
      <c r="B1487" s="174">
        <v>200000</v>
      </c>
    </row>
    <row r="1488" spans="1:2" x14ac:dyDescent="0.25">
      <c r="A1488" t="s">
        <v>403</v>
      </c>
      <c r="B1488" s="174">
        <v>300000</v>
      </c>
    </row>
    <row r="1489" spans="1:2" x14ac:dyDescent="0.25">
      <c r="A1489" t="s">
        <v>401</v>
      </c>
      <c r="B1489" s="174">
        <v>100000</v>
      </c>
    </row>
    <row r="1490" spans="1:2" x14ac:dyDescent="0.25">
      <c r="A1490" t="s">
        <v>402</v>
      </c>
      <c r="B1490" s="174">
        <v>200000</v>
      </c>
    </row>
    <row r="1491" spans="1:2" x14ac:dyDescent="0.25">
      <c r="A1491" t="s">
        <v>403</v>
      </c>
      <c r="B1491" s="174">
        <v>300000</v>
      </c>
    </row>
    <row r="1492" spans="1:2" x14ac:dyDescent="0.25">
      <c r="A1492" t="s">
        <v>401</v>
      </c>
      <c r="B1492" s="174">
        <v>100000</v>
      </c>
    </row>
    <row r="1493" spans="1:2" x14ac:dyDescent="0.25">
      <c r="A1493" t="s">
        <v>402</v>
      </c>
      <c r="B1493" s="174">
        <v>200000</v>
      </c>
    </row>
    <row r="1494" spans="1:2" x14ac:dyDescent="0.25">
      <c r="A1494" t="s">
        <v>403</v>
      </c>
      <c r="B1494" s="174">
        <v>300000</v>
      </c>
    </row>
    <row r="1495" spans="1:2" x14ac:dyDescent="0.25">
      <c r="A1495" t="s">
        <v>401</v>
      </c>
      <c r="B1495" s="174">
        <v>100000</v>
      </c>
    </row>
    <row r="1496" spans="1:2" x14ac:dyDescent="0.25">
      <c r="A1496" t="s">
        <v>402</v>
      </c>
      <c r="B1496" s="174">
        <v>200000</v>
      </c>
    </row>
    <row r="1497" spans="1:2" x14ac:dyDescent="0.25">
      <c r="A1497" t="s">
        <v>403</v>
      </c>
      <c r="B1497" s="174">
        <v>300000</v>
      </c>
    </row>
    <row r="1498" spans="1:2" x14ac:dyDescent="0.25">
      <c r="A1498" t="s">
        <v>401</v>
      </c>
      <c r="B1498" s="174">
        <v>100000</v>
      </c>
    </row>
    <row r="1499" spans="1:2" x14ac:dyDescent="0.25">
      <c r="A1499" t="s">
        <v>402</v>
      </c>
      <c r="B1499" s="174">
        <v>200000</v>
      </c>
    </row>
    <row r="1500" spans="1:2" x14ac:dyDescent="0.25">
      <c r="A1500" t="s">
        <v>403</v>
      </c>
      <c r="B1500" s="174">
        <v>300000</v>
      </c>
    </row>
    <row r="1501" spans="1:2" x14ac:dyDescent="0.25">
      <c r="A1501" t="s">
        <v>401</v>
      </c>
      <c r="B1501" s="174">
        <v>100000</v>
      </c>
    </row>
    <row r="1502" spans="1:2" x14ac:dyDescent="0.25">
      <c r="A1502" t="s">
        <v>402</v>
      </c>
      <c r="B1502" s="174">
        <v>200000</v>
      </c>
    </row>
    <row r="1503" spans="1:2" x14ac:dyDescent="0.25">
      <c r="A1503" t="s">
        <v>403</v>
      </c>
      <c r="B1503" s="174">
        <v>300000</v>
      </c>
    </row>
    <row r="1504" spans="1:2" x14ac:dyDescent="0.25">
      <c r="A1504" t="s">
        <v>401</v>
      </c>
      <c r="B1504" s="174">
        <v>100000</v>
      </c>
    </row>
    <row r="1505" spans="1:2" x14ac:dyDescent="0.25">
      <c r="A1505" t="s">
        <v>402</v>
      </c>
      <c r="B1505" s="174">
        <v>200000</v>
      </c>
    </row>
    <row r="1506" spans="1:2" x14ac:dyDescent="0.25">
      <c r="A1506" t="s">
        <v>403</v>
      </c>
      <c r="B1506" s="174">
        <v>300000</v>
      </c>
    </row>
    <row r="1507" spans="1:2" x14ac:dyDescent="0.25">
      <c r="A1507" t="s">
        <v>401</v>
      </c>
      <c r="B1507" s="174">
        <v>100000</v>
      </c>
    </row>
    <row r="1508" spans="1:2" x14ac:dyDescent="0.25">
      <c r="A1508" t="s">
        <v>402</v>
      </c>
      <c r="B1508" s="174">
        <v>200000</v>
      </c>
    </row>
    <row r="1509" spans="1:2" x14ac:dyDescent="0.25">
      <c r="A1509" t="s">
        <v>403</v>
      </c>
      <c r="B1509" s="174">
        <v>300000</v>
      </c>
    </row>
    <row r="1510" spans="1:2" x14ac:dyDescent="0.25">
      <c r="A1510" t="s">
        <v>401</v>
      </c>
      <c r="B1510" s="174">
        <v>100000</v>
      </c>
    </row>
    <row r="1511" spans="1:2" x14ac:dyDescent="0.25">
      <c r="A1511" t="s">
        <v>402</v>
      </c>
      <c r="B1511" s="174">
        <v>200000</v>
      </c>
    </row>
    <row r="1512" spans="1:2" x14ac:dyDescent="0.25">
      <c r="A1512" t="s">
        <v>403</v>
      </c>
      <c r="B1512" s="174">
        <v>300000</v>
      </c>
    </row>
    <row r="1513" spans="1:2" x14ac:dyDescent="0.25">
      <c r="A1513" t="s">
        <v>401</v>
      </c>
      <c r="B1513" s="174">
        <v>100000</v>
      </c>
    </row>
    <row r="1514" spans="1:2" x14ac:dyDescent="0.25">
      <c r="A1514" t="s">
        <v>402</v>
      </c>
      <c r="B1514" s="174">
        <v>200000</v>
      </c>
    </row>
    <row r="1515" spans="1:2" x14ac:dyDescent="0.25">
      <c r="A1515" t="s">
        <v>403</v>
      </c>
      <c r="B1515" s="174">
        <v>300000</v>
      </c>
    </row>
    <row r="1516" spans="1:2" x14ac:dyDescent="0.25">
      <c r="A1516" t="s">
        <v>401</v>
      </c>
      <c r="B1516" s="174">
        <v>100000</v>
      </c>
    </row>
    <row r="1517" spans="1:2" x14ac:dyDescent="0.25">
      <c r="A1517" t="s">
        <v>402</v>
      </c>
      <c r="B1517" s="174">
        <v>200000</v>
      </c>
    </row>
    <row r="1518" spans="1:2" x14ac:dyDescent="0.25">
      <c r="A1518" t="s">
        <v>403</v>
      </c>
      <c r="B1518" s="174">
        <v>300000</v>
      </c>
    </row>
    <row r="1519" spans="1:2" x14ac:dyDescent="0.25">
      <c r="A1519" t="s">
        <v>401</v>
      </c>
      <c r="B1519" s="174">
        <v>100000</v>
      </c>
    </row>
    <row r="1520" spans="1:2" x14ac:dyDescent="0.25">
      <c r="A1520" t="s">
        <v>402</v>
      </c>
      <c r="B1520" s="174">
        <v>200000</v>
      </c>
    </row>
    <row r="1521" spans="1:2" x14ac:dyDescent="0.25">
      <c r="A1521" t="s">
        <v>403</v>
      </c>
      <c r="B1521" s="174">
        <v>300000</v>
      </c>
    </row>
    <row r="1522" spans="1:2" x14ac:dyDescent="0.25">
      <c r="A1522" t="s">
        <v>401</v>
      </c>
      <c r="B1522" s="174">
        <v>100000</v>
      </c>
    </row>
    <row r="1523" spans="1:2" x14ac:dyDescent="0.25">
      <c r="A1523" t="s">
        <v>402</v>
      </c>
      <c r="B1523" s="174">
        <v>200000</v>
      </c>
    </row>
    <row r="1524" spans="1:2" x14ac:dyDescent="0.25">
      <c r="A1524" t="s">
        <v>403</v>
      </c>
      <c r="B1524" s="174">
        <v>300000</v>
      </c>
    </row>
    <row r="1525" spans="1:2" x14ac:dyDescent="0.25">
      <c r="A1525" t="s">
        <v>401</v>
      </c>
      <c r="B1525" s="174">
        <v>100000</v>
      </c>
    </row>
    <row r="1526" spans="1:2" x14ac:dyDescent="0.25">
      <c r="A1526" t="s">
        <v>402</v>
      </c>
      <c r="B1526" s="174">
        <v>200000</v>
      </c>
    </row>
    <row r="1527" spans="1:2" x14ac:dyDescent="0.25">
      <c r="A1527" t="s">
        <v>403</v>
      </c>
      <c r="B1527" s="174">
        <v>300000</v>
      </c>
    </row>
    <row r="1528" spans="1:2" x14ac:dyDescent="0.25">
      <c r="A1528" t="s">
        <v>401</v>
      </c>
      <c r="B1528" s="174">
        <v>100000</v>
      </c>
    </row>
    <row r="1529" spans="1:2" x14ac:dyDescent="0.25">
      <c r="A1529" t="s">
        <v>402</v>
      </c>
      <c r="B1529" s="174">
        <v>200000</v>
      </c>
    </row>
    <row r="1530" spans="1:2" x14ac:dyDescent="0.25">
      <c r="A1530" t="s">
        <v>403</v>
      </c>
      <c r="B1530" s="174">
        <v>300000</v>
      </c>
    </row>
    <row r="1531" spans="1:2" x14ac:dyDescent="0.25">
      <c r="A1531" t="s">
        <v>401</v>
      </c>
      <c r="B1531" s="174">
        <v>100000</v>
      </c>
    </row>
    <row r="1532" spans="1:2" x14ac:dyDescent="0.25">
      <c r="A1532" t="s">
        <v>402</v>
      </c>
      <c r="B1532" s="174">
        <v>200000</v>
      </c>
    </row>
    <row r="1533" spans="1:2" x14ac:dyDescent="0.25">
      <c r="A1533" t="s">
        <v>403</v>
      </c>
      <c r="B1533" s="174">
        <v>300000</v>
      </c>
    </row>
    <row r="1534" spans="1:2" x14ac:dyDescent="0.25">
      <c r="A1534" t="s">
        <v>401</v>
      </c>
      <c r="B1534" s="174">
        <v>100000</v>
      </c>
    </row>
    <row r="1535" spans="1:2" x14ac:dyDescent="0.25">
      <c r="A1535" t="s">
        <v>402</v>
      </c>
      <c r="B1535" s="174">
        <v>200000</v>
      </c>
    </row>
    <row r="1536" spans="1:2" x14ac:dyDescent="0.25">
      <c r="A1536" t="s">
        <v>403</v>
      </c>
      <c r="B1536" s="174">
        <v>300000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333</v>
      </c>
      <c r="C1">
        <v>3</v>
      </c>
      <c r="D1">
        <v>4</v>
      </c>
      <c r="E1">
        <v>5</v>
      </c>
      <c r="S1" s="1" t="s">
        <v>348</v>
      </c>
      <c r="T1" t="s">
        <v>349</v>
      </c>
      <c r="V1" s="177">
        <v>900000</v>
      </c>
    </row>
    <row r="2" spans="1:25" x14ac:dyDescent="0.25">
      <c r="A2" s="1" t="s">
        <v>330</v>
      </c>
      <c r="C2" s="175">
        <v>41639</v>
      </c>
      <c r="D2" s="175">
        <v>42004</v>
      </c>
      <c r="E2" s="175">
        <v>42369</v>
      </c>
      <c r="I2" s="175">
        <v>41639</v>
      </c>
      <c r="J2" s="175">
        <v>41639</v>
      </c>
      <c r="K2" s="175">
        <v>42004</v>
      </c>
      <c r="L2" s="175">
        <v>42004</v>
      </c>
      <c r="M2" s="179">
        <v>42369</v>
      </c>
      <c r="N2" s="179">
        <v>42369</v>
      </c>
    </row>
    <row r="3" spans="1:25" x14ac:dyDescent="0.25">
      <c r="A3" t="s">
        <v>331</v>
      </c>
      <c r="C3" s="174">
        <v>100000</v>
      </c>
      <c r="D3" s="174">
        <v>100000</v>
      </c>
      <c r="E3" s="174">
        <v>100000</v>
      </c>
      <c r="I3" s="178" t="s">
        <v>57</v>
      </c>
      <c r="J3" s="178" t="s">
        <v>58</v>
      </c>
      <c r="K3" s="178" t="s">
        <v>57</v>
      </c>
      <c r="L3" s="178" t="s">
        <v>58</v>
      </c>
      <c r="M3" s="180" t="s">
        <v>57</v>
      </c>
      <c r="N3" s="180" t="s">
        <v>58</v>
      </c>
      <c r="S3" t="s">
        <v>350</v>
      </c>
      <c r="V3" s="174">
        <f>+V1</f>
        <v>900000</v>
      </c>
      <c r="X3">
        <f>+V12</f>
        <v>750000</v>
      </c>
    </row>
    <row r="4" spans="1:25" x14ac:dyDescent="0.25">
      <c r="C4" s="174"/>
      <c r="D4" s="174"/>
      <c r="E4" s="174"/>
      <c r="I4" s="178"/>
      <c r="J4" s="178"/>
      <c r="K4" s="178"/>
      <c r="L4" s="178"/>
      <c r="M4" s="180"/>
      <c r="N4" s="180"/>
      <c r="S4" t="s">
        <v>356</v>
      </c>
      <c r="V4" s="174"/>
      <c r="X4" s="174">
        <f>+Y5-X3</f>
        <v>150000</v>
      </c>
    </row>
    <row r="5" spans="1:25" x14ac:dyDescent="0.25">
      <c r="A5" t="s">
        <v>332</v>
      </c>
      <c r="C5">
        <f>$B$7*C3*C1</f>
        <v>30000</v>
      </c>
      <c r="D5">
        <f>$B$7*D3*D1</f>
        <v>40000</v>
      </c>
      <c r="E5">
        <f>$B$7*E3*E1</f>
        <v>50000</v>
      </c>
      <c r="H5" t="s">
        <v>338</v>
      </c>
      <c r="J5" s="174">
        <f>+C16</f>
        <v>15000</v>
      </c>
      <c r="L5" s="174">
        <f>+D16</f>
        <v>20000</v>
      </c>
      <c r="M5" s="181"/>
      <c r="N5" s="182">
        <f>+E16</f>
        <v>25000</v>
      </c>
      <c r="S5" t="s">
        <v>351</v>
      </c>
      <c r="W5" s="174">
        <f>+V3</f>
        <v>900000</v>
      </c>
      <c r="Y5" s="174">
        <f>+W5</f>
        <v>900000</v>
      </c>
    </row>
    <row r="6" spans="1:25" x14ac:dyDescent="0.25">
      <c r="A6" s="1" t="s">
        <v>335</v>
      </c>
      <c r="B6" s="1"/>
      <c r="C6" s="177">
        <f>+C3-C5</f>
        <v>70000</v>
      </c>
      <c r="D6" s="177">
        <f t="shared" ref="D6:E6" si="0">+D3-D5</f>
        <v>60000</v>
      </c>
      <c r="E6" s="177">
        <f t="shared" si="0"/>
        <v>50000</v>
      </c>
      <c r="F6" s="1" t="s">
        <v>336</v>
      </c>
      <c r="H6" t="s">
        <v>339</v>
      </c>
      <c r="K6" s="174">
        <f>(D12-C12)-(D5-C5)</f>
        <v>5000</v>
      </c>
      <c r="M6" s="182">
        <f>+(E12-D12)-(E5-D5)</f>
        <v>5000</v>
      </c>
      <c r="N6" s="181"/>
    </row>
    <row r="7" spans="1:25" x14ac:dyDescent="0.25">
      <c r="A7" t="s">
        <v>334</v>
      </c>
      <c r="B7" s="176">
        <v>0.1</v>
      </c>
      <c r="H7" t="s">
        <v>340</v>
      </c>
      <c r="I7" s="174">
        <f>+J5</f>
        <v>15000</v>
      </c>
      <c r="K7" s="174">
        <f>+L5-K6</f>
        <v>15000</v>
      </c>
      <c r="M7" s="182">
        <f>+N5-M6</f>
        <v>20000</v>
      </c>
      <c r="N7" s="181"/>
      <c r="S7" t="s">
        <v>352</v>
      </c>
      <c r="V7" s="174">
        <v>1200000</v>
      </c>
    </row>
    <row r="8" spans="1:25" x14ac:dyDescent="0.25">
      <c r="S8" t="s">
        <v>353</v>
      </c>
      <c r="V8" s="174">
        <v>1000000</v>
      </c>
    </row>
    <row r="9" spans="1:25" x14ac:dyDescent="0.25">
      <c r="A9" t="s">
        <v>333</v>
      </c>
      <c r="C9">
        <v>3</v>
      </c>
      <c r="D9">
        <v>4</v>
      </c>
      <c r="E9">
        <v>5</v>
      </c>
      <c r="I9" s="178" t="s">
        <v>342</v>
      </c>
      <c r="J9" s="178" t="s">
        <v>343</v>
      </c>
      <c r="K9" s="178" t="s">
        <v>344</v>
      </c>
      <c r="M9" s="178" t="s">
        <v>342</v>
      </c>
      <c r="N9" s="178" t="s">
        <v>343</v>
      </c>
      <c r="O9" s="178" t="s">
        <v>344</v>
      </c>
    </row>
    <row r="10" spans="1:25" x14ac:dyDescent="0.25">
      <c r="A10" s="1" t="s">
        <v>330</v>
      </c>
      <c r="C10" s="175">
        <v>41639</v>
      </c>
      <c r="D10" s="175">
        <v>42004</v>
      </c>
      <c r="E10" s="175">
        <v>42369</v>
      </c>
      <c r="H10" s="1" t="s">
        <v>341</v>
      </c>
      <c r="I10" s="177">
        <v>100000</v>
      </c>
      <c r="J10" s="177">
        <v>120000</v>
      </c>
      <c r="K10" s="177">
        <f>+I10+J10</f>
        <v>220000</v>
      </c>
      <c r="L10" s="1"/>
      <c r="M10" s="177">
        <v>100000</v>
      </c>
      <c r="N10" s="177">
        <f>+J10-I7</f>
        <v>105000</v>
      </c>
      <c r="O10" s="177">
        <f>+M10+N10</f>
        <v>205000</v>
      </c>
      <c r="S10" t="s">
        <v>354</v>
      </c>
      <c r="V10">
        <f>V1/V7</f>
        <v>0.75</v>
      </c>
    </row>
    <row r="11" spans="1:25" x14ac:dyDescent="0.25">
      <c r="A11" t="s">
        <v>331</v>
      </c>
      <c r="C11" s="174">
        <v>100000</v>
      </c>
      <c r="D11" s="174">
        <v>100000</v>
      </c>
      <c r="E11" s="174">
        <v>100000</v>
      </c>
      <c r="H11" t="s">
        <v>346</v>
      </c>
      <c r="I11">
        <v>0</v>
      </c>
      <c r="J11" s="174">
        <v>50000</v>
      </c>
      <c r="K11" s="174">
        <f>+I11+J11</f>
        <v>50000</v>
      </c>
      <c r="M11">
        <v>0</v>
      </c>
      <c r="N11" s="174">
        <f>+J11-K6</f>
        <v>45000</v>
      </c>
      <c r="O11" s="174">
        <f>+M11+N11</f>
        <v>45000</v>
      </c>
    </row>
    <row r="12" spans="1:25" x14ac:dyDescent="0.25">
      <c r="A12" t="s">
        <v>332</v>
      </c>
      <c r="C12" s="174">
        <f>$B$14*C11*C9</f>
        <v>45000</v>
      </c>
      <c r="D12" s="174">
        <f t="shared" ref="D12:E12" si="1">$B$14*D11*D9</f>
        <v>60000</v>
      </c>
      <c r="E12" s="174">
        <f t="shared" si="1"/>
        <v>75000</v>
      </c>
      <c r="H12" s="1" t="s">
        <v>345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355</v>
      </c>
      <c r="V12" s="1">
        <f>+V10*V8</f>
        <v>750000</v>
      </c>
    </row>
    <row r="13" spans="1:25" x14ac:dyDescent="0.25">
      <c r="A13" s="1" t="s">
        <v>335</v>
      </c>
      <c r="B13" s="1"/>
      <c r="C13" s="177">
        <f>+C11-C12</f>
        <v>55000</v>
      </c>
      <c r="D13" s="177">
        <f t="shared" ref="D13" si="5">+D11-D12</f>
        <v>40000</v>
      </c>
      <c r="E13" s="177">
        <f t="shared" ref="E13" si="6">+E11-E12</f>
        <v>25000</v>
      </c>
      <c r="F13" s="1" t="s">
        <v>50</v>
      </c>
      <c r="H13" t="s">
        <v>346</v>
      </c>
      <c r="I13">
        <v>0</v>
      </c>
      <c r="J13" s="174">
        <v>80000</v>
      </c>
      <c r="K13" s="174">
        <f>+I13+J13</f>
        <v>80000</v>
      </c>
      <c r="M13">
        <v>0</v>
      </c>
      <c r="N13" s="174">
        <v>80000</v>
      </c>
      <c r="O13" s="174">
        <f>+M13+N13</f>
        <v>80000</v>
      </c>
    </row>
    <row r="14" spans="1:25" x14ac:dyDescent="0.25">
      <c r="A14" t="s">
        <v>334</v>
      </c>
      <c r="B14" s="176">
        <v>0.15</v>
      </c>
      <c r="H14" s="183" t="s">
        <v>347</v>
      </c>
      <c r="I14">
        <v>0</v>
      </c>
      <c r="J14" s="177">
        <f>-M7</f>
        <v>-20000</v>
      </c>
      <c r="K14" s="174">
        <f>+I14+J14</f>
        <v>-20000</v>
      </c>
      <c r="N14" s="174"/>
      <c r="O14" s="174"/>
    </row>
    <row r="15" spans="1:25" x14ac:dyDescent="0.25">
      <c r="H15" s="1" t="s">
        <v>345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337</v>
      </c>
      <c r="C16" s="177">
        <f>+C6-C13</f>
        <v>15000</v>
      </c>
      <c r="D16" s="177">
        <f t="shared" ref="D16:E16" si="10">+D6-D13</f>
        <v>20000</v>
      </c>
      <c r="E16" s="177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zoomScale="90" zoomScaleNormal="90" zoomScaleSheetLayoutView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Q14" sqref="Q14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  <col min="12" max="12" width="13.42578125" customWidth="1"/>
    <col min="13" max="13" width="15.140625" bestFit="1" customWidth="1"/>
    <col min="14" max="14" width="12.5703125" customWidth="1"/>
    <col min="15" max="15" width="14.42578125" customWidth="1"/>
  </cols>
  <sheetData>
    <row r="1" spans="1:20" s="355" customFormat="1" ht="51" x14ac:dyDescent="0.75">
      <c r="A1" s="357" t="s">
        <v>432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</row>
    <row r="2" spans="1:20" ht="32.25" x14ac:dyDescent="0.5">
      <c r="A2" s="358" t="s">
        <v>320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360" customFormat="1" ht="22.5" x14ac:dyDescent="0.35">
      <c r="A3" s="359" t="s">
        <v>405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</row>
    <row r="4" spans="1:20" s="360" customFormat="1" ht="22.5" x14ac:dyDescent="0.35">
      <c r="A4" s="359" t="s">
        <v>406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</row>
    <row r="5" spans="1:20" s="360" customFormat="1" ht="22.5" x14ac:dyDescent="0.35">
      <c r="A5" s="359"/>
      <c r="B5" s="359" t="s">
        <v>407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</row>
    <row r="6" spans="1:20" s="360" customFormat="1" ht="22.5" x14ac:dyDescent="0.35">
      <c r="A6" s="359"/>
      <c r="B6" s="359" t="s">
        <v>408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</row>
    <row r="7" spans="1:20" s="360" customFormat="1" ht="22.5" x14ac:dyDescent="0.35">
      <c r="A7" s="359"/>
      <c r="B7" s="359" t="s">
        <v>409</v>
      </c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</row>
    <row r="8" spans="1:20" s="360" customFormat="1" ht="22.5" x14ac:dyDescent="0.35">
      <c r="A8" s="361"/>
      <c r="B8" s="359" t="s">
        <v>410</v>
      </c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</row>
    <row r="9" spans="1:20" s="360" customFormat="1" ht="22.5" x14ac:dyDescent="0.35">
      <c r="A9" s="359" t="s">
        <v>411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</row>
    <row r="10" spans="1:20" s="364" customFormat="1" ht="19.5" x14ac:dyDescent="0.3">
      <c r="A10" s="362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74" t="s">
        <v>433</v>
      </c>
      <c r="M10" s="374"/>
      <c r="N10" s="374"/>
      <c r="O10" s="374"/>
    </row>
    <row r="11" spans="1:20" s="367" customFormat="1" ht="19.5" x14ac:dyDescent="0.3">
      <c r="A11" s="365" t="s">
        <v>49</v>
      </c>
      <c r="B11" s="362" t="s">
        <v>50</v>
      </c>
      <c r="C11" s="362" t="s">
        <v>51</v>
      </c>
      <c r="D11" s="362"/>
      <c r="E11" s="362"/>
      <c r="F11" s="362"/>
      <c r="G11" s="362"/>
      <c r="H11" s="362"/>
      <c r="I11" s="362"/>
      <c r="J11" s="362"/>
      <c r="K11" s="362"/>
      <c r="L11" s="366" t="s">
        <v>0</v>
      </c>
      <c r="M11" s="366" t="s">
        <v>1</v>
      </c>
      <c r="N11" s="366" t="s">
        <v>2</v>
      </c>
      <c r="O11" s="366" t="s">
        <v>3</v>
      </c>
    </row>
    <row r="12" spans="1:20" s="364" customFormat="1" ht="19.5" x14ac:dyDescent="0.3">
      <c r="A12" s="368">
        <v>1</v>
      </c>
      <c r="B12" s="363" t="s">
        <v>4</v>
      </c>
      <c r="C12" s="363" t="s">
        <v>20</v>
      </c>
      <c r="D12" s="363"/>
      <c r="E12" s="363"/>
      <c r="F12" s="363"/>
      <c r="G12" s="363"/>
      <c r="H12" s="363"/>
      <c r="I12" s="363"/>
      <c r="J12" s="363"/>
      <c r="K12" s="363"/>
      <c r="L12" s="369"/>
      <c r="M12" s="370"/>
      <c r="N12" s="371"/>
      <c r="O12" s="372" t="s">
        <v>53</v>
      </c>
    </row>
    <row r="13" spans="1:20" s="364" customFormat="1" ht="19.5" x14ac:dyDescent="0.3">
      <c r="A13" s="368">
        <f>+A12+1</f>
        <v>2</v>
      </c>
      <c r="B13" s="363" t="s">
        <v>4</v>
      </c>
      <c r="C13" s="363" t="s">
        <v>21</v>
      </c>
      <c r="D13" s="363"/>
      <c r="E13" s="363"/>
      <c r="F13" s="363"/>
      <c r="G13" s="363"/>
      <c r="H13" s="363"/>
      <c r="I13" s="363"/>
      <c r="J13" s="363"/>
      <c r="K13" s="363"/>
      <c r="L13" s="369"/>
      <c r="M13" s="370"/>
      <c r="N13" s="371"/>
      <c r="O13" s="372" t="s">
        <v>53</v>
      </c>
    </row>
    <row r="14" spans="1:20" s="364" customFormat="1" ht="19.5" x14ac:dyDescent="0.3">
      <c r="A14" s="368">
        <f t="shared" ref="A14:A42" si="0">+A13+1</f>
        <v>3</v>
      </c>
      <c r="B14" s="363" t="s">
        <v>5</v>
      </c>
      <c r="C14" s="363" t="s">
        <v>24</v>
      </c>
      <c r="D14" s="363"/>
      <c r="E14" s="363"/>
      <c r="F14" s="363"/>
      <c r="G14" s="363"/>
      <c r="H14" s="363"/>
      <c r="I14" s="363"/>
      <c r="J14" s="363"/>
      <c r="K14" s="363"/>
      <c r="L14" s="369"/>
      <c r="M14" s="370"/>
      <c r="N14" s="371" t="s">
        <v>53</v>
      </c>
      <c r="O14" s="372"/>
    </row>
    <row r="15" spans="1:20" s="364" customFormat="1" ht="19.5" x14ac:dyDescent="0.3">
      <c r="A15" s="368">
        <f t="shared" si="0"/>
        <v>4</v>
      </c>
      <c r="B15" s="363" t="s">
        <v>5</v>
      </c>
      <c r="C15" s="363" t="s">
        <v>412</v>
      </c>
      <c r="D15" s="363"/>
      <c r="E15" s="363"/>
      <c r="F15" s="363"/>
      <c r="G15" s="363"/>
      <c r="H15" s="363"/>
      <c r="I15" s="363"/>
      <c r="J15" s="363"/>
      <c r="K15" s="363"/>
      <c r="L15" s="369"/>
      <c r="M15" s="370"/>
      <c r="N15" s="371" t="s">
        <v>53</v>
      </c>
      <c r="O15" s="372"/>
    </row>
    <row r="16" spans="1:20" s="364" customFormat="1" ht="19.5" x14ac:dyDescent="0.3">
      <c r="A16" s="368">
        <f t="shared" si="0"/>
        <v>5</v>
      </c>
      <c r="B16" s="363" t="s">
        <v>6</v>
      </c>
      <c r="C16" s="363" t="s">
        <v>26</v>
      </c>
      <c r="D16" s="363"/>
      <c r="E16" s="363"/>
      <c r="F16" s="363"/>
      <c r="G16" s="363"/>
      <c r="H16" s="363"/>
      <c r="I16" s="363"/>
      <c r="J16" s="363"/>
      <c r="K16" s="363"/>
      <c r="L16" s="369"/>
      <c r="M16" s="370"/>
      <c r="N16" s="371" t="s">
        <v>53</v>
      </c>
      <c r="O16" s="372"/>
    </row>
    <row r="17" spans="1:15" s="364" customFormat="1" ht="19.5" x14ac:dyDescent="0.3">
      <c r="A17" s="368">
        <f t="shared" si="0"/>
        <v>6</v>
      </c>
      <c r="B17" s="363" t="s">
        <v>8</v>
      </c>
      <c r="C17" s="363" t="s">
        <v>413</v>
      </c>
      <c r="D17" s="363"/>
      <c r="E17" s="363"/>
      <c r="F17" s="363"/>
      <c r="G17" s="363"/>
      <c r="H17" s="363"/>
      <c r="I17" s="363"/>
      <c r="J17" s="363"/>
      <c r="K17" s="363"/>
      <c r="L17" s="369"/>
      <c r="M17" s="370"/>
      <c r="N17" s="371" t="s">
        <v>53</v>
      </c>
      <c r="O17" s="372"/>
    </row>
    <row r="18" spans="1:15" s="364" customFormat="1" ht="19.5" x14ac:dyDescent="0.3">
      <c r="A18" s="368">
        <f t="shared" si="0"/>
        <v>7</v>
      </c>
      <c r="B18" s="363" t="s">
        <v>8</v>
      </c>
      <c r="C18" s="363" t="s">
        <v>414</v>
      </c>
      <c r="D18" s="363"/>
      <c r="E18" s="363"/>
      <c r="F18" s="363"/>
      <c r="G18" s="363"/>
      <c r="H18" s="363"/>
      <c r="I18" s="363"/>
      <c r="J18" s="363"/>
      <c r="K18" s="363"/>
      <c r="L18" s="369"/>
      <c r="M18" s="370"/>
      <c r="N18" s="371" t="s">
        <v>53</v>
      </c>
      <c r="O18" s="372"/>
    </row>
    <row r="19" spans="1:15" s="364" customFormat="1" ht="19.5" x14ac:dyDescent="0.3">
      <c r="A19" s="368">
        <f t="shared" si="0"/>
        <v>8</v>
      </c>
      <c r="B19" s="363" t="s">
        <v>8</v>
      </c>
      <c r="C19" s="363" t="s">
        <v>44</v>
      </c>
      <c r="D19" s="363"/>
      <c r="E19" s="363"/>
      <c r="F19" s="363"/>
      <c r="G19" s="363"/>
      <c r="H19" s="363"/>
      <c r="I19" s="363"/>
      <c r="J19" s="363"/>
      <c r="K19" s="363"/>
      <c r="L19" s="369"/>
      <c r="M19" s="370"/>
      <c r="N19" s="371" t="s">
        <v>53</v>
      </c>
      <c r="O19" s="372"/>
    </row>
    <row r="20" spans="1:15" x14ac:dyDescent="0.25">
      <c r="A20" s="9">
        <f t="shared" si="0"/>
        <v>9</v>
      </c>
      <c r="B20" s="6" t="s">
        <v>8</v>
      </c>
      <c r="C20" s="6" t="s">
        <v>45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53</v>
      </c>
      <c r="N20" s="4"/>
      <c r="O20" s="164"/>
    </row>
    <row r="21" spans="1:15" x14ac:dyDescent="0.25">
      <c r="A21" s="9">
        <f t="shared" si="0"/>
        <v>10</v>
      </c>
      <c r="B21" s="6" t="s">
        <v>8</v>
      </c>
      <c r="C21" s="6" t="s">
        <v>46</v>
      </c>
      <c r="D21" s="6"/>
      <c r="E21" s="6"/>
      <c r="F21" s="6"/>
      <c r="G21" s="6"/>
      <c r="H21" s="6"/>
      <c r="I21" s="6"/>
      <c r="J21" s="6"/>
      <c r="K21" s="6"/>
      <c r="L21" s="2"/>
      <c r="M21" s="3"/>
      <c r="N21" s="4" t="s">
        <v>53</v>
      </c>
      <c r="O21" s="164"/>
    </row>
    <row r="22" spans="1:15" x14ac:dyDescent="0.25">
      <c r="A22" s="9">
        <f t="shared" si="0"/>
        <v>11</v>
      </c>
      <c r="B22" s="6" t="s">
        <v>9</v>
      </c>
      <c r="C22" s="6" t="s">
        <v>48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53</v>
      </c>
      <c r="O22" s="164"/>
    </row>
    <row r="23" spans="1:15" x14ac:dyDescent="0.25">
      <c r="A23" s="9">
        <f t="shared" si="0"/>
        <v>12</v>
      </c>
      <c r="B23" s="6" t="s">
        <v>9</v>
      </c>
      <c r="C23" s="6" t="s">
        <v>47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53</v>
      </c>
      <c r="O23" s="164"/>
    </row>
    <row r="24" spans="1:15" x14ac:dyDescent="0.25">
      <c r="A24" s="9">
        <f t="shared" si="0"/>
        <v>13</v>
      </c>
      <c r="B24" s="6" t="s">
        <v>10</v>
      </c>
      <c r="C24" s="6" t="s">
        <v>39</v>
      </c>
      <c r="D24" s="6"/>
      <c r="E24" s="6"/>
      <c r="F24" s="6"/>
      <c r="G24" s="6"/>
      <c r="H24" s="6"/>
      <c r="I24" s="6"/>
      <c r="J24" s="6"/>
      <c r="K24" s="6"/>
      <c r="L24" s="2" t="s">
        <v>53</v>
      </c>
      <c r="M24" s="3"/>
      <c r="N24" s="4" t="s">
        <v>53</v>
      </c>
      <c r="O24" s="164"/>
    </row>
    <row r="25" spans="1:15" x14ac:dyDescent="0.25">
      <c r="A25" s="9">
        <f t="shared" si="0"/>
        <v>14</v>
      </c>
      <c r="B25" s="6" t="s">
        <v>11</v>
      </c>
      <c r="C25" s="6" t="s">
        <v>23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/>
      <c r="O25" s="164" t="s">
        <v>53</v>
      </c>
    </row>
    <row r="26" spans="1:15" x14ac:dyDescent="0.25">
      <c r="A26" s="9">
        <f t="shared" si="0"/>
        <v>15</v>
      </c>
      <c r="B26" s="6" t="s">
        <v>11</v>
      </c>
      <c r="C26" s="6" t="s">
        <v>121</v>
      </c>
      <c r="D26" s="6"/>
      <c r="E26" s="6"/>
      <c r="F26" s="6"/>
      <c r="G26" s="6"/>
      <c r="H26" s="6"/>
      <c r="I26" s="6"/>
      <c r="J26" s="6"/>
      <c r="K26" s="6"/>
      <c r="L26" s="2" t="s">
        <v>53</v>
      </c>
      <c r="M26" s="3"/>
      <c r="N26" s="4"/>
      <c r="O26" s="164"/>
    </row>
    <row r="27" spans="1:15" x14ac:dyDescent="0.25">
      <c r="A27" s="9">
        <f t="shared" si="0"/>
        <v>16</v>
      </c>
      <c r="B27" s="6" t="s">
        <v>12</v>
      </c>
      <c r="C27" s="6" t="s">
        <v>37</v>
      </c>
      <c r="D27" s="6"/>
      <c r="E27" s="6"/>
      <c r="F27" s="6"/>
      <c r="G27" s="6"/>
      <c r="H27" s="6"/>
      <c r="I27" s="6"/>
      <c r="J27" s="6"/>
      <c r="K27" s="6"/>
      <c r="L27" s="2" t="s">
        <v>53</v>
      </c>
      <c r="M27" s="3"/>
      <c r="N27" s="4" t="s">
        <v>53</v>
      </c>
      <c r="O27" s="164"/>
    </row>
    <row r="28" spans="1:15" x14ac:dyDescent="0.25">
      <c r="A28" s="9">
        <f t="shared" si="0"/>
        <v>17</v>
      </c>
      <c r="B28" s="6" t="s">
        <v>12</v>
      </c>
      <c r="C28" s="6" t="s">
        <v>38</v>
      </c>
      <c r="D28" s="6"/>
      <c r="E28" s="6"/>
      <c r="F28" s="6"/>
      <c r="G28" s="6"/>
      <c r="H28" s="6"/>
      <c r="I28" s="6"/>
      <c r="J28" s="6"/>
      <c r="K28" s="6"/>
      <c r="L28" s="2" t="s">
        <v>53</v>
      </c>
      <c r="M28" s="3"/>
      <c r="N28" s="4" t="s">
        <v>53</v>
      </c>
      <c r="O28" s="164"/>
    </row>
    <row r="29" spans="1:15" x14ac:dyDescent="0.25">
      <c r="A29" s="9">
        <f t="shared" si="0"/>
        <v>18</v>
      </c>
      <c r="B29" s="6" t="s">
        <v>12</v>
      </c>
      <c r="C29" s="6" t="s">
        <v>22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/>
      <c r="O29" s="164" t="s">
        <v>53</v>
      </c>
    </row>
    <row r="30" spans="1:15" x14ac:dyDescent="0.25">
      <c r="A30" s="9">
        <f t="shared" si="0"/>
        <v>19</v>
      </c>
      <c r="B30" s="6" t="s">
        <v>13</v>
      </c>
      <c r="C30" s="6" t="s">
        <v>36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/>
      <c r="O30" s="164" t="s">
        <v>53</v>
      </c>
    </row>
    <row r="31" spans="1:15" x14ac:dyDescent="0.25">
      <c r="A31" s="9">
        <f t="shared" si="0"/>
        <v>20</v>
      </c>
      <c r="B31" s="6" t="s">
        <v>156</v>
      </c>
      <c r="C31" s="6" t="s">
        <v>157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53</v>
      </c>
      <c r="O31" s="164" t="s">
        <v>53</v>
      </c>
    </row>
    <row r="32" spans="1:15" x14ac:dyDescent="0.25">
      <c r="A32" s="9">
        <f t="shared" si="0"/>
        <v>21</v>
      </c>
      <c r="B32" s="6" t="s">
        <v>14</v>
      </c>
      <c r="C32" s="6" t="s">
        <v>35</v>
      </c>
      <c r="D32" s="6"/>
      <c r="E32" s="6"/>
      <c r="F32" s="6"/>
      <c r="G32" s="6"/>
      <c r="H32" s="6"/>
      <c r="I32" s="6"/>
      <c r="J32" s="6"/>
      <c r="K32" s="6"/>
      <c r="L32" s="2" t="s">
        <v>53</v>
      </c>
      <c r="M32" s="3"/>
      <c r="N32" s="4"/>
      <c r="O32" s="164"/>
    </row>
    <row r="33" spans="1:15" x14ac:dyDescent="0.25">
      <c r="A33" s="9">
        <f t="shared" si="0"/>
        <v>22</v>
      </c>
      <c r="B33" s="6" t="s">
        <v>14</v>
      </c>
      <c r="C33" s="6" t="s">
        <v>40</v>
      </c>
      <c r="D33" s="6"/>
      <c r="E33" s="6"/>
      <c r="F33" s="6"/>
      <c r="G33" s="6"/>
      <c r="H33" s="6"/>
      <c r="I33" s="6"/>
      <c r="J33" s="6"/>
      <c r="K33" s="6"/>
      <c r="L33" s="2" t="s">
        <v>53</v>
      </c>
      <c r="M33" s="3"/>
      <c r="N33" s="4"/>
      <c r="O33" s="164"/>
    </row>
    <row r="34" spans="1:15" x14ac:dyDescent="0.25">
      <c r="A34" s="9">
        <f t="shared" si="0"/>
        <v>23</v>
      </c>
      <c r="B34" s="6" t="s">
        <v>14</v>
      </c>
      <c r="C34" s="6" t="s">
        <v>41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53</v>
      </c>
      <c r="O34" s="164"/>
    </row>
    <row r="35" spans="1:15" x14ac:dyDescent="0.25">
      <c r="A35" s="9">
        <f t="shared" si="0"/>
        <v>24</v>
      </c>
      <c r="B35" s="6" t="s">
        <v>15</v>
      </c>
      <c r="C35" s="6" t="s">
        <v>34</v>
      </c>
      <c r="D35" s="6"/>
      <c r="E35" s="6"/>
      <c r="F35" s="6"/>
      <c r="G35" s="6"/>
      <c r="H35" s="6"/>
      <c r="I35" s="6"/>
      <c r="J35" s="6"/>
      <c r="K35" s="6"/>
      <c r="L35" s="2"/>
      <c r="M35" s="3" t="s">
        <v>53</v>
      </c>
      <c r="N35" s="4"/>
      <c r="O35" s="164"/>
    </row>
    <row r="36" spans="1:15" x14ac:dyDescent="0.25">
      <c r="A36" s="9">
        <f t="shared" si="0"/>
        <v>25</v>
      </c>
      <c r="B36" s="6" t="s">
        <v>16</v>
      </c>
      <c r="C36" s="6" t="s">
        <v>31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53</v>
      </c>
      <c r="O36" s="164"/>
    </row>
    <row r="37" spans="1:15" x14ac:dyDescent="0.25">
      <c r="A37" s="9">
        <f t="shared" si="0"/>
        <v>26</v>
      </c>
      <c r="B37" s="6" t="s">
        <v>16</v>
      </c>
      <c r="C37" s="6" t="s">
        <v>32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 t="s">
        <v>53</v>
      </c>
      <c r="O37" s="164"/>
    </row>
    <row r="38" spans="1:15" x14ac:dyDescent="0.25">
      <c r="A38" s="9">
        <f t="shared" si="0"/>
        <v>27</v>
      </c>
      <c r="B38" s="6" t="s">
        <v>16</v>
      </c>
      <c r="C38" s="6" t="s">
        <v>33</v>
      </c>
      <c r="D38" s="6"/>
      <c r="E38" s="6"/>
      <c r="F38" s="6"/>
      <c r="G38" s="6"/>
      <c r="H38" s="6"/>
      <c r="I38" s="6"/>
      <c r="J38" s="6"/>
      <c r="K38" s="6"/>
      <c r="L38" s="2" t="s">
        <v>53</v>
      </c>
      <c r="M38" s="3"/>
      <c r="N38" s="4"/>
      <c r="O38" s="164"/>
    </row>
    <row r="39" spans="1:15" x14ac:dyDescent="0.25">
      <c r="A39" s="9">
        <f t="shared" si="0"/>
        <v>28</v>
      </c>
      <c r="B39" s="6" t="s">
        <v>17</v>
      </c>
      <c r="C39" s="6" t="s">
        <v>30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 t="s">
        <v>53</v>
      </c>
      <c r="O39" s="164" t="s">
        <v>53</v>
      </c>
    </row>
    <row r="40" spans="1:15" x14ac:dyDescent="0.25">
      <c r="A40" s="9">
        <f t="shared" si="0"/>
        <v>29</v>
      </c>
      <c r="B40" s="6" t="s">
        <v>18</v>
      </c>
      <c r="C40" s="6" t="s">
        <v>29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 t="s">
        <v>53</v>
      </c>
      <c r="O40" s="164"/>
    </row>
    <row r="41" spans="1:15" x14ac:dyDescent="0.25">
      <c r="A41" s="9">
        <f t="shared" si="0"/>
        <v>30</v>
      </c>
      <c r="B41" s="6" t="s">
        <v>19</v>
      </c>
      <c r="C41" s="6" t="s">
        <v>28</v>
      </c>
      <c r="D41" s="6"/>
      <c r="E41" s="6"/>
      <c r="F41" s="6"/>
      <c r="G41" s="6"/>
      <c r="H41" s="6"/>
      <c r="I41" s="6"/>
      <c r="J41" s="6"/>
      <c r="K41" s="6"/>
      <c r="L41" s="2"/>
      <c r="M41" s="3" t="s">
        <v>53</v>
      </c>
      <c r="N41" s="4" t="s">
        <v>53</v>
      </c>
      <c r="O41" s="164"/>
    </row>
    <row r="42" spans="1:15" x14ac:dyDescent="0.25">
      <c r="A42" s="9">
        <f t="shared" si="0"/>
        <v>31</v>
      </c>
      <c r="B42" s="6" t="s">
        <v>7</v>
      </c>
      <c r="C42" s="6" t="s">
        <v>27</v>
      </c>
      <c r="D42" s="6"/>
      <c r="E42" s="6"/>
      <c r="F42" s="6"/>
      <c r="G42" s="6"/>
      <c r="H42" s="6"/>
      <c r="I42" s="6"/>
      <c r="J42" s="6"/>
      <c r="K42" s="6"/>
      <c r="L42" s="2" t="s">
        <v>53</v>
      </c>
      <c r="M42" s="3"/>
      <c r="N42" s="4"/>
      <c r="O42" s="164"/>
    </row>
  </sheetData>
  <mergeCells count="1">
    <mergeCell ref="L10:O10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1"/>
  <sheetViews>
    <sheetView topLeftCell="B1" zoomScale="71" zoomScaleNormal="71" zoomScaleSheetLayoutView="80" workbookViewId="0">
      <pane ySplit="2" topLeftCell="A63" activePane="bottomLeft" state="frozen"/>
      <selection pane="bottomLeft" activeCell="P370" sqref="B1:P370"/>
    </sheetView>
  </sheetViews>
  <sheetFormatPr baseColWidth="10" defaultRowHeight="18.75" x14ac:dyDescent="0.25"/>
  <cols>
    <col min="1" max="1" width="5" style="138" hidden="1" customWidth="1"/>
    <col min="2" max="2" width="8.140625" style="138" customWidth="1"/>
    <col min="3" max="3" width="14.42578125" style="138" customWidth="1"/>
    <col min="4" max="4" width="10" style="138" customWidth="1"/>
    <col min="5" max="5" width="15.42578125" style="138" bestFit="1" customWidth="1"/>
    <col min="6" max="6" width="17" style="138" customWidth="1"/>
    <col min="7" max="9" width="15.28515625" style="138" bestFit="1" customWidth="1"/>
    <col min="10" max="10" width="1.28515625" style="138" customWidth="1"/>
    <col min="11" max="11" width="16.42578125" style="139" customWidth="1"/>
    <col min="12" max="12" width="16.5703125" style="139" customWidth="1"/>
    <col min="13" max="13" width="17.140625" style="139" customWidth="1"/>
    <col min="14" max="14" width="16" style="139" customWidth="1"/>
    <col min="15" max="15" width="16.42578125" style="139" customWidth="1"/>
    <col min="16" max="16" width="16" style="139" customWidth="1"/>
  </cols>
  <sheetData>
    <row r="1" spans="1:17" s="1" customFormat="1" ht="19.5" x14ac:dyDescent="0.3">
      <c r="A1" s="136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300" t="s">
        <v>419</v>
      </c>
      <c r="L1" s="300"/>
      <c r="M1" s="301" t="s">
        <v>418</v>
      </c>
      <c r="N1" s="301"/>
      <c r="O1" s="301" t="s">
        <v>417</v>
      </c>
      <c r="P1" s="301"/>
    </row>
    <row r="2" spans="1:17" s="1" customFormat="1" ht="19.5" x14ac:dyDescent="0.3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300" t="s">
        <v>122</v>
      </c>
      <c r="L2" s="300" t="s">
        <v>214</v>
      </c>
      <c r="M2" s="300" t="s">
        <v>122</v>
      </c>
      <c r="N2" s="300" t="s">
        <v>214</v>
      </c>
      <c r="O2" s="300" t="s">
        <v>122</v>
      </c>
      <c r="P2" s="300" t="s">
        <v>214</v>
      </c>
    </row>
    <row r="3" spans="1:17" hidden="1" x14ac:dyDescent="0.3">
      <c r="A3" s="68">
        <v>1</v>
      </c>
      <c r="B3" s="69" t="s">
        <v>4</v>
      </c>
      <c r="C3" s="70" t="s">
        <v>123</v>
      </c>
      <c r="D3" s="71"/>
      <c r="E3" s="71"/>
      <c r="F3" s="71"/>
      <c r="G3" s="71"/>
      <c r="H3" s="71"/>
      <c r="I3" s="71"/>
      <c r="J3" s="71"/>
      <c r="K3" s="140"/>
      <c r="L3" s="141"/>
      <c r="M3" s="142"/>
      <c r="N3" s="141"/>
      <c r="O3" s="142"/>
      <c r="P3" s="141"/>
      <c r="Q3">
        <v>1</v>
      </c>
    </row>
    <row r="4" spans="1:17" hidden="1" x14ac:dyDescent="0.3">
      <c r="A4" s="72"/>
      <c r="B4" s="71"/>
      <c r="C4" s="70" t="s">
        <v>124</v>
      </c>
      <c r="D4" s="71"/>
      <c r="E4" s="71"/>
      <c r="F4" s="71"/>
      <c r="G4" s="71"/>
      <c r="H4" s="71"/>
      <c r="I4" s="71"/>
      <c r="J4" s="71"/>
      <c r="K4" s="140" t="s">
        <v>122</v>
      </c>
      <c r="L4" s="141"/>
      <c r="M4" s="142" t="s">
        <v>122</v>
      </c>
      <c r="N4" s="141"/>
      <c r="O4" s="142" t="s">
        <v>122</v>
      </c>
      <c r="P4" s="141"/>
      <c r="Q4">
        <v>1</v>
      </c>
    </row>
    <row r="5" spans="1:17" ht="18" hidden="1" x14ac:dyDescent="0.25">
      <c r="A5" s="72"/>
      <c r="B5" s="71" t="s">
        <v>88</v>
      </c>
      <c r="C5" s="73" t="s">
        <v>89</v>
      </c>
      <c r="D5" s="71"/>
      <c r="E5" s="71"/>
      <c r="F5" s="71"/>
      <c r="G5" s="71"/>
      <c r="H5" s="71"/>
      <c r="I5" s="71"/>
      <c r="J5" s="71"/>
      <c r="K5" s="140">
        <v>3200000</v>
      </c>
      <c r="L5" s="141"/>
      <c r="M5" s="142">
        <v>3500000</v>
      </c>
      <c r="N5" s="141"/>
      <c r="O5" s="142">
        <v>2900000</v>
      </c>
      <c r="P5" s="141"/>
      <c r="Q5">
        <v>1</v>
      </c>
    </row>
    <row r="6" spans="1:17" ht="18" hidden="1" x14ac:dyDescent="0.25">
      <c r="A6" s="72"/>
      <c r="B6" s="71" t="s">
        <v>90</v>
      </c>
      <c r="C6" s="73" t="s">
        <v>91</v>
      </c>
      <c r="D6" s="71"/>
      <c r="E6" s="71"/>
      <c r="F6" s="71"/>
      <c r="G6" s="71"/>
      <c r="H6" s="71"/>
      <c r="I6" s="71"/>
      <c r="J6" s="71"/>
      <c r="K6" s="140"/>
      <c r="L6" s="141">
        <f>+K5</f>
        <v>3200000</v>
      </c>
      <c r="M6" s="142"/>
      <c r="N6" s="141">
        <f>+M5</f>
        <v>3500000</v>
      </c>
      <c r="O6" s="142"/>
      <c r="P6" s="141">
        <f>+O5</f>
        <v>2900000</v>
      </c>
      <c r="Q6">
        <v>1</v>
      </c>
    </row>
    <row r="7" spans="1:17" ht="18" hidden="1" x14ac:dyDescent="0.25">
      <c r="A7" s="72"/>
      <c r="B7" s="71"/>
      <c r="C7" s="71"/>
      <c r="D7" s="71"/>
      <c r="E7" s="71"/>
      <c r="F7" s="71"/>
      <c r="G7" s="71"/>
      <c r="H7" s="71"/>
      <c r="I7" s="71"/>
      <c r="J7" s="71"/>
      <c r="K7" s="140"/>
      <c r="L7" s="141"/>
      <c r="M7" s="142"/>
      <c r="N7" s="141"/>
      <c r="O7" s="142"/>
      <c r="P7" s="141"/>
      <c r="Q7">
        <v>1</v>
      </c>
    </row>
    <row r="8" spans="1:17" s="1" customFormat="1" ht="18" hidden="1" x14ac:dyDescent="0.25">
      <c r="A8" s="68">
        <f>+A3+1</f>
        <v>2</v>
      </c>
      <c r="B8" s="69" t="s">
        <v>4</v>
      </c>
      <c r="C8" s="69" t="s">
        <v>21</v>
      </c>
      <c r="D8" s="69"/>
      <c r="E8" s="69"/>
      <c r="F8" s="69"/>
      <c r="G8" s="69"/>
      <c r="H8" s="69"/>
      <c r="I8" s="69"/>
      <c r="J8" s="69"/>
      <c r="K8" s="143"/>
      <c r="L8" s="144"/>
      <c r="M8" s="145"/>
      <c r="N8" s="144"/>
      <c r="O8" s="145"/>
      <c r="P8" s="144"/>
      <c r="Q8">
        <v>1</v>
      </c>
    </row>
    <row r="9" spans="1:17" s="1" customFormat="1" ht="18" hidden="1" x14ac:dyDescent="0.25">
      <c r="A9" s="68"/>
      <c r="B9" s="71" t="s">
        <v>92</v>
      </c>
      <c r="C9" s="73" t="s">
        <v>93</v>
      </c>
      <c r="D9" s="69"/>
      <c r="E9" s="69"/>
      <c r="F9" s="69"/>
      <c r="G9" s="69"/>
      <c r="H9" s="69"/>
      <c r="I9" s="69"/>
      <c r="J9" s="69"/>
      <c r="K9" s="140">
        <v>200000</v>
      </c>
      <c r="L9" s="141"/>
      <c r="M9" s="142">
        <v>200000</v>
      </c>
      <c r="N9" s="141"/>
      <c r="O9" s="142">
        <f>+Matriz!E38</f>
        <v>200000</v>
      </c>
      <c r="P9" s="141"/>
      <c r="Q9">
        <v>1</v>
      </c>
    </row>
    <row r="10" spans="1:17" s="1" customFormat="1" ht="18" hidden="1" x14ac:dyDescent="0.25">
      <c r="A10" s="68"/>
      <c r="B10" s="71" t="s">
        <v>88</v>
      </c>
      <c r="C10" s="73" t="s">
        <v>89</v>
      </c>
      <c r="D10" s="69"/>
      <c r="E10" s="69"/>
      <c r="F10" s="69"/>
      <c r="G10" s="69"/>
      <c r="H10" s="69"/>
      <c r="I10" s="69"/>
      <c r="J10" s="69"/>
      <c r="K10" s="140"/>
      <c r="L10" s="141">
        <f>+K9</f>
        <v>200000</v>
      </c>
      <c r="M10" s="142"/>
      <c r="N10" s="141">
        <f>+M9</f>
        <v>200000</v>
      </c>
      <c r="O10" s="142"/>
      <c r="P10" s="141">
        <f>+O9</f>
        <v>200000</v>
      </c>
      <c r="Q10">
        <v>1</v>
      </c>
    </row>
    <row r="11" spans="1:17" s="1" customFormat="1" ht="18" hidden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143"/>
      <c r="L11" s="144"/>
      <c r="M11" s="145"/>
      <c r="N11" s="144"/>
      <c r="O11" s="145"/>
      <c r="P11" s="144"/>
      <c r="Q11">
        <v>1</v>
      </c>
    </row>
    <row r="12" spans="1:17" s="1" customFormat="1" ht="18" hidden="1" x14ac:dyDescent="0.25">
      <c r="A12" s="68">
        <f>+A8+1</f>
        <v>3</v>
      </c>
      <c r="B12" s="69" t="s">
        <v>5</v>
      </c>
      <c r="C12" s="69" t="s">
        <v>24</v>
      </c>
      <c r="D12" s="69"/>
      <c r="E12" s="69"/>
      <c r="F12" s="69"/>
      <c r="G12" s="69"/>
      <c r="H12" s="69"/>
      <c r="I12" s="69"/>
      <c r="J12" s="69"/>
      <c r="K12" s="143"/>
      <c r="L12" s="144"/>
      <c r="M12" s="145"/>
      <c r="N12" s="144"/>
      <c r="O12" s="145" t="s">
        <v>53</v>
      </c>
      <c r="P12" s="144"/>
      <c r="Q12">
        <v>1</v>
      </c>
    </row>
    <row r="13" spans="1:17" s="1" customFormat="1" ht="18" hidden="1" x14ac:dyDescent="0.25">
      <c r="A13" s="68"/>
      <c r="B13" s="71" t="s">
        <v>98</v>
      </c>
      <c r="C13" s="73" t="s">
        <v>99</v>
      </c>
      <c r="D13" s="69"/>
      <c r="E13" s="69"/>
      <c r="F13" s="69"/>
      <c r="G13" s="69"/>
      <c r="H13" s="69"/>
      <c r="I13" s="69"/>
      <c r="J13" s="69"/>
      <c r="K13" s="140">
        <f>+M13+M15</f>
        <v>1100000</v>
      </c>
      <c r="L13" s="141"/>
      <c r="M13" s="142">
        <f>+O13</f>
        <v>800000</v>
      </c>
      <c r="N13" s="141"/>
      <c r="O13" s="142">
        <f>+P14</f>
        <v>800000</v>
      </c>
      <c r="P13" s="141"/>
      <c r="Q13">
        <v>1</v>
      </c>
    </row>
    <row r="14" spans="1:17" s="1" customFormat="1" ht="18" hidden="1" x14ac:dyDescent="0.25">
      <c r="A14" s="68"/>
      <c r="B14" s="71" t="s">
        <v>70</v>
      </c>
      <c r="C14" s="73" t="s">
        <v>71</v>
      </c>
      <c r="D14" s="69"/>
      <c r="E14" s="69"/>
      <c r="F14" s="69"/>
      <c r="G14" s="69"/>
      <c r="H14" s="69"/>
      <c r="I14" s="69"/>
      <c r="J14" s="69"/>
      <c r="K14" s="140"/>
      <c r="L14" s="141">
        <f>+H21</f>
        <v>900000</v>
      </c>
      <c r="M14" s="142"/>
      <c r="N14" s="141">
        <f>+I21</f>
        <v>1100000</v>
      </c>
      <c r="O14" s="145" t="s">
        <v>53</v>
      </c>
      <c r="P14" s="141">
        <f>+I18</f>
        <v>800000</v>
      </c>
      <c r="Q14">
        <v>1</v>
      </c>
    </row>
    <row r="15" spans="1:17" s="1" customFormat="1" ht="18" hidden="1" x14ac:dyDescent="0.25">
      <c r="A15" s="68"/>
      <c r="B15" s="71" t="s">
        <v>104</v>
      </c>
      <c r="C15" s="73" t="s">
        <v>177</v>
      </c>
      <c r="D15" s="69"/>
      <c r="E15" s="69"/>
      <c r="F15" s="69"/>
      <c r="G15" s="69"/>
      <c r="H15" s="69"/>
      <c r="I15" s="69"/>
      <c r="J15" s="69"/>
      <c r="K15" s="140"/>
      <c r="L15" s="141">
        <f>+-(H19+H20)</f>
        <v>200000</v>
      </c>
      <c r="M15" s="142">
        <f>+I19</f>
        <v>300000</v>
      </c>
      <c r="N15" s="141"/>
      <c r="O15" s="145"/>
      <c r="P15" s="144"/>
      <c r="Q15">
        <v>1</v>
      </c>
    </row>
    <row r="16" spans="1:17" s="1" customFormat="1" ht="18" hidden="1" x14ac:dyDescent="0.25">
      <c r="A16" s="68"/>
      <c r="B16" s="69"/>
      <c r="C16" s="69"/>
      <c r="D16" s="69"/>
      <c r="E16" s="69"/>
      <c r="F16" s="69"/>
      <c r="G16" s="69"/>
      <c r="H16" s="68">
        <v>2016</v>
      </c>
      <c r="I16" s="68">
        <v>2015</v>
      </c>
      <c r="J16" s="69"/>
      <c r="K16" s="143"/>
      <c r="L16" s="144"/>
      <c r="M16" s="145"/>
      <c r="N16" s="144"/>
      <c r="O16" s="145"/>
      <c r="P16" s="144"/>
      <c r="Q16">
        <v>1</v>
      </c>
    </row>
    <row r="17" spans="1:17" s="1" customFormat="1" ht="18" hidden="1" x14ac:dyDescent="0.25">
      <c r="A17" s="68"/>
      <c r="B17" s="69"/>
      <c r="C17" s="69" t="s">
        <v>415</v>
      </c>
      <c r="D17" s="69"/>
      <c r="E17" s="69"/>
      <c r="F17" s="69"/>
      <c r="G17" s="69"/>
      <c r="H17" s="68" t="s">
        <v>129</v>
      </c>
      <c r="I17" s="68" t="s">
        <v>129</v>
      </c>
      <c r="J17" s="69"/>
      <c r="K17" s="143"/>
      <c r="L17" s="144"/>
      <c r="M17" s="145"/>
      <c r="N17" s="144"/>
      <c r="O17" s="145"/>
      <c r="P17" s="144"/>
      <c r="Q17">
        <v>1</v>
      </c>
    </row>
    <row r="18" spans="1:17" s="1" customFormat="1" ht="18" hidden="1" x14ac:dyDescent="0.25">
      <c r="A18" s="68"/>
      <c r="B18" s="69"/>
      <c r="C18" s="69"/>
      <c r="D18" s="69" t="s">
        <v>125</v>
      </c>
      <c r="E18" s="69"/>
      <c r="F18" s="69"/>
      <c r="G18" s="69"/>
      <c r="H18" s="261">
        <f>+I21</f>
        <v>1100000</v>
      </c>
      <c r="I18" s="261">
        <v>800000</v>
      </c>
      <c r="J18" s="69"/>
      <c r="K18" s="143"/>
      <c r="L18" s="144"/>
      <c r="M18" s="145"/>
      <c r="N18" s="144"/>
      <c r="O18" s="145"/>
      <c r="P18" s="144"/>
      <c r="Q18">
        <v>1</v>
      </c>
    </row>
    <row r="19" spans="1:17" s="1" customFormat="1" ht="18" hidden="1" x14ac:dyDescent="0.25">
      <c r="A19" s="68"/>
      <c r="B19" s="69"/>
      <c r="C19" s="69"/>
      <c r="D19" s="71" t="s">
        <v>126</v>
      </c>
      <c r="E19" s="69"/>
      <c r="F19" s="69"/>
      <c r="G19" s="69"/>
      <c r="H19" s="262">
        <v>400000</v>
      </c>
      <c r="I19" s="262">
        <v>300000</v>
      </c>
      <c r="J19" s="69"/>
      <c r="K19" s="143"/>
      <c r="L19" s="144"/>
      <c r="M19" s="145"/>
      <c r="N19" s="144"/>
      <c r="O19" s="145"/>
      <c r="P19" s="144"/>
      <c r="Q19">
        <v>1</v>
      </c>
    </row>
    <row r="20" spans="1:17" s="1" customFormat="1" ht="18" hidden="1" x14ac:dyDescent="0.25">
      <c r="A20" s="68"/>
      <c r="B20" s="69"/>
      <c r="C20" s="69"/>
      <c r="D20" s="74" t="s">
        <v>127</v>
      </c>
      <c r="E20" s="75"/>
      <c r="F20" s="75"/>
      <c r="G20" s="75"/>
      <c r="H20" s="263">
        <v>-600000</v>
      </c>
      <c r="I20" s="263">
        <v>0</v>
      </c>
      <c r="J20" s="69"/>
      <c r="K20" s="143"/>
      <c r="L20" s="144"/>
      <c r="M20" s="145"/>
      <c r="N20" s="144"/>
      <c r="O20" s="145"/>
      <c r="P20" s="144"/>
      <c r="Q20">
        <v>1</v>
      </c>
    </row>
    <row r="21" spans="1:17" s="1" customFormat="1" ht="18" hidden="1" x14ac:dyDescent="0.25">
      <c r="A21" s="68"/>
      <c r="B21" s="69"/>
      <c r="C21" s="69"/>
      <c r="D21" s="75" t="s">
        <v>128</v>
      </c>
      <c r="E21" s="75"/>
      <c r="F21" s="75"/>
      <c r="G21" s="75"/>
      <c r="H21" s="264">
        <f>SUM(H18:H20)</f>
        <v>900000</v>
      </c>
      <c r="I21" s="264">
        <f>SUM(I18:I20)</f>
        <v>1100000</v>
      </c>
      <c r="J21" s="69"/>
      <c r="K21" s="143"/>
      <c r="L21" s="144"/>
      <c r="M21" s="145"/>
      <c r="N21" s="144"/>
      <c r="O21" s="145"/>
      <c r="P21" s="144"/>
      <c r="Q21">
        <v>1</v>
      </c>
    </row>
    <row r="22" spans="1:17" s="1" customFormat="1" ht="18" hidden="1" x14ac:dyDescent="0.2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143"/>
      <c r="L22" s="144"/>
      <c r="M22" s="145"/>
      <c r="N22" s="144"/>
      <c r="O22" s="145"/>
      <c r="P22" s="144"/>
      <c r="Q22">
        <v>1</v>
      </c>
    </row>
    <row r="23" spans="1:17" ht="18" hidden="1" x14ac:dyDescent="0.25">
      <c r="A23" s="68">
        <f>+A12+1</f>
        <v>4</v>
      </c>
      <c r="B23" s="69" t="s">
        <v>5</v>
      </c>
      <c r="C23" s="69" t="s">
        <v>25</v>
      </c>
      <c r="D23" s="71"/>
      <c r="E23" s="71"/>
      <c r="F23" s="71"/>
      <c r="G23" s="71"/>
      <c r="H23" s="71"/>
      <c r="I23" s="71"/>
      <c r="J23" s="71"/>
      <c r="K23" s="140"/>
      <c r="L23" s="141"/>
      <c r="M23" s="142"/>
      <c r="N23" s="141"/>
      <c r="O23" s="142" t="s">
        <v>53</v>
      </c>
      <c r="P23" s="141"/>
      <c r="Q23">
        <v>1</v>
      </c>
    </row>
    <row r="24" spans="1:17" ht="18" hidden="1" x14ac:dyDescent="0.25">
      <c r="A24" s="72"/>
      <c r="B24" s="71" t="s">
        <v>98</v>
      </c>
      <c r="C24" s="73" t="s">
        <v>99</v>
      </c>
      <c r="D24" s="71"/>
      <c r="E24" s="71"/>
      <c r="F24" s="76"/>
      <c r="G24" s="76"/>
      <c r="H24" s="71"/>
      <c r="I24" s="71"/>
      <c r="J24" s="71"/>
      <c r="K24" s="140">
        <f>+M24+M25</f>
        <v>240000</v>
      </c>
      <c r="L24" s="141"/>
      <c r="M24" s="142">
        <f>+O24</f>
        <v>200000</v>
      </c>
      <c r="N24" s="141"/>
      <c r="O24" s="142">
        <f>+P26</f>
        <v>200000</v>
      </c>
      <c r="P24" s="141"/>
      <c r="Q24">
        <v>1</v>
      </c>
    </row>
    <row r="25" spans="1:17" ht="18" hidden="1" x14ac:dyDescent="0.25">
      <c r="A25" s="72"/>
      <c r="B25" s="71" t="s">
        <v>104</v>
      </c>
      <c r="C25" s="73" t="s">
        <v>177</v>
      </c>
      <c r="D25" s="71"/>
      <c r="E25" s="71"/>
      <c r="F25" s="76"/>
      <c r="G25" s="76"/>
      <c r="H25" s="71"/>
      <c r="I25" s="71"/>
      <c r="J25" s="71"/>
      <c r="K25" s="140"/>
      <c r="L25" s="141">
        <f>+K24-L26</f>
        <v>90000</v>
      </c>
      <c r="M25" s="142">
        <f>+N26-M24</f>
        <v>40000</v>
      </c>
      <c r="N25" s="141"/>
      <c r="O25" s="142"/>
      <c r="P25" s="141"/>
      <c r="Q25">
        <v>1</v>
      </c>
    </row>
    <row r="26" spans="1:17" ht="18" hidden="1" x14ac:dyDescent="0.25">
      <c r="A26" s="72"/>
      <c r="B26" s="71" t="s">
        <v>70</v>
      </c>
      <c r="C26" s="73" t="s">
        <v>71</v>
      </c>
      <c r="D26" s="71"/>
      <c r="E26" s="71"/>
      <c r="F26" s="76"/>
      <c r="G26" s="76"/>
      <c r="H26" s="71"/>
      <c r="I26" s="71"/>
      <c r="J26" s="71"/>
      <c r="K26" s="140"/>
      <c r="L26" s="141">
        <f>+G34</f>
        <v>150000</v>
      </c>
      <c r="M26" s="142"/>
      <c r="N26" s="141">
        <f>+H34</f>
        <v>240000</v>
      </c>
      <c r="O26" s="142"/>
      <c r="P26" s="141">
        <f>+I34</f>
        <v>200000</v>
      </c>
      <c r="Q26">
        <v>1</v>
      </c>
    </row>
    <row r="27" spans="1:17" ht="18" hidden="1" x14ac:dyDescent="0.25">
      <c r="A27" s="72"/>
      <c r="B27" s="71"/>
      <c r="C27" s="77"/>
      <c r="D27" s="77"/>
      <c r="E27" s="77"/>
      <c r="F27" s="77"/>
      <c r="G27" s="66">
        <v>2016</v>
      </c>
      <c r="H27" s="66">
        <v>2015</v>
      </c>
      <c r="I27" s="66">
        <v>2014</v>
      </c>
      <c r="J27" s="71"/>
      <c r="K27" s="140"/>
      <c r="L27" s="141"/>
      <c r="M27" s="142"/>
      <c r="N27" s="141"/>
      <c r="O27" s="142"/>
      <c r="P27" s="141"/>
      <c r="Q27">
        <v>1</v>
      </c>
    </row>
    <row r="28" spans="1:17" ht="18" hidden="1" x14ac:dyDescent="0.25">
      <c r="A28" s="72"/>
      <c r="B28" s="71"/>
      <c r="C28" s="77"/>
      <c r="D28" s="77"/>
      <c r="E28" s="77"/>
      <c r="F28" s="77"/>
      <c r="G28" s="66" t="s">
        <v>129</v>
      </c>
      <c r="H28" s="66" t="s">
        <v>129</v>
      </c>
      <c r="I28" s="66" t="s">
        <v>129</v>
      </c>
      <c r="J28" s="71"/>
      <c r="K28" s="140"/>
      <c r="L28" s="141"/>
      <c r="M28" s="142"/>
      <c r="N28" s="141"/>
      <c r="O28" s="142"/>
      <c r="P28" s="141"/>
      <c r="Q28">
        <v>1</v>
      </c>
    </row>
    <row r="29" spans="1:17" ht="18" hidden="1" x14ac:dyDescent="0.25">
      <c r="A29" s="72"/>
      <c r="B29" s="71"/>
      <c r="C29" s="69" t="s">
        <v>132</v>
      </c>
      <c r="D29" s="69"/>
      <c r="E29" s="69"/>
      <c r="F29" s="69"/>
      <c r="G29" s="78">
        <v>15000000</v>
      </c>
      <c r="H29" s="78">
        <v>12000000</v>
      </c>
      <c r="I29" s="78">
        <v>10000000</v>
      </c>
      <c r="J29" s="71"/>
      <c r="K29" s="140"/>
      <c r="L29" s="141"/>
      <c r="M29" s="142"/>
      <c r="N29" s="141"/>
      <c r="O29" s="142"/>
      <c r="P29" s="141"/>
      <c r="Q29">
        <v>1</v>
      </c>
    </row>
    <row r="30" spans="1:17" ht="18" hidden="1" x14ac:dyDescent="0.25">
      <c r="A30" s="72"/>
      <c r="B30" s="71"/>
      <c r="C30" s="71" t="s">
        <v>215</v>
      </c>
      <c r="D30" s="71"/>
      <c r="E30" s="71"/>
      <c r="F30" s="71"/>
      <c r="G30" s="76">
        <v>100000</v>
      </c>
      <c r="H30" s="76">
        <v>100000</v>
      </c>
      <c r="I30" s="76">
        <v>100000</v>
      </c>
      <c r="J30" s="71"/>
      <c r="K30" s="140"/>
      <c r="L30" s="141"/>
      <c r="M30" s="142"/>
      <c r="N30" s="141"/>
      <c r="O30" s="142"/>
      <c r="P30" s="141"/>
      <c r="Q30">
        <v>1</v>
      </c>
    </row>
    <row r="31" spans="1:17" ht="18" hidden="1" x14ac:dyDescent="0.25">
      <c r="A31" s="72"/>
      <c r="B31" s="71"/>
      <c r="C31" s="71" t="s">
        <v>216</v>
      </c>
      <c r="D31" s="71"/>
      <c r="E31" s="71"/>
      <c r="F31" s="71"/>
      <c r="G31" s="76">
        <f>+G29/G30</f>
        <v>150</v>
      </c>
      <c r="H31" s="76">
        <f t="shared" ref="H31" si="0">+H29/H30</f>
        <v>120</v>
      </c>
      <c r="I31" s="76">
        <f>+I29/I30</f>
        <v>100</v>
      </c>
      <c r="J31" s="71"/>
      <c r="K31" s="140"/>
      <c r="L31" s="141"/>
      <c r="M31" s="142"/>
      <c r="N31" s="141"/>
      <c r="O31" s="142"/>
      <c r="P31" s="141"/>
      <c r="Q31">
        <v>1</v>
      </c>
    </row>
    <row r="32" spans="1:17" ht="18" hidden="1" x14ac:dyDescent="0.25">
      <c r="A32" s="72"/>
      <c r="B32" s="71"/>
      <c r="C32" s="74" t="s">
        <v>217</v>
      </c>
      <c r="D32" s="74"/>
      <c r="E32" s="74"/>
      <c r="F32" s="74"/>
      <c r="G32" s="79">
        <v>99000</v>
      </c>
      <c r="H32" s="79">
        <v>98000</v>
      </c>
      <c r="I32" s="79">
        <v>98000</v>
      </c>
      <c r="J32" s="71"/>
      <c r="K32" s="140"/>
      <c r="L32" s="141"/>
      <c r="M32" s="142"/>
      <c r="N32" s="141"/>
      <c r="O32" s="142"/>
      <c r="P32" s="141"/>
      <c r="Q32">
        <v>1</v>
      </c>
    </row>
    <row r="33" spans="1:17" ht="18" hidden="1" x14ac:dyDescent="0.25">
      <c r="A33" s="72"/>
      <c r="B33" s="71"/>
      <c r="C33" s="74" t="s">
        <v>130</v>
      </c>
      <c r="D33" s="74"/>
      <c r="E33" s="74"/>
      <c r="F33" s="74"/>
      <c r="G33" s="79">
        <f>+G32*G31</f>
        <v>14850000</v>
      </c>
      <c r="H33" s="79">
        <f t="shared" ref="H33:I33" si="1">+H32*H31</f>
        <v>11760000</v>
      </c>
      <c r="I33" s="79">
        <f t="shared" si="1"/>
        <v>9800000</v>
      </c>
      <c r="J33" s="71"/>
      <c r="K33" s="140"/>
      <c r="L33" s="141"/>
      <c r="M33" s="142"/>
      <c r="N33" s="141"/>
      <c r="O33" s="142"/>
      <c r="P33" s="141"/>
      <c r="Q33">
        <v>1</v>
      </c>
    </row>
    <row r="34" spans="1:17" ht="18" hidden="1" x14ac:dyDescent="0.25">
      <c r="A34" s="72"/>
      <c r="B34" s="71"/>
      <c r="C34" s="80" t="s">
        <v>131</v>
      </c>
      <c r="D34" s="80"/>
      <c r="E34" s="80"/>
      <c r="F34" s="80"/>
      <c r="G34" s="81">
        <f>+G29-G33</f>
        <v>150000</v>
      </c>
      <c r="H34" s="81">
        <f t="shared" ref="H34:I34" si="2">+H29-H33</f>
        <v>240000</v>
      </c>
      <c r="I34" s="81">
        <f t="shared" si="2"/>
        <v>200000</v>
      </c>
      <c r="J34" s="71"/>
      <c r="K34" s="140"/>
      <c r="L34" s="141"/>
      <c r="M34" s="142"/>
      <c r="N34" s="141"/>
      <c r="O34" s="142"/>
      <c r="P34" s="141"/>
      <c r="Q34">
        <v>1</v>
      </c>
    </row>
    <row r="35" spans="1:17" ht="18" hidden="1" x14ac:dyDescent="0.25">
      <c r="A35" s="68">
        <f>+A23+1</f>
        <v>5</v>
      </c>
      <c r="B35" s="69" t="s">
        <v>6</v>
      </c>
      <c r="C35" s="69" t="s">
        <v>26</v>
      </c>
      <c r="D35" s="71"/>
      <c r="E35" s="71"/>
      <c r="F35" s="71"/>
      <c r="G35" s="71"/>
      <c r="H35" s="71"/>
      <c r="I35" s="71"/>
      <c r="J35" s="71"/>
      <c r="K35" s="140"/>
      <c r="L35" s="141"/>
      <c r="M35" s="142"/>
      <c r="N35" s="141"/>
      <c r="O35" s="142" t="s">
        <v>53</v>
      </c>
      <c r="P35" s="141"/>
      <c r="Q35">
        <v>1</v>
      </c>
    </row>
    <row r="36" spans="1:17" ht="18" hidden="1" x14ac:dyDescent="0.25">
      <c r="A36" s="72"/>
      <c r="B36" s="71"/>
      <c r="C36" s="71"/>
      <c r="D36" s="71"/>
      <c r="E36" s="71"/>
      <c r="F36" s="71"/>
      <c r="G36" s="82" t="s">
        <v>135</v>
      </c>
      <c r="H36" s="83" t="s">
        <v>135</v>
      </c>
      <c r="I36" s="84"/>
      <c r="J36" s="71"/>
      <c r="K36" s="140"/>
      <c r="L36" s="141"/>
      <c r="M36" s="142"/>
      <c r="N36" s="141"/>
      <c r="O36" s="142"/>
      <c r="P36" s="141"/>
      <c r="Q36">
        <v>1</v>
      </c>
    </row>
    <row r="37" spans="1:17" ht="18" hidden="1" x14ac:dyDescent="0.25">
      <c r="A37" s="72"/>
      <c r="B37" s="71"/>
      <c r="C37" s="71"/>
      <c r="D37" s="71"/>
      <c r="E37" s="71"/>
      <c r="F37" s="71"/>
      <c r="G37" s="85" t="s">
        <v>136</v>
      </c>
      <c r="H37" s="86" t="s">
        <v>137</v>
      </c>
      <c r="I37" s="87" t="s">
        <v>138</v>
      </c>
      <c r="J37" s="71"/>
      <c r="K37" s="140"/>
      <c r="L37" s="141"/>
      <c r="M37" s="142"/>
      <c r="N37" s="141"/>
      <c r="O37" s="142"/>
      <c r="P37" s="141"/>
      <c r="Q37">
        <v>1</v>
      </c>
    </row>
    <row r="38" spans="1:17" ht="18" hidden="1" x14ac:dyDescent="0.25">
      <c r="A38" s="72"/>
      <c r="B38" s="71"/>
      <c r="C38" s="71"/>
      <c r="D38" s="71"/>
      <c r="E38" s="71"/>
      <c r="F38" s="82" t="s">
        <v>133</v>
      </c>
      <c r="G38" s="88">
        <v>70738972</v>
      </c>
      <c r="H38" s="89">
        <v>73738972</v>
      </c>
      <c r="I38" s="90">
        <f>+H38-G38</f>
        <v>3000000</v>
      </c>
      <c r="J38" s="71"/>
      <c r="K38" s="140"/>
      <c r="L38" s="141"/>
      <c r="M38" s="142"/>
      <c r="N38" s="141"/>
      <c r="O38" s="142"/>
      <c r="P38" s="141"/>
      <c r="Q38">
        <v>1</v>
      </c>
    </row>
    <row r="39" spans="1:17" ht="18" hidden="1" x14ac:dyDescent="0.25">
      <c r="A39" s="72"/>
      <c r="B39" s="71"/>
      <c r="C39" s="71"/>
      <c r="D39" s="71"/>
      <c r="E39" s="71"/>
      <c r="F39" s="85" t="s">
        <v>134</v>
      </c>
      <c r="G39" s="91">
        <v>77738972</v>
      </c>
      <c r="H39" s="92">
        <v>82738972</v>
      </c>
      <c r="I39" s="93">
        <f>+H39-G39</f>
        <v>5000000</v>
      </c>
      <c r="J39" s="71"/>
      <c r="K39" s="140"/>
      <c r="L39" s="141"/>
      <c r="M39" s="142"/>
      <c r="N39" s="141"/>
      <c r="O39" s="142"/>
      <c r="P39" s="141"/>
      <c r="Q39">
        <v>1</v>
      </c>
    </row>
    <row r="40" spans="1:17" ht="18" hidden="1" x14ac:dyDescent="0.25">
      <c r="A40" s="72"/>
      <c r="B40" s="71"/>
      <c r="C40" s="71"/>
      <c r="D40" s="71"/>
      <c r="E40" s="71"/>
      <c r="F40" s="94" t="s">
        <v>422</v>
      </c>
      <c r="G40" s="95">
        <v>86348845</v>
      </c>
      <c r="H40" s="79">
        <v>93348845</v>
      </c>
      <c r="I40" s="96">
        <f>+H40-G40</f>
        <v>7000000</v>
      </c>
      <c r="J40" s="71"/>
      <c r="K40" s="140"/>
      <c r="L40" s="141"/>
      <c r="M40" s="142"/>
      <c r="N40" s="141"/>
      <c r="O40" s="142"/>
      <c r="P40" s="141"/>
      <c r="Q40">
        <v>1</v>
      </c>
    </row>
    <row r="41" spans="1:17" ht="18" hidden="1" x14ac:dyDescent="0.25">
      <c r="A41" s="72"/>
      <c r="B41" s="71" t="s">
        <v>62</v>
      </c>
      <c r="C41" s="97" t="s">
        <v>63</v>
      </c>
      <c r="D41" s="71"/>
      <c r="E41" s="71"/>
      <c r="F41" s="71"/>
      <c r="G41" s="71"/>
      <c r="H41" s="71"/>
      <c r="I41" s="71"/>
      <c r="J41" s="71"/>
      <c r="K41" s="140">
        <f>+L42</f>
        <v>7000000</v>
      </c>
      <c r="L41" s="141"/>
      <c r="M41" s="142">
        <f>+N42</f>
        <v>5000000</v>
      </c>
      <c r="N41" s="141"/>
      <c r="O41" s="142">
        <f>+P44</f>
        <v>3000000</v>
      </c>
      <c r="P41" s="141"/>
      <c r="Q41">
        <v>1</v>
      </c>
    </row>
    <row r="42" spans="1:17" ht="18" hidden="1" x14ac:dyDescent="0.25">
      <c r="A42" s="72"/>
      <c r="B42" s="71" t="s">
        <v>103</v>
      </c>
      <c r="C42" s="73" t="s">
        <v>139</v>
      </c>
      <c r="D42" s="71"/>
      <c r="E42" s="71"/>
      <c r="F42" s="71"/>
      <c r="G42" s="71"/>
      <c r="H42" s="71"/>
      <c r="I42" s="71"/>
      <c r="J42" s="71"/>
      <c r="K42" s="140"/>
      <c r="L42" s="141">
        <f>+I40</f>
        <v>7000000</v>
      </c>
      <c r="M42" s="142"/>
      <c r="N42" s="141">
        <f>+I39</f>
        <v>5000000</v>
      </c>
      <c r="O42" s="142"/>
      <c r="P42" s="141">
        <v>0</v>
      </c>
      <c r="Q42">
        <v>1</v>
      </c>
    </row>
    <row r="43" spans="1:17" ht="18" hidden="1" x14ac:dyDescent="0.25">
      <c r="A43" s="72"/>
      <c r="B43" s="71" t="s">
        <v>103</v>
      </c>
      <c r="C43" s="73" t="s">
        <v>139</v>
      </c>
      <c r="D43" s="71"/>
      <c r="E43" s="71"/>
      <c r="F43" s="71"/>
      <c r="G43" s="71"/>
      <c r="H43" s="71"/>
      <c r="I43" s="71"/>
      <c r="J43" s="71"/>
      <c r="K43" s="140">
        <f>+N42</f>
        <v>5000000</v>
      </c>
      <c r="L43" s="141"/>
      <c r="M43" s="142">
        <f>+N44</f>
        <v>3000000</v>
      </c>
      <c r="N43" s="141"/>
      <c r="O43" s="142"/>
      <c r="P43" s="141"/>
      <c r="Q43">
        <v>1</v>
      </c>
    </row>
    <row r="44" spans="1:17" ht="18" hidden="1" x14ac:dyDescent="0.25">
      <c r="A44" s="72"/>
      <c r="B44" s="71" t="s">
        <v>98</v>
      </c>
      <c r="C44" s="73" t="s">
        <v>99</v>
      </c>
      <c r="D44" s="71"/>
      <c r="E44" s="71"/>
      <c r="F44" s="71"/>
      <c r="G44" s="71"/>
      <c r="H44" s="71"/>
      <c r="I44" s="71"/>
      <c r="J44" s="71"/>
      <c r="K44" s="140"/>
      <c r="L44" s="141">
        <f>+N42</f>
        <v>5000000</v>
      </c>
      <c r="M44" s="142"/>
      <c r="N44" s="141">
        <f>+P44</f>
        <v>3000000</v>
      </c>
      <c r="O44" s="142"/>
      <c r="P44" s="141">
        <f>+I38</f>
        <v>3000000</v>
      </c>
      <c r="Q44">
        <v>1</v>
      </c>
    </row>
    <row r="45" spans="1:17" ht="18" hidden="1" x14ac:dyDescent="0.25">
      <c r="A45" s="72"/>
      <c r="B45" s="71"/>
      <c r="C45" s="71"/>
      <c r="D45" s="71"/>
      <c r="E45" s="71"/>
      <c r="F45" s="71"/>
      <c r="G45" s="71"/>
      <c r="H45" s="71"/>
      <c r="I45" s="71"/>
      <c r="J45" s="71"/>
      <c r="K45" s="140"/>
      <c r="L45" s="141"/>
      <c r="M45" s="142"/>
      <c r="N45" s="141"/>
      <c r="O45" s="142"/>
      <c r="P45" s="141"/>
      <c r="Q45">
        <v>1</v>
      </c>
    </row>
    <row r="46" spans="1:17" ht="18" hidden="1" x14ac:dyDescent="0.25">
      <c r="A46" s="68">
        <f>+A35+1</f>
        <v>6</v>
      </c>
      <c r="B46" s="69" t="s">
        <v>8</v>
      </c>
      <c r="C46" s="69" t="s">
        <v>42</v>
      </c>
      <c r="D46" s="69"/>
      <c r="E46" s="69"/>
      <c r="F46" s="69"/>
      <c r="G46" s="69"/>
      <c r="H46" s="69"/>
      <c r="I46" s="69"/>
      <c r="J46" s="69"/>
      <c r="K46" s="143"/>
      <c r="L46" s="144"/>
      <c r="M46" s="145"/>
      <c r="N46" s="144"/>
      <c r="O46" s="145" t="s">
        <v>53</v>
      </c>
      <c r="P46" s="144"/>
      <c r="Q46">
        <v>1</v>
      </c>
    </row>
    <row r="47" spans="1:17" ht="18" hidden="1" x14ac:dyDescent="0.25">
      <c r="A47" s="72"/>
      <c r="B47" s="71" t="s">
        <v>98</v>
      </c>
      <c r="C47" s="73" t="s">
        <v>99</v>
      </c>
      <c r="D47" s="71"/>
      <c r="E47" s="71"/>
      <c r="F47" s="71"/>
      <c r="G47" s="71"/>
      <c r="H47" s="71"/>
      <c r="I47" s="71"/>
      <c r="J47" s="71"/>
      <c r="K47" s="140">
        <f>+M47+M48</f>
        <v>600000</v>
      </c>
      <c r="L47" s="141"/>
      <c r="M47" s="142">
        <f>+O47</f>
        <v>450000</v>
      </c>
      <c r="N47" s="141"/>
      <c r="O47" s="142">
        <f>+I61</f>
        <v>450000</v>
      </c>
      <c r="P47" s="141"/>
      <c r="Q47">
        <v>1</v>
      </c>
    </row>
    <row r="48" spans="1:17" ht="18" hidden="1" x14ac:dyDescent="0.25">
      <c r="A48" s="72"/>
      <c r="B48" s="71" t="s">
        <v>104</v>
      </c>
      <c r="C48" s="73" t="s">
        <v>177</v>
      </c>
      <c r="D48" s="71"/>
      <c r="E48" s="71"/>
      <c r="F48" s="71"/>
      <c r="G48" s="71"/>
      <c r="H48" s="71"/>
      <c r="I48" s="71"/>
      <c r="J48" s="71"/>
      <c r="K48" s="140">
        <f>+L49-K47</f>
        <v>150000</v>
      </c>
      <c r="L48" s="141"/>
      <c r="M48" s="142">
        <f>+N49-M47</f>
        <v>150000</v>
      </c>
      <c r="N48" s="141"/>
      <c r="O48" s="142">
        <v>0</v>
      </c>
      <c r="P48" s="141"/>
      <c r="Q48">
        <v>1</v>
      </c>
    </row>
    <row r="49" spans="1:17" ht="18" hidden="1" x14ac:dyDescent="0.25">
      <c r="A49" s="72"/>
      <c r="B49" s="71" t="s">
        <v>79</v>
      </c>
      <c r="C49" s="73" t="s">
        <v>144</v>
      </c>
      <c r="D49" s="71"/>
      <c r="E49" s="71"/>
      <c r="F49" s="71"/>
      <c r="G49" s="71"/>
      <c r="H49" s="71"/>
      <c r="I49" s="71"/>
      <c r="J49" s="71"/>
      <c r="K49" s="140"/>
      <c r="L49" s="141">
        <f>+G61</f>
        <v>750000</v>
      </c>
      <c r="M49" s="142"/>
      <c r="N49" s="141">
        <f>+H61</f>
        <v>600000</v>
      </c>
      <c r="O49" s="145"/>
      <c r="P49" s="141">
        <f>+O47</f>
        <v>450000</v>
      </c>
      <c r="Q49">
        <v>1</v>
      </c>
    </row>
    <row r="50" spans="1:17" ht="18" hidden="1" x14ac:dyDescent="0.25">
      <c r="A50" s="72"/>
      <c r="B50" s="71"/>
      <c r="C50" s="73"/>
      <c r="D50" s="71"/>
      <c r="E50" s="71"/>
      <c r="F50" s="71"/>
      <c r="G50" s="71"/>
      <c r="H50" s="71"/>
      <c r="I50" s="71"/>
      <c r="J50" s="71"/>
      <c r="K50" s="140"/>
      <c r="L50" s="141"/>
      <c r="M50" s="142"/>
      <c r="N50" s="141"/>
      <c r="O50" s="145"/>
      <c r="P50" s="141"/>
      <c r="Q50">
        <v>1</v>
      </c>
    </row>
    <row r="51" spans="1:17" ht="18" hidden="1" x14ac:dyDescent="0.25">
      <c r="A51" s="72"/>
      <c r="B51" s="71"/>
      <c r="C51" s="77"/>
      <c r="D51" s="77"/>
      <c r="E51" s="77"/>
      <c r="F51" s="77"/>
      <c r="G51" s="66">
        <v>2016</v>
      </c>
      <c r="H51" s="66">
        <v>2015</v>
      </c>
      <c r="I51" s="66">
        <v>2014</v>
      </c>
      <c r="J51" s="71"/>
      <c r="K51" s="140"/>
      <c r="L51" s="141"/>
      <c r="M51" s="142"/>
      <c r="N51" s="141"/>
      <c r="O51" s="142"/>
      <c r="P51" s="141"/>
      <c r="Q51">
        <v>1</v>
      </c>
    </row>
    <row r="52" spans="1:17" ht="18" hidden="1" x14ac:dyDescent="0.25">
      <c r="A52" s="72"/>
      <c r="B52" s="71"/>
      <c r="C52" s="77"/>
      <c r="D52" s="77"/>
      <c r="E52" s="77"/>
      <c r="F52" s="77"/>
      <c r="G52" s="66" t="s">
        <v>129</v>
      </c>
      <c r="H52" s="66" t="s">
        <v>129</v>
      </c>
      <c r="I52" s="66" t="s">
        <v>129</v>
      </c>
      <c r="J52" s="71"/>
      <c r="K52" s="140"/>
      <c r="L52" s="141"/>
      <c r="M52" s="142"/>
      <c r="N52" s="141"/>
      <c r="O52" s="142"/>
      <c r="P52" s="141"/>
      <c r="Q52">
        <v>1</v>
      </c>
    </row>
    <row r="53" spans="1:17" ht="18" hidden="1" x14ac:dyDescent="0.25">
      <c r="A53" s="72"/>
      <c r="B53" s="71"/>
      <c r="C53" s="69" t="s">
        <v>416</v>
      </c>
      <c r="D53" s="71"/>
      <c r="E53" s="71"/>
      <c r="F53" s="71"/>
      <c r="G53" s="68"/>
      <c r="H53" s="68"/>
      <c r="I53" s="68"/>
      <c r="J53" s="71"/>
      <c r="K53" s="140"/>
      <c r="L53" s="141"/>
      <c r="M53" s="142"/>
      <c r="N53" s="141"/>
      <c r="O53" s="142"/>
      <c r="P53" s="141"/>
      <c r="Q53">
        <v>1</v>
      </c>
    </row>
    <row r="54" spans="1:17" ht="18" hidden="1" x14ac:dyDescent="0.25">
      <c r="A54" s="72"/>
      <c r="B54" s="71"/>
      <c r="C54" s="71" t="s">
        <v>140</v>
      </c>
      <c r="D54" s="71"/>
      <c r="E54" s="71"/>
      <c r="F54" s="71"/>
      <c r="G54" s="76">
        <v>3000000</v>
      </c>
      <c r="H54" s="76">
        <v>3000000</v>
      </c>
      <c r="I54" s="76">
        <v>3000000</v>
      </c>
      <c r="J54" s="71"/>
      <c r="K54" s="140"/>
      <c r="L54" s="141"/>
      <c r="M54" s="142"/>
      <c r="N54" s="141"/>
      <c r="O54" s="142"/>
      <c r="P54" s="141"/>
      <c r="Q54">
        <v>1</v>
      </c>
    </row>
    <row r="55" spans="1:17" ht="18" hidden="1" x14ac:dyDescent="0.25">
      <c r="A55" s="72"/>
      <c r="B55" s="71"/>
      <c r="C55" s="71" t="s">
        <v>141</v>
      </c>
      <c r="D55" s="71"/>
      <c r="E55" s="71"/>
      <c r="F55" s="71"/>
      <c r="G55" s="76">
        <f>G54*10%*5</f>
        <v>1500000</v>
      </c>
      <c r="H55" s="76">
        <f>H54*10%*4</f>
        <v>1200000</v>
      </c>
      <c r="I55" s="76">
        <f>I54*10%*3</f>
        <v>900000</v>
      </c>
      <c r="J55" s="71"/>
      <c r="K55" s="140"/>
      <c r="L55" s="141"/>
      <c r="M55" s="142"/>
      <c r="N55" s="141"/>
      <c r="O55" s="142"/>
      <c r="P55" s="141"/>
      <c r="Q55">
        <v>1</v>
      </c>
    </row>
    <row r="56" spans="1:17" ht="18" hidden="1" x14ac:dyDescent="0.25">
      <c r="A56" s="72"/>
      <c r="B56" s="71"/>
      <c r="C56" s="71"/>
      <c r="D56" s="71"/>
      <c r="E56" s="71"/>
      <c r="F56" s="71"/>
      <c r="G56" s="81">
        <f>+G54-G55</f>
        <v>1500000</v>
      </c>
      <c r="H56" s="81">
        <f t="shared" ref="H56:I56" si="3">+H54-H55</f>
        <v>1800000</v>
      </c>
      <c r="I56" s="81">
        <f t="shared" si="3"/>
        <v>2100000</v>
      </c>
      <c r="J56" s="71"/>
      <c r="K56" s="140"/>
      <c r="L56" s="141"/>
      <c r="M56" s="142"/>
      <c r="N56" s="141"/>
      <c r="O56" s="142"/>
      <c r="P56" s="141"/>
      <c r="Q56">
        <v>1</v>
      </c>
    </row>
    <row r="57" spans="1:17" ht="18" hidden="1" x14ac:dyDescent="0.25">
      <c r="A57" s="72"/>
      <c r="B57" s="71"/>
      <c r="C57" s="69" t="s">
        <v>50</v>
      </c>
      <c r="D57" s="71"/>
      <c r="E57" s="71"/>
      <c r="F57" s="71"/>
      <c r="G57" s="68"/>
      <c r="H57" s="68"/>
      <c r="I57" s="68"/>
      <c r="J57" s="71"/>
      <c r="K57" s="140"/>
      <c r="L57" s="141"/>
      <c r="M57" s="142"/>
      <c r="N57" s="141"/>
      <c r="O57" s="142"/>
      <c r="P57" s="141"/>
      <c r="Q57">
        <v>1</v>
      </c>
    </row>
    <row r="58" spans="1:17" ht="18" hidden="1" x14ac:dyDescent="0.25">
      <c r="A58" s="72"/>
      <c r="B58" s="71"/>
      <c r="C58" s="71" t="s">
        <v>140</v>
      </c>
      <c r="D58" s="71"/>
      <c r="E58" s="71"/>
      <c r="F58" s="71"/>
      <c r="G58" s="76">
        <v>3000000</v>
      </c>
      <c r="H58" s="76">
        <v>3000000</v>
      </c>
      <c r="I58" s="76">
        <v>3000000</v>
      </c>
      <c r="J58" s="71"/>
      <c r="K58" s="140"/>
      <c r="L58" s="141"/>
      <c r="M58" s="142"/>
      <c r="N58" s="141"/>
      <c r="O58" s="142"/>
      <c r="P58" s="141"/>
      <c r="Q58">
        <v>1</v>
      </c>
    </row>
    <row r="59" spans="1:17" ht="18" hidden="1" x14ac:dyDescent="0.25">
      <c r="A59" s="72"/>
      <c r="B59" s="71"/>
      <c r="C59" s="71" t="s">
        <v>141</v>
      </c>
      <c r="D59" s="71"/>
      <c r="E59" s="71"/>
      <c r="F59" s="71"/>
      <c r="G59" s="76">
        <f>G58*15%*5</f>
        <v>2250000</v>
      </c>
      <c r="H59" s="76">
        <f>H58*15%*4</f>
        <v>1800000</v>
      </c>
      <c r="I59" s="76">
        <f>I58*15%*3</f>
        <v>1350000</v>
      </c>
      <c r="J59" s="71"/>
      <c r="K59" s="140"/>
      <c r="L59" s="141"/>
      <c r="M59" s="142"/>
      <c r="N59" s="141"/>
      <c r="O59" s="142"/>
      <c r="P59" s="141"/>
      <c r="Q59">
        <v>1</v>
      </c>
    </row>
    <row r="60" spans="1:17" ht="18" hidden="1" x14ac:dyDescent="0.25">
      <c r="A60" s="72"/>
      <c r="B60" s="71"/>
      <c r="C60" s="71"/>
      <c r="D60" s="71"/>
      <c r="E60" s="71"/>
      <c r="F60" s="71"/>
      <c r="G60" s="81">
        <f>+G58-G59</f>
        <v>750000</v>
      </c>
      <c r="H60" s="81">
        <f t="shared" ref="H60" si="4">+H58-H59</f>
        <v>1200000</v>
      </c>
      <c r="I60" s="81">
        <f t="shared" ref="I60" si="5">+I58-I59</f>
        <v>1650000</v>
      </c>
      <c r="J60" s="71"/>
      <c r="K60" s="140"/>
      <c r="L60" s="141"/>
      <c r="M60" s="142"/>
      <c r="N60" s="141"/>
      <c r="O60" s="142"/>
      <c r="P60" s="141"/>
      <c r="Q60">
        <v>1</v>
      </c>
    </row>
    <row r="61" spans="1:17" ht="18" hidden="1" x14ac:dyDescent="0.25">
      <c r="A61" s="72"/>
      <c r="B61" s="71"/>
      <c r="C61" s="69" t="s">
        <v>143</v>
      </c>
      <c r="D61" s="71"/>
      <c r="E61" s="71"/>
      <c r="F61" s="71"/>
      <c r="G61" s="81">
        <f t="shared" ref="G61:H61" si="6">+G56-G60</f>
        <v>750000</v>
      </c>
      <c r="H61" s="81">
        <f t="shared" si="6"/>
        <v>600000</v>
      </c>
      <c r="I61" s="81">
        <f>+I56-I60</f>
        <v>450000</v>
      </c>
      <c r="J61" s="71"/>
      <c r="K61" s="140"/>
      <c r="L61" s="141"/>
      <c r="M61" s="142"/>
      <c r="N61" s="141"/>
      <c r="O61" s="142"/>
      <c r="P61" s="141"/>
      <c r="Q61">
        <v>1</v>
      </c>
    </row>
    <row r="62" spans="1:17" ht="18" hidden="1" x14ac:dyDescent="0.25">
      <c r="A62" s="72"/>
      <c r="B62" s="71"/>
      <c r="C62" s="71"/>
      <c r="D62" s="71"/>
      <c r="E62" s="71"/>
      <c r="F62" s="71"/>
      <c r="G62" s="71"/>
      <c r="H62" s="71"/>
      <c r="I62" s="71"/>
      <c r="J62" s="71"/>
      <c r="K62" s="140"/>
      <c r="L62" s="141"/>
      <c r="M62" s="142"/>
      <c r="N62" s="141"/>
      <c r="O62" s="142"/>
      <c r="P62" s="141"/>
      <c r="Q62">
        <v>1</v>
      </c>
    </row>
    <row r="63" spans="1:17" ht="18" hidden="1" x14ac:dyDescent="0.25">
      <c r="A63" s="68">
        <f>+A46+1</f>
        <v>7</v>
      </c>
      <c r="B63" s="69" t="s">
        <v>8</v>
      </c>
      <c r="C63" s="69" t="s">
        <v>43</v>
      </c>
      <c r="D63" s="71"/>
      <c r="E63" s="71"/>
      <c r="F63" s="71"/>
      <c r="G63" s="71"/>
      <c r="H63" s="71"/>
      <c r="I63" s="71"/>
      <c r="J63" s="71"/>
      <c r="K63" s="140"/>
      <c r="L63" s="141"/>
      <c r="M63" s="142"/>
      <c r="N63" s="141"/>
      <c r="O63" s="142" t="s">
        <v>53</v>
      </c>
      <c r="P63" s="141"/>
      <c r="Q63">
        <v>1</v>
      </c>
    </row>
    <row r="64" spans="1:17" ht="18" hidden="1" x14ac:dyDescent="0.25">
      <c r="A64" s="72"/>
      <c r="B64" s="71" t="s">
        <v>98</v>
      </c>
      <c r="C64" s="73" t="s">
        <v>99</v>
      </c>
      <c r="D64" s="71"/>
      <c r="E64" s="71"/>
      <c r="F64" s="71"/>
      <c r="G64" s="71"/>
      <c r="H64" s="71"/>
      <c r="I64" s="71"/>
      <c r="J64" s="71"/>
      <c r="K64" s="140">
        <f>+M64+M65</f>
        <v>160000</v>
      </c>
      <c r="L64" s="141"/>
      <c r="M64" s="142">
        <f>+O64</f>
        <v>40000</v>
      </c>
      <c r="N64" s="141"/>
      <c r="O64" s="142">
        <f>+I79</f>
        <v>40000</v>
      </c>
      <c r="P64" s="141"/>
      <c r="Q64">
        <v>1</v>
      </c>
    </row>
    <row r="65" spans="1:17" ht="18" hidden="1" x14ac:dyDescent="0.25">
      <c r="A65" s="72"/>
      <c r="B65" s="71" t="s">
        <v>104</v>
      </c>
      <c r="C65" s="73" t="s">
        <v>177</v>
      </c>
      <c r="D65" s="71"/>
      <c r="E65" s="71"/>
      <c r="F65" s="71"/>
      <c r="G65" s="71"/>
      <c r="H65" s="71"/>
      <c r="I65" s="71"/>
      <c r="J65" s="71"/>
      <c r="K65" s="140">
        <f>+L66-K64</f>
        <v>120000</v>
      </c>
      <c r="L65" s="141"/>
      <c r="M65" s="142">
        <f>+N66-M64</f>
        <v>120000</v>
      </c>
      <c r="N65" s="141"/>
      <c r="O65" s="142">
        <v>0</v>
      </c>
      <c r="P65" s="141"/>
      <c r="Q65">
        <v>1</v>
      </c>
    </row>
    <row r="66" spans="1:17" ht="18" hidden="1" x14ac:dyDescent="0.25">
      <c r="A66" s="72"/>
      <c r="B66" s="71" t="s">
        <v>79</v>
      </c>
      <c r="C66" s="73" t="s">
        <v>144</v>
      </c>
      <c r="D66" s="71"/>
      <c r="E66" s="71"/>
      <c r="F66" s="71"/>
      <c r="G66" s="71"/>
      <c r="H66" s="71"/>
      <c r="I66" s="71"/>
      <c r="J66" s="71"/>
      <c r="K66" s="140"/>
      <c r="L66" s="141">
        <f>+G79</f>
        <v>280000</v>
      </c>
      <c r="M66" s="142"/>
      <c r="N66" s="141">
        <f>+H79</f>
        <v>160000</v>
      </c>
      <c r="O66" s="142"/>
      <c r="P66" s="141">
        <f>+O64</f>
        <v>40000</v>
      </c>
      <c r="Q66">
        <v>1</v>
      </c>
    </row>
    <row r="67" spans="1:17" ht="18" hidden="1" x14ac:dyDescent="0.25">
      <c r="A67" s="68"/>
      <c r="B67" s="69"/>
      <c r="C67" s="77"/>
      <c r="D67" s="77"/>
      <c r="E67" s="77"/>
      <c r="F67" s="77"/>
      <c r="G67" s="66">
        <v>2016</v>
      </c>
      <c r="H67" s="66">
        <v>2015</v>
      </c>
      <c r="I67" s="66">
        <v>2014</v>
      </c>
      <c r="J67" s="71"/>
      <c r="K67" s="140"/>
      <c r="L67" s="141"/>
      <c r="M67" s="142"/>
      <c r="N67" s="141"/>
      <c r="O67" s="142"/>
      <c r="P67" s="141"/>
      <c r="Q67">
        <v>1</v>
      </c>
    </row>
    <row r="68" spans="1:17" ht="18" hidden="1" x14ac:dyDescent="0.25">
      <c r="A68" s="68"/>
      <c r="B68" s="69"/>
      <c r="C68" s="77"/>
      <c r="D68" s="77"/>
      <c r="E68" s="77"/>
      <c r="F68" s="77"/>
      <c r="G68" s="66" t="s">
        <v>129</v>
      </c>
      <c r="H68" s="66" t="s">
        <v>129</v>
      </c>
      <c r="I68" s="66" t="s">
        <v>129</v>
      </c>
      <c r="J68" s="71"/>
      <c r="K68" s="140"/>
      <c r="L68" s="141"/>
      <c r="M68" s="142"/>
      <c r="N68" s="141"/>
      <c r="O68" s="142"/>
      <c r="P68" s="141"/>
      <c r="Q68">
        <v>1</v>
      </c>
    </row>
    <row r="69" spans="1:17" ht="18" hidden="1" x14ac:dyDescent="0.25">
      <c r="A69" s="68"/>
      <c r="B69" s="69"/>
      <c r="C69" s="69" t="s">
        <v>145</v>
      </c>
      <c r="D69" s="71"/>
      <c r="E69" s="69"/>
      <c r="F69" s="69"/>
      <c r="G69" s="68"/>
      <c r="H69" s="68"/>
      <c r="I69" s="68"/>
      <c r="J69" s="71"/>
      <c r="K69" s="140"/>
      <c r="L69" s="141"/>
      <c r="M69" s="142"/>
      <c r="N69" s="141"/>
      <c r="O69" s="142"/>
      <c r="P69" s="141"/>
      <c r="Q69">
        <v>1</v>
      </c>
    </row>
    <row r="70" spans="1:17" ht="18" hidden="1" x14ac:dyDescent="0.25">
      <c r="A70" s="68"/>
      <c r="B70" s="69"/>
      <c r="C70" s="71" t="s">
        <v>140</v>
      </c>
      <c r="D70" s="71"/>
      <c r="E70" s="71"/>
      <c r="F70" s="71"/>
      <c r="G70" s="76">
        <v>2000000</v>
      </c>
      <c r="H70" s="76">
        <v>2000000</v>
      </c>
      <c r="I70" s="76">
        <v>2000000</v>
      </c>
      <c r="J70" s="71"/>
      <c r="K70" s="140"/>
      <c r="L70" s="141"/>
      <c r="M70" s="142"/>
      <c r="N70" s="141"/>
      <c r="O70" s="142"/>
      <c r="P70" s="141"/>
      <c r="Q70">
        <v>1</v>
      </c>
    </row>
    <row r="71" spans="1:17" ht="18" hidden="1" x14ac:dyDescent="0.25">
      <c r="A71" s="68"/>
      <c r="B71" s="69"/>
      <c r="C71" s="71" t="s">
        <v>141</v>
      </c>
      <c r="D71" s="71"/>
      <c r="E71" s="71"/>
      <c r="F71" s="71"/>
      <c r="G71" s="76">
        <f>G70*10%*5</f>
        <v>1000000</v>
      </c>
      <c r="H71" s="76">
        <f>H70*10%*4</f>
        <v>800000</v>
      </c>
      <c r="I71" s="76">
        <f>I70*10%*3</f>
        <v>600000</v>
      </c>
      <c r="J71" s="71"/>
      <c r="K71" s="140"/>
      <c r="L71" s="141"/>
      <c r="M71" s="142"/>
      <c r="N71" s="141"/>
      <c r="O71" s="142"/>
      <c r="P71" s="141"/>
      <c r="Q71">
        <v>1</v>
      </c>
    </row>
    <row r="72" spans="1:17" ht="18" hidden="1" x14ac:dyDescent="0.25">
      <c r="A72" s="68"/>
      <c r="B72" s="69"/>
      <c r="C72" s="71"/>
      <c r="D72" s="71"/>
      <c r="E72" s="71"/>
      <c r="F72" s="71"/>
      <c r="G72" s="81">
        <f>+G70-G71</f>
        <v>1000000</v>
      </c>
      <c r="H72" s="81">
        <f t="shared" ref="H72" si="7">+H70-H71</f>
        <v>1200000</v>
      </c>
      <c r="I72" s="81">
        <f t="shared" ref="I72" si="8">+I70-I71</f>
        <v>1400000</v>
      </c>
      <c r="J72" s="71"/>
      <c r="K72" s="140"/>
      <c r="L72" s="141"/>
      <c r="M72" s="142"/>
      <c r="N72" s="141"/>
      <c r="O72" s="142"/>
      <c r="P72" s="141"/>
      <c r="Q72">
        <v>1</v>
      </c>
    </row>
    <row r="73" spans="1:17" ht="18" hidden="1" x14ac:dyDescent="0.25">
      <c r="A73" s="68"/>
      <c r="B73" s="69"/>
      <c r="C73" s="69" t="s">
        <v>146</v>
      </c>
      <c r="D73" s="71"/>
      <c r="E73" s="69"/>
      <c r="F73" s="69"/>
      <c r="G73" s="68"/>
      <c r="H73" s="68"/>
      <c r="I73" s="68"/>
      <c r="J73" s="71"/>
      <c r="K73" s="140"/>
      <c r="L73" s="141"/>
      <c r="M73" s="142"/>
      <c r="N73" s="141"/>
      <c r="O73" s="142"/>
      <c r="P73" s="141"/>
      <c r="Q73">
        <v>1</v>
      </c>
    </row>
    <row r="74" spans="1:17" ht="18" hidden="1" x14ac:dyDescent="0.25">
      <c r="A74" s="68"/>
      <c r="B74" s="69"/>
      <c r="C74" s="71" t="s">
        <v>147</v>
      </c>
      <c r="D74" s="98">
        <v>0.1</v>
      </c>
      <c r="E74" s="71"/>
      <c r="F74" s="71"/>
      <c r="G74" s="76">
        <v>1200000</v>
      </c>
      <c r="H74" s="76">
        <v>1200000</v>
      </c>
      <c r="I74" s="76">
        <v>1200000</v>
      </c>
      <c r="J74" s="71"/>
      <c r="K74" s="140"/>
      <c r="L74" s="141"/>
      <c r="M74" s="142"/>
      <c r="N74" s="141"/>
      <c r="O74" s="142"/>
      <c r="P74" s="141"/>
      <c r="Q74">
        <v>1</v>
      </c>
    </row>
    <row r="75" spans="1:17" ht="18" hidden="1" x14ac:dyDescent="0.25">
      <c r="A75" s="68"/>
      <c r="B75" s="69"/>
      <c r="C75" s="71" t="s">
        <v>148</v>
      </c>
      <c r="D75" s="98">
        <v>0.25</v>
      </c>
      <c r="E75" s="71"/>
      <c r="F75" s="71"/>
      <c r="G75" s="76">
        <v>800000</v>
      </c>
      <c r="H75" s="76">
        <v>800000</v>
      </c>
      <c r="I75" s="76">
        <v>800000</v>
      </c>
      <c r="J75" s="71"/>
      <c r="K75" s="140"/>
      <c r="L75" s="141"/>
      <c r="M75" s="142"/>
      <c r="N75" s="141"/>
      <c r="O75" s="142"/>
      <c r="P75" s="141"/>
      <c r="Q75">
        <v>1</v>
      </c>
    </row>
    <row r="76" spans="1:17" ht="18" hidden="1" x14ac:dyDescent="0.25">
      <c r="A76" s="68"/>
      <c r="B76" s="69"/>
      <c r="C76" s="71" t="s">
        <v>149</v>
      </c>
      <c r="D76" s="71"/>
      <c r="E76" s="71"/>
      <c r="F76" s="71"/>
      <c r="G76" s="76">
        <f>G74*$D$74*4</f>
        <v>480000</v>
      </c>
      <c r="H76" s="76">
        <f>H74*$D$74*3</f>
        <v>360000</v>
      </c>
      <c r="I76" s="76">
        <f>I74*$D$74*2</f>
        <v>240000</v>
      </c>
      <c r="J76" s="71"/>
      <c r="K76" s="140"/>
      <c r="L76" s="141"/>
      <c r="M76" s="142"/>
      <c r="N76" s="141"/>
      <c r="O76" s="142"/>
      <c r="P76" s="141"/>
      <c r="Q76">
        <v>1</v>
      </c>
    </row>
    <row r="77" spans="1:17" ht="18" hidden="1" x14ac:dyDescent="0.25">
      <c r="A77" s="68"/>
      <c r="B77" s="69"/>
      <c r="C77" s="71" t="s">
        <v>150</v>
      </c>
      <c r="D77" s="71"/>
      <c r="E77" s="71"/>
      <c r="F77" s="71"/>
      <c r="G77" s="76">
        <f>G75*$D$75*4</f>
        <v>800000</v>
      </c>
      <c r="H77" s="76">
        <f>H75*$D$75*3</f>
        <v>600000</v>
      </c>
      <c r="I77" s="76">
        <f>I75*$D$75*2</f>
        <v>400000</v>
      </c>
      <c r="J77" s="71"/>
      <c r="K77" s="140"/>
      <c r="L77" s="141"/>
      <c r="M77" s="142"/>
      <c r="N77" s="141"/>
      <c r="O77" s="142"/>
      <c r="P77" s="141"/>
      <c r="Q77">
        <v>1</v>
      </c>
    </row>
    <row r="78" spans="1:17" ht="18" hidden="1" x14ac:dyDescent="0.25">
      <c r="A78" s="68"/>
      <c r="B78" s="69"/>
      <c r="C78" s="71"/>
      <c r="D78" s="71"/>
      <c r="E78" s="71"/>
      <c r="F78" s="71"/>
      <c r="G78" s="81">
        <f>+G74+G75-G76-G77</f>
        <v>720000</v>
      </c>
      <c r="H78" s="81">
        <f t="shared" ref="H78:I78" si="9">+H74+H75-H76-H77</f>
        <v>1040000</v>
      </c>
      <c r="I78" s="81">
        <f t="shared" si="9"/>
        <v>1360000</v>
      </c>
      <c r="J78" s="71"/>
      <c r="K78" s="140"/>
      <c r="L78" s="141"/>
      <c r="M78" s="142"/>
      <c r="N78" s="141"/>
      <c r="O78" s="142"/>
      <c r="P78" s="141"/>
      <c r="Q78">
        <v>1</v>
      </c>
    </row>
    <row r="79" spans="1:17" ht="18" hidden="1" x14ac:dyDescent="0.25">
      <c r="A79" s="68"/>
      <c r="B79" s="69"/>
      <c r="C79" s="69" t="s">
        <v>143</v>
      </c>
      <c r="D79" s="71"/>
      <c r="E79" s="69"/>
      <c r="F79" s="69"/>
      <c r="G79" s="81">
        <f t="shared" ref="G79" si="10">+G72-G78</f>
        <v>280000</v>
      </c>
      <c r="H79" s="81">
        <f t="shared" ref="H79" si="11">+H72-H78</f>
        <v>160000</v>
      </c>
      <c r="I79" s="81">
        <f>+I72-I78</f>
        <v>40000</v>
      </c>
      <c r="J79" s="71"/>
      <c r="K79" s="140"/>
      <c r="L79" s="141"/>
      <c r="M79" s="142"/>
      <c r="N79" s="141"/>
      <c r="O79" s="142"/>
      <c r="P79" s="141"/>
      <c r="Q79">
        <v>1</v>
      </c>
    </row>
    <row r="80" spans="1:17" ht="18" hidden="1" x14ac:dyDescent="0.25">
      <c r="A80" s="68"/>
      <c r="B80" s="69"/>
      <c r="C80" s="69"/>
      <c r="D80" s="71"/>
      <c r="E80" s="71"/>
      <c r="F80" s="71"/>
      <c r="G80" s="71"/>
      <c r="H80" s="71"/>
      <c r="I80" s="71"/>
      <c r="J80" s="71"/>
      <c r="K80" s="140"/>
      <c r="L80" s="141"/>
      <c r="M80" s="142"/>
      <c r="N80" s="141"/>
      <c r="O80" s="142"/>
      <c r="P80" s="141"/>
      <c r="Q80">
        <v>1</v>
      </c>
    </row>
    <row r="81" spans="1:17" ht="18" hidden="1" x14ac:dyDescent="0.25">
      <c r="A81" s="68">
        <f>+A63+1</f>
        <v>8</v>
      </c>
      <c r="B81" s="69" t="s">
        <v>8</v>
      </c>
      <c r="C81" s="69" t="s">
        <v>45</v>
      </c>
      <c r="D81" s="71"/>
      <c r="E81" s="71"/>
      <c r="F81" s="71"/>
      <c r="G81" s="71"/>
      <c r="H81" s="71"/>
      <c r="I81" s="71"/>
      <c r="J81" s="71"/>
      <c r="K81" s="140"/>
      <c r="L81" s="141"/>
      <c r="M81" s="142"/>
      <c r="N81" s="141"/>
      <c r="O81" s="142" t="s">
        <v>53</v>
      </c>
      <c r="P81" s="141"/>
      <c r="Q81">
        <v>1</v>
      </c>
    </row>
    <row r="82" spans="1:17" s="18" customFormat="1" ht="18" hidden="1" x14ac:dyDescent="0.25">
      <c r="A82" s="72"/>
      <c r="B82" s="71"/>
      <c r="C82" s="71" t="s">
        <v>153</v>
      </c>
      <c r="D82" s="71"/>
      <c r="F82" s="71"/>
      <c r="G82" s="99">
        <v>3000000</v>
      </c>
      <c r="H82" s="71"/>
      <c r="I82" s="71"/>
      <c r="J82" s="71"/>
      <c r="K82" s="140"/>
      <c r="L82" s="141"/>
      <c r="M82" s="142"/>
      <c r="N82" s="141"/>
      <c r="O82" s="142"/>
      <c r="P82" s="141"/>
      <c r="Q82">
        <v>1</v>
      </c>
    </row>
    <row r="83" spans="1:17" ht="18" hidden="1" x14ac:dyDescent="0.25">
      <c r="A83" s="72"/>
      <c r="B83" s="71" t="s">
        <v>96</v>
      </c>
      <c r="C83" s="73" t="s">
        <v>97</v>
      </c>
      <c r="D83" s="71"/>
      <c r="E83" s="71"/>
      <c r="F83" s="71"/>
      <c r="G83" s="71"/>
      <c r="H83" s="71"/>
      <c r="I83" s="71"/>
      <c r="J83" s="71"/>
      <c r="K83" s="140">
        <f>+G82</f>
        <v>3000000</v>
      </c>
      <c r="L83" s="141"/>
      <c r="M83" s="142">
        <f>+G82</f>
        <v>3000000</v>
      </c>
      <c r="N83" s="141"/>
      <c r="O83" s="142">
        <f>+G82</f>
        <v>3000000</v>
      </c>
      <c r="P83" s="141"/>
      <c r="Q83">
        <v>1</v>
      </c>
    </row>
    <row r="84" spans="1:17" ht="18" hidden="1" x14ac:dyDescent="0.25">
      <c r="A84" s="72"/>
      <c r="B84" s="71" t="s">
        <v>152</v>
      </c>
      <c r="C84" s="73" t="s">
        <v>151</v>
      </c>
      <c r="D84" s="71"/>
      <c r="E84" s="71"/>
      <c r="F84" s="71"/>
      <c r="G84" s="71"/>
      <c r="H84" s="71"/>
      <c r="I84" s="71"/>
      <c r="J84" s="71"/>
      <c r="K84" s="140"/>
      <c r="L84" s="141">
        <f>+K83</f>
        <v>3000000</v>
      </c>
      <c r="M84" s="142"/>
      <c r="N84" s="141">
        <f>+M83</f>
        <v>3000000</v>
      </c>
      <c r="O84" s="142"/>
      <c r="P84" s="141">
        <f>+O83</f>
        <v>3000000</v>
      </c>
      <c r="Q84">
        <v>1</v>
      </c>
    </row>
    <row r="85" spans="1:17" ht="18" hidden="1" x14ac:dyDescent="0.25">
      <c r="A85" s="72"/>
      <c r="B85" s="71"/>
      <c r="C85" s="71"/>
      <c r="D85" s="71"/>
      <c r="E85" s="71"/>
      <c r="F85" s="71"/>
      <c r="G85" s="71"/>
      <c r="H85" s="71"/>
      <c r="I85" s="71"/>
      <c r="J85" s="71"/>
      <c r="K85" s="140"/>
      <c r="L85" s="141"/>
      <c r="M85" s="142"/>
      <c r="N85" s="141"/>
      <c r="O85" s="142"/>
      <c r="P85" s="141"/>
      <c r="Q85">
        <v>1</v>
      </c>
    </row>
    <row r="86" spans="1:17" ht="18" hidden="1" x14ac:dyDescent="0.25">
      <c r="A86" s="68">
        <f>+A81+1</f>
        <v>9</v>
      </c>
      <c r="B86" s="69" t="s">
        <v>8</v>
      </c>
      <c r="C86" s="69" t="s">
        <v>44</v>
      </c>
      <c r="D86" s="71"/>
      <c r="E86" s="71"/>
      <c r="F86" s="71"/>
      <c r="G86" s="71"/>
      <c r="H86" s="71"/>
      <c r="I86" s="71"/>
      <c r="J86" s="71"/>
      <c r="K86" s="140"/>
      <c r="L86" s="141"/>
      <c r="M86" s="142" t="s">
        <v>53</v>
      </c>
      <c r="N86" s="141"/>
      <c r="O86" s="142"/>
      <c r="P86" s="141"/>
      <c r="Q86">
        <v>1</v>
      </c>
    </row>
    <row r="87" spans="1:17" hidden="1" x14ac:dyDescent="0.25">
      <c r="A87" s="72"/>
      <c r="B87" s="71"/>
      <c r="C87" s="69" t="s">
        <v>423</v>
      </c>
      <c r="D87" s="71"/>
      <c r="E87" s="99"/>
      <c r="F87" s="71"/>
      <c r="H87" s="100">
        <v>3500000</v>
      </c>
      <c r="I87" s="71"/>
      <c r="J87" s="71"/>
      <c r="K87" s="140"/>
      <c r="L87" s="141"/>
      <c r="M87" s="142"/>
      <c r="N87" s="141"/>
      <c r="O87" s="142"/>
      <c r="P87" s="141"/>
      <c r="Q87">
        <v>1</v>
      </c>
    </row>
    <row r="88" spans="1:17" ht="18" hidden="1" x14ac:dyDescent="0.25">
      <c r="A88" s="72"/>
      <c r="B88" s="71"/>
      <c r="C88" s="71"/>
      <c r="D88" s="71"/>
      <c r="E88" s="71"/>
      <c r="F88" s="71"/>
      <c r="G88" s="71"/>
      <c r="H88" s="71"/>
      <c r="I88" s="71"/>
      <c r="J88" s="71"/>
      <c r="K88" s="140"/>
      <c r="L88" s="141"/>
      <c r="M88" s="142"/>
      <c r="N88" s="141"/>
      <c r="O88" s="142"/>
      <c r="P88" s="141"/>
      <c r="Q88">
        <v>1</v>
      </c>
    </row>
    <row r="89" spans="1:17" ht="18" hidden="1" x14ac:dyDescent="0.25">
      <c r="A89" s="72"/>
      <c r="B89" s="71" t="s">
        <v>79</v>
      </c>
      <c r="C89" s="73" t="s">
        <v>144</v>
      </c>
      <c r="D89" s="71"/>
      <c r="E89" s="71"/>
      <c r="F89" s="71"/>
      <c r="G89" s="71"/>
      <c r="H89" s="71"/>
      <c r="I89" s="71"/>
      <c r="J89" s="71"/>
      <c r="K89" s="140">
        <f>+M89</f>
        <v>500000</v>
      </c>
      <c r="L89" s="141"/>
      <c r="M89" s="142">
        <f>+O89</f>
        <v>500000</v>
      </c>
      <c r="N89" s="141"/>
      <c r="O89" s="142">
        <f>+H87+-G82</f>
        <v>500000</v>
      </c>
      <c r="P89" s="141"/>
      <c r="Q89">
        <v>1</v>
      </c>
    </row>
    <row r="90" spans="1:17" ht="18" hidden="1" x14ac:dyDescent="0.25">
      <c r="A90" s="72"/>
      <c r="B90" s="71" t="s">
        <v>152</v>
      </c>
      <c r="C90" s="73" t="s">
        <v>151</v>
      </c>
      <c r="D90" s="71"/>
      <c r="E90" s="71"/>
      <c r="F90" s="71"/>
      <c r="G90" s="71"/>
      <c r="H90" s="71"/>
      <c r="I90" s="71"/>
      <c r="J90" s="71"/>
      <c r="K90" s="140"/>
      <c r="L90" s="141">
        <f>+K89</f>
        <v>500000</v>
      </c>
      <c r="M90" s="142"/>
      <c r="N90" s="141">
        <f>+M89</f>
        <v>500000</v>
      </c>
      <c r="O90" s="142"/>
      <c r="P90" s="141">
        <f>+O89</f>
        <v>500000</v>
      </c>
      <c r="Q90">
        <v>1</v>
      </c>
    </row>
    <row r="91" spans="1:17" ht="18" hidden="1" x14ac:dyDescent="0.25">
      <c r="A91" s="72"/>
      <c r="B91" s="71"/>
      <c r="C91" s="71"/>
      <c r="D91" s="71"/>
      <c r="E91" s="71"/>
      <c r="F91" s="71"/>
      <c r="G91" s="71"/>
      <c r="H91" s="71"/>
      <c r="I91" s="71"/>
      <c r="J91" s="71"/>
      <c r="K91" s="140"/>
      <c r="L91" s="141"/>
      <c r="M91" s="142"/>
      <c r="N91" s="141"/>
      <c r="O91" s="142"/>
      <c r="P91" s="141"/>
      <c r="Q91">
        <v>1</v>
      </c>
    </row>
    <row r="92" spans="1:17" s="1" customFormat="1" ht="18" hidden="1" x14ac:dyDescent="0.25">
      <c r="A92" s="68">
        <f>+A86+1</f>
        <v>10</v>
      </c>
      <c r="B92" s="69" t="s">
        <v>8</v>
      </c>
      <c r="C92" s="69" t="s">
        <v>46</v>
      </c>
      <c r="D92" s="69"/>
      <c r="E92" s="69"/>
      <c r="F92" s="69"/>
      <c r="G92" s="69"/>
      <c r="H92" s="69"/>
      <c r="I92" s="69"/>
      <c r="J92" s="69"/>
      <c r="K92" s="143"/>
      <c r="L92" s="144"/>
      <c r="M92" s="145"/>
      <c r="N92" s="144"/>
      <c r="O92" s="145"/>
      <c r="P92" s="144"/>
      <c r="Q92">
        <v>1</v>
      </c>
    </row>
    <row r="93" spans="1:17" ht="18" hidden="1" x14ac:dyDescent="0.25">
      <c r="A93" s="72"/>
      <c r="B93" s="71" t="s">
        <v>79</v>
      </c>
      <c r="C93" s="73" t="s">
        <v>144</v>
      </c>
      <c r="D93" s="71"/>
      <c r="E93" s="71"/>
      <c r="F93" s="71"/>
      <c r="G93" s="71"/>
      <c r="H93" s="71"/>
      <c r="I93" s="71"/>
      <c r="J93" s="71"/>
      <c r="K93" s="140">
        <f>-G109</f>
        <v>150000</v>
      </c>
      <c r="L93" s="141"/>
      <c r="M93" s="142">
        <f>-H109</f>
        <v>162500</v>
      </c>
      <c r="N93" s="141"/>
      <c r="O93" s="142">
        <f>-I109</f>
        <v>175000</v>
      </c>
      <c r="P93" s="141"/>
      <c r="Q93">
        <v>1</v>
      </c>
    </row>
    <row r="94" spans="1:17" ht="18" hidden="1" x14ac:dyDescent="0.25">
      <c r="A94" s="72"/>
      <c r="B94" s="71" t="s">
        <v>104</v>
      </c>
      <c r="C94" s="73" t="s">
        <v>177</v>
      </c>
      <c r="D94" s="71"/>
      <c r="E94" s="71"/>
      <c r="F94" s="71"/>
      <c r="G94" s="71"/>
      <c r="H94" s="71"/>
      <c r="I94" s="71"/>
      <c r="J94" s="71"/>
      <c r="K94" s="140">
        <f>+L95-K93</f>
        <v>12500</v>
      </c>
      <c r="L94" s="141"/>
      <c r="M94" s="142">
        <f>+N95-M93</f>
        <v>12500</v>
      </c>
      <c r="N94" s="141"/>
      <c r="O94" s="142">
        <v>0</v>
      </c>
      <c r="P94" s="141"/>
      <c r="Q94">
        <v>1</v>
      </c>
    </row>
    <row r="95" spans="1:17" ht="18" hidden="1" x14ac:dyDescent="0.25">
      <c r="A95" s="72"/>
      <c r="B95" s="71" t="s">
        <v>98</v>
      </c>
      <c r="C95" s="73" t="s">
        <v>99</v>
      </c>
      <c r="D95" s="71"/>
      <c r="E95" s="71"/>
      <c r="F95" s="71"/>
      <c r="G95" s="71"/>
      <c r="H95" s="71"/>
      <c r="I95" s="71"/>
      <c r="J95" s="71"/>
      <c r="K95" s="140"/>
      <c r="L95" s="141">
        <f>+N95-M94</f>
        <v>162500</v>
      </c>
      <c r="M95" s="142"/>
      <c r="N95" s="141">
        <f>+P95</f>
        <v>175000</v>
      </c>
      <c r="O95" s="142"/>
      <c r="P95" s="141">
        <f>+O93</f>
        <v>175000</v>
      </c>
      <c r="Q95">
        <v>1</v>
      </c>
    </row>
    <row r="96" spans="1:17" s="1" customFormat="1" ht="18" hidden="1" x14ac:dyDescent="0.2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143"/>
      <c r="L96" s="144"/>
      <c r="M96" s="145"/>
      <c r="N96" s="144"/>
      <c r="O96" s="145"/>
      <c r="P96" s="144"/>
      <c r="Q96">
        <v>1</v>
      </c>
    </row>
    <row r="97" spans="1:17" s="1" customFormat="1" ht="18" hidden="1" x14ac:dyDescent="0.25">
      <c r="A97" s="68"/>
      <c r="B97" s="69"/>
      <c r="C97" s="77"/>
      <c r="D97" s="77"/>
      <c r="E97" s="77"/>
      <c r="F97" s="77"/>
      <c r="G97" s="66">
        <v>2016</v>
      </c>
      <c r="H97" s="66">
        <v>2015</v>
      </c>
      <c r="I97" s="66">
        <v>2014</v>
      </c>
      <c r="J97" s="69"/>
      <c r="K97" s="143"/>
      <c r="L97" s="144"/>
      <c r="M97" s="145"/>
      <c r="N97" s="144"/>
      <c r="O97" s="145"/>
      <c r="P97" s="144"/>
      <c r="Q97">
        <v>1</v>
      </c>
    </row>
    <row r="98" spans="1:17" s="1" customFormat="1" ht="18" hidden="1" x14ac:dyDescent="0.25">
      <c r="A98" s="68"/>
      <c r="B98" s="69"/>
      <c r="C98" s="77"/>
      <c r="D98" s="77"/>
      <c r="E98" s="77"/>
      <c r="F98" s="77"/>
      <c r="G98" s="66" t="s">
        <v>129</v>
      </c>
      <c r="H98" s="66" t="s">
        <v>129</v>
      </c>
      <c r="I98" s="66" t="s">
        <v>129</v>
      </c>
      <c r="J98" s="69"/>
      <c r="K98" s="143"/>
      <c r="L98" s="144"/>
      <c r="M98" s="145"/>
      <c r="N98" s="144"/>
      <c r="O98" s="145"/>
      <c r="P98" s="144"/>
      <c r="Q98">
        <v>1</v>
      </c>
    </row>
    <row r="99" spans="1:17" s="1" customFormat="1" ht="18" hidden="1" x14ac:dyDescent="0.25">
      <c r="A99" s="68"/>
      <c r="B99" s="69"/>
      <c r="C99" s="69" t="s">
        <v>142</v>
      </c>
      <c r="D99" s="71"/>
      <c r="E99" s="71"/>
      <c r="F99" s="71"/>
      <c r="G99" s="68"/>
      <c r="H99" s="68"/>
      <c r="I99" s="68"/>
      <c r="J99" s="69"/>
      <c r="K99" s="143"/>
      <c r="L99" s="144"/>
      <c r="M99" s="145"/>
      <c r="N99" s="144"/>
      <c r="O99" s="145"/>
      <c r="P99" s="144"/>
      <c r="Q99">
        <v>1</v>
      </c>
    </row>
    <row r="100" spans="1:17" s="1" customFormat="1" ht="18" hidden="1" x14ac:dyDescent="0.25">
      <c r="A100" s="68"/>
      <c r="B100" s="69"/>
      <c r="C100" s="71" t="s">
        <v>140</v>
      </c>
      <c r="D100" s="71"/>
      <c r="E100" s="71"/>
      <c r="F100" s="71"/>
      <c r="G100" s="76">
        <v>2000000</v>
      </c>
      <c r="H100" s="76">
        <v>2000000</v>
      </c>
      <c r="I100" s="76">
        <v>2000000</v>
      </c>
      <c r="J100" s="69"/>
      <c r="K100" s="143"/>
      <c r="L100" s="144"/>
      <c r="M100" s="145"/>
      <c r="N100" s="144"/>
      <c r="O100" s="145"/>
      <c r="P100" s="144"/>
      <c r="Q100">
        <v>1</v>
      </c>
    </row>
    <row r="101" spans="1:17" s="1" customFormat="1" ht="18" hidden="1" x14ac:dyDescent="0.25">
      <c r="A101" s="68"/>
      <c r="B101" s="69"/>
      <c r="C101" s="71" t="s">
        <v>141</v>
      </c>
      <c r="D101" s="71"/>
      <c r="E101" s="71"/>
      <c r="F101" s="71"/>
      <c r="G101" s="76">
        <f>G100*10%*5</f>
        <v>1000000</v>
      </c>
      <c r="H101" s="76">
        <f>H100*10%*4</f>
        <v>800000</v>
      </c>
      <c r="I101" s="76">
        <f>I100*10%*3</f>
        <v>600000</v>
      </c>
      <c r="J101" s="69"/>
      <c r="K101" s="143"/>
      <c r="L101" s="144"/>
      <c r="M101" s="145"/>
      <c r="N101" s="144"/>
      <c r="O101" s="145"/>
      <c r="P101" s="144"/>
      <c r="Q101">
        <v>1</v>
      </c>
    </row>
    <row r="102" spans="1:17" s="1" customFormat="1" ht="18" hidden="1" x14ac:dyDescent="0.25">
      <c r="A102" s="68"/>
      <c r="B102" s="69"/>
      <c r="C102" s="71"/>
      <c r="D102" s="71"/>
      <c r="E102" s="71"/>
      <c r="F102" s="71"/>
      <c r="G102" s="81">
        <f>+G100-G101</f>
        <v>1000000</v>
      </c>
      <c r="H102" s="81">
        <f t="shared" ref="H102" si="12">+H100-H101</f>
        <v>1200000</v>
      </c>
      <c r="I102" s="81">
        <f t="shared" ref="I102" si="13">+I100-I101</f>
        <v>1400000</v>
      </c>
      <c r="J102" s="69"/>
      <c r="K102" s="143"/>
      <c r="L102" s="144"/>
      <c r="M102" s="145"/>
      <c r="N102" s="144"/>
      <c r="O102" s="145"/>
      <c r="P102" s="144"/>
      <c r="Q102">
        <v>1</v>
      </c>
    </row>
    <row r="103" spans="1:17" s="1" customFormat="1" ht="18" hidden="1" x14ac:dyDescent="0.25">
      <c r="A103" s="68"/>
      <c r="B103" s="69"/>
      <c r="C103" s="69" t="s">
        <v>50</v>
      </c>
      <c r="D103" s="71"/>
      <c r="E103" s="71"/>
      <c r="F103" s="71"/>
      <c r="G103" s="68"/>
      <c r="H103" s="68"/>
      <c r="I103" s="68"/>
      <c r="J103" s="69"/>
      <c r="K103" s="143"/>
      <c r="L103" s="144"/>
      <c r="M103" s="145"/>
      <c r="N103" s="144"/>
      <c r="O103" s="145"/>
      <c r="P103" s="144"/>
      <c r="Q103">
        <v>1</v>
      </c>
    </row>
    <row r="104" spans="1:17" s="1" customFormat="1" ht="18" hidden="1" x14ac:dyDescent="0.25">
      <c r="A104" s="68"/>
      <c r="B104" s="69"/>
      <c r="C104" s="71" t="s">
        <v>140</v>
      </c>
      <c r="D104" s="71"/>
      <c r="E104" s="71"/>
      <c r="F104" s="71"/>
      <c r="G104" s="76">
        <f>+G100</f>
        <v>2000000</v>
      </c>
      <c r="H104" s="76">
        <f>+H100</f>
        <v>2000000</v>
      </c>
      <c r="I104" s="76">
        <f>+I100</f>
        <v>2000000</v>
      </c>
      <c r="J104" s="69"/>
      <c r="K104" s="143"/>
      <c r="L104" s="144"/>
      <c r="M104" s="145"/>
      <c r="N104" s="144"/>
      <c r="O104" s="145"/>
      <c r="P104" s="144"/>
      <c r="Q104">
        <v>1</v>
      </c>
    </row>
    <row r="105" spans="1:17" s="1" customFormat="1" ht="18" hidden="1" x14ac:dyDescent="0.25">
      <c r="A105" s="68"/>
      <c r="B105" s="69"/>
      <c r="C105" s="71" t="s">
        <v>154</v>
      </c>
      <c r="D105" s="71"/>
      <c r="E105" s="71"/>
      <c r="F105" s="71"/>
      <c r="G105" s="79">
        <f t="shared" ref="G105:H105" si="14">+G104*15%</f>
        <v>300000</v>
      </c>
      <c r="H105" s="79">
        <f t="shared" si="14"/>
        <v>300000</v>
      </c>
      <c r="I105" s="79">
        <f>+I104*15%</f>
        <v>300000</v>
      </c>
      <c r="J105" s="69"/>
      <c r="K105" s="143"/>
      <c r="L105" s="144"/>
      <c r="M105" s="145"/>
      <c r="N105" s="144"/>
      <c r="O105" s="145"/>
      <c r="P105" s="144"/>
      <c r="Q105">
        <v>1</v>
      </c>
    </row>
    <row r="106" spans="1:17" s="1" customFormat="1" ht="18" hidden="1" x14ac:dyDescent="0.25">
      <c r="A106" s="68"/>
      <c r="B106" s="69"/>
      <c r="C106" s="71" t="s">
        <v>155</v>
      </c>
      <c r="D106" s="71"/>
      <c r="E106" s="71"/>
      <c r="F106" s="71"/>
      <c r="G106" s="78">
        <f t="shared" ref="G106:H106" si="15">+G104-G105</f>
        <v>1700000</v>
      </c>
      <c r="H106" s="78">
        <f t="shared" si="15"/>
        <v>1700000</v>
      </c>
      <c r="I106" s="78">
        <f>+I104-I105</f>
        <v>1700000</v>
      </c>
      <c r="J106" s="69"/>
      <c r="K106" s="143"/>
      <c r="L106" s="144"/>
      <c r="M106" s="145"/>
      <c r="N106" s="144"/>
      <c r="O106" s="145"/>
      <c r="P106" s="144"/>
      <c r="Q106">
        <v>1</v>
      </c>
    </row>
    <row r="107" spans="1:17" s="1" customFormat="1" ht="18" hidden="1" x14ac:dyDescent="0.25">
      <c r="A107" s="68"/>
      <c r="B107" s="69"/>
      <c r="C107" s="71" t="s">
        <v>141</v>
      </c>
      <c r="D107" s="71"/>
      <c r="E107" s="71"/>
      <c r="F107" s="71"/>
      <c r="G107" s="76">
        <f>4*G106/8</f>
        <v>850000</v>
      </c>
      <c r="H107" s="76">
        <f>3*H106/8</f>
        <v>637500</v>
      </c>
      <c r="I107" s="76">
        <f>2*I106/8</f>
        <v>425000</v>
      </c>
      <c r="J107" s="69"/>
      <c r="K107" s="143"/>
      <c r="L107" s="144"/>
      <c r="M107" s="145"/>
      <c r="N107" s="144"/>
      <c r="O107" s="145"/>
      <c r="P107" s="144"/>
      <c r="Q107">
        <v>1</v>
      </c>
    </row>
    <row r="108" spans="1:17" s="1" customFormat="1" ht="18" hidden="1" x14ac:dyDescent="0.25">
      <c r="A108" s="68"/>
      <c r="B108" s="69"/>
      <c r="C108" s="71"/>
      <c r="D108" s="71"/>
      <c r="E108" s="71"/>
      <c r="F108" s="71"/>
      <c r="G108" s="81">
        <f>+G104-G107</f>
        <v>1150000</v>
      </c>
      <c r="H108" s="81">
        <f t="shared" ref="H108" si="16">+H104-H107</f>
        <v>1362500</v>
      </c>
      <c r="I108" s="81">
        <f t="shared" ref="I108" si="17">+I104-I107</f>
        <v>1575000</v>
      </c>
      <c r="J108" s="69"/>
      <c r="K108" s="143"/>
      <c r="L108" s="144"/>
      <c r="M108" s="145"/>
      <c r="N108" s="144"/>
      <c r="O108" s="145"/>
      <c r="P108" s="144"/>
      <c r="Q108">
        <v>1</v>
      </c>
    </row>
    <row r="109" spans="1:17" s="1" customFormat="1" ht="18" hidden="1" x14ac:dyDescent="0.25">
      <c r="A109" s="68"/>
      <c r="B109" s="69"/>
      <c r="C109" s="69" t="s">
        <v>143</v>
      </c>
      <c r="D109" s="71"/>
      <c r="E109" s="71"/>
      <c r="F109" s="71"/>
      <c r="G109" s="81">
        <f t="shared" ref="G109" si="18">+G102-G108</f>
        <v>-150000</v>
      </c>
      <c r="H109" s="81">
        <f t="shared" ref="H109" si="19">+H102-H108</f>
        <v>-162500</v>
      </c>
      <c r="I109" s="81">
        <f>+I102-I108</f>
        <v>-175000</v>
      </c>
      <c r="J109" s="69"/>
      <c r="K109" s="143"/>
      <c r="L109" s="144"/>
      <c r="M109" s="145"/>
      <c r="N109" s="144"/>
      <c r="O109" s="145"/>
      <c r="P109" s="144"/>
      <c r="Q109">
        <v>1</v>
      </c>
    </row>
    <row r="110" spans="1:17" s="1" customFormat="1" ht="18" hidden="1" x14ac:dyDescent="0.2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143"/>
      <c r="L110" s="144"/>
      <c r="M110" s="145"/>
      <c r="N110" s="144"/>
      <c r="O110" s="145"/>
      <c r="P110" s="144"/>
      <c r="Q110">
        <v>1</v>
      </c>
    </row>
    <row r="111" spans="1:17" ht="18" hidden="1" x14ac:dyDescent="0.25">
      <c r="A111" s="68">
        <f>+A92+1</f>
        <v>11</v>
      </c>
      <c r="B111" s="69" t="s">
        <v>9</v>
      </c>
      <c r="C111" s="69" t="s">
        <v>48</v>
      </c>
      <c r="D111" s="71"/>
      <c r="E111" s="71"/>
      <c r="F111" s="71"/>
      <c r="G111" s="71"/>
      <c r="H111" s="71"/>
      <c r="I111" s="71"/>
      <c r="J111" s="71"/>
      <c r="K111" s="140"/>
      <c r="L111" s="141"/>
      <c r="M111" s="142"/>
      <c r="N111" s="141"/>
      <c r="O111" s="142"/>
      <c r="P111" s="141"/>
      <c r="Q111">
        <v>1</v>
      </c>
    </row>
    <row r="112" spans="1:17" ht="18" hidden="1" x14ac:dyDescent="0.25">
      <c r="A112" s="72"/>
      <c r="B112" s="71" t="s">
        <v>79</v>
      </c>
      <c r="C112" s="73" t="s">
        <v>144</v>
      </c>
      <c r="D112" s="71"/>
      <c r="E112" s="71"/>
      <c r="F112" s="71"/>
      <c r="G112" s="71"/>
      <c r="H112" s="71"/>
      <c r="I112" s="71"/>
      <c r="J112" s="71"/>
      <c r="K112" s="140">
        <f>-G127</f>
        <v>7140000</v>
      </c>
      <c r="L112" s="141"/>
      <c r="M112" s="142">
        <f>-H127</f>
        <v>4972500</v>
      </c>
      <c r="N112" s="141"/>
      <c r="O112" s="142">
        <f>-I127</f>
        <v>3060000</v>
      </c>
      <c r="P112" s="141"/>
      <c r="Q112">
        <v>1</v>
      </c>
    </row>
    <row r="113" spans="1:17" ht="18" hidden="1" x14ac:dyDescent="0.25">
      <c r="A113" s="72"/>
      <c r="B113" s="71" t="s">
        <v>98</v>
      </c>
      <c r="C113" s="73" t="s">
        <v>99</v>
      </c>
      <c r="D113" s="71"/>
      <c r="E113" s="71"/>
      <c r="F113" s="71"/>
      <c r="G113" s="71"/>
      <c r="H113" s="71"/>
      <c r="I113" s="71"/>
      <c r="J113" s="71"/>
      <c r="K113" s="140"/>
      <c r="L113" s="141">
        <f>+N113+N114</f>
        <v>4972500</v>
      </c>
      <c r="M113" s="142"/>
      <c r="N113" s="141">
        <f>+P113</f>
        <v>3060000</v>
      </c>
      <c r="O113" s="142"/>
      <c r="P113" s="141">
        <f>+O112</f>
        <v>3060000</v>
      </c>
      <c r="Q113">
        <v>1</v>
      </c>
    </row>
    <row r="114" spans="1:17" ht="18" hidden="1" x14ac:dyDescent="0.25">
      <c r="A114" s="72"/>
      <c r="B114" s="71" t="s">
        <v>104</v>
      </c>
      <c r="C114" s="73" t="s">
        <v>177</v>
      </c>
      <c r="D114" s="71"/>
      <c r="E114" s="71"/>
      <c r="F114" s="71"/>
      <c r="G114" s="71"/>
      <c r="H114" s="71"/>
      <c r="I114" s="71"/>
      <c r="J114" s="71"/>
      <c r="K114" s="140"/>
      <c r="L114" s="141">
        <f>+K112-L113</f>
        <v>2167500</v>
      </c>
      <c r="M114" s="142"/>
      <c r="N114" s="141">
        <f>+M112-N113</f>
        <v>1912500</v>
      </c>
      <c r="O114" s="142"/>
      <c r="P114" s="141"/>
      <c r="Q114">
        <v>1</v>
      </c>
    </row>
    <row r="115" spans="1:17" s="1" customFormat="1" ht="18" hidden="1" x14ac:dyDescent="0.25">
      <c r="A115" s="68"/>
      <c r="B115" s="69"/>
      <c r="C115" s="77"/>
      <c r="D115" s="77"/>
      <c r="E115" s="77"/>
      <c r="F115" s="77"/>
      <c r="G115" s="66">
        <v>2016</v>
      </c>
      <c r="H115" s="66">
        <v>2015</v>
      </c>
      <c r="I115" s="66">
        <v>2014</v>
      </c>
      <c r="J115" s="69"/>
      <c r="K115" s="143"/>
      <c r="L115" s="144"/>
      <c r="M115" s="145"/>
      <c r="N115" s="144"/>
      <c r="O115" s="145"/>
      <c r="P115" s="144"/>
      <c r="Q115">
        <v>1</v>
      </c>
    </row>
    <row r="116" spans="1:17" s="1" customFormat="1" ht="18" hidden="1" x14ac:dyDescent="0.25">
      <c r="A116" s="68"/>
      <c r="B116" s="69"/>
      <c r="C116" s="77"/>
      <c r="D116" s="77"/>
      <c r="E116" s="77"/>
      <c r="F116" s="77"/>
      <c r="G116" s="66" t="s">
        <v>129</v>
      </c>
      <c r="H116" s="66" t="s">
        <v>129</v>
      </c>
      <c r="I116" s="66" t="s">
        <v>129</v>
      </c>
      <c r="J116" s="69"/>
      <c r="K116" s="143"/>
      <c r="L116" s="144"/>
      <c r="M116" s="145"/>
      <c r="N116" s="144"/>
      <c r="O116" s="145"/>
      <c r="P116" s="144"/>
      <c r="Q116">
        <v>1</v>
      </c>
    </row>
    <row r="117" spans="1:17" s="1" customFormat="1" ht="18" hidden="1" x14ac:dyDescent="0.25">
      <c r="A117" s="68"/>
      <c r="B117" s="69"/>
      <c r="C117" s="69" t="s">
        <v>142</v>
      </c>
      <c r="D117" s="71"/>
      <c r="E117" s="71"/>
      <c r="F117" s="71"/>
      <c r="G117" s="68"/>
      <c r="H117" s="68"/>
      <c r="I117" s="68"/>
      <c r="J117" s="69"/>
      <c r="K117" s="143"/>
      <c r="L117" s="144"/>
      <c r="M117" s="145"/>
      <c r="N117" s="144"/>
      <c r="O117" s="145"/>
      <c r="P117" s="144"/>
      <c r="Q117">
        <v>1</v>
      </c>
    </row>
    <row r="118" spans="1:17" s="1" customFormat="1" ht="18" hidden="1" x14ac:dyDescent="0.25">
      <c r="A118" s="68"/>
      <c r="B118" s="69"/>
      <c r="C118" s="71" t="s">
        <v>140</v>
      </c>
      <c r="D118" s="71"/>
      <c r="E118" s="71"/>
      <c r="F118" s="71"/>
      <c r="G118" s="76">
        <v>10200000</v>
      </c>
      <c r="H118" s="76">
        <v>10200000</v>
      </c>
      <c r="I118" s="76">
        <v>10200000</v>
      </c>
      <c r="J118" s="69"/>
      <c r="K118" s="143"/>
      <c r="L118" s="144"/>
      <c r="M118" s="145"/>
      <c r="N118" s="144"/>
      <c r="O118" s="145"/>
      <c r="P118" s="144"/>
      <c r="Q118">
        <v>1</v>
      </c>
    </row>
    <row r="119" spans="1:17" s="1" customFormat="1" ht="18" hidden="1" x14ac:dyDescent="0.25">
      <c r="A119" s="68"/>
      <c r="B119" s="69"/>
      <c r="C119" s="71" t="s">
        <v>141</v>
      </c>
      <c r="D119" s="71"/>
      <c r="E119" s="71"/>
      <c r="F119" s="71"/>
      <c r="G119" s="76">
        <f>G118*25%*4</f>
        <v>10200000</v>
      </c>
      <c r="H119" s="76">
        <f>H118*25%*3</f>
        <v>7650000</v>
      </c>
      <c r="I119" s="76">
        <f>I118*25%*2</f>
        <v>5100000</v>
      </c>
      <c r="J119" s="69"/>
      <c r="K119" s="143"/>
      <c r="L119" s="144"/>
      <c r="M119" s="145"/>
      <c r="N119" s="144"/>
      <c r="O119" s="145"/>
      <c r="P119" s="144"/>
      <c r="Q119">
        <v>1</v>
      </c>
    </row>
    <row r="120" spans="1:17" s="1" customFormat="1" ht="18" hidden="1" x14ac:dyDescent="0.25">
      <c r="A120" s="68"/>
      <c r="B120" s="69"/>
      <c r="C120" s="71"/>
      <c r="D120" s="71"/>
      <c r="E120" s="71"/>
      <c r="F120" s="71"/>
      <c r="G120" s="81">
        <f>+G118-G119</f>
        <v>0</v>
      </c>
      <c r="H120" s="81">
        <f t="shared" ref="H120:I120" si="20">+H118-H119</f>
        <v>2550000</v>
      </c>
      <c r="I120" s="81">
        <f t="shared" si="20"/>
        <v>5100000</v>
      </c>
      <c r="J120" s="69"/>
      <c r="K120" s="143"/>
      <c r="L120" s="144"/>
      <c r="M120" s="145"/>
      <c r="N120" s="144"/>
      <c r="O120" s="145"/>
      <c r="P120" s="144"/>
      <c r="Q120">
        <v>1</v>
      </c>
    </row>
    <row r="121" spans="1:17" s="1" customFormat="1" ht="18" hidden="1" x14ac:dyDescent="0.25">
      <c r="A121" s="68"/>
      <c r="B121" s="69"/>
      <c r="C121" s="69" t="s">
        <v>50</v>
      </c>
      <c r="D121" s="71"/>
      <c r="E121" s="71"/>
      <c r="F121" s="71"/>
      <c r="G121" s="68"/>
      <c r="H121" s="68"/>
      <c r="I121" s="68"/>
      <c r="J121" s="69"/>
      <c r="K121" s="143"/>
      <c r="L121" s="144"/>
      <c r="M121" s="145"/>
      <c r="N121" s="144"/>
      <c r="O121" s="145"/>
      <c r="P121" s="144"/>
      <c r="Q121">
        <v>1</v>
      </c>
    </row>
    <row r="122" spans="1:17" s="1" customFormat="1" ht="18" hidden="1" x14ac:dyDescent="0.25">
      <c r="A122" s="68"/>
      <c r="B122" s="69"/>
      <c r="C122" s="71" t="s">
        <v>140</v>
      </c>
      <c r="D122" s="71"/>
      <c r="E122" s="71"/>
      <c r="F122" s="71"/>
      <c r="G122" s="76">
        <v>10200000</v>
      </c>
      <c r="H122" s="76">
        <v>10200000</v>
      </c>
      <c r="I122" s="76">
        <v>10200000</v>
      </c>
      <c r="J122" s="69"/>
      <c r="K122" s="143"/>
      <c r="L122" s="144"/>
      <c r="M122" s="145"/>
      <c r="N122" s="144"/>
      <c r="O122" s="145"/>
      <c r="P122" s="144"/>
      <c r="Q122">
        <v>1</v>
      </c>
    </row>
    <row r="123" spans="1:17" s="1" customFormat="1" ht="18" hidden="1" x14ac:dyDescent="0.25">
      <c r="A123" s="68"/>
      <c r="B123" s="69"/>
      <c r="C123" s="71" t="s">
        <v>154</v>
      </c>
      <c r="D123" s="71"/>
      <c r="E123" s="71"/>
      <c r="F123" s="71"/>
      <c r="G123" s="79">
        <f>+G122*10%*4</f>
        <v>4080000</v>
      </c>
      <c r="H123" s="79">
        <f>+H122*10%*3</f>
        <v>3060000</v>
      </c>
      <c r="I123" s="79">
        <f>+I122*10%*2</f>
        <v>2040000</v>
      </c>
      <c r="J123" s="69"/>
      <c r="K123" s="143"/>
      <c r="L123" s="144"/>
      <c r="M123" s="145"/>
      <c r="N123" s="144"/>
      <c r="O123" s="145"/>
      <c r="P123" s="144"/>
      <c r="Q123">
        <v>1</v>
      </c>
    </row>
    <row r="124" spans="1:17" s="1" customFormat="1" ht="18" hidden="1" x14ac:dyDescent="0.25">
      <c r="A124" s="68"/>
      <c r="B124" s="69"/>
      <c r="C124" s="71" t="s">
        <v>155</v>
      </c>
      <c r="D124" s="71"/>
      <c r="E124" s="71"/>
      <c r="F124" s="71"/>
      <c r="G124" s="76">
        <f t="shared" ref="G124:H124" si="21">+G122-G123</f>
        <v>6120000</v>
      </c>
      <c r="H124" s="76">
        <f t="shared" si="21"/>
        <v>7140000</v>
      </c>
      <c r="I124" s="76">
        <f>+I122-I123</f>
        <v>8160000</v>
      </c>
      <c r="J124" s="69"/>
      <c r="K124" s="143"/>
      <c r="L124" s="144"/>
      <c r="M124" s="145"/>
      <c r="N124" s="144"/>
      <c r="O124" s="145"/>
      <c r="P124" s="144"/>
      <c r="Q124">
        <v>1</v>
      </c>
    </row>
    <row r="125" spans="1:17" s="1" customFormat="1" ht="18" hidden="1" x14ac:dyDescent="0.25">
      <c r="A125" s="68"/>
      <c r="B125" s="69"/>
      <c r="C125" s="71" t="s">
        <v>141</v>
      </c>
      <c r="D125" s="71"/>
      <c r="E125" s="71"/>
      <c r="F125" s="71"/>
      <c r="G125" s="76">
        <f>4*G124/8</f>
        <v>3060000</v>
      </c>
      <c r="H125" s="76">
        <f>3*H124/8</f>
        <v>2677500</v>
      </c>
      <c r="I125" s="76">
        <f>2*I124/8</f>
        <v>2040000</v>
      </c>
      <c r="J125" s="69"/>
      <c r="K125" s="143"/>
      <c r="L125" s="144"/>
      <c r="M125" s="145"/>
      <c r="N125" s="144"/>
      <c r="O125" s="145"/>
      <c r="P125" s="144"/>
      <c r="Q125">
        <v>1</v>
      </c>
    </row>
    <row r="126" spans="1:17" s="1" customFormat="1" ht="18" hidden="1" x14ac:dyDescent="0.25">
      <c r="A126" s="68"/>
      <c r="B126" s="69"/>
      <c r="C126" s="71"/>
      <c r="D126" s="71"/>
      <c r="E126" s="71"/>
      <c r="F126" s="71"/>
      <c r="G126" s="81">
        <f>+G122-G125</f>
        <v>7140000</v>
      </c>
      <c r="H126" s="81">
        <f t="shared" ref="H126:I126" si="22">+H122-H125</f>
        <v>7522500</v>
      </c>
      <c r="I126" s="81">
        <f t="shared" si="22"/>
        <v>8160000</v>
      </c>
      <c r="J126" s="69"/>
      <c r="K126" s="143"/>
      <c r="L126" s="144"/>
      <c r="M126" s="145"/>
      <c r="N126" s="144"/>
      <c r="O126" s="145"/>
      <c r="P126" s="144"/>
      <c r="Q126">
        <v>1</v>
      </c>
    </row>
    <row r="127" spans="1:17" s="1" customFormat="1" ht="18" hidden="1" x14ac:dyDescent="0.25">
      <c r="A127" s="68"/>
      <c r="B127" s="69"/>
      <c r="C127" s="69" t="s">
        <v>143</v>
      </c>
      <c r="D127" s="71"/>
      <c r="E127" s="71"/>
      <c r="F127" s="71"/>
      <c r="G127" s="81">
        <f t="shared" ref="G127:H127" si="23">+G120-G126</f>
        <v>-7140000</v>
      </c>
      <c r="H127" s="81">
        <f t="shared" si="23"/>
        <v>-4972500</v>
      </c>
      <c r="I127" s="81">
        <f>+I120-I126</f>
        <v>-3060000</v>
      </c>
      <c r="J127" s="69"/>
      <c r="K127" s="143"/>
      <c r="L127" s="144"/>
      <c r="M127" s="145"/>
      <c r="N127" s="144"/>
      <c r="O127" s="145"/>
      <c r="P127" s="144"/>
      <c r="Q127">
        <v>1</v>
      </c>
    </row>
    <row r="128" spans="1:17" s="1" customFormat="1" ht="8.25" hidden="1" customHeight="1" x14ac:dyDescent="0.25">
      <c r="A128" s="68"/>
      <c r="B128" s="69"/>
      <c r="C128" s="69"/>
      <c r="D128" s="69"/>
      <c r="E128" s="69"/>
      <c r="F128" s="69"/>
      <c r="G128" s="69"/>
      <c r="H128" s="69"/>
      <c r="I128" s="69"/>
      <c r="J128" s="69"/>
      <c r="K128" s="143"/>
      <c r="L128" s="144"/>
      <c r="M128" s="145"/>
      <c r="N128" s="144"/>
      <c r="O128" s="145"/>
      <c r="P128" s="144"/>
      <c r="Q128">
        <v>1</v>
      </c>
    </row>
    <row r="129" spans="1:17" s="1" customFormat="1" ht="18" hidden="1" x14ac:dyDescent="0.25">
      <c r="A129" s="68">
        <f>+A111+1</f>
        <v>12</v>
      </c>
      <c r="B129" s="69" t="s">
        <v>9</v>
      </c>
      <c r="C129" s="69" t="s">
        <v>47</v>
      </c>
      <c r="D129" s="69"/>
      <c r="E129" s="69"/>
      <c r="F129" s="69"/>
      <c r="G129" s="69"/>
      <c r="H129" s="69"/>
      <c r="I129" s="69"/>
      <c r="J129" s="69"/>
      <c r="K129" s="143"/>
      <c r="L129" s="144"/>
      <c r="M129" s="145"/>
      <c r="N129" s="144"/>
      <c r="O129" s="145"/>
      <c r="P129" s="144"/>
      <c r="Q129">
        <v>1</v>
      </c>
    </row>
    <row r="130" spans="1:17" ht="18" hidden="1" x14ac:dyDescent="0.25">
      <c r="A130" s="72"/>
      <c r="B130" s="71" t="s">
        <v>66</v>
      </c>
      <c r="C130" s="97" t="s">
        <v>384</v>
      </c>
      <c r="D130" s="71"/>
      <c r="E130" s="71"/>
      <c r="F130" s="71"/>
      <c r="G130" s="71"/>
      <c r="H130" s="71"/>
      <c r="I130" s="71"/>
      <c r="J130" s="71"/>
      <c r="K130" s="140">
        <f>+G144</f>
        <v>100000</v>
      </c>
      <c r="L130" s="141"/>
      <c r="M130" s="142">
        <f>+H144</f>
        <v>100000</v>
      </c>
      <c r="N130" s="141"/>
      <c r="O130" s="142">
        <f>+I144</f>
        <v>100000</v>
      </c>
      <c r="P130" s="141"/>
      <c r="Q130">
        <v>1</v>
      </c>
    </row>
    <row r="131" spans="1:17" ht="18" hidden="1" x14ac:dyDescent="0.25">
      <c r="A131" s="72"/>
      <c r="B131" s="71" t="s">
        <v>98</v>
      </c>
      <c r="C131" s="73" t="s">
        <v>99</v>
      </c>
      <c r="D131" s="71"/>
      <c r="E131" s="71"/>
      <c r="F131" s="71"/>
      <c r="G131" s="71"/>
      <c r="H131" s="71"/>
      <c r="I131" s="71"/>
      <c r="J131" s="71"/>
      <c r="K131" s="140"/>
      <c r="L131" s="141">
        <f>+K130</f>
        <v>100000</v>
      </c>
      <c r="M131" s="142"/>
      <c r="N131" s="141">
        <f>+M130</f>
        <v>100000</v>
      </c>
      <c r="O131" s="142"/>
      <c r="P131" s="141">
        <f>+O130</f>
        <v>100000</v>
      </c>
      <c r="Q131">
        <v>1</v>
      </c>
    </row>
    <row r="132" spans="1:17" s="1" customFormat="1" ht="18" hidden="1" x14ac:dyDescent="0.25">
      <c r="A132" s="68"/>
      <c r="B132" s="69"/>
      <c r="C132" s="67" t="s">
        <v>160</v>
      </c>
      <c r="D132" s="67"/>
      <c r="E132" s="67"/>
      <c r="F132" s="184">
        <v>41791</v>
      </c>
      <c r="G132" s="66">
        <v>2016</v>
      </c>
      <c r="H132" s="66">
        <v>2015</v>
      </c>
      <c r="I132" s="66">
        <v>2014</v>
      </c>
      <c r="J132" s="69"/>
      <c r="K132" s="143"/>
      <c r="L132" s="144"/>
      <c r="M132" s="145"/>
      <c r="N132" s="144"/>
      <c r="O132" s="145"/>
      <c r="P132" s="144"/>
      <c r="Q132">
        <v>1</v>
      </c>
    </row>
    <row r="133" spans="1:17" s="1" customFormat="1" ht="18" hidden="1" x14ac:dyDescent="0.25">
      <c r="A133" s="68"/>
      <c r="B133" s="69"/>
      <c r="C133" s="67" t="s">
        <v>161</v>
      </c>
      <c r="D133" s="67"/>
      <c r="E133" s="67"/>
      <c r="F133" s="184">
        <f>+F132+360*3</f>
        <v>42871</v>
      </c>
      <c r="G133" s="66" t="s">
        <v>129</v>
      </c>
      <c r="H133" s="66" t="s">
        <v>129</v>
      </c>
      <c r="I133" s="66" t="s">
        <v>129</v>
      </c>
      <c r="J133" s="69"/>
      <c r="K133" s="143" t="s">
        <v>383</v>
      </c>
      <c r="L133" s="144" t="s">
        <v>383</v>
      </c>
      <c r="M133" s="145"/>
      <c r="N133" s="144"/>
      <c r="O133" s="145"/>
      <c r="P133" s="144"/>
      <c r="Q133">
        <v>1</v>
      </c>
    </row>
    <row r="134" spans="1:17" s="1" customFormat="1" ht="18" hidden="1" x14ac:dyDescent="0.25">
      <c r="A134" s="68"/>
      <c r="B134" s="69"/>
      <c r="C134" s="71" t="s">
        <v>158</v>
      </c>
      <c r="D134" s="71"/>
      <c r="E134" s="71"/>
      <c r="F134" s="71"/>
      <c r="G134" s="76">
        <v>3600000</v>
      </c>
      <c r="H134" s="76">
        <v>3600000</v>
      </c>
      <c r="I134" s="76">
        <v>3600000</v>
      </c>
      <c r="J134" s="69"/>
      <c r="K134" s="143"/>
      <c r="L134" s="144"/>
      <c r="M134" s="145"/>
      <c r="N134" s="144"/>
      <c r="O134" s="145"/>
      <c r="P134" s="144"/>
      <c r="Q134">
        <v>1</v>
      </c>
    </row>
    <row r="135" spans="1:17" s="1" customFormat="1" ht="18" hidden="1" x14ac:dyDescent="0.25">
      <c r="A135" s="68"/>
      <c r="B135" s="69"/>
      <c r="C135" s="71" t="s">
        <v>159</v>
      </c>
      <c r="D135" s="71"/>
      <c r="E135" s="71"/>
      <c r="F135" s="71"/>
      <c r="G135" s="76">
        <f>31*(G134/36)</f>
        <v>3100000</v>
      </c>
      <c r="H135" s="76">
        <f>19*(H134/36)</f>
        <v>1900000</v>
      </c>
      <c r="I135" s="76">
        <f>7*(I134/36)</f>
        <v>700000</v>
      </c>
      <c r="J135" s="69"/>
      <c r="K135" s="143"/>
      <c r="L135" s="144"/>
      <c r="M135" s="145"/>
      <c r="N135" s="144"/>
      <c r="O135" s="145"/>
      <c r="P135" s="144"/>
      <c r="Q135">
        <v>1</v>
      </c>
    </row>
    <row r="136" spans="1:17" s="1" customFormat="1" ht="18" hidden="1" x14ac:dyDescent="0.25">
      <c r="A136" s="68"/>
      <c r="B136" s="69"/>
      <c r="C136" s="71"/>
      <c r="D136" s="71"/>
      <c r="E136" s="71"/>
      <c r="F136" s="71"/>
      <c r="G136" s="81">
        <f>+G134-G135</f>
        <v>500000</v>
      </c>
      <c r="H136" s="81">
        <f t="shared" ref="H136:I136" si="24">+H134-H135</f>
        <v>1700000</v>
      </c>
      <c r="I136" s="81">
        <f t="shared" si="24"/>
        <v>2900000</v>
      </c>
      <c r="J136" s="69"/>
      <c r="K136" s="143"/>
      <c r="L136" s="144"/>
      <c r="M136" s="145"/>
      <c r="N136" s="144"/>
      <c r="O136" s="145"/>
      <c r="P136" s="144"/>
      <c r="Q136">
        <v>1</v>
      </c>
    </row>
    <row r="137" spans="1:17" s="1" customFormat="1" ht="18" hidden="1" x14ac:dyDescent="0.25">
      <c r="A137" s="68"/>
      <c r="B137" s="69"/>
      <c r="C137" s="101" t="s">
        <v>160</v>
      </c>
      <c r="D137" s="101"/>
      <c r="E137" s="101"/>
      <c r="F137" s="102">
        <f>+G138+1</f>
        <v>42736</v>
      </c>
      <c r="G137" s="102">
        <f>+H138+1</f>
        <v>42370</v>
      </c>
      <c r="H137" s="102">
        <f>+I138+1</f>
        <v>42005</v>
      </c>
      <c r="I137" s="102">
        <v>41791</v>
      </c>
      <c r="J137" s="69"/>
      <c r="K137" s="143"/>
      <c r="L137" s="144"/>
      <c r="M137" s="145"/>
      <c r="N137" s="144"/>
      <c r="O137" s="145"/>
      <c r="P137" s="144"/>
      <c r="Q137">
        <v>1</v>
      </c>
    </row>
    <row r="138" spans="1:17" s="1" customFormat="1" ht="18" hidden="1" x14ac:dyDescent="0.25">
      <c r="A138" s="68"/>
      <c r="B138" s="69"/>
      <c r="C138" s="101" t="s">
        <v>161</v>
      </c>
      <c r="D138" s="101"/>
      <c r="E138" s="101"/>
      <c r="F138" s="102">
        <f>+F133</f>
        <v>42871</v>
      </c>
      <c r="G138" s="102">
        <v>42735</v>
      </c>
      <c r="H138" s="102">
        <v>42369</v>
      </c>
      <c r="I138" s="102">
        <v>42004</v>
      </c>
      <c r="J138" s="69"/>
      <c r="K138" s="143"/>
      <c r="L138" s="144"/>
      <c r="M138" s="145"/>
      <c r="N138" s="144"/>
      <c r="O138" s="145"/>
      <c r="P138" s="144"/>
      <c r="Q138">
        <v>1</v>
      </c>
    </row>
    <row r="139" spans="1:17" s="1" customFormat="1" ht="18" hidden="1" x14ac:dyDescent="0.25">
      <c r="A139" s="68"/>
      <c r="B139" s="69"/>
      <c r="C139" s="103" t="s">
        <v>425</v>
      </c>
      <c r="D139" s="103"/>
      <c r="E139" s="103"/>
      <c r="F139" s="104">
        <v>2</v>
      </c>
      <c r="G139" s="104">
        <v>4</v>
      </c>
      <c r="H139" s="104">
        <v>4</v>
      </c>
      <c r="I139" s="104">
        <v>2</v>
      </c>
      <c r="J139" s="69"/>
      <c r="K139" s="143"/>
      <c r="L139" s="144"/>
      <c r="M139" s="145"/>
      <c r="N139" s="144"/>
      <c r="O139" s="145"/>
      <c r="P139" s="144"/>
      <c r="Q139">
        <v>1</v>
      </c>
    </row>
    <row r="140" spans="1:17" s="1" customFormat="1" ht="18" hidden="1" x14ac:dyDescent="0.25">
      <c r="A140" s="68"/>
      <c r="B140" s="69"/>
      <c r="C140" s="69" t="s">
        <v>50</v>
      </c>
      <c r="D140" s="69"/>
      <c r="E140" s="69"/>
      <c r="F140" s="69"/>
      <c r="G140" s="68"/>
      <c r="H140" s="68"/>
      <c r="I140" s="68">
        <f>+F139+G139+H139+I139</f>
        <v>12</v>
      </c>
      <c r="J140" s="69"/>
      <c r="K140" s="143"/>
      <c r="L140" s="144"/>
      <c r="M140" s="145"/>
      <c r="N140" s="144"/>
      <c r="O140" s="145"/>
      <c r="P140" s="144"/>
      <c r="Q140">
        <v>1</v>
      </c>
    </row>
    <row r="141" spans="1:17" s="1" customFormat="1" ht="18" hidden="1" x14ac:dyDescent="0.25">
      <c r="A141" s="68"/>
      <c r="B141" s="69"/>
      <c r="C141" s="71" t="s">
        <v>158</v>
      </c>
      <c r="D141" s="71"/>
      <c r="E141" s="71"/>
      <c r="F141" s="71"/>
      <c r="G141" s="76">
        <v>3600000</v>
      </c>
      <c r="H141" s="76">
        <v>3600000</v>
      </c>
      <c r="I141" s="76">
        <v>3600000</v>
      </c>
      <c r="J141" s="69"/>
      <c r="K141" s="143"/>
      <c r="L141" s="144"/>
      <c r="M141" s="145"/>
      <c r="N141" s="144"/>
      <c r="O141" s="145"/>
      <c r="P141" s="144"/>
      <c r="Q141">
        <v>1</v>
      </c>
    </row>
    <row r="142" spans="1:17" s="1" customFormat="1" ht="18" hidden="1" x14ac:dyDescent="0.25">
      <c r="A142" s="68"/>
      <c r="B142" s="69"/>
      <c r="C142" s="71" t="s">
        <v>159</v>
      </c>
      <c r="D142" s="71"/>
      <c r="E142" s="71"/>
      <c r="F142" s="71"/>
      <c r="G142" s="79">
        <f>(10/12)*G141</f>
        <v>3000000</v>
      </c>
      <c r="H142" s="79">
        <f>(6/12)*H141</f>
        <v>1800000</v>
      </c>
      <c r="I142" s="79">
        <f>(2/12)*I141</f>
        <v>600000</v>
      </c>
      <c r="J142" s="69"/>
      <c r="K142" s="143"/>
      <c r="L142" s="144"/>
      <c r="M142" s="145"/>
      <c r="N142" s="144"/>
      <c r="O142" s="145"/>
      <c r="P142" s="144"/>
      <c r="Q142">
        <v>1</v>
      </c>
    </row>
    <row r="143" spans="1:17" s="1" customFormat="1" ht="18" hidden="1" x14ac:dyDescent="0.25">
      <c r="A143" s="68"/>
      <c r="B143" s="69"/>
      <c r="C143" s="69" t="s">
        <v>162</v>
      </c>
      <c r="D143" s="69"/>
      <c r="E143" s="69"/>
      <c r="F143" s="69"/>
      <c r="G143" s="81">
        <f t="shared" ref="G143:H143" si="25">+G141-G142</f>
        <v>600000</v>
      </c>
      <c r="H143" s="81">
        <f t="shared" si="25"/>
        <v>1800000</v>
      </c>
      <c r="I143" s="81">
        <f>+I141-I142</f>
        <v>3000000</v>
      </c>
      <c r="J143" s="69"/>
      <c r="K143" s="143"/>
      <c r="L143" s="144"/>
      <c r="M143" s="145"/>
      <c r="N143" s="144"/>
      <c r="O143" s="145"/>
      <c r="P143" s="144"/>
      <c r="Q143">
        <v>1</v>
      </c>
    </row>
    <row r="144" spans="1:17" s="1" customFormat="1" ht="18" hidden="1" x14ac:dyDescent="0.25">
      <c r="A144" s="68"/>
      <c r="B144" s="69"/>
      <c r="C144" s="69" t="s">
        <v>143</v>
      </c>
      <c r="D144" s="69"/>
      <c r="E144" s="69"/>
      <c r="F144" s="69"/>
      <c r="G144" s="81">
        <f>+G143-G136</f>
        <v>100000</v>
      </c>
      <c r="H144" s="81">
        <f>+H143-H136</f>
        <v>100000</v>
      </c>
      <c r="I144" s="81">
        <f>+I143-I136</f>
        <v>100000</v>
      </c>
      <c r="J144" s="69"/>
      <c r="K144" s="143"/>
      <c r="L144" s="144"/>
      <c r="M144" s="145"/>
      <c r="N144" s="144"/>
      <c r="O144" s="145"/>
      <c r="P144" s="144"/>
      <c r="Q144">
        <v>1</v>
      </c>
    </row>
    <row r="145" spans="1:17" s="1" customFormat="1" ht="16.5" hidden="1" customHeight="1" x14ac:dyDescent="0.25">
      <c r="A145" s="68">
        <f>+A129+1</f>
        <v>13</v>
      </c>
      <c r="B145" s="69" t="s">
        <v>10</v>
      </c>
      <c r="C145" s="69" t="s">
        <v>39</v>
      </c>
      <c r="D145" s="69"/>
      <c r="E145" s="69"/>
      <c r="F145" s="69"/>
      <c r="G145" s="69"/>
      <c r="H145" s="69"/>
      <c r="I145" s="69"/>
      <c r="J145" s="69"/>
      <c r="K145" s="143"/>
      <c r="L145" s="144"/>
      <c r="M145" s="145"/>
      <c r="N145" s="144"/>
      <c r="O145" s="145"/>
      <c r="P145" s="144"/>
      <c r="Q145">
        <v>1</v>
      </c>
    </row>
    <row r="146" spans="1:17" ht="18" hidden="1" x14ac:dyDescent="0.25">
      <c r="A146" s="72"/>
      <c r="B146" s="71" t="s">
        <v>98</v>
      </c>
      <c r="C146" s="73" t="s">
        <v>99</v>
      </c>
      <c r="D146" s="71"/>
      <c r="E146" s="71"/>
      <c r="F146" s="71"/>
      <c r="G146" s="71"/>
      <c r="H146" s="71"/>
      <c r="I146" s="71"/>
      <c r="J146" s="71"/>
      <c r="K146" s="140">
        <v>0</v>
      </c>
      <c r="L146" s="141"/>
      <c r="M146" s="142">
        <v>0</v>
      </c>
      <c r="N146" s="141"/>
      <c r="O146" s="142">
        <f>+F155</f>
        <v>900000</v>
      </c>
      <c r="P146" s="141"/>
      <c r="Q146">
        <v>1</v>
      </c>
    </row>
    <row r="147" spans="1:17" ht="18" hidden="1" x14ac:dyDescent="0.25">
      <c r="A147" s="72"/>
      <c r="B147" s="71" t="s">
        <v>103</v>
      </c>
      <c r="C147" s="73" t="s">
        <v>139</v>
      </c>
      <c r="D147" s="71"/>
      <c r="E147" s="71"/>
      <c r="F147" s="71"/>
      <c r="G147" s="71"/>
      <c r="H147" s="71"/>
      <c r="I147" s="71"/>
      <c r="J147" s="71"/>
      <c r="K147" s="140">
        <f>+F157</f>
        <v>850000</v>
      </c>
      <c r="L147" s="141"/>
      <c r="M147" s="142">
        <f>+F156</f>
        <v>1000000</v>
      </c>
      <c r="N147" s="141"/>
      <c r="O147" s="142"/>
      <c r="P147" s="141"/>
      <c r="Q147">
        <v>1</v>
      </c>
    </row>
    <row r="148" spans="1:17" ht="18" hidden="1" x14ac:dyDescent="0.25">
      <c r="A148" s="72"/>
      <c r="B148" s="71" t="s">
        <v>62</v>
      </c>
      <c r="C148" s="97" t="s">
        <v>63</v>
      </c>
      <c r="D148" s="71"/>
      <c r="E148" s="71"/>
      <c r="F148" s="71"/>
      <c r="G148" s="71"/>
      <c r="H148" s="71"/>
      <c r="I148" s="71"/>
      <c r="J148" s="71"/>
      <c r="K148" s="140"/>
      <c r="L148" s="141">
        <f>+K147</f>
        <v>850000</v>
      </c>
      <c r="M148" s="142"/>
      <c r="N148" s="141">
        <f>+M147</f>
        <v>1000000</v>
      </c>
      <c r="O148" s="142"/>
      <c r="P148" s="141">
        <f>+O146</f>
        <v>900000</v>
      </c>
      <c r="Q148">
        <v>1</v>
      </c>
    </row>
    <row r="149" spans="1:17" ht="18" hidden="1" x14ac:dyDescent="0.25">
      <c r="A149" s="72"/>
      <c r="B149" s="71"/>
      <c r="C149" s="97"/>
      <c r="D149" s="71"/>
      <c r="E149" s="71"/>
      <c r="F149" s="71"/>
      <c r="G149" s="71"/>
      <c r="H149" s="71"/>
      <c r="I149" s="71"/>
      <c r="J149" s="71"/>
      <c r="K149" s="143"/>
      <c r="L149" s="144"/>
      <c r="M149" s="145"/>
      <c r="N149" s="144"/>
      <c r="O149" s="145"/>
      <c r="P149" s="144"/>
      <c r="Q149">
        <v>1</v>
      </c>
    </row>
    <row r="150" spans="1:17" ht="18" hidden="1" x14ac:dyDescent="0.25">
      <c r="A150" s="72"/>
      <c r="B150" s="71" t="s">
        <v>98</v>
      </c>
      <c r="C150" s="73" t="s">
        <v>99</v>
      </c>
      <c r="D150" s="71"/>
      <c r="E150" s="71"/>
      <c r="F150" s="71"/>
      <c r="G150" s="71"/>
      <c r="H150" s="71"/>
      <c r="I150" s="71"/>
      <c r="J150" s="71"/>
      <c r="K150" s="140">
        <f>+M147</f>
        <v>1000000</v>
      </c>
      <c r="L150" s="144"/>
      <c r="M150" s="142">
        <f>+O146</f>
        <v>900000</v>
      </c>
      <c r="N150" s="141"/>
      <c r="O150" s="142"/>
      <c r="P150" s="141"/>
      <c r="Q150">
        <v>1</v>
      </c>
    </row>
    <row r="151" spans="1:17" ht="18" hidden="1" x14ac:dyDescent="0.25">
      <c r="A151" s="72"/>
      <c r="B151" s="71" t="s">
        <v>103</v>
      </c>
      <c r="C151" s="73" t="s">
        <v>139</v>
      </c>
      <c r="D151" s="71"/>
      <c r="E151" s="71"/>
      <c r="F151" s="71"/>
      <c r="G151" s="71"/>
      <c r="H151" s="71"/>
      <c r="I151" s="71"/>
      <c r="J151" s="71"/>
      <c r="K151" s="140"/>
      <c r="L151" s="141">
        <f>+K150</f>
        <v>1000000</v>
      </c>
      <c r="M151" s="142"/>
      <c r="N151" s="141">
        <f>+M150</f>
        <v>900000</v>
      </c>
      <c r="O151" s="142"/>
      <c r="P151" s="141"/>
      <c r="Q151">
        <v>1</v>
      </c>
    </row>
    <row r="152" spans="1:17" ht="18" hidden="1" x14ac:dyDescent="0.25">
      <c r="A152" s="72"/>
      <c r="B152" s="71"/>
      <c r="C152" s="71"/>
      <c r="D152" s="71"/>
      <c r="E152" s="71"/>
      <c r="F152" s="68" t="s">
        <v>426</v>
      </c>
      <c r="G152" s="71"/>
      <c r="H152" s="71"/>
      <c r="I152" s="71"/>
      <c r="J152" s="71"/>
      <c r="K152" s="140"/>
      <c r="L152" s="141"/>
      <c r="M152" s="142"/>
      <c r="N152" s="141"/>
      <c r="O152" s="142"/>
      <c r="P152" s="141"/>
      <c r="Q152">
        <v>1</v>
      </c>
    </row>
    <row r="153" spans="1:17" ht="18" hidden="1" x14ac:dyDescent="0.25">
      <c r="A153" s="72"/>
      <c r="B153" s="71"/>
      <c r="C153" s="71"/>
      <c r="D153" s="71"/>
      <c r="E153" s="71"/>
      <c r="F153" s="68" t="s">
        <v>163</v>
      </c>
      <c r="G153" s="71"/>
      <c r="H153" s="71"/>
      <c r="I153" s="71"/>
      <c r="J153" s="71"/>
      <c r="K153" s="140"/>
      <c r="L153" s="141"/>
      <c r="M153" s="142"/>
      <c r="N153" s="141"/>
      <c r="O153" s="142"/>
      <c r="P153" s="141"/>
      <c r="Q153">
        <v>1</v>
      </c>
    </row>
    <row r="154" spans="1:17" ht="18" hidden="1" x14ac:dyDescent="0.25">
      <c r="A154" s="72"/>
      <c r="B154" s="71"/>
      <c r="C154" s="71"/>
      <c r="D154" s="71"/>
      <c r="E154" s="71"/>
      <c r="F154" s="68" t="s">
        <v>136</v>
      </c>
      <c r="G154" s="71"/>
      <c r="H154" s="71"/>
      <c r="I154" s="71"/>
      <c r="J154" s="71"/>
      <c r="K154" s="140"/>
      <c r="L154" s="141"/>
      <c r="M154" s="142"/>
      <c r="N154" s="141"/>
      <c r="O154" s="142"/>
      <c r="P154" s="141"/>
      <c r="Q154">
        <v>1</v>
      </c>
    </row>
    <row r="155" spans="1:17" ht="18" hidden="1" x14ac:dyDescent="0.25">
      <c r="A155" s="72"/>
      <c r="B155" s="71"/>
      <c r="C155" s="69" t="s">
        <v>133</v>
      </c>
      <c r="D155" s="71"/>
      <c r="E155" s="71"/>
      <c r="F155" s="76">
        <v>900000</v>
      </c>
      <c r="G155" s="71"/>
      <c r="H155" s="71"/>
      <c r="I155" s="71"/>
      <c r="J155" s="71"/>
      <c r="K155" s="140"/>
      <c r="L155" s="141"/>
      <c r="M155" s="142"/>
      <c r="N155" s="141"/>
      <c r="O155" s="142"/>
      <c r="P155" s="141"/>
      <c r="Q155">
        <v>1</v>
      </c>
    </row>
    <row r="156" spans="1:17" ht="18" hidden="1" x14ac:dyDescent="0.25">
      <c r="A156" s="72"/>
      <c r="B156" s="71"/>
      <c r="C156" s="69" t="s">
        <v>134</v>
      </c>
      <c r="D156" s="71"/>
      <c r="E156" s="71"/>
      <c r="F156" s="76">
        <v>1000000</v>
      </c>
      <c r="G156" s="71"/>
      <c r="H156" s="71"/>
      <c r="I156" s="71"/>
      <c r="J156" s="71"/>
      <c r="K156" s="140"/>
      <c r="L156" s="141"/>
      <c r="M156" s="142"/>
      <c r="N156" s="141"/>
      <c r="O156" s="142"/>
      <c r="P156" s="141"/>
      <c r="Q156">
        <v>1</v>
      </c>
    </row>
    <row r="157" spans="1:17" ht="18" hidden="1" x14ac:dyDescent="0.25">
      <c r="A157" s="72"/>
      <c r="B157" s="71"/>
      <c r="C157" s="69" t="s">
        <v>422</v>
      </c>
      <c r="D157" s="71"/>
      <c r="E157" s="71"/>
      <c r="F157" s="76">
        <v>850000</v>
      </c>
      <c r="G157" s="71"/>
      <c r="H157" s="71"/>
      <c r="I157" s="71"/>
      <c r="J157" s="71"/>
      <c r="K157" s="140"/>
      <c r="L157" s="141"/>
      <c r="M157" s="142"/>
      <c r="N157" s="141"/>
      <c r="O157" s="142"/>
      <c r="P157" s="141"/>
      <c r="Q157">
        <v>1</v>
      </c>
    </row>
    <row r="158" spans="1:17" ht="5.25" hidden="1" customHeight="1" x14ac:dyDescent="0.25">
      <c r="A158" s="72"/>
      <c r="B158" s="71"/>
      <c r="C158" s="69"/>
      <c r="D158" s="76"/>
      <c r="E158" s="76"/>
      <c r="F158" s="99"/>
      <c r="G158" s="71"/>
      <c r="H158" s="71"/>
      <c r="I158" s="71"/>
      <c r="J158" s="71"/>
      <c r="K158" s="140"/>
      <c r="L158" s="141"/>
      <c r="M158" s="142"/>
      <c r="N158" s="141"/>
      <c r="O158" s="142"/>
      <c r="P158" s="141"/>
      <c r="Q158">
        <v>1</v>
      </c>
    </row>
    <row r="159" spans="1:17" ht="18" hidden="1" x14ac:dyDescent="0.25">
      <c r="A159" s="68">
        <f>+A145+1</f>
        <v>14</v>
      </c>
      <c r="B159" s="69" t="s">
        <v>11</v>
      </c>
      <c r="C159" s="69" t="s">
        <v>23</v>
      </c>
      <c r="D159" s="71"/>
      <c r="E159" s="71"/>
      <c r="F159" s="71"/>
      <c r="G159" s="71"/>
      <c r="H159" s="71"/>
      <c r="I159" s="71"/>
      <c r="J159" s="71"/>
      <c r="K159" s="140"/>
      <c r="L159" s="141"/>
      <c r="M159" s="142"/>
      <c r="N159" s="141"/>
      <c r="O159" s="142"/>
      <c r="P159" s="141"/>
      <c r="Q159">
        <v>1</v>
      </c>
    </row>
    <row r="160" spans="1:17" ht="18" hidden="1" x14ac:dyDescent="0.25">
      <c r="A160" s="72"/>
      <c r="B160" s="71" t="s">
        <v>104</v>
      </c>
      <c r="C160" s="73" t="s">
        <v>177</v>
      </c>
      <c r="D160" s="71"/>
      <c r="E160" s="71"/>
      <c r="F160" s="71"/>
      <c r="G160" s="71"/>
      <c r="H160" s="71"/>
      <c r="I160" s="71"/>
      <c r="J160" s="71"/>
      <c r="K160" s="140">
        <f>L163*60%</f>
        <v>2160000</v>
      </c>
      <c r="L160" s="141"/>
      <c r="M160" s="142">
        <f>+N163*60%</f>
        <v>2040000</v>
      </c>
      <c r="N160" s="141"/>
      <c r="O160" s="142"/>
      <c r="P160" s="141"/>
      <c r="Q160">
        <v>1</v>
      </c>
    </row>
    <row r="161" spans="1:17" ht="18" hidden="1" x14ac:dyDescent="0.25">
      <c r="A161" s="72"/>
      <c r="B161" s="71" t="s">
        <v>106</v>
      </c>
      <c r="C161" s="73" t="s">
        <v>107</v>
      </c>
      <c r="D161" s="71"/>
      <c r="E161" s="71"/>
      <c r="F161" s="71"/>
      <c r="G161" s="71"/>
      <c r="H161" s="71"/>
      <c r="I161" s="71"/>
      <c r="J161" s="71"/>
      <c r="K161" s="140">
        <f>L163*30%</f>
        <v>1080000</v>
      </c>
      <c r="L161" s="141"/>
      <c r="M161" s="142">
        <f>N163*30%</f>
        <v>1020000</v>
      </c>
      <c r="N161" s="141"/>
      <c r="O161" s="142"/>
      <c r="P161" s="141"/>
      <c r="Q161">
        <v>1</v>
      </c>
    </row>
    <row r="162" spans="1:17" ht="18" hidden="1" x14ac:dyDescent="0.25">
      <c r="A162" s="72"/>
      <c r="B162" s="71" t="s">
        <v>108</v>
      </c>
      <c r="C162" s="73" t="s">
        <v>109</v>
      </c>
      <c r="D162" s="71"/>
      <c r="E162" s="71"/>
      <c r="F162" s="71"/>
      <c r="G162" s="71"/>
      <c r="H162" s="71"/>
      <c r="I162" s="71"/>
      <c r="J162" s="71"/>
      <c r="K162" s="140">
        <f>L163*10%</f>
        <v>360000</v>
      </c>
      <c r="L162" s="141"/>
      <c r="M162" s="142">
        <f>N163*10%</f>
        <v>340000</v>
      </c>
      <c r="N162" s="141"/>
      <c r="O162" s="142"/>
      <c r="P162" s="141"/>
      <c r="Q162">
        <v>1</v>
      </c>
    </row>
    <row r="163" spans="1:17" ht="18" hidden="1" x14ac:dyDescent="0.25">
      <c r="A163" s="72"/>
      <c r="B163" s="71" t="s">
        <v>118</v>
      </c>
      <c r="C163" s="73" t="s">
        <v>165</v>
      </c>
      <c r="D163" s="71"/>
      <c r="E163" s="71"/>
      <c r="F163" s="71"/>
      <c r="G163" s="71"/>
      <c r="H163" s="71"/>
      <c r="I163" s="71"/>
      <c r="J163" s="71"/>
      <c r="K163" s="140"/>
      <c r="L163" s="141">
        <f>-Matriz!D76</f>
        <v>3600000</v>
      </c>
      <c r="M163" s="142"/>
      <c r="N163" s="141">
        <f>-Matriz!E76</f>
        <v>3400000</v>
      </c>
      <c r="O163" s="142"/>
      <c r="P163" s="141"/>
      <c r="Q163">
        <v>1</v>
      </c>
    </row>
    <row r="164" spans="1:17" ht="6.75" hidden="1" customHeight="1" x14ac:dyDescent="0.25">
      <c r="A164" s="72"/>
      <c r="B164" s="71"/>
      <c r="C164" s="71"/>
      <c r="D164" s="71"/>
      <c r="E164" s="71"/>
      <c r="F164" s="71"/>
      <c r="G164" s="71"/>
      <c r="H164" s="71"/>
      <c r="I164" s="71"/>
      <c r="J164" s="71"/>
      <c r="K164" s="140"/>
      <c r="L164" s="141"/>
      <c r="M164" s="142"/>
      <c r="N164" s="141"/>
      <c r="O164" s="142"/>
      <c r="P164" s="141"/>
      <c r="Q164">
        <v>1</v>
      </c>
    </row>
    <row r="165" spans="1:17" ht="18" hidden="1" x14ac:dyDescent="0.25">
      <c r="A165" s="68">
        <f>+A159+1</f>
        <v>15</v>
      </c>
      <c r="B165" s="69" t="s">
        <v>11</v>
      </c>
      <c r="C165" s="69" t="s">
        <v>121</v>
      </c>
      <c r="D165" s="71"/>
      <c r="E165" s="71"/>
      <c r="F165" s="71"/>
      <c r="G165" s="71"/>
      <c r="H165" s="71"/>
      <c r="I165" s="71"/>
      <c r="J165" s="71"/>
      <c r="K165" s="140"/>
      <c r="L165" s="141"/>
      <c r="M165" s="142"/>
      <c r="N165" s="141"/>
      <c r="O165" s="142"/>
      <c r="P165" s="141"/>
      <c r="Q165">
        <v>1</v>
      </c>
    </row>
    <row r="166" spans="1:17" ht="18" hidden="1" x14ac:dyDescent="0.25">
      <c r="A166" s="72"/>
      <c r="B166" s="71" t="s">
        <v>104</v>
      </c>
      <c r="C166" s="73" t="s">
        <v>177</v>
      </c>
      <c r="D166" s="71"/>
      <c r="E166" s="71"/>
      <c r="F166" s="71"/>
      <c r="G166" s="71"/>
      <c r="H166" s="71"/>
      <c r="I166" s="71"/>
      <c r="J166" s="71"/>
      <c r="K166" s="140">
        <f>+F177*60%</f>
        <v>120000</v>
      </c>
      <c r="L166" s="141"/>
      <c r="M166" s="142">
        <f>+G177*60%</f>
        <v>60000</v>
      </c>
      <c r="N166" s="141"/>
      <c r="O166" s="142"/>
      <c r="P166" s="141"/>
      <c r="Q166">
        <v>1</v>
      </c>
    </row>
    <row r="167" spans="1:17" ht="18" hidden="1" x14ac:dyDescent="0.25">
      <c r="A167" s="72"/>
      <c r="B167" s="71" t="s">
        <v>106</v>
      </c>
      <c r="C167" s="73" t="s">
        <v>107</v>
      </c>
      <c r="D167" s="71"/>
      <c r="E167" s="71"/>
      <c r="F167" s="71"/>
      <c r="G167" s="71"/>
      <c r="H167" s="71"/>
      <c r="I167" s="71"/>
      <c r="J167" s="71"/>
      <c r="K167" s="140">
        <f>+F177*30%</f>
        <v>60000</v>
      </c>
      <c r="L167" s="141"/>
      <c r="M167" s="142">
        <f>+G177*30%</f>
        <v>30000</v>
      </c>
      <c r="N167" s="141"/>
      <c r="O167" s="142"/>
      <c r="P167" s="141"/>
      <c r="Q167">
        <v>1</v>
      </c>
    </row>
    <row r="168" spans="1:17" ht="18" hidden="1" x14ac:dyDescent="0.25">
      <c r="A168" s="72"/>
      <c r="B168" s="71" t="s">
        <v>108</v>
      </c>
      <c r="C168" s="73" t="s">
        <v>109</v>
      </c>
      <c r="D168" s="71"/>
      <c r="E168" s="71"/>
      <c r="F168" s="71"/>
      <c r="G168" s="71"/>
      <c r="H168" s="71"/>
      <c r="I168" s="71"/>
      <c r="J168" s="71"/>
      <c r="K168" s="140">
        <f>+F177*10%</f>
        <v>20000</v>
      </c>
      <c r="L168" s="141"/>
      <c r="M168" s="142">
        <f>+G177*10%</f>
        <v>10000</v>
      </c>
      <c r="N168" s="141"/>
      <c r="O168" s="142"/>
      <c r="P168" s="141"/>
      <c r="Q168">
        <v>1</v>
      </c>
    </row>
    <row r="169" spans="1:17" ht="18" hidden="1" x14ac:dyDescent="0.25">
      <c r="A169" s="72"/>
      <c r="B169" s="71" t="s">
        <v>98</v>
      </c>
      <c r="C169" s="73" t="s">
        <v>99</v>
      </c>
      <c r="D169" s="71"/>
      <c r="E169" s="71"/>
      <c r="F169" s="71"/>
      <c r="G169" s="71"/>
      <c r="H169" s="71"/>
      <c r="I169" s="71"/>
      <c r="J169" s="71"/>
      <c r="K169" s="140">
        <f>+M169+M166+M167+M168</f>
        <v>700000</v>
      </c>
      <c r="L169" s="141"/>
      <c r="M169" s="142">
        <f>+O169</f>
        <v>600000</v>
      </c>
      <c r="N169" s="141"/>
      <c r="O169" s="142">
        <f>+G173</f>
        <v>600000</v>
      </c>
      <c r="P169" s="141"/>
      <c r="Q169">
        <v>1</v>
      </c>
    </row>
    <row r="170" spans="1:17" ht="18" hidden="1" x14ac:dyDescent="0.25">
      <c r="A170" s="72"/>
      <c r="B170" s="71" t="s">
        <v>88</v>
      </c>
      <c r="C170" s="73" t="s">
        <v>89</v>
      </c>
      <c r="D170" s="71"/>
      <c r="E170" s="71"/>
      <c r="F170" s="71"/>
      <c r="G170" s="71"/>
      <c r="H170" s="71"/>
      <c r="I170" s="71"/>
      <c r="J170" s="71"/>
      <c r="K170" s="140"/>
      <c r="L170" s="141">
        <f>+F176</f>
        <v>900000</v>
      </c>
      <c r="M170" s="142"/>
      <c r="N170" s="141">
        <f>+G176</f>
        <v>700000</v>
      </c>
      <c r="O170" s="142"/>
      <c r="P170" s="141">
        <f>+O169</f>
        <v>600000</v>
      </c>
      <c r="Q170">
        <v>1</v>
      </c>
    </row>
    <row r="171" spans="1:17" ht="18" hidden="1" x14ac:dyDescent="0.25">
      <c r="A171" s="72"/>
      <c r="B171" s="71"/>
      <c r="C171" s="105"/>
      <c r="D171" s="105"/>
      <c r="E171" s="105"/>
      <c r="F171" s="106">
        <v>2016</v>
      </c>
      <c r="G171" s="106">
        <v>2015</v>
      </c>
      <c r="H171" s="71"/>
      <c r="I171" s="71"/>
      <c r="J171" s="71"/>
      <c r="K171" s="140"/>
      <c r="L171" s="141"/>
      <c r="M171" s="142"/>
      <c r="N171" s="141"/>
      <c r="O171" s="142"/>
      <c r="P171" s="141"/>
      <c r="Q171">
        <v>1</v>
      </c>
    </row>
    <row r="172" spans="1:17" ht="18" hidden="1" x14ac:dyDescent="0.25">
      <c r="A172" s="72"/>
      <c r="B172" s="71"/>
      <c r="C172" s="107"/>
      <c r="D172" s="107"/>
      <c r="E172" s="107"/>
      <c r="F172" s="108" t="s">
        <v>129</v>
      </c>
      <c r="G172" s="108" t="s">
        <v>129</v>
      </c>
      <c r="H172" s="71"/>
      <c r="I172" s="71"/>
      <c r="J172" s="71"/>
      <c r="K172" s="140"/>
      <c r="L172" s="141"/>
      <c r="M172" s="142"/>
      <c r="N172" s="141"/>
      <c r="O172" s="142"/>
      <c r="P172" s="141"/>
      <c r="Q172">
        <v>1</v>
      </c>
    </row>
    <row r="173" spans="1:17" ht="18" hidden="1" x14ac:dyDescent="0.25">
      <c r="A173" s="72"/>
      <c r="B173" s="71"/>
      <c r="C173" s="75" t="s">
        <v>125</v>
      </c>
      <c r="D173" s="75"/>
      <c r="E173" s="74"/>
      <c r="F173" s="109">
        <f>+G176</f>
        <v>700000</v>
      </c>
      <c r="G173" s="109">
        <v>600000</v>
      </c>
      <c r="H173" s="71"/>
      <c r="I173" s="71"/>
      <c r="J173" s="71"/>
      <c r="K173" s="140"/>
      <c r="L173" s="141"/>
      <c r="M173" s="142"/>
      <c r="N173" s="141"/>
      <c r="O173" s="142"/>
      <c r="P173" s="141"/>
      <c r="Q173">
        <v>1</v>
      </c>
    </row>
    <row r="174" spans="1:17" ht="18" hidden="1" x14ac:dyDescent="0.25">
      <c r="A174" s="72"/>
      <c r="B174" s="71"/>
      <c r="C174" s="71" t="s">
        <v>166</v>
      </c>
      <c r="D174" s="71"/>
      <c r="E174" s="71"/>
      <c r="F174" s="99">
        <v>400000</v>
      </c>
      <c r="G174" s="99">
        <v>400000</v>
      </c>
      <c r="H174" s="71"/>
      <c r="I174" s="71"/>
      <c r="J174" s="71"/>
      <c r="K174" s="140"/>
      <c r="L174" s="141"/>
      <c r="M174" s="142"/>
      <c r="N174" s="141"/>
      <c r="O174" s="142"/>
      <c r="P174" s="141"/>
      <c r="Q174">
        <v>1</v>
      </c>
    </row>
    <row r="175" spans="1:17" ht="18" hidden="1" x14ac:dyDescent="0.25">
      <c r="A175" s="72"/>
      <c r="B175" s="71"/>
      <c r="C175" s="74" t="s">
        <v>167</v>
      </c>
      <c r="D175" s="74"/>
      <c r="E175" s="74"/>
      <c r="F175" s="110">
        <v>-200000</v>
      </c>
      <c r="G175" s="110">
        <v>-300000</v>
      </c>
      <c r="H175" s="71"/>
      <c r="I175" s="71"/>
      <c r="J175" s="71"/>
      <c r="K175" s="140"/>
      <c r="L175" s="141"/>
      <c r="M175" s="142"/>
      <c r="N175" s="141"/>
      <c r="O175" s="142"/>
      <c r="P175" s="141"/>
      <c r="Q175">
        <v>1</v>
      </c>
    </row>
    <row r="176" spans="1:17" ht="18" hidden="1" x14ac:dyDescent="0.25">
      <c r="A176" s="72"/>
      <c r="B176" s="71"/>
      <c r="C176" s="75" t="s">
        <v>128</v>
      </c>
      <c r="D176" s="75"/>
      <c r="E176" s="74"/>
      <c r="F176" s="109">
        <f>SUM(F173:F175)</f>
        <v>900000</v>
      </c>
      <c r="G176" s="109">
        <f>SUM(G173:G175)</f>
        <v>700000</v>
      </c>
      <c r="H176" s="71"/>
      <c r="I176" s="71"/>
      <c r="J176" s="71"/>
      <c r="K176" s="140"/>
      <c r="L176" s="141"/>
      <c r="M176" s="142"/>
      <c r="N176" s="141"/>
      <c r="O176" s="142"/>
      <c r="P176" s="141"/>
      <c r="Q176">
        <v>1</v>
      </c>
    </row>
    <row r="177" spans="1:17" hidden="1" x14ac:dyDescent="0.3">
      <c r="A177" s="72"/>
      <c r="B177" s="71"/>
      <c r="C177" s="111" t="s">
        <v>168</v>
      </c>
      <c r="D177" s="111"/>
      <c r="E177" s="111"/>
      <c r="F177" s="112">
        <f>+F174+F175</f>
        <v>200000</v>
      </c>
      <c r="G177" s="112">
        <f>+G174+G175</f>
        <v>100000</v>
      </c>
      <c r="H177" s="71"/>
      <c r="I177" s="71"/>
      <c r="J177" s="71"/>
      <c r="K177" s="140"/>
      <c r="L177" s="141"/>
      <c r="M177" s="142"/>
      <c r="N177" s="141"/>
      <c r="O177" s="142"/>
      <c r="P177" s="141"/>
      <c r="Q177">
        <v>1</v>
      </c>
    </row>
    <row r="178" spans="1:17" ht="18" hidden="1" x14ac:dyDescent="0.25">
      <c r="A178" s="72"/>
      <c r="B178" s="71"/>
      <c r="C178" s="71"/>
      <c r="D178" s="71"/>
      <c r="E178" s="71"/>
      <c r="F178" s="71"/>
      <c r="G178" s="71"/>
      <c r="H178" s="71"/>
      <c r="I178" s="71"/>
      <c r="J178" s="71"/>
      <c r="K178" s="140"/>
      <c r="L178" s="141"/>
      <c r="M178" s="142"/>
      <c r="N178" s="141"/>
      <c r="O178" s="142"/>
      <c r="P178" s="141"/>
    </row>
    <row r="179" spans="1:17" s="1" customFormat="1" ht="18" hidden="1" x14ac:dyDescent="0.25">
      <c r="A179" s="68">
        <f>+A165+1</f>
        <v>16</v>
      </c>
      <c r="B179" s="69" t="s">
        <v>12</v>
      </c>
      <c r="C179" s="69" t="s">
        <v>37</v>
      </c>
      <c r="D179" s="69"/>
      <c r="E179" s="69"/>
      <c r="F179" s="69"/>
      <c r="G179" s="69"/>
      <c r="H179" s="69"/>
      <c r="I179" s="69"/>
      <c r="J179" s="69"/>
      <c r="K179" s="143"/>
      <c r="L179" s="144"/>
      <c r="M179" s="145"/>
      <c r="N179" s="144"/>
      <c r="O179" s="145"/>
      <c r="P179" s="144"/>
      <c r="Q179">
        <v>1</v>
      </c>
    </row>
    <row r="180" spans="1:17" s="1" customFormat="1" ht="18" hidden="1" x14ac:dyDescent="0.25">
      <c r="A180" s="68"/>
      <c r="B180" s="71" t="s">
        <v>224</v>
      </c>
      <c r="C180" s="73" t="s">
        <v>176</v>
      </c>
      <c r="D180" s="73"/>
      <c r="E180" s="69"/>
      <c r="F180" s="69"/>
      <c r="G180" s="69"/>
      <c r="H180" s="69"/>
      <c r="I180" s="69"/>
      <c r="J180" s="69"/>
      <c r="K180" s="140">
        <f>+G189</f>
        <v>95499.999999999913</v>
      </c>
      <c r="L180" s="141"/>
      <c r="M180" s="142">
        <f>+H189</f>
        <v>158200.00000000029</v>
      </c>
      <c r="N180" s="141"/>
      <c r="O180" s="142">
        <v>0</v>
      </c>
      <c r="P180" s="141"/>
      <c r="Q180">
        <v>1</v>
      </c>
    </row>
    <row r="181" spans="1:17" s="1" customFormat="1" ht="18" hidden="1" x14ac:dyDescent="0.25">
      <c r="A181" s="68"/>
      <c r="B181" s="71" t="s">
        <v>98</v>
      </c>
      <c r="C181" s="73" t="s">
        <v>99</v>
      </c>
      <c r="D181" s="69"/>
      <c r="E181" s="69"/>
      <c r="F181" s="69"/>
      <c r="G181" s="69"/>
      <c r="H181" s="69"/>
      <c r="I181" s="69"/>
      <c r="J181" s="69"/>
      <c r="K181" s="140">
        <f>+M180-N181</f>
        <v>125800.00000000013</v>
      </c>
      <c r="L181" s="141"/>
      <c r="M181" s="142"/>
      <c r="N181" s="141">
        <f>+P181</f>
        <v>32400.000000000164</v>
      </c>
      <c r="O181" s="142"/>
      <c r="P181" s="141">
        <f>+O182</f>
        <v>32400.000000000164</v>
      </c>
      <c r="Q181">
        <v>1</v>
      </c>
    </row>
    <row r="182" spans="1:17" s="1" customFormat="1" ht="18" hidden="1" x14ac:dyDescent="0.25">
      <c r="A182" s="68"/>
      <c r="B182" s="71" t="s">
        <v>66</v>
      </c>
      <c r="C182" s="97" t="s">
        <v>67</v>
      </c>
      <c r="D182" s="97"/>
      <c r="E182" s="69"/>
      <c r="F182" s="69"/>
      <c r="G182" s="69"/>
      <c r="H182" s="69"/>
      <c r="I182" s="69"/>
      <c r="J182" s="69"/>
      <c r="K182" s="140"/>
      <c r="L182" s="141">
        <f>+G189</f>
        <v>95499.999999999913</v>
      </c>
      <c r="M182" s="142"/>
      <c r="N182" s="141">
        <f>+H189</f>
        <v>158200.00000000029</v>
      </c>
      <c r="O182" s="142">
        <f>-I189</f>
        <v>32400.000000000164</v>
      </c>
      <c r="P182" s="141"/>
      <c r="Q182">
        <v>1</v>
      </c>
    </row>
    <row r="183" spans="1:17" s="1" customFormat="1" ht="18" hidden="1" x14ac:dyDescent="0.25">
      <c r="A183" s="68"/>
      <c r="B183" s="71" t="s">
        <v>70</v>
      </c>
      <c r="C183" s="73" t="s">
        <v>71</v>
      </c>
      <c r="D183" s="69"/>
      <c r="E183" s="69"/>
      <c r="F183" s="69"/>
      <c r="G183" s="69"/>
      <c r="H183" s="69"/>
      <c r="I183" s="69"/>
      <c r="J183" s="69"/>
      <c r="K183" s="140"/>
      <c r="L183" s="141">
        <f>+K181</f>
        <v>125800.00000000013</v>
      </c>
      <c r="M183" s="142">
        <f>+N181</f>
        <v>32400.000000000164</v>
      </c>
      <c r="N183" s="141"/>
      <c r="O183" s="142"/>
      <c r="P183" s="141"/>
      <c r="Q183">
        <v>1</v>
      </c>
    </row>
    <row r="184" spans="1:17" s="1" customFormat="1" ht="18" hidden="1" x14ac:dyDescent="0.25">
      <c r="A184" s="68"/>
      <c r="B184" s="69"/>
      <c r="C184" s="71"/>
      <c r="D184" s="71"/>
      <c r="E184" s="71"/>
      <c r="F184" s="71"/>
      <c r="G184" s="68">
        <v>2016</v>
      </c>
      <c r="H184" s="68">
        <v>2015</v>
      </c>
      <c r="I184" s="68">
        <v>2014</v>
      </c>
      <c r="J184" s="69"/>
      <c r="K184" s="143"/>
      <c r="L184" s="144"/>
      <c r="M184" s="145"/>
      <c r="N184" s="144"/>
      <c r="O184" s="145"/>
      <c r="P184" s="144"/>
      <c r="Q184">
        <v>1</v>
      </c>
    </row>
    <row r="185" spans="1:17" s="1" customFormat="1" ht="18" hidden="1" x14ac:dyDescent="0.25">
      <c r="A185" s="68"/>
      <c r="B185" s="69"/>
      <c r="C185" s="74"/>
      <c r="D185" s="74"/>
      <c r="E185" s="74"/>
      <c r="F185" s="74"/>
      <c r="G185" s="113" t="s">
        <v>170</v>
      </c>
      <c r="H185" s="113" t="s">
        <v>170</v>
      </c>
      <c r="I185" s="113" t="s">
        <v>170</v>
      </c>
      <c r="J185" s="69"/>
      <c r="K185" s="143"/>
      <c r="L185" s="144"/>
      <c r="M185" s="145"/>
      <c r="N185" s="144"/>
      <c r="O185" s="145"/>
      <c r="P185" s="144"/>
      <c r="Q185">
        <v>1</v>
      </c>
    </row>
    <row r="186" spans="1:17" s="1" customFormat="1" ht="18" hidden="1" x14ac:dyDescent="0.25">
      <c r="A186" s="68"/>
      <c r="B186" s="69"/>
      <c r="C186" s="75" t="s">
        <v>169</v>
      </c>
      <c r="D186" s="75"/>
      <c r="E186" s="75"/>
      <c r="F186" s="75"/>
      <c r="G186" s="109">
        <v>500000</v>
      </c>
      <c r="H186" s="109">
        <v>700000</v>
      </c>
      <c r="I186" s="109">
        <v>600000</v>
      </c>
      <c r="J186" s="69"/>
      <c r="K186" s="143"/>
      <c r="L186" s="144"/>
      <c r="M186" s="145"/>
      <c r="N186" s="144"/>
      <c r="O186" s="145"/>
      <c r="P186" s="144"/>
      <c r="Q186">
        <v>1</v>
      </c>
    </row>
    <row r="187" spans="1:17" s="1" customFormat="1" ht="18" hidden="1" x14ac:dyDescent="0.25">
      <c r="A187" s="68"/>
      <c r="B187" s="69"/>
      <c r="C187" s="69" t="s">
        <v>171</v>
      </c>
      <c r="D187" s="69"/>
      <c r="E187" s="69"/>
      <c r="F187" s="69"/>
      <c r="G187" s="114">
        <v>3</v>
      </c>
      <c r="H187" s="114">
        <v>2.7639999999999998</v>
      </c>
      <c r="I187" s="114">
        <v>2.85</v>
      </c>
      <c r="J187" s="69"/>
      <c r="K187" s="143"/>
      <c r="L187" s="144"/>
      <c r="M187" s="145"/>
      <c r="N187" s="144"/>
      <c r="O187" s="145"/>
      <c r="P187" s="144"/>
      <c r="Q187">
        <v>1</v>
      </c>
    </row>
    <row r="188" spans="1:17" s="1" customFormat="1" ht="18" hidden="1" x14ac:dyDescent="0.25">
      <c r="A188" s="68"/>
      <c r="B188" s="69"/>
      <c r="C188" s="69" t="s">
        <v>172</v>
      </c>
      <c r="D188" s="69"/>
      <c r="E188" s="69"/>
      <c r="F188" s="69"/>
      <c r="G188" s="114">
        <v>3.1909999999999998</v>
      </c>
      <c r="H188" s="114">
        <v>2.99</v>
      </c>
      <c r="I188" s="69">
        <v>2.7959999999999998</v>
      </c>
      <c r="J188" s="69"/>
      <c r="K188" s="143"/>
      <c r="L188" s="144"/>
      <c r="M188" s="145"/>
      <c r="N188" s="144"/>
      <c r="O188" s="145"/>
      <c r="P188" s="144"/>
      <c r="Q188">
        <v>1</v>
      </c>
    </row>
    <row r="189" spans="1:17" s="1" customFormat="1" ht="18" hidden="1" x14ac:dyDescent="0.25">
      <c r="A189" s="68"/>
      <c r="B189" s="69"/>
      <c r="C189" s="69" t="s">
        <v>173</v>
      </c>
      <c r="D189" s="69"/>
      <c r="E189" s="69"/>
      <c r="F189" s="69"/>
      <c r="G189" s="115">
        <f>(G188-G187)*G186</f>
        <v>95499.999999999913</v>
      </c>
      <c r="H189" s="115">
        <f>(H188-H187)*H186</f>
        <v>158200.00000000029</v>
      </c>
      <c r="I189" s="115">
        <f>(I188-I187)*I186</f>
        <v>-32400.000000000164</v>
      </c>
      <c r="J189" s="69"/>
      <c r="K189" s="143"/>
      <c r="L189" s="144"/>
      <c r="M189" s="145"/>
      <c r="N189" s="144"/>
      <c r="O189" s="145"/>
      <c r="P189" s="144"/>
      <c r="Q189">
        <v>1</v>
      </c>
    </row>
    <row r="190" spans="1:17" s="1" customFormat="1" ht="18" hidden="1" x14ac:dyDescent="0.25">
      <c r="A190" s="68"/>
      <c r="B190" s="69"/>
      <c r="C190" s="69"/>
      <c r="D190" s="69"/>
      <c r="E190" s="69"/>
      <c r="F190" s="69"/>
      <c r="G190" s="69"/>
      <c r="H190" s="69"/>
      <c r="I190" s="69"/>
      <c r="J190" s="69"/>
      <c r="K190" s="143"/>
      <c r="L190" s="144"/>
      <c r="M190" s="145"/>
      <c r="N190" s="144"/>
      <c r="O190" s="145"/>
      <c r="P190" s="144"/>
      <c r="Q190">
        <v>1</v>
      </c>
    </row>
    <row r="191" spans="1:17" s="1" customFormat="1" ht="18" hidden="1" x14ac:dyDescent="0.25">
      <c r="A191" s="68">
        <f>+A179+1</f>
        <v>17</v>
      </c>
      <c r="B191" s="69" t="s">
        <v>12</v>
      </c>
      <c r="C191" s="69" t="s">
        <v>38</v>
      </c>
      <c r="D191" s="69"/>
      <c r="E191" s="69"/>
      <c r="F191" s="69"/>
      <c r="G191" s="69"/>
      <c r="H191" s="69"/>
      <c r="I191" s="69"/>
      <c r="J191" s="69"/>
      <c r="K191" s="143"/>
      <c r="L191" s="144"/>
      <c r="M191" s="145"/>
      <c r="N191" s="144"/>
      <c r="O191" s="145"/>
      <c r="P191" s="144"/>
      <c r="Q191">
        <v>1</v>
      </c>
    </row>
    <row r="192" spans="1:17" s="1" customFormat="1" ht="18" hidden="1" x14ac:dyDescent="0.25">
      <c r="A192" s="68"/>
      <c r="B192" s="71" t="s">
        <v>88</v>
      </c>
      <c r="C192" s="73" t="s">
        <v>89</v>
      </c>
      <c r="D192" s="69"/>
      <c r="E192" s="69"/>
      <c r="F192" s="69"/>
      <c r="G192" s="69"/>
      <c r="H192" s="69"/>
      <c r="I192" s="69"/>
      <c r="J192" s="69"/>
      <c r="K192" s="140">
        <f>+G206</f>
        <v>7977500</v>
      </c>
      <c r="L192" s="144"/>
      <c r="M192" s="142">
        <f>++H206</f>
        <v>6578000.0000000009</v>
      </c>
      <c r="N192" s="144"/>
      <c r="O192" s="142">
        <f>+I206</f>
        <v>5592000</v>
      </c>
      <c r="P192" s="144"/>
      <c r="Q192">
        <v>1</v>
      </c>
    </row>
    <row r="193" spans="1:17" s="1" customFormat="1" ht="18" hidden="1" x14ac:dyDescent="0.25">
      <c r="A193" s="68"/>
      <c r="B193" s="71" t="s">
        <v>179</v>
      </c>
      <c r="C193" s="73" t="s">
        <v>180</v>
      </c>
      <c r="D193" s="69"/>
      <c r="E193" s="69"/>
      <c r="F193" s="69"/>
      <c r="G193" s="69"/>
      <c r="H193" s="69"/>
      <c r="I193" s="69"/>
      <c r="J193" s="69"/>
      <c r="K193" s="140"/>
      <c r="L193" s="141">
        <f>+K192</f>
        <v>7977500</v>
      </c>
      <c r="M193" s="142"/>
      <c r="N193" s="141">
        <f>+M192</f>
        <v>6578000.0000000009</v>
      </c>
      <c r="O193" s="142"/>
      <c r="P193" s="141">
        <f>+O192</f>
        <v>5592000</v>
      </c>
      <c r="Q193">
        <v>1</v>
      </c>
    </row>
    <row r="194" spans="1:17" s="1" customFormat="1" ht="18" hidden="1" x14ac:dyDescent="0.25">
      <c r="A194" s="68"/>
      <c r="B194" s="116"/>
      <c r="C194" s="117"/>
      <c r="D194" s="69"/>
      <c r="E194" s="69"/>
      <c r="F194" s="69"/>
      <c r="G194" s="69"/>
      <c r="H194" s="69"/>
      <c r="I194" s="69"/>
      <c r="J194" s="69"/>
      <c r="K194" s="143"/>
      <c r="L194" s="144"/>
      <c r="M194" s="145"/>
      <c r="N194" s="144"/>
      <c r="O194" s="145"/>
      <c r="P194" s="144"/>
      <c r="Q194">
        <v>1</v>
      </c>
    </row>
    <row r="195" spans="1:17" s="1" customFormat="1" ht="18" hidden="1" x14ac:dyDescent="0.25">
      <c r="A195" s="68"/>
      <c r="B195" s="71" t="s">
        <v>179</v>
      </c>
      <c r="C195" s="73" t="s">
        <v>180</v>
      </c>
      <c r="D195" s="97"/>
      <c r="E195" s="69"/>
      <c r="F195" s="69"/>
      <c r="G195" s="69"/>
      <c r="H195" s="69"/>
      <c r="I195" s="69"/>
      <c r="J195" s="69"/>
      <c r="K195" s="140">
        <f>+G205</f>
        <v>477499.99999999959</v>
      </c>
      <c r="L195" s="141"/>
      <c r="M195" s="142">
        <f>+H205</f>
        <v>497200.00000000093</v>
      </c>
      <c r="N195" s="141"/>
      <c r="O195" s="142"/>
      <c r="P195" s="141">
        <f>-I205</f>
        <v>108000.00000000054</v>
      </c>
      <c r="Q195">
        <v>1</v>
      </c>
    </row>
    <row r="196" spans="1:17" s="1" customFormat="1" ht="18" hidden="1" x14ac:dyDescent="0.25">
      <c r="A196" s="68"/>
      <c r="B196" s="71" t="s">
        <v>224</v>
      </c>
      <c r="C196" s="73" t="s">
        <v>176</v>
      </c>
      <c r="D196" s="73"/>
      <c r="E196" s="69"/>
      <c r="F196" s="69"/>
      <c r="G196" s="69"/>
      <c r="H196" s="69"/>
      <c r="I196" s="69"/>
      <c r="J196" s="69"/>
      <c r="K196" s="140"/>
      <c r="L196" s="141">
        <f>+K195</f>
        <v>477499.99999999959</v>
      </c>
      <c r="M196" s="142"/>
      <c r="N196" s="141">
        <f>+M195</f>
        <v>497200.00000000093</v>
      </c>
      <c r="O196" s="142"/>
      <c r="P196" s="141"/>
      <c r="Q196">
        <v>1</v>
      </c>
    </row>
    <row r="197" spans="1:17" s="1" customFormat="1" ht="18" hidden="1" x14ac:dyDescent="0.25">
      <c r="A197" s="68"/>
      <c r="B197" s="71" t="s">
        <v>98</v>
      </c>
      <c r="C197" s="73" t="s">
        <v>99</v>
      </c>
      <c r="D197" s="69"/>
      <c r="E197" s="69"/>
      <c r="F197" s="69"/>
      <c r="G197" s="69"/>
      <c r="H197" s="69"/>
      <c r="I197" s="69"/>
      <c r="J197" s="69"/>
      <c r="K197" s="140"/>
      <c r="L197" s="141">
        <f>+N196</f>
        <v>497200.00000000093</v>
      </c>
      <c r="M197" s="142">
        <f>+O197</f>
        <v>108000.00000000054</v>
      </c>
      <c r="N197" s="141"/>
      <c r="O197" s="142">
        <f>+P195</f>
        <v>108000.00000000054</v>
      </c>
      <c r="P197" s="141"/>
      <c r="Q197">
        <v>1</v>
      </c>
    </row>
    <row r="198" spans="1:17" s="1" customFormat="1" ht="18" hidden="1" x14ac:dyDescent="0.25">
      <c r="A198" s="68"/>
      <c r="B198" s="116" t="s">
        <v>103</v>
      </c>
      <c r="C198" s="117" t="s">
        <v>139</v>
      </c>
      <c r="D198" s="69"/>
      <c r="E198" s="69"/>
      <c r="F198" s="69"/>
      <c r="G198" s="69"/>
      <c r="H198" s="69"/>
      <c r="I198" s="69"/>
      <c r="J198" s="69"/>
      <c r="K198" s="140">
        <f>+L197</f>
        <v>497200.00000000093</v>
      </c>
      <c r="L198" s="141"/>
      <c r="M198" s="142"/>
      <c r="N198" s="141">
        <f>+M197</f>
        <v>108000.00000000054</v>
      </c>
      <c r="O198" s="142"/>
      <c r="P198" s="141"/>
      <c r="Q198">
        <v>1</v>
      </c>
    </row>
    <row r="199" spans="1:17" s="1" customFormat="1" ht="18" hidden="1" x14ac:dyDescent="0.25">
      <c r="A199" s="68"/>
      <c r="B199" s="69"/>
      <c r="C199" s="69"/>
      <c r="D199" s="69"/>
      <c r="E199" s="69"/>
      <c r="F199" s="69"/>
      <c r="G199" s="69"/>
      <c r="H199" s="69"/>
      <c r="I199" s="69"/>
      <c r="J199" s="69"/>
      <c r="K199" s="143"/>
      <c r="L199" s="144"/>
      <c r="M199" s="145"/>
      <c r="N199" s="144"/>
      <c r="O199" s="145"/>
      <c r="P199" s="144"/>
      <c r="Q199">
        <v>1</v>
      </c>
    </row>
    <row r="200" spans="1:17" s="1" customFormat="1" ht="18" hidden="1" x14ac:dyDescent="0.25">
      <c r="A200" s="68"/>
      <c r="B200" s="69"/>
      <c r="C200" s="105"/>
      <c r="D200" s="105"/>
      <c r="E200" s="105"/>
      <c r="F200" s="105"/>
      <c r="G200" s="106">
        <v>2016</v>
      </c>
      <c r="H200" s="106">
        <v>2015</v>
      </c>
      <c r="I200" s="106">
        <v>2014</v>
      </c>
      <c r="J200" s="69"/>
      <c r="K200" s="143"/>
      <c r="L200" s="144"/>
      <c r="M200" s="145"/>
      <c r="N200" s="144"/>
      <c r="O200" s="145"/>
      <c r="P200" s="144"/>
      <c r="Q200">
        <v>1</v>
      </c>
    </row>
    <row r="201" spans="1:17" s="1" customFormat="1" ht="18" hidden="1" x14ac:dyDescent="0.25">
      <c r="A201" s="68"/>
      <c r="B201" s="69"/>
      <c r="C201" s="107"/>
      <c r="D201" s="107"/>
      <c r="E201" s="107"/>
      <c r="F201" s="107"/>
      <c r="G201" s="108" t="s">
        <v>170</v>
      </c>
      <c r="H201" s="108" t="s">
        <v>170</v>
      </c>
      <c r="I201" s="108" t="s">
        <v>170</v>
      </c>
      <c r="J201" s="69"/>
      <c r="K201" s="143"/>
      <c r="L201" s="144"/>
      <c r="M201" s="145"/>
      <c r="N201" s="144"/>
      <c r="O201" s="145"/>
      <c r="P201" s="144"/>
      <c r="Q201">
        <v>1</v>
      </c>
    </row>
    <row r="202" spans="1:17" s="1" customFormat="1" ht="18" hidden="1" x14ac:dyDescent="0.25">
      <c r="A202" s="68"/>
      <c r="B202" s="69"/>
      <c r="C202" s="75" t="s">
        <v>178</v>
      </c>
      <c r="D202" s="75"/>
      <c r="E202" s="75"/>
      <c r="F202" s="75"/>
      <c r="G202" s="109">
        <v>2500000</v>
      </c>
      <c r="H202" s="109">
        <v>2200000</v>
      </c>
      <c r="I202" s="109">
        <v>2000000</v>
      </c>
      <c r="J202" s="69"/>
      <c r="K202" s="143"/>
      <c r="L202" s="144"/>
      <c r="M202" s="145"/>
      <c r="N202" s="144"/>
      <c r="O202" s="145"/>
      <c r="P202" s="144"/>
      <c r="Q202">
        <v>1</v>
      </c>
    </row>
    <row r="203" spans="1:17" s="1" customFormat="1" ht="18" hidden="1" x14ac:dyDescent="0.25">
      <c r="A203" s="68"/>
      <c r="B203" s="69"/>
      <c r="C203" s="69" t="s">
        <v>171</v>
      </c>
      <c r="D203" s="69"/>
      <c r="E203" s="69"/>
      <c r="F203" s="69"/>
      <c r="G203" s="114">
        <v>3</v>
      </c>
      <c r="H203" s="114">
        <v>2.7639999999999998</v>
      </c>
      <c r="I203" s="114">
        <v>2.85</v>
      </c>
      <c r="J203" s="69"/>
      <c r="K203" s="143"/>
      <c r="L203" s="144"/>
      <c r="M203" s="145"/>
      <c r="N203" s="144"/>
      <c r="O203" s="145"/>
      <c r="P203" s="144"/>
      <c r="Q203">
        <v>1</v>
      </c>
    </row>
    <row r="204" spans="1:17" s="1" customFormat="1" ht="18" hidden="1" x14ac:dyDescent="0.25">
      <c r="A204" s="68"/>
      <c r="B204" s="69"/>
      <c r="C204" s="75" t="s">
        <v>172</v>
      </c>
      <c r="D204" s="75"/>
      <c r="E204" s="75"/>
      <c r="F204" s="75"/>
      <c r="G204" s="118">
        <v>3.1909999999999998</v>
      </c>
      <c r="H204" s="118">
        <v>2.99</v>
      </c>
      <c r="I204" s="75">
        <v>2.7959999999999998</v>
      </c>
      <c r="J204" s="69"/>
      <c r="K204" s="143"/>
      <c r="L204" s="144"/>
      <c r="M204" s="145"/>
      <c r="N204" s="144"/>
      <c r="O204" s="145"/>
      <c r="P204" s="144"/>
      <c r="Q204">
        <v>1</v>
      </c>
    </row>
    <row r="205" spans="1:17" s="1" customFormat="1" ht="18" hidden="1" x14ac:dyDescent="0.25">
      <c r="A205" s="68"/>
      <c r="B205" s="69"/>
      <c r="C205" s="75" t="s">
        <v>173</v>
      </c>
      <c r="D205" s="75"/>
      <c r="E205" s="75"/>
      <c r="F205" s="75"/>
      <c r="G205" s="119">
        <f>(G204-G203)*G202</f>
        <v>477499.99999999959</v>
      </c>
      <c r="H205" s="119">
        <f>(H204-H203)*H202</f>
        <v>497200.00000000093</v>
      </c>
      <c r="I205" s="119">
        <f>(I204-I203)*I202</f>
        <v>-108000.00000000054</v>
      </c>
      <c r="J205" s="69"/>
      <c r="K205" s="143"/>
      <c r="L205" s="144"/>
      <c r="M205" s="145"/>
      <c r="N205" s="144"/>
      <c r="O205" s="145"/>
      <c r="P205" s="144"/>
      <c r="Q205">
        <v>1</v>
      </c>
    </row>
    <row r="206" spans="1:17" s="1" customFormat="1" ht="18" hidden="1" x14ac:dyDescent="0.25">
      <c r="A206" s="68"/>
      <c r="B206" s="69"/>
      <c r="C206" s="75" t="s">
        <v>178</v>
      </c>
      <c r="D206" s="75"/>
      <c r="E206" s="75"/>
      <c r="F206" s="75"/>
      <c r="G206" s="109">
        <f>+G202*G204</f>
        <v>7977500</v>
      </c>
      <c r="H206" s="109">
        <f t="shared" ref="H206:I206" si="26">+H202*H204</f>
        <v>6578000.0000000009</v>
      </c>
      <c r="I206" s="109">
        <f t="shared" si="26"/>
        <v>5592000</v>
      </c>
      <c r="J206" s="69"/>
      <c r="K206" s="143"/>
      <c r="L206" s="144"/>
      <c r="M206" s="145"/>
      <c r="N206" s="144"/>
      <c r="O206" s="145"/>
      <c r="P206" s="144"/>
      <c r="Q206">
        <v>1</v>
      </c>
    </row>
    <row r="207" spans="1:17" s="1" customFormat="1" ht="18" hidden="1" x14ac:dyDescent="0.25">
      <c r="A207" s="68"/>
      <c r="B207" s="69"/>
      <c r="C207" s="69"/>
      <c r="D207" s="69"/>
      <c r="E207" s="69"/>
      <c r="F207" s="115"/>
      <c r="G207" s="115"/>
      <c r="H207" s="69"/>
      <c r="I207" s="69"/>
      <c r="J207" s="69"/>
      <c r="K207" s="143"/>
      <c r="L207" s="144"/>
      <c r="M207" s="145"/>
      <c r="N207" s="144"/>
      <c r="O207" s="145"/>
      <c r="P207" s="144"/>
    </row>
    <row r="208" spans="1:17" s="1" customFormat="1" ht="18" hidden="1" x14ac:dyDescent="0.25">
      <c r="A208" s="68">
        <f>+A191+1</f>
        <v>18</v>
      </c>
      <c r="B208" s="69" t="s">
        <v>12</v>
      </c>
      <c r="C208" s="69" t="s">
        <v>22</v>
      </c>
      <c r="D208" s="69"/>
      <c r="E208" s="69"/>
      <c r="F208" s="69"/>
      <c r="G208" s="69"/>
      <c r="H208" s="69"/>
      <c r="I208" s="69"/>
      <c r="J208" s="69"/>
      <c r="K208" s="143"/>
      <c r="L208" s="144"/>
      <c r="M208" s="145"/>
      <c r="N208" s="144"/>
      <c r="O208" s="145"/>
      <c r="P208" s="144"/>
      <c r="Q208">
        <v>1</v>
      </c>
    </row>
    <row r="209" spans="1:17" ht="18" hidden="1" x14ac:dyDescent="0.25">
      <c r="A209" s="72"/>
      <c r="B209" s="71" t="s">
        <v>113</v>
      </c>
      <c r="C209" s="73" t="s">
        <v>114</v>
      </c>
      <c r="D209" s="71"/>
      <c r="E209" s="71"/>
      <c r="F209" s="71"/>
      <c r="G209" s="71"/>
      <c r="H209" s="71"/>
      <c r="I209" s="71"/>
      <c r="J209" s="71"/>
      <c r="K209" s="140">
        <v>2000000</v>
      </c>
      <c r="L209" s="141"/>
      <c r="M209" s="142">
        <v>1000000</v>
      </c>
      <c r="N209" s="141"/>
      <c r="O209" s="142"/>
      <c r="P209" s="141"/>
      <c r="Q209">
        <v>1</v>
      </c>
    </row>
    <row r="210" spans="1:17" ht="18" hidden="1" x14ac:dyDescent="0.25">
      <c r="A210" s="72"/>
      <c r="B210" s="71" t="s">
        <v>115</v>
      </c>
      <c r="C210" s="73" t="s">
        <v>174</v>
      </c>
      <c r="D210" s="71"/>
      <c r="E210" s="71"/>
      <c r="F210" s="71"/>
      <c r="G210" s="71"/>
      <c r="H210" s="71"/>
      <c r="I210" s="71"/>
      <c r="J210" s="71"/>
      <c r="K210" s="140"/>
      <c r="L210" s="141">
        <v>3500000</v>
      </c>
      <c r="M210" s="142"/>
      <c r="N210" s="141">
        <v>3000000</v>
      </c>
      <c r="O210" s="142"/>
      <c r="P210" s="141"/>
      <c r="Q210">
        <v>1</v>
      </c>
    </row>
    <row r="211" spans="1:17" ht="18" hidden="1" x14ac:dyDescent="0.25">
      <c r="A211" s="72"/>
      <c r="B211" s="71" t="s">
        <v>224</v>
      </c>
      <c r="C211" s="73" t="s">
        <v>176</v>
      </c>
      <c r="D211" s="71"/>
      <c r="E211" s="71"/>
      <c r="F211" s="71"/>
      <c r="G211" s="71"/>
      <c r="H211" s="71"/>
      <c r="I211" s="71"/>
      <c r="J211" s="71"/>
      <c r="K211" s="140">
        <f>+L210-K209</f>
        <v>1500000</v>
      </c>
      <c r="L211" s="141"/>
      <c r="M211" s="142">
        <f>+N210-M209</f>
        <v>2000000</v>
      </c>
      <c r="N211" s="141"/>
      <c r="O211" s="142"/>
      <c r="P211" s="141"/>
      <c r="Q211">
        <v>1</v>
      </c>
    </row>
    <row r="212" spans="1:17" ht="18" hidden="1" x14ac:dyDescent="0.25">
      <c r="A212" s="72"/>
      <c r="B212" s="71"/>
      <c r="C212" s="71"/>
      <c r="D212" s="71"/>
      <c r="E212" s="71"/>
      <c r="F212" s="71"/>
      <c r="G212" s="71"/>
      <c r="H212" s="71"/>
      <c r="I212" s="71"/>
      <c r="J212" s="71"/>
      <c r="K212" s="140"/>
      <c r="L212" s="141"/>
      <c r="M212" s="142"/>
      <c r="N212" s="141"/>
      <c r="O212" s="142"/>
      <c r="P212" s="141"/>
      <c r="Q212">
        <v>1</v>
      </c>
    </row>
    <row r="213" spans="1:17" s="1" customFormat="1" ht="18" hidden="1" x14ac:dyDescent="0.25">
      <c r="A213" s="68">
        <f>+A208+1</f>
        <v>19</v>
      </c>
      <c r="B213" s="69" t="s">
        <v>13</v>
      </c>
      <c r="C213" s="69" t="s">
        <v>36</v>
      </c>
      <c r="D213" s="69"/>
      <c r="E213" s="69"/>
      <c r="F213" s="69"/>
      <c r="G213" s="69"/>
      <c r="H213" s="69"/>
      <c r="I213" s="69"/>
      <c r="J213" s="69"/>
      <c r="K213" s="143"/>
      <c r="L213" s="144"/>
      <c r="M213" s="145"/>
      <c r="N213" s="144"/>
      <c r="O213" s="145"/>
      <c r="P213" s="144"/>
      <c r="Q213">
        <v>1</v>
      </c>
    </row>
    <row r="214" spans="1:17" ht="18" hidden="1" x14ac:dyDescent="0.25">
      <c r="A214" s="72"/>
      <c r="B214" s="71" t="s">
        <v>96</v>
      </c>
      <c r="C214" s="73" t="s">
        <v>97</v>
      </c>
      <c r="D214" s="71"/>
      <c r="E214" s="71"/>
      <c r="F214" s="71"/>
      <c r="G214" s="71"/>
      <c r="H214" s="71"/>
      <c r="I214" s="71"/>
      <c r="J214" s="71"/>
      <c r="K214" s="140">
        <v>6000000</v>
      </c>
      <c r="L214" s="141"/>
      <c r="M214" s="142">
        <v>6000000</v>
      </c>
      <c r="N214" s="141"/>
      <c r="O214" s="142">
        <v>6000000</v>
      </c>
      <c r="P214" s="141"/>
      <c r="Q214">
        <v>1</v>
      </c>
    </row>
    <row r="215" spans="1:17" ht="18" hidden="1" x14ac:dyDescent="0.25">
      <c r="A215" s="72"/>
      <c r="B215" s="71" t="s">
        <v>191</v>
      </c>
      <c r="C215" s="73" t="s">
        <v>181</v>
      </c>
      <c r="D215" s="71"/>
      <c r="E215" s="71"/>
      <c r="F215" s="71"/>
      <c r="G215" s="71"/>
      <c r="H215" s="71"/>
      <c r="I215" s="71"/>
      <c r="J215" s="71"/>
      <c r="K215" s="140"/>
      <c r="L215" s="141">
        <f>+K214</f>
        <v>6000000</v>
      </c>
      <c r="M215" s="142"/>
      <c r="N215" s="141">
        <f>+M214</f>
        <v>6000000</v>
      </c>
      <c r="O215" s="142"/>
      <c r="P215" s="141">
        <f>+O214</f>
        <v>6000000</v>
      </c>
      <c r="Q215">
        <v>1</v>
      </c>
    </row>
    <row r="216" spans="1:17" ht="18" hidden="1" x14ac:dyDescent="0.25">
      <c r="A216" s="72"/>
      <c r="B216" s="71"/>
      <c r="C216" s="73"/>
      <c r="D216" s="71"/>
      <c r="E216" s="71"/>
      <c r="F216" s="71"/>
      <c r="G216" s="71"/>
      <c r="H216" s="71"/>
      <c r="I216" s="71"/>
      <c r="J216" s="71"/>
      <c r="K216" s="140"/>
      <c r="L216" s="141"/>
      <c r="M216" s="142"/>
      <c r="N216" s="141"/>
      <c r="O216" s="142"/>
      <c r="P216" s="141"/>
      <c r="Q216">
        <v>1</v>
      </c>
    </row>
    <row r="217" spans="1:17" ht="18" hidden="1" x14ac:dyDescent="0.25">
      <c r="A217" s="68">
        <f>+A213+1</f>
        <v>20</v>
      </c>
      <c r="B217" s="69" t="s">
        <v>156</v>
      </c>
      <c r="C217" s="69" t="s">
        <v>157</v>
      </c>
      <c r="D217" s="71"/>
      <c r="E217" s="71"/>
      <c r="F217" s="71"/>
      <c r="G217" s="71"/>
      <c r="H217" s="71"/>
      <c r="I217" s="71"/>
      <c r="J217" s="71"/>
      <c r="K217" s="140"/>
      <c r="L217" s="141"/>
      <c r="M217" s="142"/>
      <c r="N217" s="141"/>
      <c r="O217" s="142"/>
      <c r="P217" s="141"/>
      <c r="Q217">
        <v>1</v>
      </c>
    </row>
    <row r="218" spans="1:17" ht="18" hidden="1" x14ac:dyDescent="0.25">
      <c r="A218" s="68"/>
      <c r="B218" s="71" t="s">
        <v>185</v>
      </c>
      <c r="C218" s="73" t="s">
        <v>186</v>
      </c>
      <c r="D218" s="71"/>
      <c r="E218" s="71"/>
      <c r="F218" s="71"/>
      <c r="G218" s="71"/>
      <c r="H218" s="71"/>
      <c r="I218" s="71"/>
      <c r="J218" s="71"/>
      <c r="K218" s="140">
        <f>+Matriz!C28</f>
        <v>10321008</v>
      </c>
      <c r="L218" s="141"/>
      <c r="M218" s="142">
        <f>+Matriz!D28</f>
        <v>10321008</v>
      </c>
      <c r="N218" s="141"/>
      <c r="O218" s="142">
        <v>0</v>
      </c>
      <c r="P218" s="141"/>
      <c r="Q218">
        <v>1</v>
      </c>
    </row>
    <row r="219" spans="1:17" ht="18" hidden="1" x14ac:dyDescent="0.25">
      <c r="A219" s="68"/>
      <c r="B219" s="71" t="s">
        <v>80</v>
      </c>
      <c r="C219" s="73" t="s">
        <v>183</v>
      </c>
      <c r="D219" s="71"/>
      <c r="E219" s="71"/>
      <c r="F219" s="71"/>
      <c r="G219" s="71"/>
      <c r="H219" s="71"/>
      <c r="I219" s="71"/>
      <c r="J219" s="71"/>
      <c r="K219" s="140"/>
      <c r="L219" s="141">
        <f>+K218</f>
        <v>10321008</v>
      </c>
      <c r="M219" s="142"/>
      <c r="N219" s="141">
        <f>+M218</f>
        <v>10321008</v>
      </c>
      <c r="O219" s="142"/>
      <c r="P219" s="141">
        <f>+O218</f>
        <v>0</v>
      </c>
      <c r="Q219">
        <v>1</v>
      </c>
    </row>
    <row r="220" spans="1:17" ht="18" hidden="1" x14ac:dyDescent="0.25">
      <c r="A220" s="68"/>
      <c r="B220" s="69"/>
      <c r="C220" s="69"/>
      <c r="D220" s="71"/>
      <c r="E220" s="71"/>
      <c r="F220" s="71"/>
      <c r="G220" s="71"/>
      <c r="H220" s="71"/>
      <c r="I220" s="71"/>
      <c r="J220" s="71"/>
      <c r="K220" s="140"/>
      <c r="L220" s="141"/>
      <c r="M220" s="142"/>
      <c r="N220" s="141"/>
      <c r="O220" s="142"/>
      <c r="P220" s="141"/>
      <c r="Q220">
        <v>1</v>
      </c>
    </row>
    <row r="221" spans="1:17" s="1" customFormat="1" ht="18" hidden="1" x14ac:dyDescent="0.25">
      <c r="A221" s="68"/>
      <c r="B221" s="71" t="s">
        <v>98</v>
      </c>
      <c r="C221" s="73" t="s">
        <v>99</v>
      </c>
      <c r="D221" s="69"/>
      <c r="E221" s="69"/>
      <c r="F221" s="69"/>
      <c r="G221" s="69"/>
      <c r="H221" s="69"/>
      <c r="I221" s="69"/>
      <c r="J221" s="69"/>
      <c r="K221" s="140">
        <f>+M222</f>
        <v>2064201.6</v>
      </c>
      <c r="L221" s="141"/>
      <c r="M221" s="142">
        <v>0</v>
      </c>
      <c r="N221" s="141"/>
      <c r="O221" s="142"/>
      <c r="P221" s="141"/>
      <c r="Q221">
        <v>1</v>
      </c>
    </row>
    <row r="222" spans="1:17" ht="18" hidden="1" x14ac:dyDescent="0.25">
      <c r="A222" s="68"/>
      <c r="B222" s="71" t="s">
        <v>104</v>
      </c>
      <c r="C222" s="73" t="s">
        <v>177</v>
      </c>
      <c r="D222" s="71"/>
      <c r="E222" s="71"/>
      <c r="F222" s="71"/>
      <c r="G222" s="71"/>
      <c r="H222" s="71"/>
      <c r="I222" s="71"/>
      <c r="J222" s="71"/>
      <c r="K222" s="140">
        <f>+L223-K221</f>
        <v>1548151.1999999997</v>
      </c>
      <c r="L222" s="141"/>
      <c r="M222" s="142">
        <f>+N223</f>
        <v>2064201.6</v>
      </c>
      <c r="N222" s="141"/>
      <c r="O222" s="142"/>
      <c r="P222" s="141"/>
      <c r="Q222">
        <v>1</v>
      </c>
    </row>
    <row r="223" spans="1:17" ht="18" hidden="1" x14ac:dyDescent="0.25">
      <c r="A223" s="72"/>
      <c r="B223" s="71" t="s">
        <v>185</v>
      </c>
      <c r="C223" s="73" t="s">
        <v>186</v>
      </c>
      <c r="D223" s="71"/>
      <c r="E223" s="71"/>
      <c r="F223" s="71"/>
      <c r="G223" s="71"/>
      <c r="H223" s="71"/>
      <c r="I223" s="71"/>
      <c r="J223" s="71"/>
      <c r="K223" s="140"/>
      <c r="L223" s="141">
        <f>-G227</f>
        <v>3612352.8</v>
      </c>
      <c r="M223" s="142"/>
      <c r="N223" s="141">
        <f>-H227</f>
        <v>2064201.6</v>
      </c>
      <c r="O223" s="142"/>
      <c r="P223" s="141"/>
      <c r="Q223">
        <v>1</v>
      </c>
    </row>
    <row r="224" spans="1:17" ht="18" hidden="1" x14ac:dyDescent="0.25">
      <c r="A224" s="72"/>
      <c r="B224" s="71"/>
      <c r="C224" s="71"/>
      <c r="D224" s="71"/>
      <c r="E224" s="71"/>
      <c r="F224" s="71"/>
      <c r="G224" s="71"/>
      <c r="H224" s="71"/>
      <c r="I224" s="71"/>
      <c r="J224" s="71"/>
      <c r="K224" s="140"/>
      <c r="L224" s="141"/>
      <c r="M224" s="142"/>
      <c r="N224" s="141"/>
      <c r="O224" s="142"/>
      <c r="P224" s="141"/>
      <c r="Q224">
        <v>1</v>
      </c>
    </row>
    <row r="225" spans="1:17" ht="18" hidden="1" x14ac:dyDescent="0.25">
      <c r="A225" s="72"/>
      <c r="B225" s="71"/>
      <c r="C225" s="71"/>
      <c r="D225" s="71"/>
      <c r="E225" s="71"/>
      <c r="F225" s="71"/>
      <c r="G225" s="120" t="s">
        <v>424</v>
      </c>
      <c r="H225" s="120" t="s">
        <v>226</v>
      </c>
      <c r="I225" s="71"/>
      <c r="J225" s="71"/>
      <c r="K225" s="140"/>
      <c r="L225" s="141"/>
      <c r="M225" s="142"/>
      <c r="N225" s="141"/>
      <c r="O225" s="142"/>
      <c r="P225" s="141"/>
      <c r="Q225">
        <v>1</v>
      </c>
    </row>
    <row r="226" spans="1:17" ht="18" hidden="1" x14ac:dyDescent="0.25">
      <c r="A226" s="72"/>
      <c r="B226" s="71"/>
      <c r="C226" s="69" t="s">
        <v>225</v>
      </c>
      <c r="D226" s="71"/>
      <c r="E226" s="69"/>
      <c r="F226" s="69"/>
      <c r="G226" s="100">
        <v>10321008</v>
      </c>
      <c r="H226" s="100">
        <v>10321008</v>
      </c>
      <c r="I226" s="71"/>
      <c r="J226" s="71"/>
      <c r="K226" s="140"/>
      <c r="L226" s="141"/>
      <c r="M226" s="142"/>
      <c r="N226" s="141"/>
      <c r="O226" s="142"/>
      <c r="P226" s="141"/>
      <c r="Q226">
        <v>1</v>
      </c>
    </row>
    <row r="227" spans="1:17" ht="18" hidden="1" x14ac:dyDescent="0.25">
      <c r="A227" s="72"/>
      <c r="B227" s="71"/>
      <c r="C227" s="71" t="s">
        <v>227</v>
      </c>
      <c r="D227" s="71"/>
      <c r="E227" s="71"/>
      <c r="F227" s="71"/>
      <c r="G227" s="121">
        <f>-G226*35%</f>
        <v>-3612352.8</v>
      </c>
      <c r="H227" s="121">
        <f>-H226*20%</f>
        <v>-2064201.6</v>
      </c>
      <c r="I227" s="71"/>
      <c r="J227" s="71"/>
      <c r="K227" s="140"/>
      <c r="L227" s="141"/>
      <c r="M227" s="142"/>
      <c r="N227" s="141"/>
      <c r="O227" s="142"/>
      <c r="P227" s="141"/>
      <c r="Q227">
        <v>1</v>
      </c>
    </row>
    <row r="228" spans="1:17" ht="18" hidden="1" x14ac:dyDescent="0.25">
      <c r="A228" s="72"/>
      <c r="B228" s="71"/>
      <c r="C228" s="69" t="s">
        <v>162</v>
      </c>
      <c r="D228" s="69"/>
      <c r="E228" s="69"/>
      <c r="F228" s="69"/>
      <c r="G228" s="109">
        <f>+G226+G227</f>
        <v>6708655.2000000002</v>
      </c>
      <c r="H228" s="109">
        <f>+H226+H227</f>
        <v>8256806.4000000004</v>
      </c>
      <c r="I228" s="71"/>
      <c r="J228" s="71"/>
      <c r="K228" s="140"/>
      <c r="L228" s="141"/>
      <c r="M228" s="142"/>
      <c r="N228" s="141"/>
      <c r="O228" s="142"/>
      <c r="P228" s="141"/>
      <c r="Q228">
        <v>1</v>
      </c>
    </row>
    <row r="229" spans="1:17" ht="18" hidden="1" x14ac:dyDescent="0.25">
      <c r="A229" s="72"/>
      <c r="B229" s="71"/>
      <c r="C229" s="71"/>
      <c r="D229" s="71"/>
      <c r="E229" s="71"/>
      <c r="F229" s="71"/>
      <c r="G229" s="71"/>
      <c r="H229" s="71"/>
      <c r="I229" s="71"/>
      <c r="J229" s="71"/>
      <c r="K229" s="140"/>
      <c r="L229" s="141"/>
      <c r="M229" s="142"/>
      <c r="N229" s="141"/>
      <c r="O229" s="142"/>
      <c r="P229" s="141"/>
      <c r="Q229">
        <v>1</v>
      </c>
    </row>
    <row r="230" spans="1:17" ht="18" hidden="1" x14ac:dyDescent="0.25">
      <c r="A230" s="68">
        <f>+A217+1</f>
        <v>21</v>
      </c>
      <c r="B230" s="69" t="s">
        <v>14</v>
      </c>
      <c r="C230" s="69" t="s">
        <v>35</v>
      </c>
      <c r="D230" s="71"/>
      <c r="E230" s="71"/>
      <c r="F230" s="71"/>
      <c r="G230" s="71"/>
      <c r="H230" s="71"/>
      <c r="I230" s="71"/>
      <c r="J230" s="71"/>
      <c r="K230" s="140"/>
      <c r="L230" s="141"/>
      <c r="M230" s="142"/>
      <c r="N230" s="141"/>
      <c r="O230" s="142"/>
      <c r="P230" s="141"/>
      <c r="Q230">
        <v>1</v>
      </c>
    </row>
    <row r="231" spans="1:17" ht="18" hidden="1" x14ac:dyDescent="0.25">
      <c r="A231" s="72"/>
      <c r="B231" s="71" t="s">
        <v>98</v>
      </c>
      <c r="C231" s="73" t="s">
        <v>99</v>
      </c>
      <c r="D231" s="71"/>
      <c r="E231" s="71"/>
      <c r="F231" s="71"/>
      <c r="G231" s="71"/>
      <c r="H231" s="71"/>
      <c r="I231" s="71"/>
      <c r="J231" s="71"/>
      <c r="K231" s="140">
        <f>+M231+M232</f>
        <v>1100000</v>
      </c>
      <c r="L231" s="141"/>
      <c r="M231" s="142">
        <f>+O231</f>
        <v>900000</v>
      </c>
      <c r="N231" s="141"/>
      <c r="O231" s="142">
        <f>+P233</f>
        <v>900000</v>
      </c>
      <c r="P231" s="141"/>
      <c r="Q231">
        <v>1</v>
      </c>
    </row>
    <row r="232" spans="1:17" ht="18" hidden="1" x14ac:dyDescent="0.25">
      <c r="A232" s="72"/>
      <c r="B232" s="71" t="s">
        <v>106</v>
      </c>
      <c r="C232" s="73" t="s">
        <v>107</v>
      </c>
      <c r="D232" s="71"/>
      <c r="E232" s="71"/>
      <c r="F232" s="71"/>
      <c r="G232" s="71"/>
      <c r="H232" s="71"/>
      <c r="I232" s="71"/>
      <c r="J232" s="71"/>
      <c r="K232" s="140">
        <f>+G238</f>
        <v>400000</v>
      </c>
      <c r="L232" s="141"/>
      <c r="M232" s="142">
        <f>+N233-M231</f>
        <v>200000</v>
      </c>
      <c r="N232" s="141"/>
      <c r="O232" s="142">
        <v>0</v>
      </c>
      <c r="P232" s="141"/>
      <c r="Q232">
        <v>1</v>
      </c>
    </row>
    <row r="233" spans="1:17" ht="18" hidden="1" x14ac:dyDescent="0.25">
      <c r="A233" s="72"/>
      <c r="B233" s="71" t="s">
        <v>92</v>
      </c>
      <c r="C233" s="73" t="s">
        <v>93</v>
      </c>
      <c r="D233" s="71"/>
      <c r="E233" s="71"/>
      <c r="F233" s="71"/>
      <c r="G233" s="71"/>
      <c r="H233" s="71"/>
      <c r="I233" s="71"/>
      <c r="J233" s="71"/>
      <c r="K233" s="140"/>
      <c r="L233" s="141">
        <f>+G239</f>
        <v>1500000</v>
      </c>
      <c r="M233" s="142"/>
      <c r="N233" s="141">
        <f>+H239</f>
        <v>1100000</v>
      </c>
      <c r="O233" s="142"/>
      <c r="P233" s="141">
        <f>+H237</f>
        <v>900000</v>
      </c>
      <c r="Q233">
        <v>1</v>
      </c>
    </row>
    <row r="234" spans="1:17" ht="18" hidden="1" x14ac:dyDescent="0.25">
      <c r="A234" s="72"/>
      <c r="B234" s="71"/>
      <c r="C234" s="71"/>
      <c r="D234" s="71"/>
      <c r="E234" s="71"/>
      <c r="F234" s="71"/>
      <c r="G234" s="71"/>
      <c r="H234" s="71"/>
      <c r="I234" s="71"/>
      <c r="J234" s="71"/>
      <c r="K234" s="140"/>
      <c r="L234" s="141"/>
      <c r="M234" s="142"/>
      <c r="N234" s="141"/>
      <c r="O234" s="142"/>
      <c r="P234" s="141"/>
      <c r="Q234">
        <v>1</v>
      </c>
    </row>
    <row r="235" spans="1:17" ht="18" hidden="1" x14ac:dyDescent="0.25">
      <c r="A235" s="72"/>
      <c r="B235" s="71"/>
      <c r="C235" s="105"/>
      <c r="D235" s="105"/>
      <c r="E235" s="105"/>
      <c r="F235" s="105"/>
      <c r="G235" s="106">
        <v>2016</v>
      </c>
      <c r="H235" s="106">
        <v>2015</v>
      </c>
      <c r="I235" s="71"/>
      <c r="J235" s="71"/>
      <c r="K235" s="140"/>
      <c r="L235" s="141"/>
      <c r="M235" s="142"/>
      <c r="N235" s="141"/>
      <c r="O235" s="142"/>
      <c r="P235" s="141"/>
      <c r="Q235">
        <v>1</v>
      </c>
    </row>
    <row r="236" spans="1:17" ht="18" hidden="1" x14ac:dyDescent="0.25">
      <c r="A236" s="72"/>
      <c r="B236" s="71"/>
      <c r="C236" s="107"/>
      <c r="D236" s="107"/>
      <c r="E236" s="107"/>
      <c r="F236" s="107"/>
      <c r="G236" s="108" t="s">
        <v>129</v>
      </c>
      <c r="H236" s="108" t="s">
        <v>129</v>
      </c>
      <c r="I236" s="71"/>
      <c r="J236" s="71"/>
      <c r="K236" s="140"/>
      <c r="L236" s="141"/>
      <c r="M236" s="142"/>
      <c r="N236" s="141"/>
      <c r="O236" s="142"/>
      <c r="P236" s="141"/>
      <c r="Q236">
        <v>1</v>
      </c>
    </row>
    <row r="237" spans="1:17" ht="18" hidden="1" x14ac:dyDescent="0.25">
      <c r="A237" s="72"/>
      <c r="B237" s="71"/>
      <c r="C237" s="75" t="s">
        <v>125</v>
      </c>
      <c r="D237" s="75"/>
      <c r="E237" s="74"/>
      <c r="F237" s="74"/>
      <c r="G237" s="109">
        <f>+H239</f>
        <v>1100000</v>
      </c>
      <c r="H237" s="109">
        <v>900000</v>
      </c>
      <c r="I237" s="71"/>
      <c r="J237" s="71"/>
      <c r="K237" s="140"/>
      <c r="L237" s="141"/>
      <c r="M237" s="142"/>
      <c r="N237" s="141"/>
      <c r="O237" s="142"/>
      <c r="P237" s="141"/>
      <c r="Q237">
        <v>1</v>
      </c>
    </row>
    <row r="238" spans="1:17" ht="18" hidden="1" x14ac:dyDescent="0.25">
      <c r="A238" s="72"/>
      <c r="B238" s="71"/>
      <c r="C238" s="122" t="s">
        <v>126</v>
      </c>
      <c r="D238" s="122"/>
      <c r="E238" s="122"/>
      <c r="F238" s="122"/>
      <c r="G238" s="123">
        <v>400000</v>
      </c>
      <c r="H238" s="123">
        <v>200000</v>
      </c>
      <c r="I238" s="71"/>
      <c r="J238" s="71"/>
      <c r="K238" s="140"/>
      <c r="L238" s="141"/>
      <c r="M238" s="142"/>
      <c r="N238" s="141"/>
      <c r="O238" s="142"/>
      <c r="P238" s="141"/>
      <c r="Q238">
        <v>1</v>
      </c>
    </row>
    <row r="239" spans="1:17" ht="18" hidden="1" x14ac:dyDescent="0.25">
      <c r="A239" s="72"/>
      <c r="B239" s="71"/>
      <c r="C239" s="75" t="s">
        <v>128</v>
      </c>
      <c r="D239" s="75"/>
      <c r="E239" s="74"/>
      <c r="F239" s="74"/>
      <c r="G239" s="109">
        <f>SUM(G237:G238)</f>
        <v>1500000</v>
      </c>
      <c r="H239" s="109">
        <f>SUM(H237:H238)</f>
        <v>1100000</v>
      </c>
      <c r="I239" s="71"/>
      <c r="J239" s="71"/>
      <c r="K239" s="140"/>
      <c r="L239" s="141"/>
      <c r="M239" s="142"/>
      <c r="N239" s="141"/>
      <c r="O239" s="142"/>
      <c r="P239" s="141"/>
      <c r="Q239">
        <v>1</v>
      </c>
    </row>
    <row r="240" spans="1:17" ht="18" hidden="1" x14ac:dyDescent="0.25">
      <c r="A240" s="68">
        <f>+A230+1</f>
        <v>22</v>
      </c>
      <c r="B240" s="69" t="s">
        <v>14</v>
      </c>
      <c r="C240" s="69" t="s">
        <v>40</v>
      </c>
      <c r="D240" s="71"/>
      <c r="E240" s="71"/>
      <c r="F240" s="71"/>
      <c r="G240" s="71"/>
      <c r="H240" s="71"/>
      <c r="I240" s="71"/>
      <c r="J240" s="71"/>
      <c r="K240" s="140"/>
      <c r="L240" s="141"/>
      <c r="M240" s="142"/>
      <c r="N240" s="141"/>
      <c r="O240" s="142"/>
      <c r="P240" s="141"/>
      <c r="Q240">
        <v>1</v>
      </c>
    </row>
    <row r="241" spans="1:17" ht="18" hidden="1" x14ac:dyDescent="0.25">
      <c r="A241" s="68"/>
      <c r="B241" s="71" t="s">
        <v>79</v>
      </c>
      <c r="C241" s="73" t="s">
        <v>144</v>
      </c>
      <c r="D241" s="71"/>
      <c r="E241" s="71"/>
      <c r="F241" s="71"/>
      <c r="G241" s="71"/>
      <c r="H241" s="71"/>
      <c r="I241" s="71"/>
      <c r="J241" s="71"/>
      <c r="K241" s="140">
        <f>+M241</f>
        <v>1200000</v>
      </c>
      <c r="L241" s="141"/>
      <c r="M241" s="142">
        <f>+O241</f>
        <v>1200000</v>
      </c>
      <c r="N241" s="141"/>
      <c r="O241" s="142">
        <f>+H259</f>
        <v>1200000</v>
      </c>
      <c r="P241" s="141"/>
      <c r="Q241">
        <v>1</v>
      </c>
    </row>
    <row r="242" spans="1:17" ht="18" hidden="1" x14ac:dyDescent="0.25">
      <c r="A242" s="68"/>
      <c r="B242" s="71" t="s">
        <v>92</v>
      </c>
      <c r="C242" s="73" t="s">
        <v>93</v>
      </c>
      <c r="D242" s="71"/>
      <c r="E242" s="71"/>
      <c r="F242" s="71"/>
      <c r="G242" s="71"/>
      <c r="H242" s="71"/>
      <c r="I242" s="71"/>
      <c r="J242" s="71"/>
      <c r="K242" s="140"/>
      <c r="L242" s="141">
        <f>+K241</f>
        <v>1200000</v>
      </c>
      <c r="M242" s="142"/>
      <c r="N242" s="141">
        <f>+M241</f>
        <v>1200000</v>
      </c>
      <c r="O242" s="142"/>
      <c r="P242" s="141">
        <f>+O241</f>
        <v>1200000</v>
      </c>
      <c r="Q242">
        <v>1</v>
      </c>
    </row>
    <row r="243" spans="1:17" ht="18" hidden="1" x14ac:dyDescent="0.25">
      <c r="A243" s="68"/>
      <c r="B243" s="71"/>
      <c r="C243" s="73"/>
      <c r="D243" s="71"/>
      <c r="E243" s="71"/>
      <c r="F243" s="71"/>
      <c r="G243" s="71"/>
      <c r="H243" s="71"/>
      <c r="I243" s="71"/>
      <c r="J243" s="71"/>
      <c r="K243" s="140"/>
      <c r="L243" s="141"/>
      <c r="M243" s="142"/>
      <c r="N243" s="141"/>
      <c r="O243" s="142"/>
      <c r="P243" s="141"/>
      <c r="Q243">
        <v>1</v>
      </c>
    </row>
    <row r="244" spans="1:17" ht="18" hidden="1" x14ac:dyDescent="0.25">
      <c r="A244" s="68"/>
      <c r="B244" s="71" t="s">
        <v>98</v>
      </c>
      <c r="C244" s="73" t="s">
        <v>99</v>
      </c>
      <c r="D244" s="71"/>
      <c r="E244" s="71"/>
      <c r="F244" s="71"/>
      <c r="G244" s="71"/>
      <c r="H244" s="71"/>
      <c r="I244" s="71"/>
      <c r="J244" s="71"/>
      <c r="K244" s="140">
        <f>+M244+M245</f>
        <v>240000</v>
      </c>
      <c r="L244" s="141"/>
      <c r="M244" s="142">
        <f>+O244</f>
        <v>120000</v>
      </c>
      <c r="N244" s="141"/>
      <c r="O244" s="142">
        <f>+P246</f>
        <v>120000</v>
      </c>
      <c r="P244" s="141"/>
      <c r="Q244">
        <v>1</v>
      </c>
    </row>
    <row r="245" spans="1:17" ht="18" hidden="1" x14ac:dyDescent="0.25">
      <c r="A245" s="68"/>
      <c r="B245" s="116" t="s">
        <v>104</v>
      </c>
      <c r="C245" s="117" t="s">
        <v>177</v>
      </c>
      <c r="D245" s="71"/>
      <c r="E245" s="71"/>
      <c r="F245" s="71"/>
      <c r="G245" s="71"/>
      <c r="H245" s="71"/>
      <c r="I245" s="71"/>
      <c r="J245" s="71"/>
      <c r="K245" s="140">
        <f>+L246-K244</f>
        <v>120000</v>
      </c>
      <c r="L245" s="141"/>
      <c r="M245" s="142">
        <f>+N246-M244</f>
        <v>120000</v>
      </c>
      <c r="N245" s="141"/>
      <c r="O245" s="142">
        <v>0</v>
      </c>
      <c r="P245" s="141"/>
      <c r="Q245">
        <v>1</v>
      </c>
    </row>
    <row r="246" spans="1:17" ht="18" hidden="1" x14ac:dyDescent="0.25">
      <c r="A246" s="68"/>
      <c r="B246" s="71" t="s">
        <v>79</v>
      </c>
      <c r="C246" s="73" t="s">
        <v>144</v>
      </c>
      <c r="D246" s="71"/>
      <c r="E246" s="71"/>
      <c r="F246" s="71"/>
      <c r="G246" s="71"/>
      <c r="H246" s="71"/>
      <c r="I246" s="71"/>
      <c r="J246" s="71"/>
      <c r="K246" s="140"/>
      <c r="L246" s="141">
        <f>+F255</f>
        <v>360000</v>
      </c>
      <c r="M246" s="142"/>
      <c r="N246" s="141">
        <f>+G255</f>
        <v>240000</v>
      </c>
      <c r="O246" s="142"/>
      <c r="P246" s="141">
        <f>+H255</f>
        <v>120000</v>
      </c>
      <c r="Q246">
        <v>1</v>
      </c>
    </row>
    <row r="247" spans="1:17" ht="18" hidden="1" x14ac:dyDescent="0.25">
      <c r="A247" s="68"/>
      <c r="B247" s="71"/>
      <c r="C247" s="73"/>
      <c r="D247" s="71"/>
      <c r="E247" s="71"/>
      <c r="F247" s="71"/>
      <c r="G247" s="71"/>
      <c r="H247" s="71"/>
      <c r="I247" s="71"/>
      <c r="J247" s="71"/>
      <c r="K247" s="140"/>
      <c r="L247" s="141"/>
      <c r="M247" s="142"/>
      <c r="N247" s="141"/>
      <c r="O247" s="142"/>
      <c r="P247" s="141"/>
      <c r="Q247">
        <v>1</v>
      </c>
    </row>
    <row r="248" spans="1:17" ht="18" hidden="1" x14ac:dyDescent="0.25">
      <c r="A248" s="68"/>
      <c r="B248" s="71" t="s">
        <v>98</v>
      </c>
      <c r="C248" s="73" t="s">
        <v>99</v>
      </c>
      <c r="D248" s="71"/>
      <c r="E248" s="71"/>
      <c r="F248" s="71"/>
      <c r="G248" s="71"/>
      <c r="H248" s="71"/>
      <c r="I248" s="71"/>
      <c r="J248" s="71"/>
      <c r="K248" s="140">
        <f>+M248+M249</f>
        <v>42000</v>
      </c>
      <c r="L248" s="141"/>
      <c r="M248" s="142">
        <f>+O248</f>
        <v>20000</v>
      </c>
      <c r="N248" s="141"/>
      <c r="O248" s="142">
        <f>+H260</f>
        <v>20000</v>
      </c>
      <c r="P248" s="141"/>
      <c r="Q248">
        <v>1</v>
      </c>
    </row>
    <row r="249" spans="1:17" ht="18" hidden="1" x14ac:dyDescent="0.25">
      <c r="A249" s="68"/>
      <c r="B249" s="71" t="s">
        <v>115</v>
      </c>
      <c r="C249" s="73" t="s">
        <v>174</v>
      </c>
      <c r="D249" s="71"/>
      <c r="E249" s="71"/>
      <c r="F249" s="71"/>
      <c r="G249" s="71"/>
      <c r="H249" s="71"/>
      <c r="I249" s="71"/>
      <c r="J249" s="71"/>
      <c r="K249" s="140">
        <f>+F260</f>
        <v>25000</v>
      </c>
      <c r="L249" s="141"/>
      <c r="M249" s="142">
        <f>+G260</f>
        <v>22000</v>
      </c>
      <c r="N249" s="141"/>
      <c r="O249" s="142"/>
      <c r="P249" s="141"/>
      <c r="Q249">
        <v>1</v>
      </c>
    </row>
    <row r="250" spans="1:17" ht="18" hidden="1" x14ac:dyDescent="0.25">
      <c r="A250" s="68"/>
      <c r="B250" s="71" t="s">
        <v>92</v>
      </c>
      <c r="C250" s="73" t="s">
        <v>93</v>
      </c>
      <c r="D250" s="71"/>
      <c r="E250" s="71"/>
      <c r="F250" s="71"/>
      <c r="G250" s="71"/>
      <c r="H250" s="71"/>
      <c r="I250" s="71"/>
      <c r="J250" s="71"/>
      <c r="K250" s="140"/>
      <c r="L250" s="141">
        <f>+K248+K249</f>
        <v>67000</v>
      </c>
      <c r="M250" s="142"/>
      <c r="N250" s="141">
        <f>+M248+M249</f>
        <v>42000</v>
      </c>
      <c r="O250" s="142"/>
      <c r="P250" s="141">
        <f>+O248</f>
        <v>20000</v>
      </c>
      <c r="Q250">
        <v>1</v>
      </c>
    </row>
    <row r="251" spans="1:17" ht="18" hidden="1" x14ac:dyDescent="0.25">
      <c r="A251" s="68"/>
      <c r="B251" s="71"/>
      <c r="C251" s="73"/>
      <c r="D251" s="71"/>
      <c r="E251" s="71"/>
      <c r="F251" s="71"/>
      <c r="G251" s="71"/>
      <c r="H251" s="71"/>
      <c r="I251" s="71"/>
      <c r="J251" s="71"/>
      <c r="K251" s="140"/>
      <c r="L251" s="141"/>
      <c r="M251" s="142"/>
      <c r="N251" s="141"/>
      <c r="O251" s="142"/>
      <c r="P251" s="141"/>
      <c r="Q251">
        <v>1</v>
      </c>
    </row>
    <row r="252" spans="1:17" ht="18" hidden="1" x14ac:dyDescent="0.25">
      <c r="A252" s="68"/>
      <c r="B252" s="69"/>
      <c r="C252" s="124"/>
      <c r="D252" s="105"/>
      <c r="E252" s="105"/>
      <c r="F252" s="106">
        <v>2016</v>
      </c>
      <c r="G252" s="106">
        <v>2015</v>
      </c>
      <c r="H252" s="106">
        <v>2014</v>
      </c>
      <c r="I252" s="71"/>
      <c r="J252" s="71"/>
      <c r="K252" s="140"/>
      <c r="L252" s="141"/>
      <c r="M252" s="142"/>
      <c r="N252" s="141"/>
      <c r="O252" s="142"/>
      <c r="P252" s="141"/>
      <c r="Q252">
        <v>1</v>
      </c>
    </row>
    <row r="253" spans="1:17" ht="18" hidden="1" x14ac:dyDescent="0.25">
      <c r="A253" s="68"/>
      <c r="B253" s="69"/>
      <c r="C253" s="124" t="s">
        <v>219</v>
      </c>
      <c r="D253" s="105"/>
      <c r="E253" s="105"/>
      <c r="F253" s="106" t="s">
        <v>129</v>
      </c>
      <c r="G253" s="106" t="s">
        <v>129</v>
      </c>
      <c r="H253" s="106" t="s">
        <v>129</v>
      </c>
      <c r="I253" s="71"/>
      <c r="J253" s="71"/>
      <c r="K253" s="140"/>
      <c r="L253" s="141"/>
      <c r="M253" s="142"/>
      <c r="N253" s="141"/>
      <c r="O253" s="142"/>
      <c r="P253" s="141"/>
      <c r="Q253">
        <v>1</v>
      </c>
    </row>
    <row r="254" spans="1:17" ht="18" hidden="1" x14ac:dyDescent="0.25">
      <c r="A254" s="68"/>
      <c r="B254" s="69"/>
      <c r="C254" s="75" t="s">
        <v>125</v>
      </c>
      <c r="D254" s="74"/>
      <c r="E254" s="74"/>
      <c r="F254" s="109">
        <f>+G254</f>
        <v>1200000</v>
      </c>
      <c r="G254" s="109">
        <f>+H254</f>
        <v>1200000</v>
      </c>
      <c r="H254" s="109">
        <f>+O241</f>
        <v>1200000</v>
      </c>
      <c r="I254" s="71"/>
      <c r="J254" s="71"/>
      <c r="K254" s="140"/>
      <c r="L254" s="141"/>
      <c r="M254" s="142"/>
      <c r="N254" s="141"/>
      <c r="O254" s="142"/>
      <c r="P254" s="141"/>
      <c r="Q254">
        <v>1</v>
      </c>
    </row>
    <row r="255" spans="1:17" ht="18" hidden="1" x14ac:dyDescent="0.25">
      <c r="A255" s="68"/>
      <c r="B255" s="69"/>
      <c r="C255" s="74" t="s">
        <v>141</v>
      </c>
      <c r="D255" s="74"/>
      <c r="E255" s="74"/>
      <c r="F255" s="110">
        <f>+F254*10%*3</f>
        <v>360000</v>
      </c>
      <c r="G255" s="110">
        <f>+G254*10%*2</f>
        <v>240000</v>
      </c>
      <c r="H255" s="110">
        <f>+H254*10%*1</f>
        <v>120000</v>
      </c>
      <c r="I255" s="71"/>
      <c r="J255" s="71"/>
      <c r="K255" s="140"/>
      <c r="L255" s="141"/>
      <c r="M255" s="142"/>
      <c r="N255" s="141"/>
      <c r="O255" s="142"/>
      <c r="P255" s="141"/>
      <c r="Q255">
        <v>1</v>
      </c>
    </row>
    <row r="256" spans="1:17" ht="18" hidden="1" x14ac:dyDescent="0.25">
      <c r="A256" s="68"/>
      <c r="B256" s="69"/>
      <c r="C256" s="75" t="s">
        <v>128</v>
      </c>
      <c r="D256" s="74"/>
      <c r="E256" s="74"/>
      <c r="F256" s="109">
        <f>+F254-F255</f>
        <v>840000</v>
      </c>
      <c r="G256" s="109">
        <f t="shared" ref="G256:H256" si="27">+G254-G255</f>
        <v>960000</v>
      </c>
      <c r="H256" s="109">
        <f t="shared" si="27"/>
        <v>1080000</v>
      </c>
      <c r="I256" s="71"/>
      <c r="J256" s="71"/>
      <c r="K256" s="140"/>
      <c r="L256" s="141"/>
      <c r="M256" s="142"/>
      <c r="N256" s="141"/>
      <c r="O256" s="142"/>
      <c r="P256" s="141"/>
      <c r="Q256">
        <v>1</v>
      </c>
    </row>
    <row r="257" spans="1:17" ht="18" hidden="1" x14ac:dyDescent="0.25">
      <c r="A257" s="68"/>
      <c r="B257" s="69"/>
      <c r="C257" s="124"/>
      <c r="D257" s="105"/>
      <c r="E257" s="105"/>
      <c r="F257" s="106">
        <v>2016</v>
      </c>
      <c r="G257" s="106">
        <v>2015</v>
      </c>
      <c r="H257" s="106">
        <v>2014</v>
      </c>
      <c r="I257" s="71"/>
      <c r="J257" s="71"/>
      <c r="K257" s="140"/>
      <c r="L257" s="141"/>
      <c r="M257" s="142"/>
      <c r="N257" s="141"/>
      <c r="O257" s="142"/>
      <c r="P257" s="141"/>
      <c r="Q257">
        <v>1</v>
      </c>
    </row>
    <row r="258" spans="1:17" ht="18" hidden="1" x14ac:dyDescent="0.25">
      <c r="A258" s="68"/>
      <c r="B258" s="69"/>
      <c r="C258" s="124" t="s">
        <v>218</v>
      </c>
      <c r="D258" s="105"/>
      <c r="E258" s="105"/>
      <c r="F258" s="106" t="s">
        <v>129</v>
      </c>
      <c r="G258" s="106" t="s">
        <v>129</v>
      </c>
      <c r="H258" s="106" t="s">
        <v>129</v>
      </c>
      <c r="I258" s="71"/>
      <c r="J258" s="71"/>
      <c r="K258" s="140"/>
      <c r="L258" s="141"/>
      <c r="M258" s="142"/>
      <c r="N258" s="141"/>
      <c r="O258" s="142"/>
      <c r="P258" s="141"/>
      <c r="Q258">
        <v>1</v>
      </c>
    </row>
    <row r="259" spans="1:17" ht="18" hidden="1" x14ac:dyDescent="0.25">
      <c r="A259" s="68"/>
      <c r="B259" s="69"/>
      <c r="C259" s="75" t="s">
        <v>125</v>
      </c>
      <c r="D259" s="74"/>
      <c r="E259" s="74"/>
      <c r="F259" s="109">
        <f>+G261</f>
        <v>1242000</v>
      </c>
      <c r="G259" s="109">
        <f>+H261</f>
        <v>1220000</v>
      </c>
      <c r="H259" s="109">
        <v>1200000</v>
      </c>
      <c r="I259" s="71"/>
      <c r="J259" s="71"/>
      <c r="K259" s="140"/>
      <c r="L259" s="141"/>
      <c r="M259" s="142"/>
      <c r="N259" s="141"/>
      <c r="O259" s="142"/>
      <c r="P259" s="141"/>
      <c r="Q259">
        <v>1</v>
      </c>
    </row>
    <row r="260" spans="1:17" ht="18" hidden="1" x14ac:dyDescent="0.25">
      <c r="A260" s="68"/>
      <c r="B260" s="69"/>
      <c r="C260" s="74" t="s">
        <v>188</v>
      </c>
      <c r="D260" s="74"/>
      <c r="E260" s="74"/>
      <c r="F260" s="110">
        <v>25000</v>
      </c>
      <c r="G260" s="110">
        <v>22000</v>
      </c>
      <c r="H260" s="110">
        <v>20000</v>
      </c>
      <c r="I260" s="71"/>
      <c r="J260" s="71"/>
      <c r="K260" s="140"/>
      <c r="L260" s="141"/>
      <c r="M260" s="142"/>
      <c r="N260" s="141"/>
      <c r="O260" s="142"/>
      <c r="P260" s="141"/>
      <c r="Q260">
        <v>1</v>
      </c>
    </row>
    <row r="261" spans="1:17" ht="18" hidden="1" x14ac:dyDescent="0.25">
      <c r="A261" s="68"/>
      <c r="B261" s="69"/>
      <c r="C261" s="75" t="s">
        <v>128</v>
      </c>
      <c r="D261" s="74"/>
      <c r="E261" s="74"/>
      <c r="F261" s="109">
        <f>+F259+F260</f>
        <v>1267000</v>
      </c>
      <c r="G261" s="109">
        <f>+G259+G260</f>
        <v>1242000</v>
      </c>
      <c r="H261" s="109">
        <f>+H259+H260</f>
        <v>1220000</v>
      </c>
      <c r="I261" s="71"/>
      <c r="J261" s="71"/>
      <c r="K261" s="140"/>
      <c r="L261" s="141"/>
      <c r="M261" s="142"/>
      <c r="N261" s="141"/>
      <c r="O261" s="142"/>
      <c r="P261" s="141"/>
      <c r="Q261">
        <v>1</v>
      </c>
    </row>
    <row r="262" spans="1:17" ht="18" hidden="1" x14ac:dyDescent="0.25">
      <c r="A262" s="68"/>
      <c r="B262" s="69"/>
      <c r="C262" s="69"/>
      <c r="D262" s="71"/>
      <c r="E262" s="71"/>
      <c r="F262" s="71"/>
      <c r="G262" s="71"/>
      <c r="H262" s="71"/>
      <c r="I262" s="71"/>
      <c r="J262" s="71"/>
      <c r="K262" s="140"/>
      <c r="L262" s="141"/>
      <c r="M262" s="142"/>
      <c r="N262" s="141"/>
      <c r="O262" s="142"/>
      <c r="P262" s="141"/>
      <c r="Q262">
        <v>1</v>
      </c>
    </row>
    <row r="263" spans="1:17" s="1" customFormat="1" ht="18" hidden="1" x14ac:dyDescent="0.25">
      <c r="A263" s="68">
        <f>+A240+1</f>
        <v>23</v>
      </c>
      <c r="B263" s="69" t="s">
        <v>14</v>
      </c>
      <c r="C263" s="69" t="s">
        <v>41</v>
      </c>
      <c r="D263" s="69"/>
      <c r="E263" s="69"/>
      <c r="F263" s="69"/>
      <c r="G263" s="69"/>
      <c r="H263" s="69"/>
      <c r="I263" s="69"/>
      <c r="J263" s="69"/>
      <c r="K263" s="143"/>
      <c r="L263" s="144"/>
      <c r="M263" s="145"/>
      <c r="N263" s="144"/>
      <c r="O263" s="145"/>
      <c r="P263" s="144"/>
      <c r="Q263">
        <v>1</v>
      </c>
    </row>
    <row r="264" spans="1:17" s="1" customFormat="1" ht="18" hidden="1" x14ac:dyDescent="0.25">
      <c r="A264" s="68"/>
      <c r="B264" s="71" t="s">
        <v>98</v>
      </c>
      <c r="C264" s="73" t="s">
        <v>99</v>
      </c>
      <c r="D264" s="69"/>
      <c r="E264" s="69"/>
      <c r="F264" s="69"/>
      <c r="G264" s="69"/>
      <c r="H264" s="69"/>
      <c r="I264" s="69"/>
      <c r="J264" s="69"/>
      <c r="K264" s="140">
        <f>+M265</f>
        <v>102705</v>
      </c>
      <c r="L264" s="144"/>
      <c r="M264" s="142">
        <v>0</v>
      </c>
      <c r="N264" s="144"/>
      <c r="O264" s="145"/>
      <c r="P264" s="144"/>
      <c r="Q264">
        <v>1</v>
      </c>
    </row>
    <row r="265" spans="1:17" ht="18" hidden="1" x14ac:dyDescent="0.25">
      <c r="A265" s="68"/>
      <c r="B265" s="71" t="s">
        <v>115</v>
      </c>
      <c r="C265" s="73" t="s">
        <v>174</v>
      </c>
      <c r="D265" s="71"/>
      <c r="E265" s="71"/>
      <c r="F265" s="71"/>
      <c r="G265" s="71"/>
      <c r="H265" s="71"/>
      <c r="I265" s="71"/>
      <c r="J265" s="71"/>
      <c r="K265" s="140">
        <f>+L266-K264</f>
        <v>105717</v>
      </c>
      <c r="L265" s="141"/>
      <c r="M265" s="142">
        <f>+H271</f>
        <v>102705</v>
      </c>
      <c r="N265" s="141"/>
      <c r="O265" s="142"/>
      <c r="P265" s="141"/>
      <c r="Q265">
        <v>1</v>
      </c>
    </row>
    <row r="266" spans="1:17" ht="18" hidden="1" x14ac:dyDescent="0.25">
      <c r="A266" s="68"/>
      <c r="B266" s="71" t="s">
        <v>92</v>
      </c>
      <c r="C266" s="73" t="s">
        <v>93</v>
      </c>
      <c r="D266" s="71"/>
      <c r="E266" s="71"/>
      <c r="F266" s="71"/>
      <c r="G266" s="71"/>
      <c r="H266" s="71"/>
      <c r="I266" s="71"/>
      <c r="J266" s="71"/>
      <c r="K266" s="140"/>
      <c r="L266" s="141">
        <f>+G271</f>
        <v>208422</v>
      </c>
      <c r="M266" s="142"/>
      <c r="N266" s="141">
        <f>+M265</f>
        <v>102705</v>
      </c>
      <c r="O266" s="142"/>
      <c r="P266" s="141"/>
      <c r="Q266">
        <v>1</v>
      </c>
    </row>
    <row r="267" spans="1:17" s="1" customFormat="1" ht="18" hidden="1" x14ac:dyDescent="0.25">
      <c r="A267" s="68"/>
      <c r="B267" s="69"/>
      <c r="C267" s="124"/>
      <c r="D267" s="105"/>
      <c r="E267" s="105"/>
      <c r="F267" s="105"/>
      <c r="G267" s="106">
        <v>2016</v>
      </c>
      <c r="H267" s="106">
        <v>2015</v>
      </c>
      <c r="I267" s="69"/>
      <c r="J267" s="69"/>
      <c r="K267" s="143"/>
      <c r="L267" s="144"/>
      <c r="M267" s="145"/>
      <c r="N267" s="144"/>
      <c r="O267" s="145"/>
      <c r="P267" s="144"/>
      <c r="Q267">
        <v>1</v>
      </c>
    </row>
    <row r="268" spans="1:17" s="1" customFormat="1" ht="18" hidden="1" x14ac:dyDescent="0.25">
      <c r="A268" s="68"/>
      <c r="B268" s="69"/>
      <c r="C268" s="124"/>
      <c r="D268" s="105"/>
      <c r="E268" s="105"/>
      <c r="F268" s="105"/>
      <c r="G268" s="106" t="s">
        <v>129</v>
      </c>
      <c r="H268" s="106" t="s">
        <v>129</v>
      </c>
      <c r="I268" s="69"/>
      <c r="J268" s="69"/>
      <c r="K268" s="143"/>
      <c r="L268" s="144"/>
      <c r="M268" s="145"/>
      <c r="N268" s="144"/>
      <c r="O268" s="145"/>
      <c r="P268" s="144"/>
      <c r="Q268">
        <v>1</v>
      </c>
    </row>
    <row r="269" spans="1:17" ht="18" hidden="1" x14ac:dyDescent="0.25">
      <c r="A269" s="72"/>
      <c r="B269" s="71"/>
      <c r="C269" s="69" t="s">
        <v>189</v>
      </c>
      <c r="D269" s="71"/>
      <c r="E269" s="71"/>
      <c r="F269" s="71"/>
      <c r="G269" s="100">
        <f>+Matriz!C38-K9</f>
        <v>991578</v>
      </c>
      <c r="H269" s="100">
        <f>+Matriz!D38-M9</f>
        <v>997295</v>
      </c>
      <c r="I269" s="71"/>
      <c r="J269" s="71"/>
      <c r="K269" s="140"/>
      <c r="L269" s="141"/>
      <c r="M269" s="142"/>
      <c r="N269" s="141"/>
      <c r="O269" s="142"/>
      <c r="P269" s="141"/>
      <c r="Q269">
        <v>1</v>
      </c>
    </row>
    <row r="270" spans="1:17" ht="18" hidden="1" x14ac:dyDescent="0.25">
      <c r="A270" s="72"/>
      <c r="B270" s="71"/>
      <c r="C270" s="69" t="s">
        <v>190</v>
      </c>
      <c r="D270" s="71"/>
      <c r="E270" s="71"/>
      <c r="F270" s="71"/>
      <c r="G270" s="100">
        <v>1200000</v>
      </c>
      <c r="H270" s="100">
        <v>1100000</v>
      </c>
      <c r="I270" s="71"/>
      <c r="J270" s="71"/>
      <c r="K270" s="140"/>
      <c r="L270" s="141"/>
      <c r="M270" s="142"/>
      <c r="N270" s="141"/>
      <c r="O270" s="142"/>
      <c r="P270" s="141"/>
      <c r="Q270">
        <v>1</v>
      </c>
    </row>
    <row r="271" spans="1:17" ht="18" hidden="1" x14ac:dyDescent="0.25">
      <c r="A271" s="72"/>
      <c r="B271" s="71"/>
      <c r="C271" s="125" t="s">
        <v>138</v>
      </c>
      <c r="D271" s="126"/>
      <c r="E271" s="126"/>
      <c r="F271" s="126"/>
      <c r="G271" s="127">
        <f>+G270-G269</f>
        <v>208422</v>
      </c>
      <c r="H271" s="127">
        <f>+H270-H269</f>
        <v>102705</v>
      </c>
      <c r="I271" s="71"/>
      <c r="J271" s="71"/>
      <c r="K271" s="140"/>
      <c r="L271" s="141"/>
      <c r="M271" s="142"/>
      <c r="N271" s="141"/>
      <c r="O271" s="142"/>
      <c r="P271" s="141"/>
      <c r="Q271">
        <v>1</v>
      </c>
    </row>
    <row r="272" spans="1:17" ht="18" hidden="1" x14ac:dyDescent="0.25">
      <c r="A272" s="68">
        <f>+A263+1</f>
        <v>24</v>
      </c>
      <c r="B272" s="69" t="s">
        <v>15</v>
      </c>
      <c r="C272" s="69" t="s">
        <v>34</v>
      </c>
      <c r="D272" s="71"/>
      <c r="E272" s="71"/>
      <c r="F272" s="71"/>
      <c r="G272" s="71"/>
      <c r="H272" s="71"/>
      <c r="I272" s="71"/>
      <c r="J272" s="71"/>
      <c r="K272" s="140"/>
      <c r="L272" s="141"/>
      <c r="M272" s="142"/>
      <c r="N272" s="141"/>
      <c r="O272" s="142"/>
      <c r="P272" s="141"/>
      <c r="Q272">
        <v>1</v>
      </c>
    </row>
    <row r="273" spans="1:17" ht="18" hidden="1" x14ac:dyDescent="0.25">
      <c r="A273" s="72"/>
      <c r="B273" s="71" t="s">
        <v>98</v>
      </c>
      <c r="C273" s="73" t="s">
        <v>99</v>
      </c>
      <c r="D273" s="71"/>
      <c r="E273" s="71"/>
      <c r="F273" s="71"/>
      <c r="G273" s="71"/>
      <c r="H273" s="71"/>
      <c r="I273" s="71"/>
      <c r="J273" s="71"/>
      <c r="K273" s="140">
        <f>+M273-N274</f>
        <v>2250000</v>
      </c>
      <c r="L273" s="141"/>
      <c r="M273" s="142">
        <f>+O273</f>
        <v>2500000</v>
      </c>
      <c r="N273" s="141"/>
      <c r="O273" s="142">
        <f>+P275</f>
        <v>2500000</v>
      </c>
      <c r="P273" s="141"/>
      <c r="Q273">
        <v>1</v>
      </c>
    </row>
    <row r="274" spans="1:17" ht="18" hidden="1" x14ac:dyDescent="0.25">
      <c r="A274" s="72"/>
      <c r="B274" s="71" t="s">
        <v>106</v>
      </c>
      <c r="C274" s="73" t="s">
        <v>107</v>
      </c>
      <c r="D274" s="71"/>
      <c r="E274" s="71"/>
      <c r="F274" s="71"/>
      <c r="G274" s="71"/>
      <c r="H274" s="71"/>
      <c r="I274" s="71"/>
      <c r="J274" s="71"/>
      <c r="K274" s="140"/>
      <c r="L274" s="141">
        <f>+K273-L275</f>
        <v>250000</v>
      </c>
      <c r="M274" s="142"/>
      <c r="N274" s="141">
        <f>+M273-N275</f>
        <v>250000</v>
      </c>
      <c r="O274" s="142">
        <v>0</v>
      </c>
      <c r="P274" s="141"/>
      <c r="Q274">
        <v>1</v>
      </c>
    </row>
    <row r="275" spans="1:17" ht="18" hidden="1" x14ac:dyDescent="0.25">
      <c r="A275" s="72"/>
      <c r="B275" s="71" t="s">
        <v>192</v>
      </c>
      <c r="C275" s="73" t="s">
        <v>193</v>
      </c>
      <c r="D275" s="71"/>
      <c r="E275" s="71"/>
      <c r="F275" s="71"/>
      <c r="G275" s="71"/>
      <c r="H275" s="71"/>
      <c r="I275" s="71"/>
      <c r="J275" s="71"/>
      <c r="K275" s="140"/>
      <c r="L275" s="141">
        <f>+F280</f>
        <v>2000000</v>
      </c>
      <c r="M275" s="142"/>
      <c r="N275" s="141">
        <f>+G280</f>
        <v>2250000</v>
      </c>
      <c r="O275" s="142"/>
      <c r="P275" s="141">
        <f>+G278</f>
        <v>2500000</v>
      </c>
      <c r="Q275">
        <v>1</v>
      </c>
    </row>
    <row r="276" spans="1:17" ht="18" hidden="1" x14ac:dyDescent="0.25">
      <c r="A276" s="72"/>
      <c r="B276" s="71"/>
      <c r="C276" s="124"/>
      <c r="D276" s="105"/>
      <c r="E276" s="105"/>
      <c r="F276" s="106">
        <v>2016</v>
      </c>
      <c r="G276" s="106">
        <v>2015</v>
      </c>
      <c r="H276" s="71"/>
      <c r="I276" s="71"/>
      <c r="J276" s="71"/>
      <c r="K276" s="140"/>
      <c r="L276" s="141"/>
      <c r="M276" s="142"/>
      <c r="N276" s="141"/>
      <c r="O276" s="142"/>
      <c r="P276" s="141"/>
      <c r="Q276">
        <v>1</v>
      </c>
    </row>
    <row r="277" spans="1:17" ht="18" hidden="1" x14ac:dyDescent="0.25">
      <c r="A277" s="72"/>
      <c r="B277" s="71"/>
      <c r="C277" s="124"/>
      <c r="D277" s="105"/>
      <c r="E277" s="105"/>
      <c r="F277" s="106" t="s">
        <v>129</v>
      </c>
      <c r="G277" s="106" t="s">
        <v>129</v>
      </c>
      <c r="H277" s="71"/>
      <c r="I277" s="71"/>
      <c r="J277" s="71"/>
      <c r="K277" s="140"/>
      <c r="L277" s="141"/>
      <c r="M277" s="142"/>
      <c r="N277" s="141"/>
      <c r="O277" s="142"/>
      <c r="P277" s="141"/>
      <c r="Q277">
        <v>1</v>
      </c>
    </row>
    <row r="278" spans="1:17" ht="18" hidden="1" x14ac:dyDescent="0.25">
      <c r="A278" s="72"/>
      <c r="B278" s="71"/>
      <c r="C278" s="69" t="s">
        <v>125</v>
      </c>
      <c r="D278" s="71"/>
      <c r="E278" s="71"/>
      <c r="F278" s="100">
        <f>+G280</f>
        <v>2250000</v>
      </c>
      <c r="G278" s="100">
        <v>2500000</v>
      </c>
      <c r="H278" s="71"/>
      <c r="I278" s="71"/>
      <c r="J278" s="71"/>
      <c r="K278" s="140"/>
      <c r="L278" s="141"/>
      <c r="M278" s="142"/>
      <c r="N278" s="141"/>
      <c r="O278" s="142"/>
      <c r="P278" s="141"/>
      <c r="Q278">
        <v>1</v>
      </c>
    </row>
    <row r="279" spans="1:17" ht="18" hidden="1" x14ac:dyDescent="0.25">
      <c r="A279" s="72"/>
      <c r="B279" s="71"/>
      <c r="C279" s="71" t="s">
        <v>194</v>
      </c>
      <c r="D279" s="71"/>
      <c r="E279" s="71"/>
      <c r="F279" s="99">
        <f>+G279</f>
        <v>250000</v>
      </c>
      <c r="G279" s="99">
        <f>+G278*10%</f>
        <v>250000</v>
      </c>
      <c r="H279" s="71"/>
      <c r="I279" s="71"/>
      <c r="J279" s="71"/>
      <c r="K279" s="140"/>
      <c r="L279" s="141"/>
      <c r="M279" s="142"/>
      <c r="N279" s="141"/>
      <c r="O279" s="142"/>
      <c r="P279" s="141"/>
      <c r="Q279">
        <v>1</v>
      </c>
    </row>
    <row r="280" spans="1:17" ht="18" hidden="1" x14ac:dyDescent="0.25">
      <c r="A280" s="72"/>
      <c r="B280" s="71"/>
      <c r="C280" s="125" t="s">
        <v>128</v>
      </c>
      <c r="D280" s="126"/>
      <c r="E280" s="126"/>
      <c r="F280" s="127">
        <f>+F278-F279</f>
        <v>2000000</v>
      </c>
      <c r="G280" s="127">
        <f>+G278-G279</f>
        <v>2250000</v>
      </c>
      <c r="H280" s="71"/>
      <c r="I280" s="71"/>
      <c r="J280" s="71"/>
      <c r="K280" s="140"/>
      <c r="L280" s="141"/>
      <c r="M280" s="142"/>
      <c r="N280" s="141"/>
      <c r="O280" s="142"/>
      <c r="P280" s="141"/>
      <c r="Q280">
        <v>1</v>
      </c>
    </row>
    <row r="281" spans="1:17" ht="18" hidden="1" x14ac:dyDescent="0.2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140"/>
      <c r="L281" s="141"/>
      <c r="M281" s="142"/>
      <c r="N281" s="141"/>
      <c r="O281" s="142"/>
      <c r="P281" s="141"/>
      <c r="Q281">
        <v>1</v>
      </c>
    </row>
    <row r="282" spans="1:17" ht="18" hidden="1" x14ac:dyDescent="0.25">
      <c r="A282" s="68">
        <f>+A272+1</f>
        <v>25</v>
      </c>
      <c r="B282" s="69" t="s">
        <v>16</v>
      </c>
      <c r="C282" s="69" t="s">
        <v>31</v>
      </c>
      <c r="D282" s="71"/>
      <c r="E282" s="71"/>
      <c r="F282" s="71"/>
      <c r="G282" s="71"/>
      <c r="H282" s="71"/>
      <c r="I282" s="71"/>
      <c r="J282" s="71"/>
      <c r="K282" s="140"/>
      <c r="L282" s="141"/>
      <c r="M282" s="142"/>
      <c r="N282" s="141"/>
      <c r="O282" s="142"/>
      <c r="P282" s="141"/>
      <c r="Q282">
        <v>1</v>
      </c>
    </row>
    <row r="283" spans="1:17" ht="18" hidden="1" x14ac:dyDescent="0.25">
      <c r="A283" s="72"/>
      <c r="B283" s="71" t="s">
        <v>191</v>
      </c>
      <c r="C283" s="73" t="s">
        <v>181</v>
      </c>
      <c r="D283" s="71"/>
      <c r="E283" s="71"/>
      <c r="F283" s="71"/>
      <c r="G283" s="71"/>
      <c r="H283" s="71"/>
      <c r="I283" s="71"/>
      <c r="J283" s="71"/>
      <c r="K283" s="140">
        <f>+F299</f>
        <v>18515.301607638365</v>
      </c>
      <c r="L283" s="141"/>
      <c r="M283" s="142">
        <f>+G299</f>
        <v>51744.81361256633</v>
      </c>
      <c r="N283" s="141"/>
      <c r="O283" s="142">
        <f>+H299</f>
        <v>96475.253532565199</v>
      </c>
      <c r="P283" s="141"/>
      <c r="Q283">
        <v>1</v>
      </c>
    </row>
    <row r="284" spans="1:17" ht="18" hidden="1" x14ac:dyDescent="0.25">
      <c r="A284" s="68"/>
      <c r="B284" s="71" t="s">
        <v>115</v>
      </c>
      <c r="C284" s="73" t="s">
        <v>174</v>
      </c>
      <c r="D284" s="71"/>
      <c r="E284" s="71"/>
      <c r="F284" s="71"/>
      <c r="G284" s="71"/>
      <c r="H284" s="71"/>
      <c r="I284" s="71"/>
      <c r="J284" s="71"/>
      <c r="K284" s="140">
        <f>+L285-K283</f>
        <v>33229.512004927965</v>
      </c>
      <c r="L284" s="141"/>
      <c r="M284" s="142">
        <f>+N285-M283</f>
        <v>44730.439919998869</v>
      </c>
      <c r="N284" s="141"/>
      <c r="O284" s="142"/>
      <c r="P284" s="141"/>
      <c r="Q284">
        <v>1</v>
      </c>
    </row>
    <row r="285" spans="1:17" hidden="1" thickBot="1" x14ac:dyDescent="0.3">
      <c r="A285" s="72"/>
      <c r="B285" s="71" t="s">
        <v>98</v>
      </c>
      <c r="C285" s="73" t="s">
        <v>99</v>
      </c>
      <c r="D285" s="71"/>
      <c r="E285" s="71"/>
      <c r="F285" s="71"/>
      <c r="G285" s="71"/>
      <c r="H285" s="71"/>
      <c r="I285" s="71"/>
      <c r="J285" s="71"/>
      <c r="K285" s="140"/>
      <c r="L285" s="141">
        <f>+N285-M284</f>
        <v>51744.81361256633</v>
      </c>
      <c r="M285" s="142"/>
      <c r="N285" s="141">
        <f>+P285</f>
        <v>96475.253532565199</v>
      </c>
      <c r="O285" s="142"/>
      <c r="P285" s="141">
        <f>+O283</f>
        <v>96475.253532565199</v>
      </c>
      <c r="Q285">
        <v>1</v>
      </c>
    </row>
    <row r="286" spans="1:17" ht="19.5" hidden="1" thickBot="1" x14ac:dyDescent="0.35">
      <c r="A286" s="128"/>
      <c r="B286" s="69"/>
      <c r="C286" s="207" t="s">
        <v>360</v>
      </c>
      <c r="D286" s="193" t="s">
        <v>359</v>
      </c>
      <c r="E286" s="194"/>
      <c r="F286" s="194"/>
      <c r="G286" s="195"/>
      <c r="H286" s="128"/>
      <c r="I286" s="128"/>
      <c r="J286" s="128"/>
      <c r="K286" s="242" t="s">
        <v>357</v>
      </c>
      <c r="L286" s="243"/>
      <c r="M286" s="243"/>
      <c r="N286" s="243"/>
      <c r="O286" s="244"/>
      <c r="P286" s="190"/>
      <c r="Q286">
        <v>1</v>
      </c>
    </row>
    <row r="287" spans="1:17" ht="19.5" hidden="1" thickBot="1" x14ac:dyDescent="0.35">
      <c r="A287" s="69" t="s">
        <v>195</v>
      </c>
      <c r="B287" s="69"/>
      <c r="C287" s="205">
        <v>2500000</v>
      </c>
      <c r="D287" s="202"/>
      <c r="E287" s="203" t="s">
        <v>198</v>
      </c>
      <c r="F287" s="203" t="s">
        <v>199</v>
      </c>
      <c r="G287" s="204" t="s">
        <v>200</v>
      </c>
      <c r="H287" s="128"/>
      <c r="I287" s="71"/>
      <c r="J287" s="71"/>
      <c r="K287" s="245"/>
      <c r="L287" s="246" t="s">
        <v>201</v>
      </c>
      <c r="M287" s="246" t="s">
        <v>199</v>
      </c>
      <c r="N287" s="246" t="s">
        <v>202</v>
      </c>
      <c r="O287" s="247" t="s">
        <v>203</v>
      </c>
      <c r="P287" s="192" t="s">
        <v>358</v>
      </c>
      <c r="Q287">
        <v>1</v>
      </c>
    </row>
    <row r="288" spans="1:17" hidden="1" x14ac:dyDescent="0.3">
      <c r="A288" s="69" t="s">
        <v>196</v>
      </c>
      <c r="B288" s="69"/>
      <c r="C288" s="205">
        <v>150000</v>
      </c>
      <c r="D288" s="196">
        <v>1</v>
      </c>
      <c r="E288" s="197">
        <f>-PPMT($C$289,D288,4,$C$287,0,0)</f>
        <v>538677.00926524459</v>
      </c>
      <c r="F288" s="197">
        <f>-IPMT($C$289,D288,4,$C$287,0,0)</f>
        <v>250000</v>
      </c>
      <c r="G288" s="198">
        <f>+E288+F288</f>
        <v>788677.00926524459</v>
      </c>
      <c r="H288" s="128"/>
      <c r="I288" s="70"/>
      <c r="J288" s="71"/>
      <c r="K288" s="248">
        <v>1</v>
      </c>
      <c r="L288" s="249">
        <f>C287-C288</f>
        <v>2350000</v>
      </c>
      <c r="M288" s="250">
        <f>+L288*$C$299</f>
        <v>303524.7464674348</v>
      </c>
      <c r="N288" s="250">
        <f>-G288</f>
        <v>-788677.00926524459</v>
      </c>
      <c r="O288" s="251">
        <f>+L288+M288+N288</f>
        <v>1864847.7372021903</v>
      </c>
      <c r="P288" s="191">
        <f>+M288-F288</f>
        <v>53524.746467434801</v>
      </c>
      <c r="Q288">
        <v>1</v>
      </c>
    </row>
    <row r="289" spans="1:17" ht="19.5" hidden="1" thickBot="1" x14ac:dyDescent="0.35">
      <c r="A289" s="69" t="s">
        <v>197</v>
      </c>
      <c r="B289" s="69"/>
      <c r="C289" s="206">
        <v>0.1</v>
      </c>
      <c r="D289" s="196">
        <v>2</v>
      </c>
      <c r="E289" s="197">
        <f>-PPMT($C$289,D289,4,$C$287,0,0)</f>
        <v>592544.71019176906</v>
      </c>
      <c r="F289" s="197">
        <f>-IPMT($C$289,D289,4,$C$287,0,0)</f>
        <v>196132.29907347553</v>
      </c>
      <c r="G289" s="198">
        <f>+E289+F289</f>
        <v>788677.00926524459</v>
      </c>
      <c r="H289" s="128"/>
      <c r="I289" s="70"/>
      <c r="J289" s="71"/>
      <c r="K289" s="248">
        <v>2</v>
      </c>
      <c r="L289" s="249">
        <f>+O288</f>
        <v>1864847.7372021903</v>
      </c>
      <c r="M289" s="250">
        <f>+L289*$C$299</f>
        <v>240862.73899347417</v>
      </c>
      <c r="N289" s="250">
        <f>-G289</f>
        <v>-788677.00926524459</v>
      </c>
      <c r="O289" s="251">
        <f>+L289+M289+N289</f>
        <v>1317033.4669304201</v>
      </c>
      <c r="P289" s="252">
        <f>+M289-F289</f>
        <v>44730.439919998636</v>
      </c>
      <c r="Q289">
        <v>1</v>
      </c>
    </row>
    <row r="290" spans="1:17" hidden="1" x14ac:dyDescent="0.3">
      <c r="A290" s="68"/>
      <c r="B290" s="69"/>
      <c r="C290" s="69"/>
      <c r="D290" s="196">
        <v>3</v>
      </c>
      <c r="E290" s="197">
        <f>-PPMT($C$289,D290,4,$C$287,0,0)</f>
        <v>651799.18121094594</v>
      </c>
      <c r="F290" s="197">
        <f>-IPMT($C$289,D290,4,$C$287,0,0)</f>
        <v>136877.82805429862</v>
      </c>
      <c r="G290" s="198">
        <f>+E290+F290</f>
        <v>788677.00926524459</v>
      </c>
      <c r="H290" s="128"/>
      <c r="I290" s="70"/>
      <c r="J290" s="71"/>
      <c r="K290" s="248">
        <v>3</v>
      </c>
      <c r="L290" s="249">
        <f t="shared" ref="L290:L291" si="28">+O289</f>
        <v>1317033.4669304201</v>
      </c>
      <c r="M290" s="250">
        <f>+L290*$C$299</f>
        <v>170107.34005922658</v>
      </c>
      <c r="N290" s="250">
        <f>-G290</f>
        <v>-788677.00926524459</v>
      </c>
      <c r="O290" s="251">
        <f t="shared" ref="O290:O291" si="29">+L290+M290+N290</f>
        <v>698463.79772440216</v>
      </c>
      <c r="P290" s="252">
        <f>+M290-F290</f>
        <v>33229.512004927965</v>
      </c>
      <c r="Q290">
        <v>1</v>
      </c>
    </row>
    <row r="291" spans="1:17" ht="19.5" hidden="1" thickBot="1" x14ac:dyDescent="0.35">
      <c r="A291" s="68"/>
      <c r="B291" s="69"/>
      <c r="C291" s="69"/>
      <c r="D291" s="196">
        <v>4</v>
      </c>
      <c r="E291" s="197">
        <f>-PPMT($C$289,D291,4,$C$287,0,0)</f>
        <v>716979.09933204053</v>
      </c>
      <c r="F291" s="197">
        <f>-IPMT($C$289,D291,4,$C$287,0,0)</f>
        <v>71697.90993320405</v>
      </c>
      <c r="G291" s="198">
        <f>+E291+F291</f>
        <v>788677.00926524459</v>
      </c>
      <c r="H291" s="128"/>
      <c r="I291" s="70"/>
      <c r="J291" s="71"/>
      <c r="K291" s="248">
        <v>4</v>
      </c>
      <c r="L291" s="249">
        <f t="shared" si="28"/>
        <v>698463.79772440216</v>
      </c>
      <c r="M291" s="250">
        <f>+L291*$C$299</f>
        <v>90213.211540842909</v>
      </c>
      <c r="N291" s="250">
        <f>-G291</f>
        <v>-788677.00926524459</v>
      </c>
      <c r="O291" s="253">
        <f t="shared" si="29"/>
        <v>0</v>
      </c>
      <c r="P291" s="254">
        <f>+M291-F291</f>
        <v>18515.301607638859</v>
      </c>
      <c r="Q291">
        <v>1</v>
      </c>
    </row>
    <row r="292" spans="1:17" hidden="1" thickBot="1" x14ac:dyDescent="0.3">
      <c r="A292" s="68"/>
      <c r="B292" s="69"/>
      <c r="C292" s="69"/>
      <c r="D292" s="199"/>
      <c r="E292" s="200">
        <f>+SUM(E288:E291)</f>
        <v>2500000</v>
      </c>
      <c r="F292" s="200">
        <f>+SUM(F288:F291)</f>
        <v>654708.03706097824</v>
      </c>
      <c r="G292" s="201">
        <f>+SUM(G288:G291)</f>
        <v>3154708.0370609784</v>
      </c>
      <c r="H292" s="128"/>
      <c r="I292" s="71"/>
      <c r="J292" s="71"/>
      <c r="K292" s="255"/>
      <c r="L292" s="256"/>
      <c r="M292" s="257">
        <f>+SUM(M288:M291)</f>
        <v>804708.03706097847</v>
      </c>
      <c r="N292" s="258">
        <f>+M292-F292</f>
        <v>150000.00000000023</v>
      </c>
      <c r="O292" s="259"/>
      <c r="P292" s="189">
        <f>+SUM(P288:P291)</f>
        <v>150000.00000000026</v>
      </c>
      <c r="Q292">
        <v>1</v>
      </c>
    </row>
    <row r="293" spans="1:17" hidden="1" thickBot="1" x14ac:dyDescent="0.3">
      <c r="A293" s="68"/>
      <c r="B293" s="208" t="s">
        <v>220</v>
      </c>
      <c r="C293" s="209"/>
      <c r="D293" s="71"/>
      <c r="E293" s="71"/>
      <c r="F293" s="71"/>
      <c r="G293" s="71"/>
      <c r="H293" s="71"/>
      <c r="I293" s="71"/>
      <c r="J293" s="71"/>
      <c r="K293" s="140"/>
      <c r="L293" s="141"/>
      <c r="M293" s="142"/>
      <c r="N293" s="141"/>
      <c r="O293" s="142"/>
      <c r="P293" s="141"/>
      <c r="Q293">
        <v>1</v>
      </c>
    </row>
    <row r="294" spans="1:17" ht="18" hidden="1" x14ac:dyDescent="0.25">
      <c r="A294" s="68"/>
      <c r="B294" s="214">
        <v>0</v>
      </c>
      <c r="C294" s="211">
        <f>C287-C288</f>
        <v>2350000</v>
      </c>
      <c r="D294" s="71"/>
      <c r="E294" s="71"/>
      <c r="F294" s="71"/>
      <c r="G294" s="71"/>
      <c r="H294" s="71"/>
      <c r="I294" s="71"/>
      <c r="J294" s="71"/>
      <c r="K294" s="140"/>
      <c r="L294" s="141"/>
      <c r="M294" s="142"/>
      <c r="N294" s="141"/>
      <c r="O294" s="142"/>
      <c r="P294" s="141"/>
      <c r="Q294">
        <v>1</v>
      </c>
    </row>
    <row r="295" spans="1:17" ht="18" hidden="1" x14ac:dyDescent="0.25">
      <c r="A295" s="72"/>
      <c r="B295" s="215">
        <f>+B294+1</f>
        <v>1</v>
      </c>
      <c r="C295" s="212">
        <f>-G288</f>
        <v>-788677.00926524459</v>
      </c>
      <c r="D295" s="71"/>
      <c r="E295" s="71"/>
      <c r="F295" s="71"/>
      <c r="G295" s="71"/>
      <c r="H295" s="71"/>
      <c r="I295" s="71"/>
      <c r="J295" s="71"/>
      <c r="K295" s="140"/>
      <c r="L295" s="141"/>
      <c r="M295" s="142"/>
      <c r="N295" s="141"/>
      <c r="O295" s="142"/>
      <c r="P295" s="141"/>
      <c r="Q295">
        <v>1</v>
      </c>
    </row>
    <row r="296" spans="1:17" hidden="1" thickBot="1" x14ac:dyDescent="0.3">
      <c r="A296" s="72"/>
      <c r="B296" s="215">
        <f>+B295+1</f>
        <v>2</v>
      </c>
      <c r="C296" s="212">
        <f>-G289</f>
        <v>-788677.00926524459</v>
      </c>
      <c r="D296" s="71"/>
      <c r="E296" s="71"/>
      <c r="F296" s="68">
        <f>+G296+1</f>
        <v>2016</v>
      </c>
      <c r="G296" s="68">
        <f>+H296+1</f>
        <v>2015</v>
      </c>
      <c r="H296" s="68">
        <v>2014</v>
      </c>
      <c r="I296" s="71"/>
      <c r="J296" s="71"/>
      <c r="K296" s="140"/>
      <c r="L296" s="141"/>
      <c r="M296" s="142"/>
      <c r="N296" s="141"/>
      <c r="O296" s="142"/>
      <c r="P296" s="141"/>
      <c r="Q296">
        <v>1</v>
      </c>
    </row>
    <row r="297" spans="1:17" ht="18" hidden="1" x14ac:dyDescent="0.25">
      <c r="A297" s="72"/>
      <c r="B297" s="215">
        <f>+B296+1</f>
        <v>3</v>
      </c>
      <c r="C297" s="212">
        <f>-G290</f>
        <v>-788677.00926524459</v>
      </c>
      <c r="D297" s="217" t="s">
        <v>204</v>
      </c>
      <c r="E297" s="265"/>
      <c r="F297" s="218">
        <f>+E291</f>
        <v>716979.09933204053</v>
      </c>
      <c r="G297" s="218">
        <f>+E290+E291</f>
        <v>1368778.2805429865</v>
      </c>
      <c r="H297" s="219">
        <f>E289+E290+E291</f>
        <v>1961322.9907347555</v>
      </c>
      <c r="I297" s="71"/>
      <c r="J297" s="71"/>
      <c r="K297" s="140"/>
      <c r="L297" s="141"/>
      <c r="M297" s="145"/>
      <c r="N297" s="141"/>
      <c r="O297" s="142"/>
      <c r="P297" s="141"/>
      <c r="Q297">
        <v>1</v>
      </c>
    </row>
    <row r="298" spans="1:17" hidden="1" thickBot="1" x14ac:dyDescent="0.3">
      <c r="A298" s="72"/>
      <c r="B298" s="215">
        <f>+B297+1</f>
        <v>4</v>
      </c>
      <c r="C298" s="212">
        <f>-G291</f>
        <v>-788677.00926524459</v>
      </c>
      <c r="D298" s="210" t="s">
        <v>205</v>
      </c>
      <c r="E298" s="266"/>
      <c r="F298" s="220">
        <f>+L291</f>
        <v>698463.79772440216</v>
      </c>
      <c r="G298" s="220">
        <f>+L290</f>
        <v>1317033.4669304201</v>
      </c>
      <c r="H298" s="221">
        <f>+L289</f>
        <v>1864847.7372021903</v>
      </c>
      <c r="I298" s="71"/>
      <c r="J298" s="71"/>
      <c r="K298" s="140"/>
      <c r="L298" s="141"/>
      <c r="M298" s="142"/>
      <c r="N298" s="141"/>
      <c r="O298" s="142"/>
      <c r="P298" s="141"/>
      <c r="Q298">
        <v>1</v>
      </c>
    </row>
    <row r="299" spans="1:17" hidden="1" thickBot="1" x14ac:dyDescent="0.3">
      <c r="A299" s="72"/>
      <c r="B299" s="216"/>
      <c r="C299" s="213">
        <f>IRR(C294:C298)</f>
        <v>0.12915946658188715</v>
      </c>
      <c r="D299" s="267" t="s">
        <v>138</v>
      </c>
      <c r="E299" s="268"/>
      <c r="F299" s="257">
        <f>+F297-F298</f>
        <v>18515.301607638365</v>
      </c>
      <c r="G299" s="257">
        <f t="shared" ref="G299" si="30">+G297-G298</f>
        <v>51744.81361256633</v>
      </c>
      <c r="H299" s="269">
        <f>+H297-H298</f>
        <v>96475.253532565199</v>
      </c>
      <c r="I299" s="71"/>
      <c r="J299" s="71"/>
      <c r="K299" s="140"/>
      <c r="L299" s="141"/>
      <c r="M299" s="142"/>
      <c r="N299" s="141"/>
      <c r="O299" s="142"/>
      <c r="P299" s="141"/>
      <c r="Q299">
        <v>1</v>
      </c>
    </row>
    <row r="300" spans="1:17" s="1" customFormat="1" ht="18" hidden="1" x14ac:dyDescent="0.25">
      <c r="A300" s="68">
        <f>+A282+1</f>
        <v>26</v>
      </c>
      <c r="B300" s="69" t="s">
        <v>16</v>
      </c>
      <c r="C300" s="69" t="s">
        <v>32</v>
      </c>
      <c r="D300" s="69"/>
      <c r="E300" s="69"/>
      <c r="F300" s="69"/>
      <c r="G300" s="69"/>
      <c r="H300" s="69"/>
      <c r="I300" s="69"/>
      <c r="J300" s="69"/>
      <c r="K300" s="143"/>
      <c r="L300" s="144"/>
      <c r="M300" s="145"/>
      <c r="N300" s="144"/>
      <c r="O300" s="145"/>
      <c r="P300" s="144"/>
      <c r="Q300">
        <v>1</v>
      </c>
    </row>
    <row r="301" spans="1:17" ht="18" hidden="1" x14ac:dyDescent="0.25">
      <c r="A301" s="72"/>
      <c r="B301" s="71" t="s">
        <v>98</v>
      </c>
      <c r="C301" s="73" t="s">
        <v>99</v>
      </c>
      <c r="D301" s="71"/>
      <c r="E301" s="71"/>
      <c r="F301" s="71"/>
      <c r="G301" s="71"/>
      <c r="H301" s="71"/>
      <c r="I301" s="71"/>
      <c r="J301" s="71"/>
      <c r="K301" s="140">
        <f>+M301+M302</f>
        <v>4000000</v>
      </c>
      <c r="L301" s="141"/>
      <c r="M301" s="142">
        <f>+O301</f>
        <v>3200000</v>
      </c>
      <c r="N301" s="141"/>
      <c r="O301" s="142">
        <f>+G307</f>
        <v>3200000</v>
      </c>
      <c r="P301" s="141"/>
      <c r="Q301">
        <v>1</v>
      </c>
    </row>
    <row r="302" spans="1:17" ht="18" hidden="1" x14ac:dyDescent="0.25">
      <c r="A302" s="72"/>
      <c r="B302" s="71" t="s">
        <v>106</v>
      </c>
      <c r="C302" s="73" t="s">
        <v>107</v>
      </c>
      <c r="D302" s="71"/>
      <c r="E302" s="71"/>
      <c r="F302" s="71"/>
      <c r="G302" s="71"/>
      <c r="H302" s="71"/>
      <c r="I302" s="71"/>
      <c r="J302" s="71"/>
      <c r="K302" s="140">
        <f>+L303-K301</f>
        <v>700000</v>
      </c>
      <c r="L302" s="141"/>
      <c r="M302" s="142">
        <f>+N303-M301</f>
        <v>800000</v>
      </c>
      <c r="N302" s="141"/>
      <c r="O302" s="142"/>
      <c r="P302" s="141"/>
      <c r="Q302">
        <v>1</v>
      </c>
    </row>
    <row r="303" spans="1:17" ht="18" hidden="1" x14ac:dyDescent="0.25">
      <c r="A303" s="72"/>
      <c r="B303" s="71" t="s">
        <v>62</v>
      </c>
      <c r="C303" s="97" t="s">
        <v>63</v>
      </c>
      <c r="D303" s="71"/>
      <c r="E303" s="71"/>
      <c r="F303" s="71"/>
      <c r="G303" s="71"/>
      <c r="H303" s="71"/>
      <c r="I303" s="71"/>
      <c r="J303" s="71"/>
      <c r="K303" s="140"/>
      <c r="L303" s="141">
        <f>+F309</f>
        <v>4700000</v>
      </c>
      <c r="M303" s="142"/>
      <c r="N303" s="141">
        <f>+G309</f>
        <v>4000000</v>
      </c>
      <c r="O303" s="142"/>
      <c r="P303" s="141">
        <f>+O301</f>
        <v>3200000</v>
      </c>
      <c r="Q303">
        <v>1</v>
      </c>
    </row>
    <row r="304" spans="1:17" ht="18" hidden="1" x14ac:dyDescent="0.25">
      <c r="A304" s="72"/>
      <c r="B304" s="71"/>
      <c r="C304" s="71"/>
      <c r="D304" s="71"/>
      <c r="E304" s="71"/>
      <c r="F304" s="71"/>
      <c r="G304" s="71"/>
      <c r="H304" s="71"/>
      <c r="I304" s="71"/>
      <c r="J304" s="71"/>
      <c r="K304" s="140"/>
      <c r="L304" s="141"/>
      <c r="M304" s="142"/>
      <c r="N304" s="141"/>
      <c r="O304" s="142"/>
      <c r="P304" s="141"/>
      <c r="Q304">
        <v>1</v>
      </c>
    </row>
    <row r="305" spans="1:17" ht="18" hidden="1" x14ac:dyDescent="0.25">
      <c r="A305" s="72"/>
      <c r="B305" s="71"/>
      <c r="C305" s="69"/>
      <c r="D305" s="71"/>
      <c r="E305" s="71"/>
      <c r="F305" s="68">
        <v>2016</v>
      </c>
      <c r="G305" s="68">
        <v>2015</v>
      </c>
      <c r="H305" s="71"/>
      <c r="I305" s="71"/>
      <c r="J305" s="71"/>
      <c r="K305" s="140"/>
      <c r="L305" s="141"/>
      <c r="M305" s="142"/>
      <c r="N305" s="141"/>
      <c r="O305" s="142"/>
      <c r="P305" s="141"/>
      <c r="Q305">
        <v>1</v>
      </c>
    </row>
    <row r="306" spans="1:17" ht="18" hidden="1" x14ac:dyDescent="0.25">
      <c r="A306" s="72"/>
      <c r="B306" s="71"/>
      <c r="C306" s="69"/>
      <c r="D306" s="71"/>
      <c r="E306" s="71"/>
      <c r="F306" s="68" t="s">
        <v>129</v>
      </c>
      <c r="G306" s="68" t="s">
        <v>129</v>
      </c>
      <c r="H306" s="71"/>
      <c r="I306" s="71"/>
      <c r="J306" s="71"/>
      <c r="K306" s="140"/>
      <c r="L306" s="141"/>
      <c r="M306" s="142"/>
      <c r="N306" s="141"/>
      <c r="O306" s="142"/>
      <c r="P306" s="141"/>
      <c r="Q306">
        <v>1</v>
      </c>
    </row>
    <row r="307" spans="1:17" ht="18" hidden="1" x14ac:dyDescent="0.25">
      <c r="A307" s="72"/>
      <c r="B307" s="71"/>
      <c r="C307" s="69" t="s">
        <v>125</v>
      </c>
      <c r="D307" s="71"/>
      <c r="E307" s="71"/>
      <c r="F307" s="100">
        <f>+G309</f>
        <v>4000000</v>
      </c>
      <c r="G307" s="100">
        <v>3200000</v>
      </c>
      <c r="H307" s="71"/>
      <c r="I307" s="71"/>
      <c r="J307" s="71"/>
      <c r="K307" s="140"/>
      <c r="L307" s="141"/>
      <c r="M307" s="142"/>
      <c r="N307" s="141"/>
      <c r="O307" s="142"/>
      <c r="P307" s="141"/>
      <c r="Q307">
        <v>1</v>
      </c>
    </row>
    <row r="308" spans="1:17" ht="18" hidden="1" x14ac:dyDescent="0.25">
      <c r="A308" s="72"/>
      <c r="B308" s="71"/>
      <c r="C308" s="71" t="s">
        <v>206</v>
      </c>
      <c r="D308" s="71"/>
      <c r="E308" s="71"/>
      <c r="F308" s="99">
        <v>700000</v>
      </c>
      <c r="G308" s="99">
        <v>800000</v>
      </c>
      <c r="H308" s="71"/>
      <c r="I308" s="71"/>
      <c r="J308" s="71"/>
      <c r="K308" s="140"/>
      <c r="L308" s="141"/>
      <c r="M308" s="142"/>
      <c r="N308" s="141"/>
      <c r="O308" s="142"/>
      <c r="P308" s="141"/>
      <c r="Q308">
        <v>1</v>
      </c>
    </row>
    <row r="309" spans="1:17" ht="18" hidden="1" x14ac:dyDescent="0.25">
      <c r="A309" s="72"/>
      <c r="B309" s="71"/>
      <c r="C309" s="125" t="s">
        <v>128</v>
      </c>
      <c r="D309" s="126"/>
      <c r="E309" s="126"/>
      <c r="F309" s="127">
        <f>+F307+F308</f>
        <v>4700000</v>
      </c>
      <c r="G309" s="127">
        <f>+G307+G308</f>
        <v>4000000</v>
      </c>
      <c r="H309" s="71"/>
      <c r="I309" s="71"/>
      <c r="J309" s="71"/>
      <c r="K309" s="140"/>
      <c r="L309" s="141"/>
      <c r="M309" s="142"/>
      <c r="N309" s="141"/>
      <c r="O309" s="142"/>
      <c r="P309" s="141"/>
      <c r="Q309">
        <v>1</v>
      </c>
    </row>
    <row r="310" spans="1:17" ht="18" hidden="1" x14ac:dyDescent="0.2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140"/>
      <c r="L310" s="141"/>
      <c r="M310" s="142"/>
      <c r="N310" s="141"/>
      <c r="O310" s="142"/>
      <c r="P310" s="141"/>
      <c r="Q310">
        <v>1</v>
      </c>
    </row>
    <row r="311" spans="1:17" s="1" customFormat="1" ht="18" hidden="1" x14ac:dyDescent="0.25">
      <c r="A311" s="68">
        <f>+A300+1</f>
        <v>27</v>
      </c>
      <c r="B311" s="69" t="s">
        <v>16</v>
      </c>
      <c r="C311" s="69" t="s">
        <v>33</v>
      </c>
      <c r="D311" s="69"/>
      <c r="E311" s="69"/>
      <c r="F311" s="69"/>
      <c r="G311" s="69"/>
      <c r="H311" s="69"/>
      <c r="I311" s="69"/>
      <c r="J311" s="69"/>
      <c r="K311" s="143"/>
      <c r="L311" s="144"/>
      <c r="M311" s="145"/>
      <c r="N311" s="144"/>
      <c r="O311" s="145"/>
      <c r="P311" s="144"/>
      <c r="Q311">
        <v>1</v>
      </c>
    </row>
    <row r="312" spans="1:17" ht="18" hidden="1" x14ac:dyDescent="0.25">
      <c r="A312" s="72"/>
      <c r="B312" s="71" t="s">
        <v>62</v>
      </c>
      <c r="C312" s="97" t="s">
        <v>63</v>
      </c>
      <c r="D312" s="71"/>
      <c r="E312" s="71"/>
      <c r="F312" s="71"/>
      <c r="G312" s="71"/>
      <c r="H312" s="71"/>
      <c r="I312" s="71"/>
      <c r="J312" s="71"/>
      <c r="K312" s="140">
        <v>1650000</v>
      </c>
      <c r="L312" s="141"/>
      <c r="M312" s="142">
        <v>1800000</v>
      </c>
      <c r="N312" s="141"/>
      <c r="O312" s="142">
        <v>2000000</v>
      </c>
      <c r="P312" s="141"/>
      <c r="Q312">
        <v>1</v>
      </c>
    </row>
    <row r="313" spans="1:17" ht="18" hidden="1" x14ac:dyDescent="0.25">
      <c r="A313" s="72"/>
      <c r="B313" s="71" t="s">
        <v>191</v>
      </c>
      <c r="C313" s="73" t="s">
        <v>222</v>
      </c>
      <c r="D313" s="71"/>
      <c r="E313" s="71"/>
      <c r="F313" s="71"/>
      <c r="G313" s="71"/>
      <c r="H313" s="71"/>
      <c r="I313" s="71"/>
      <c r="J313" s="71"/>
      <c r="K313" s="140"/>
      <c r="L313" s="141">
        <f>+K312</f>
        <v>1650000</v>
      </c>
      <c r="M313" s="142"/>
      <c r="N313" s="141">
        <f>+M312</f>
        <v>1800000</v>
      </c>
      <c r="O313" s="142"/>
      <c r="P313" s="141">
        <f>+O312</f>
        <v>2000000</v>
      </c>
      <c r="Q313">
        <v>1</v>
      </c>
    </row>
    <row r="314" spans="1:17" ht="18" hidden="1" x14ac:dyDescent="0.25">
      <c r="A314" s="72"/>
      <c r="B314" s="71"/>
      <c r="C314" s="73"/>
      <c r="D314" s="71"/>
      <c r="E314" s="71"/>
      <c r="F314" s="71"/>
      <c r="G314" s="71"/>
      <c r="H314" s="71"/>
      <c r="I314" s="71"/>
      <c r="J314" s="71"/>
      <c r="K314" s="140"/>
      <c r="L314" s="141"/>
      <c r="M314" s="142"/>
      <c r="N314" s="141"/>
      <c r="O314" s="142"/>
      <c r="P314" s="141"/>
      <c r="Q314">
        <v>1</v>
      </c>
    </row>
    <row r="315" spans="1:17" hidden="1" x14ac:dyDescent="0.25">
      <c r="A315" s="72"/>
      <c r="B315" s="71"/>
      <c r="C315" s="130" t="s">
        <v>221</v>
      </c>
      <c r="D315" s="71"/>
      <c r="E315" s="71"/>
      <c r="F315" s="71"/>
      <c r="G315" s="71"/>
      <c r="H315" s="71"/>
      <c r="I315" s="71"/>
      <c r="J315" s="71"/>
      <c r="K315" s="140"/>
      <c r="L315" s="141"/>
      <c r="M315" s="142"/>
      <c r="N315" s="141"/>
      <c r="O315" s="142"/>
      <c r="P315" s="141"/>
      <c r="Q315">
        <v>1</v>
      </c>
    </row>
    <row r="316" spans="1:17" ht="18" hidden="1" x14ac:dyDescent="0.25">
      <c r="A316" s="72"/>
      <c r="B316" s="71"/>
      <c r="C316" s="71"/>
      <c r="D316" s="71"/>
      <c r="E316" s="71"/>
      <c r="F316" s="71"/>
      <c r="G316" s="71"/>
      <c r="H316" s="71"/>
      <c r="I316" s="71"/>
      <c r="J316" s="71"/>
      <c r="K316" s="140"/>
      <c r="L316" s="141"/>
      <c r="M316" s="142"/>
      <c r="N316" s="141"/>
      <c r="O316" s="142"/>
      <c r="P316" s="141"/>
      <c r="Q316">
        <v>1</v>
      </c>
    </row>
    <row r="317" spans="1:17" s="1" customFormat="1" ht="18" hidden="1" x14ac:dyDescent="0.25">
      <c r="A317" s="68">
        <f>+A311+1</f>
        <v>28</v>
      </c>
      <c r="B317" s="69" t="s">
        <v>17</v>
      </c>
      <c r="C317" s="69" t="s">
        <v>30</v>
      </c>
      <c r="D317" s="69"/>
      <c r="E317" s="69"/>
      <c r="F317" s="69"/>
      <c r="G317" s="69"/>
      <c r="H317" s="69"/>
      <c r="I317" s="69"/>
      <c r="J317" s="69"/>
      <c r="K317" s="143"/>
      <c r="L317" s="144"/>
      <c r="M317" s="145"/>
      <c r="N317" s="144"/>
      <c r="O317" s="145"/>
      <c r="P317" s="144"/>
      <c r="Q317">
        <v>1</v>
      </c>
    </row>
    <row r="318" spans="1:17" ht="18" hidden="1" x14ac:dyDescent="0.25">
      <c r="A318" s="72"/>
      <c r="B318" s="71" t="s">
        <v>207</v>
      </c>
      <c r="C318" s="73" t="s">
        <v>208</v>
      </c>
      <c r="D318" s="71"/>
      <c r="E318" s="71"/>
      <c r="F318" s="71"/>
      <c r="G318" s="71"/>
      <c r="H318" s="71"/>
      <c r="I318" s="71"/>
      <c r="J318" s="71"/>
      <c r="K318" s="140">
        <f>+M318</f>
        <v>3000000</v>
      </c>
      <c r="L318" s="141"/>
      <c r="M318" s="142">
        <f>+O318</f>
        <v>3000000</v>
      </c>
      <c r="N318" s="141"/>
      <c r="O318" s="142">
        <v>3000000</v>
      </c>
      <c r="P318" s="141"/>
      <c r="Q318">
        <v>1</v>
      </c>
    </row>
    <row r="319" spans="1:17" ht="18" hidden="1" x14ac:dyDescent="0.25">
      <c r="A319" s="72"/>
      <c r="B319" s="71" t="s">
        <v>79</v>
      </c>
      <c r="C319" s="73" t="s">
        <v>144</v>
      </c>
      <c r="D319" s="71"/>
      <c r="E319" s="71"/>
      <c r="F319" s="99"/>
      <c r="G319" s="71"/>
      <c r="H319" s="71"/>
      <c r="I319" s="71"/>
      <c r="J319" s="71"/>
      <c r="K319" s="140"/>
      <c r="L319" s="141">
        <f>+K318</f>
        <v>3000000</v>
      </c>
      <c r="M319" s="142"/>
      <c r="N319" s="141">
        <f>+M318</f>
        <v>3000000</v>
      </c>
      <c r="O319" s="142"/>
      <c r="P319" s="141">
        <f>+O318</f>
        <v>3000000</v>
      </c>
      <c r="Q319">
        <v>1</v>
      </c>
    </row>
    <row r="320" spans="1:17" ht="18" hidden="1" x14ac:dyDescent="0.25">
      <c r="A320" s="72"/>
      <c r="B320" s="116"/>
      <c r="C320" s="117"/>
      <c r="D320" s="71"/>
      <c r="E320" s="71"/>
      <c r="F320" s="71"/>
      <c r="G320" s="71"/>
      <c r="H320" s="71"/>
      <c r="I320" s="71"/>
      <c r="J320" s="71"/>
      <c r="K320" s="140"/>
      <c r="L320" s="141"/>
      <c r="M320" s="142"/>
      <c r="N320" s="141"/>
      <c r="O320" s="142"/>
      <c r="P320" s="141"/>
      <c r="Q320">
        <v>1</v>
      </c>
    </row>
    <row r="321" spans="1:17" s="1" customFormat="1" ht="18" hidden="1" x14ac:dyDescent="0.25">
      <c r="A321" s="68">
        <f>+A317+1</f>
        <v>29</v>
      </c>
      <c r="B321" s="69" t="s">
        <v>18</v>
      </c>
      <c r="C321" s="69" t="s">
        <v>29</v>
      </c>
      <c r="D321" s="69"/>
      <c r="E321" s="69"/>
      <c r="F321" s="69"/>
      <c r="G321" s="69"/>
      <c r="H321" s="69"/>
      <c r="I321" s="69"/>
      <c r="J321" s="69"/>
      <c r="K321" s="143"/>
      <c r="L321" s="144"/>
      <c r="M321" s="145"/>
      <c r="N321" s="144"/>
      <c r="O321" s="145"/>
      <c r="P321" s="144"/>
      <c r="Q321">
        <v>1</v>
      </c>
    </row>
    <row r="322" spans="1:17" s="1" customFormat="1" ht="18" hidden="1" x14ac:dyDescent="0.25">
      <c r="A322" s="68"/>
      <c r="B322" s="71" t="s">
        <v>209</v>
      </c>
      <c r="C322" s="73" t="s">
        <v>223</v>
      </c>
      <c r="D322" s="69"/>
      <c r="E322" s="69"/>
      <c r="F322" s="69"/>
      <c r="G322" s="69"/>
      <c r="H322" s="69"/>
      <c r="I322" s="69"/>
      <c r="J322" s="69"/>
      <c r="K322" s="140">
        <f>+F329</f>
        <v>4100000</v>
      </c>
      <c r="L322" s="141"/>
      <c r="M322" s="142">
        <f>+G329</f>
        <v>3500000</v>
      </c>
      <c r="N322" s="141"/>
      <c r="O322" s="142">
        <f>H329</f>
        <v>2800000</v>
      </c>
      <c r="P322" s="141"/>
      <c r="Q322">
        <v>1</v>
      </c>
    </row>
    <row r="323" spans="1:17" s="1" customFormat="1" ht="18" hidden="1" x14ac:dyDescent="0.25">
      <c r="A323" s="68"/>
      <c r="B323" s="71" t="s">
        <v>98</v>
      </c>
      <c r="C323" s="73" t="s">
        <v>99</v>
      </c>
      <c r="D323" s="69"/>
      <c r="E323" s="69"/>
      <c r="F323" s="69"/>
      <c r="G323" s="69"/>
      <c r="H323" s="69"/>
      <c r="I323" s="69"/>
      <c r="J323" s="69"/>
      <c r="K323" s="140"/>
      <c r="L323" s="141">
        <f>+N323+N324</f>
        <v>3500000</v>
      </c>
      <c r="M323" s="142"/>
      <c r="N323" s="141">
        <f>+P323</f>
        <v>2800000</v>
      </c>
      <c r="O323" s="142"/>
      <c r="P323" s="141">
        <f>+O322</f>
        <v>2800000</v>
      </c>
      <c r="Q323">
        <v>1</v>
      </c>
    </row>
    <row r="324" spans="1:17" s="1" customFormat="1" ht="18" hidden="1" x14ac:dyDescent="0.25">
      <c r="A324" s="68"/>
      <c r="B324" s="71" t="s">
        <v>175</v>
      </c>
      <c r="C324" s="73" t="s">
        <v>211</v>
      </c>
      <c r="D324" s="69"/>
      <c r="E324" s="69"/>
      <c r="F324" s="69"/>
      <c r="G324" s="69"/>
      <c r="H324" s="69"/>
      <c r="I324" s="69"/>
      <c r="J324" s="69"/>
      <c r="K324" s="140"/>
      <c r="L324" s="141">
        <f>+K322-L323</f>
        <v>600000</v>
      </c>
      <c r="M324" s="142"/>
      <c r="N324" s="141">
        <f>+M322-N323</f>
        <v>700000</v>
      </c>
      <c r="O324" s="145"/>
      <c r="P324" s="144"/>
      <c r="Q324">
        <v>1</v>
      </c>
    </row>
    <row r="325" spans="1:17" s="1" customFormat="1" ht="18" hidden="1" x14ac:dyDescent="0.25">
      <c r="A325" s="68"/>
      <c r="B325" s="69"/>
      <c r="C325" s="69"/>
      <c r="D325" s="71"/>
      <c r="E325" s="71"/>
      <c r="F325" s="68">
        <v>2016</v>
      </c>
      <c r="G325" s="68">
        <v>2015</v>
      </c>
      <c r="H325" s="68">
        <v>2014</v>
      </c>
      <c r="I325" s="69"/>
      <c r="J325" s="69"/>
      <c r="K325" s="143"/>
      <c r="L325" s="144"/>
      <c r="M325" s="145"/>
      <c r="N325" s="144"/>
      <c r="O325" s="145"/>
      <c r="P325" s="144"/>
      <c r="Q325">
        <v>1</v>
      </c>
    </row>
    <row r="326" spans="1:17" s="1" customFormat="1" ht="18" hidden="1" x14ac:dyDescent="0.25">
      <c r="A326" s="68"/>
      <c r="B326" s="69"/>
      <c r="C326" s="69"/>
      <c r="D326" s="71"/>
      <c r="E326" s="71"/>
      <c r="F326" s="68" t="s">
        <v>129</v>
      </c>
      <c r="G326" s="68" t="s">
        <v>129</v>
      </c>
      <c r="H326" s="68" t="s">
        <v>129</v>
      </c>
      <c r="I326" s="69"/>
      <c r="J326" s="69"/>
      <c r="K326" s="143"/>
      <c r="L326" s="144"/>
      <c r="M326" s="145"/>
      <c r="N326" s="144"/>
      <c r="O326" s="145"/>
      <c r="P326" s="144"/>
      <c r="Q326">
        <v>1</v>
      </c>
    </row>
    <row r="327" spans="1:17" s="1" customFormat="1" ht="18" hidden="1" x14ac:dyDescent="0.25">
      <c r="A327" s="68"/>
      <c r="B327" s="69"/>
      <c r="C327" s="69" t="s">
        <v>140</v>
      </c>
      <c r="D327" s="71"/>
      <c r="E327" s="71"/>
      <c r="F327" s="99">
        <v>7900000</v>
      </c>
      <c r="G327" s="99">
        <v>7500000</v>
      </c>
      <c r="H327" s="99">
        <v>7200000</v>
      </c>
      <c r="I327" s="69"/>
      <c r="J327" s="69"/>
      <c r="K327" s="143"/>
      <c r="L327" s="144"/>
      <c r="M327" s="145"/>
      <c r="N327" s="144"/>
      <c r="O327" s="145"/>
      <c r="P327" s="144"/>
      <c r="Q327">
        <v>1</v>
      </c>
    </row>
    <row r="328" spans="1:17" s="1" customFormat="1" ht="18" hidden="1" x14ac:dyDescent="0.25">
      <c r="A328" s="68"/>
      <c r="B328" s="69"/>
      <c r="C328" s="69" t="s">
        <v>212</v>
      </c>
      <c r="D328" s="71"/>
      <c r="E328" s="71"/>
      <c r="F328" s="99">
        <v>12000000</v>
      </c>
      <c r="G328" s="99">
        <v>11000000</v>
      </c>
      <c r="H328" s="99">
        <v>10000000</v>
      </c>
      <c r="I328" s="69"/>
      <c r="J328" s="69"/>
      <c r="K328" s="143"/>
      <c r="L328" s="144"/>
      <c r="M328" s="145"/>
      <c r="N328" s="144"/>
      <c r="O328" s="145"/>
      <c r="P328" s="144"/>
      <c r="Q328">
        <v>1</v>
      </c>
    </row>
    <row r="329" spans="1:17" s="1" customFormat="1" ht="18" hidden="1" x14ac:dyDescent="0.25">
      <c r="A329" s="68"/>
      <c r="B329" s="69"/>
      <c r="C329" s="131" t="s">
        <v>138</v>
      </c>
      <c r="D329" s="132"/>
      <c r="E329" s="132"/>
      <c r="F329" s="133">
        <f t="shared" ref="F329" si="31">+F328-F327</f>
        <v>4100000</v>
      </c>
      <c r="G329" s="133">
        <f>+G328-G327</f>
        <v>3500000</v>
      </c>
      <c r="H329" s="134">
        <f>+H328-H327</f>
        <v>2800000</v>
      </c>
      <c r="I329" s="69"/>
      <c r="J329" s="69"/>
      <c r="K329" s="143"/>
      <c r="L329" s="144"/>
      <c r="M329" s="145"/>
      <c r="N329" s="144"/>
      <c r="O329" s="145"/>
      <c r="P329" s="144"/>
      <c r="Q329">
        <v>1</v>
      </c>
    </row>
    <row r="330" spans="1:17" ht="18" hidden="1" x14ac:dyDescent="0.25">
      <c r="A330" s="68">
        <f>+A321+1</f>
        <v>30</v>
      </c>
      <c r="B330" s="69" t="s">
        <v>19</v>
      </c>
      <c r="C330" s="69" t="s">
        <v>28</v>
      </c>
      <c r="D330" s="71"/>
      <c r="E330" s="71"/>
      <c r="F330" s="71"/>
      <c r="G330" s="71"/>
      <c r="H330" s="71"/>
      <c r="I330" s="71"/>
      <c r="J330" s="71"/>
      <c r="K330" s="140"/>
      <c r="L330" s="141"/>
      <c r="M330" s="142"/>
      <c r="N330" s="141"/>
      <c r="O330" s="142"/>
      <c r="P330" s="141"/>
      <c r="Q330">
        <v>1</v>
      </c>
    </row>
    <row r="331" spans="1:17" ht="18" hidden="1" x14ac:dyDescent="0.25">
      <c r="A331" s="72"/>
      <c r="B331" s="71" t="s">
        <v>98</v>
      </c>
      <c r="C331" s="73" t="s">
        <v>99</v>
      </c>
      <c r="D331" s="71"/>
      <c r="E331" s="71"/>
      <c r="F331" s="71"/>
      <c r="G331" s="71"/>
      <c r="H331" s="71"/>
      <c r="I331" s="71"/>
      <c r="J331" s="71"/>
      <c r="K331" s="140">
        <f>+F333</f>
        <v>3200000</v>
      </c>
      <c r="L331" s="141"/>
      <c r="M331" s="142">
        <f>+G333</f>
        <v>3200000</v>
      </c>
      <c r="N331" s="141"/>
      <c r="O331" s="142">
        <f>+H333</f>
        <v>3200000</v>
      </c>
      <c r="P331" s="141"/>
      <c r="Q331">
        <v>1</v>
      </c>
    </row>
    <row r="332" spans="1:17" ht="18" hidden="1" x14ac:dyDescent="0.25">
      <c r="A332" s="72"/>
      <c r="B332" s="71" t="s">
        <v>187</v>
      </c>
      <c r="C332" s="73" t="s">
        <v>184</v>
      </c>
      <c r="D332" s="71"/>
      <c r="E332" s="71"/>
      <c r="F332" s="68">
        <v>2016</v>
      </c>
      <c r="G332" s="68">
        <v>2015</v>
      </c>
      <c r="H332" s="68">
        <v>2014</v>
      </c>
      <c r="I332" s="71"/>
      <c r="J332" s="71"/>
      <c r="K332" s="140"/>
      <c r="L332" s="141">
        <f>+K331</f>
        <v>3200000</v>
      </c>
      <c r="M332" s="142"/>
      <c r="N332" s="141">
        <f>+M331</f>
        <v>3200000</v>
      </c>
      <c r="O332" s="142"/>
      <c r="P332" s="141">
        <f>+O331</f>
        <v>3200000</v>
      </c>
      <c r="Q332">
        <v>1</v>
      </c>
    </row>
    <row r="333" spans="1:17" ht="18" hidden="1" x14ac:dyDescent="0.25">
      <c r="A333" s="72"/>
      <c r="B333" s="71"/>
      <c r="C333" s="69" t="s">
        <v>213</v>
      </c>
      <c r="D333" s="71"/>
      <c r="E333" s="71"/>
      <c r="F333" s="99">
        <v>3200000</v>
      </c>
      <c r="G333" s="99">
        <v>3200000</v>
      </c>
      <c r="H333" s="99">
        <v>3200000</v>
      </c>
      <c r="I333" s="71"/>
      <c r="J333" s="71"/>
      <c r="K333" s="140"/>
      <c r="L333" s="141"/>
      <c r="M333" s="142"/>
      <c r="N333" s="141"/>
      <c r="O333" s="142"/>
      <c r="P333" s="141"/>
      <c r="Q333">
        <v>1</v>
      </c>
    </row>
    <row r="334" spans="1:17" ht="18" hidden="1" x14ac:dyDescent="0.25">
      <c r="A334" s="68">
        <f>+A330+1</f>
        <v>31</v>
      </c>
      <c r="B334" s="69" t="s">
        <v>7</v>
      </c>
      <c r="C334" s="69" t="s">
        <v>27</v>
      </c>
      <c r="D334" s="71"/>
      <c r="E334" s="71"/>
      <c r="F334" s="71"/>
      <c r="G334" s="71"/>
      <c r="H334" s="71"/>
      <c r="I334" s="71"/>
      <c r="J334" s="71"/>
      <c r="K334" s="140"/>
      <c r="L334" s="141"/>
      <c r="M334" s="142"/>
      <c r="N334" s="141"/>
      <c r="O334" s="142"/>
      <c r="P334" s="141"/>
      <c r="Q334">
        <v>1</v>
      </c>
    </row>
    <row r="335" spans="1:17" ht="18" hidden="1" x14ac:dyDescent="0.25">
      <c r="A335" s="68"/>
      <c r="B335" s="71" t="s">
        <v>309</v>
      </c>
      <c r="C335" s="73" t="s">
        <v>310</v>
      </c>
      <c r="D335" s="71"/>
      <c r="E335" s="71"/>
      <c r="F335" s="71"/>
      <c r="G335" s="71"/>
      <c r="H335" s="71"/>
      <c r="I335" s="71"/>
      <c r="J335" s="71"/>
      <c r="K335" s="140">
        <f>+F359</f>
        <v>1472141.9695177081</v>
      </c>
      <c r="L335" s="141"/>
      <c r="M335" s="142">
        <f>+G359</f>
        <v>2988618.4759162297</v>
      </c>
      <c r="N335" s="141"/>
      <c r="O335" s="142">
        <f>+H359</f>
        <v>4145859.8239402301</v>
      </c>
      <c r="P335" s="141"/>
      <c r="Q335">
        <v>1</v>
      </c>
    </row>
    <row r="336" spans="1:17" ht="18" hidden="1" x14ac:dyDescent="0.25">
      <c r="A336" s="68"/>
      <c r="B336" s="71" t="s">
        <v>98</v>
      </c>
      <c r="C336" s="73" t="s">
        <v>99</v>
      </c>
      <c r="D336" s="71"/>
      <c r="E336" s="71"/>
      <c r="F336" s="71"/>
      <c r="G336" s="71"/>
      <c r="H336" s="71"/>
      <c r="I336" s="71"/>
      <c r="J336" s="71"/>
      <c r="K336" s="140"/>
      <c r="L336" s="141">
        <f>+N336-M337</f>
        <v>2988618.4759162297</v>
      </c>
      <c r="M336" s="142"/>
      <c r="N336" s="141">
        <f>+P336</f>
        <v>4145859.8239402301</v>
      </c>
      <c r="O336" s="142"/>
      <c r="P336" s="141">
        <f>+O335</f>
        <v>4145859.8239402301</v>
      </c>
      <c r="Q336">
        <v>1</v>
      </c>
    </row>
    <row r="337" spans="1:17" ht="18" hidden="1" x14ac:dyDescent="0.25">
      <c r="A337" s="68"/>
      <c r="B337" s="71" t="s">
        <v>164</v>
      </c>
      <c r="C337" s="73" t="s">
        <v>119</v>
      </c>
      <c r="D337" s="71"/>
      <c r="E337" s="71"/>
      <c r="F337" s="71"/>
      <c r="G337" s="71"/>
      <c r="H337" s="71"/>
      <c r="I337" s="71"/>
      <c r="J337" s="71"/>
      <c r="K337" s="140">
        <f>+L336-K335</f>
        <v>1516476.5063985216</v>
      </c>
      <c r="L337" s="141"/>
      <c r="M337" s="142">
        <f>+N336-M335</f>
        <v>1157241.3480240004</v>
      </c>
      <c r="N337" s="141"/>
      <c r="O337" s="142"/>
      <c r="P337" s="141"/>
      <c r="Q337">
        <v>1</v>
      </c>
    </row>
    <row r="338" spans="1:17" ht="18" hidden="1" x14ac:dyDescent="0.25">
      <c r="A338" s="68"/>
      <c r="B338" s="69" t="s">
        <v>283</v>
      </c>
      <c r="C338" s="71"/>
      <c r="D338" s="71"/>
      <c r="E338" s="71"/>
      <c r="F338" s="68">
        <v>2016</v>
      </c>
      <c r="G338" s="68">
        <v>2015</v>
      </c>
      <c r="H338" s="68">
        <v>2014</v>
      </c>
      <c r="I338" s="71"/>
      <c r="J338" s="71"/>
      <c r="K338" s="140"/>
      <c r="L338" s="141"/>
      <c r="M338" s="142"/>
      <c r="N338" s="141"/>
      <c r="O338" s="142"/>
      <c r="P338" s="141"/>
      <c r="Q338">
        <v>1</v>
      </c>
    </row>
    <row r="339" spans="1:17" ht="18" hidden="1" x14ac:dyDescent="0.25">
      <c r="A339" s="68"/>
      <c r="B339" s="71" t="s">
        <v>296</v>
      </c>
      <c r="C339" s="71"/>
      <c r="D339" s="71"/>
      <c r="E339" s="71"/>
      <c r="F339" s="135">
        <f>H21</f>
        <v>900000</v>
      </c>
      <c r="G339" s="135">
        <f>I21</f>
        <v>1100000</v>
      </c>
      <c r="H339" s="135">
        <f>I18</f>
        <v>800000</v>
      </c>
      <c r="I339" s="71"/>
      <c r="J339" s="71"/>
      <c r="K339" s="140"/>
      <c r="L339" s="141"/>
      <c r="M339" s="142"/>
      <c r="N339" s="141"/>
      <c r="O339" s="142"/>
      <c r="P339" s="141"/>
      <c r="Q339">
        <v>1</v>
      </c>
    </row>
    <row r="340" spans="1:17" ht="18" hidden="1" x14ac:dyDescent="0.25">
      <c r="A340" s="68"/>
      <c r="B340" s="71" t="s">
        <v>287</v>
      </c>
      <c r="C340" s="71"/>
      <c r="D340" s="71"/>
      <c r="E340" s="71"/>
      <c r="F340" s="99">
        <f>G56-G60</f>
        <v>750000</v>
      </c>
      <c r="G340" s="99">
        <f>H56-H60</f>
        <v>600000</v>
      </c>
      <c r="H340" s="99">
        <f>I56-I60</f>
        <v>450000</v>
      </c>
      <c r="I340" s="71"/>
      <c r="J340" s="71"/>
      <c r="K340" s="140"/>
      <c r="L340" s="141"/>
      <c r="M340" s="142"/>
      <c r="N340" s="141"/>
      <c r="O340" s="142"/>
      <c r="P340" s="141"/>
      <c r="Q340">
        <v>1</v>
      </c>
    </row>
    <row r="341" spans="1:17" ht="18" hidden="1" x14ac:dyDescent="0.25">
      <c r="A341" s="68"/>
      <c r="B341" s="71" t="s">
        <v>288</v>
      </c>
      <c r="C341" s="71"/>
      <c r="D341" s="71"/>
      <c r="E341" s="71"/>
      <c r="F341" s="99">
        <f>G72-G78</f>
        <v>280000</v>
      </c>
      <c r="G341" s="99">
        <f>H72-H78</f>
        <v>160000</v>
      </c>
      <c r="H341" s="99">
        <f>I72-I78</f>
        <v>40000</v>
      </c>
      <c r="I341" s="71"/>
      <c r="J341" s="71"/>
      <c r="K341" s="140"/>
      <c r="L341" s="141"/>
      <c r="M341" s="142"/>
      <c r="N341" s="141"/>
      <c r="O341" s="142"/>
      <c r="P341" s="141"/>
      <c r="Q341">
        <v>1</v>
      </c>
    </row>
    <row r="342" spans="1:17" ht="18" hidden="1" x14ac:dyDescent="0.25">
      <c r="A342" s="68"/>
      <c r="B342" s="71" t="s">
        <v>295</v>
      </c>
      <c r="C342" s="71"/>
      <c r="D342" s="71"/>
      <c r="E342" s="71"/>
      <c r="F342" s="99">
        <f>F157</f>
        <v>850000</v>
      </c>
      <c r="G342" s="99">
        <f>F156</f>
        <v>1000000</v>
      </c>
      <c r="H342" s="99">
        <f>F155</f>
        <v>900000</v>
      </c>
      <c r="I342" s="71"/>
      <c r="J342" s="71"/>
      <c r="K342" s="140"/>
      <c r="L342" s="141"/>
      <c r="M342" s="142"/>
      <c r="N342" s="141"/>
      <c r="O342" s="142"/>
      <c r="P342" s="141"/>
      <c r="Q342">
        <v>1</v>
      </c>
    </row>
    <row r="343" spans="1:17" ht="18" hidden="1" x14ac:dyDescent="0.25">
      <c r="A343" s="68"/>
      <c r="B343" s="71" t="s">
        <v>284</v>
      </c>
      <c r="C343" s="71"/>
      <c r="D343" s="71"/>
      <c r="E343" s="71"/>
      <c r="F343" s="99">
        <f>F176</f>
        <v>900000</v>
      </c>
      <c r="G343" s="99">
        <f>G176</f>
        <v>700000</v>
      </c>
      <c r="H343" s="99">
        <f>G173</f>
        <v>600000</v>
      </c>
      <c r="I343" s="71"/>
      <c r="J343" s="71"/>
      <c r="K343" s="140"/>
      <c r="L343" s="141"/>
      <c r="M343" s="142"/>
      <c r="N343" s="141"/>
      <c r="O343" s="142"/>
      <c r="P343" s="141"/>
      <c r="Q343">
        <v>1</v>
      </c>
    </row>
    <row r="344" spans="1:17" ht="18" hidden="1" x14ac:dyDescent="0.25">
      <c r="A344" s="68"/>
      <c r="B344" s="71" t="s">
        <v>297</v>
      </c>
      <c r="C344" s="71"/>
      <c r="D344" s="71"/>
      <c r="E344" s="71"/>
      <c r="F344" s="99">
        <f>G228</f>
        <v>6708655.2000000002</v>
      </c>
      <c r="G344" s="99">
        <f>H228</f>
        <v>8256806.4000000004</v>
      </c>
      <c r="H344" s="99">
        <f>H226</f>
        <v>10321008</v>
      </c>
      <c r="I344" s="71"/>
      <c r="J344" s="71"/>
      <c r="K344" s="140"/>
      <c r="L344" s="141"/>
      <c r="M344" s="142"/>
      <c r="N344" s="141"/>
      <c r="O344" s="142"/>
      <c r="P344" s="141"/>
      <c r="Q344">
        <v>1</v>
      </c>
    </row>
    <row r="345" spans="1:17" ht="18" hidden="1" x14ac:dyDescent="0.25">
      <c r="A345" s="68"/>
      <c r="B345" s="71" t="s">
        <v>298</v>
      </c>
      <c r="C345" s="71"/>
      <c r="D345" s="71"/>
      <c r="E345" s="71"/>
      <c r="F345" s="99">
        <f>G239</f>
        <v>1500000</v>
      </c>
      <c r="G345" s="99">
        <f>G237</f>
        <v>1100000</v>
      </c>
      <c r="H345" s="99">
        <f>H237</f>
        <v>900000</v>
      </c>
      <c r="I345" s="71"/>
      <c r="J345" s="71"/>
      <c r="K345" s="140"/>
      <c r="L345" s="141"/>
      <c r="M345" s="142"/>
      <c r="N345" s="141"/>
      <c r="O345" s="142"/>
      <c r="P345" s="141"/>
      <c r="Q345">
        <v>1</v>
      </c>
    </row>
    <row r="346" spans="1:17" ht="18" hidden="1" x14ac:dyDescent="0.25">
      <c r="A346" s="68"/>
      <c r="B346" s="71" t="s">
        <v>299</v>
      </c>
      <c r="C346" s="71"/>
      <c r="D346" s="71"/>
      <c r="E346" s="71"/>
      <c r="F346" s="99">
        <f>F261-F256</f>
        <v>427000</v>
      </c>
      <c r="G346" s="99">
        <f>G261-G256</f>
        <v>282000</v>
      </c>
      <c r="H346" s="99">
        <f>H261-H256</f>
        <v>140000</v>
      </c>
      <c r="I346" s="71"/>
      <c r="J346" s="71"/>
      <c r="K346" s="140"/>
      <c r="L346" s="141"/>
      <c r="M346" s="142"/>
      <c r="N346" s="141"/>
      <c r="O346" s="142"/>
      <c r="P346" s="141"/>
      <c r="Q346">
        <v>1</v>
      </c>
    </row>
    <row r="347" spans="1:17" ht="18" hidden="1" x14ac:dyDescent="0.25">
      <c r="A347" s="68"/>
      <c r="B347" s="71" t="s">
        <v>300</v>
      </c>
      <c r="C347" s="71"/>
      <c r="D347" s="71"/>
      <c r="E347" s="71"/>
      <c r="F347" s="99">
        <f>+G270</f>
        <v>1200000</v>
      </c>
      <c r="G347" s="99">
        <f>+H270</f>
        <v>1100000</v>
      </c>
      <c r="H347" s="99">
        <v>0</v>
      </c>
      <c r="I347" s="71"/>
      <c r="J347" s="71"/>
      <c r="K347" s="140"/>
      <c r="L347" s="141"/>
      <c r="M347" s="142"/>
      <c r="N347" s="141"/>
      <c r="O347" s="142"/>
      <c r="P347" s="141"/>
      <c r="Q347">
        <v>1</v>
      </c>
    </row>
    <row r="348" spans="1:17" ht="18" hidden="1" x14ac:dyDescent="0.25">
      <c r="A348" s="68"/>
      <c r="B348" s="71" t="s">
        <v>301</v>
      </c>
      <c r="C348" s="71"/>
      <c r="D348" s="71"/>
      <c r="E348" s="71"/>
      <c r="F348" s="99">
        <f>F280</f>
        <v>2000000</v>
      </c>
      <c r="G348" s="99">
        <f>F278</f>
        <v>2250000</v>
      </c>
      <c r="H348" s="99">
        <f>G278</f>
        <v>2500000</v>
      </c>
      <c r="I348" s="71"/>
      <c r="J348" s="71"/>
      <c r="K348" s="140"/>
      <c r="L348" s="141"/>
      <c r="M348" s="142"/>
      <c r="N348" s="141"/>
      <c r="O348" s="142"/>
      <c r="P348" s="141"/>
      <c r="Q348">
        <v>1</v>
      </c>
    </row>
    <row r="349" spans="1:17" ht="18" hidden="1" x14ac:dyDescent="0.25">
      <c r="A349" s="68"/>
      <c r="B349" s="71" t="s">
        <v>303</v>
      </c>
      <c r="C349" s="71"/>
      <c r="D349" s="71"/>
      <c r="E349" s="71"/>
      <c r="F349" s="99">
        <f>F309</f>
        <v>4700000</v>
      </c>
      <c r="G349" s="99">
        <f>F307</f>
        <v>4000000</v>
      </c>
      <c r="H349" s="99">
        <f>G307</f>
        <v>3200000</v>
      </c>
      <c r="I349" s="71"/>
      <c r="J349" s="71"/>
      <c r="K349" s="140"/>
      <c r="L349" s="141"/>
      <c r="M349" s="142"/>
      <c r="N349" s="141"/>
      <c r="O349" s="142"/>
      <c r="P349" s="141"/>
      <c r="Q349">
        <v>1</v>
      </c>
    </row>
    <row r="350" spans="1:17" ht="18" hidden="1" x14ac:dyDescent="0.25">
      <c r="A350" s="68"/>
      <c r="B350" s="71" t="s">
        <v>305</v>
      </c>
      <c r="C350" s="71"/>
      <c r="D350" s="71"/>
      <c r="E350" s="71"/>
      <c r="F350" s="99">
        <f>F333</f>
        <v>3200000</v>
      </c>
      <c r="G350" s="99">
        <f>G333</f>
        <v>3200000</v>
      </c>
      <c r="H350" s="99">
        <f>H333</f>
        <v>3200000</v>
      </c>
      <c r="I350" s="71"/>
      <c r="J350" s="71"/>
      <c r="K350" s="140"/>
      <c r="L350" s="141"/>
      <c r="M350" s="142"/>
      <c r="N350" s="141"/>
      <c r="O350" s="142"/>
      <c r="P350" s="141"/>
      <c r="Q350">
        <v>1</v>
      </c>
    </row>
    <row r="351" spans="1:17" ht="18" hidden="1" x14ac:dyDescent="0.25">
      <c r="A351" s="68"/>
      <c r="B351" s="69" t="s">
        <v>285</v>
      </c>
      <c r="C351" s="71"/>
      <c r="D351" s="71"/>
      <c r="E351" s="71"/>
      <c r="F351" s="71"/>
      <c r="G351" s="116"/>
      <c r="H351" s="116"/>
      <c r="I351" s="71"/>
      <c r="J351" s="71"/>
      <c r="K351" s="140"/>
      <c r="L351" s="141"/>
      <c r="M351" s="142"/>
      <c r="N351" s="141"/>
      <c r="O351" s="142"/>
      <c r="P351" s="141"/>
      <c r="Q351">
        <v>1</v>
      </c>
    </row>
    <row r="352" spans="1:17" ht="18" hidden="1" x14ac:dyDescent="0.25">
      <c r="A352" s="68"/>
      <c r="B352" s="71" t="s">
        <v>292</v>
      </c>
      <c r="C352" s="71"/>
      <c r="D352" s="71"/>
      <c r="E352" s="71"/>
      <c r="F352" s="99">
        <f>+G108-G102</f>
        <v>150000</v>
      </c>
      <c r="G352" s="99">
        <f>+H108-H102</f>
        <v>162500</v>
      </c>
      <c r="H352" s="99">
        <f>+I108-I102</f>
        <v>175000</v>
      </c>
      <c r="I352" s="71"/>
      <c r="J352" s="71"/>
      <c r="K352" s="140"/>
      <c r="L352" s="141"/>
      <c r="M352" s="142"/>
      <c r="N352" s="141"/>
      <c r="O352" s="142"/>
      <c r="P352" s="141"/>
      <c r="Q352">
        <v>1</v>
      </c>
    </row>
    <row r="353" spans="1:17" ht="18" hidden="1" x14ac:dyDescent="0.25">
      <c r="A353" s="68"/>
      <c r="B353" s="71" t="s">
        <v>293</v>
      </c>
      <c r="C353" s="71"/>
      <c r="D353" s="71"/>
      <c r="E353" s="71"/>
      <c r="F353" s="99">
        <f>+G126-G120</f>
        <v>7140000</v>
      </c>
      <c r="G353" s="99">
        <f>+H126-H120</f>
        <v>4972500</v>
      </c>
      <c r="H353" s="99">
        <f>+I126-I120</f>
        <v>3060000</v>
      </c>
      <c r="I353" s="71"/>
      <c r="J353" s="71"/>
      <c r="K353" s="140"/>
      <c r="L353" s="141"/>
      <c r="M353" s="142"/>
      <c r="N353" s="141"/>
      <c r="O353" s="142"/>
      <c r="P353" s="141"/>
      <c r="Q353">
        <v>1</v>
      </c>
    </row>
    <row r="354" spans="1:17" ht="18" hidden="1" x14ac:dyDescent="0.25">
      <c r="A354" s="68"/>
      <c r="B354" s="71" t="s">
        <v>294</v>
      </c>
      <c r="C354" s="71"/>
      <c r="D354" s="71"/>
      <c r="E354" s="71"/>
      <c r="F354" s="99">
        <f>+G144</f>
        <v>100000</v>
      </c>
      <c r="G354" s="99">
        <f>+H144</f>
        <v>100000</v>
      </c>
      <c r="H354" s="99">
        <f>+I144</f>
        <v>100000</v>
      </c>
      <c r="I354" s="71"/>
      <c r="J354" s="71"/>
      <c r="K354" s="140"/>
      <c r="L354" s="141"/>
      <c r="M354" s="142"/>
      <c r="N354" s="141"/>
      <c r="O354" s="142"/>
      <c r="P354" s="141"/>
      <c r="Q354">
        <v>1</v>
      </c>
    </row>
    <row r="355" spans="1:17" ht="18" hidden="1" x14ac:dyDescent="0.25">
      <c r="A355" s="68"/>
      <c r="B355" s="71" t="s">
        <v>286</v>
      </c>
      <c r="C355" s="71"/>
      <c r="D355" s="71"/>
      <c r="E355" s="71"/>
      <c r="F355" s="99">
        <f>I40</f>
        <v>7000000</v>
      </c>
      <c r="G355" s="99">
        <f>I39</f>
        <v>5000000</v>
      </c>
      <c r="H355" s="99">
        <f>I38</f>
        <v>3000000</v>
      </c>
      <c r="I355" s="71"/>
      <c r="J355" s="71"/>
      <c r="K355" s="140"/>
      <c r="L355" s="141"/>
      <c r="M355" s="142"/>
      <c r="N355" s="141"/>
      <c r="O355" s="142"/>
      <c r="P355" s="141"/>
      <c r="Q355">
        <v>1</v>
      </c>
    </row>
    <row r="356" spans="1:17" ht="18" hidden="1" x14ac:dyDescent="0.25">
      <c r="A356" s="68"/>
      <c r="B356" s="71" t="s">
        <v>302</v>
      </c>
      <c r="C356" s="71"/>
      <c r="D356" s="71"/>
      <c r="E356" s="71"/>
      <c r="F356" s="129">
        <f>F299</f>
        <v>18515.301607638365</v>
      </c>
      <c r="G356" s="129">
        <f>G299</f>
        <v>51744.81361256633</v>
      </c>
      <c r="H356" s="129">
        <f>H299</f>
        <v>96475.253532565199</v>
      </c>
      <c r="I356" s="71"/>
      <c r="J356" s="71"/>
      <c r="K356" s="140"/>
      <c r="L356" s="141"/>
      <c r="M356" s="142"/>
      <c r="N356" s="141"/>
      <c r="O356" s="142"/>
      <c r="P356" s="141"/>
      <c r="Q356">
        <v>1</v>
      </c>
    </row>
    <row r="357" spans="1:17" ht="18" hidden="1" x14ac:dyDescent="0.25">
      <c r="A357" s="68"/>
      <c r="B357" s="71" t="s">
        <v>304</v>
      </c>
      <c r="C357" s="71"/>
      <c r="D357" s="71"/>
      <c r="E357" s="71"/>
      <c r="F357" s="110">
        <f>F329</f>
        <v>4100000</v>
      </c>
      <c r="G357" s="110">
        <f>G329</f>
        <v>3500000</v>
      </c>
      <c r="H357" s="110">
        <f>H329</f>
        <v>2800000</v>
      </c>
      <c r="I357" s="71"/>
      <c r="J357" s="71"/>
      <c r="K357" s="140"/>
      <c r="L357" s="141"/>
      <c r="M357" s="142"/>
      <c r="N357" s="141"/>
      <c r="O357" s="142"/>
      <c r="P357" s="141"/>
      <c r="Q357">
        <v>1</v>
      </c>
    </row>
    <row r="358" spans="1:17" ht="18" hidden="1" x14ac:dyDescent="0.25">
      <c r="A358" s="68"/>
      <c r="B358" s="71"/>
      <c r="C358" s="71"/>
      <c r="D358" s="71"/>
      <c r="E358" s="71"/>
      <c r="F358" s="110">
        <f>SUM(F339:F350)-SUM(F352:F357)</f>
        <v>4907139.8983923607</v>
      </c>
      <c r="G358" s="110">
        <f>SUM(G339:G350)-SUM(G352:G357)</f>
        <v>9962061.5863874331</v>
      </c>
      <c r="H358" s="110">
        <f>SUM(H339:H350)-SUM(H352:H357)</f>
        <v>13819532.746467434</v>
      </c>
      <c r="I358" s="71"/>
      <c r="J358" s="71"/>
      <c r="K358" s="140"/>
      <c r="L358" s="141"/>
      <c r="M358" s="142"/>
      <c r="N358" s="141"/>
      <c r="O358" s="142"/>
      <c r="P358" s="141"/>
      <c r="Q358">
        <v>1</v>
      </c>
    </row>
    <row r="359" spans="1:17" ht="18" hidden="1" x14ac:dyDescent="0.25">
      <c r="A359" s="68"/>
      <c r="B359" s="69" t="s">
        <v>421</v>
      </c>
      <c r="C359" s="71"/>
      <c r="D359" s="71"/>
      <c r="E359" s="71"/>
      <c r="F359" s="109">
        <f>F358*30%</f>
        <v>1472141.9695177081</v>
      </c>
      <c r="G359" s="109">
        <f t="shared" ref="G359:H359" si="32">G358*30%</f>
        <v>2988618.4759162297</v>
      </c>
      <c r="H359" s="109">
        <f t="shared" si="32"/>
        <v>4145859.8239402301</v>
      </c>
      <c r="I359" s="71"/>
      <c r="J359" s="71"/>
      <c r="K359" s="140"/>
      <c r="L359" s="141"/>
      <c r="M359" s="142"/>
      <c r="N359" s="141"/>
      <c r="O359" s="142"/>
      <c r="P359" s="141"/>
      <c r="Q359">
        <v>1</v>
      </c>
    </row>
    <row r="360" spans="1:17" ht="18" hidden="1" x14ac:dyDescent="0.25">
      <c r="A360" s="68"/>
      <c r="B360" s="69"/>
      <c r="C360" s="71"/>
      <c r="D360" s="71"/>
      <c r="E360" s="71"/>
      <c r="F360" s="302"/>
      <c r="G360" s="302"/>
      <c r="H360" s="302"/>
      <c r="I360" s="71"/>
      <c r="J360" s="71"/>
      <c r="K360" s="140"/>
      <c r="L360" s="141"/>
      <c r="M360" s="142"/>
      <c r="N360" s="141"/>
      <c r="O360" s="142"/>
      <c r="P360" s="141"/>
    </row>
    <row r="361" spans="1:17" ht="18" x14ac:dyDescent="0.25">
      <c r="A361" s="68"/>
      <c r="B361" s="69" t="s">
        <v>427</v>
      </c>
      <c r="C361" s="71"/>
      <c r="D361" s="71"/>
      <c r="E361" s="71"/>
      <c r="F361" s="302"/>
      <c r="G361" s="302"/>
      <c r="H361" s="302"/>
      <c r="I361" s="71"/>
      <c r="J361" s="71"/>
      <c r="K361" s="140"/>
      <c r="L361" s="141"/>
      <c r="M361" s="142"/>
      <c r="N361" s="141"/>
      <c r="O361" s="142"/>
      <c r="P361" s="141"/>
    </row>
    <row r="362" spans="1:17" ht="18" x14ac:dyDescent="0.25">
      <c r="A362" s="68"/>
      <c r="B362" s="71" t="s">
        <v>152</v>
      </c>
      <c r="C362" s="73" t="s">
        <v>151</v>
      </c>
      <c r="D362" s="71"/>
      <c r="E362" s="71"/>
      <c r="F362" s="99"/>
      <c r="G362" s="99"/>
      <c r="H362" s="71"/>
      <c r="I362" s="71"/>
      <c r="J362" s="71"/>
      <c r="K362" s="140">
        <f>+M362</f>
        <v>1050000</v>
      </c>
      <c r="L362" s="141"/>
      <c r="M362" s="142">
        <f>+O362</f>
        <v>1050000</v>
      </c>
      <c r="N362" s="141"/>
      <c r="O362" s="142">
        <f>+P363</f>
        <v>1050000</v>
      </c>
      <c r="P362" s="141"/>
    </row>
    <row r="363" spans="1:17" ht="18" x14ac:dyDescent="0.25">
      <c r="A363" s="68"/>
      <c r="B363" s="71" t="s">
        <v>309</v>
      </c>
      <c r="C363" s="73" t="s">
        <v>310</v>
      </c>
      <c r="D363" s="71"/>
      <c r="E363" s="71"/>
      <c r="F363" s="99"/>
      <c r="G363" s="99"/>
      <c r="H363" s="71"/>
      <c r="I363" s="71"/>
      <c r="J363" s="71"/>
      <c r="K363" s="140"/>
      <c r="L363" s="141">
        <f>+N363</f>
        <v>1050000</v>
      </c>
      <c r="M363" s="142"/>
      <c r="N363" s="141">
        <f>+P363</f>
        <v>1050000</v>
      </c>
      <c r="O363" s="142"/>
      <c r="P363" s="141">
        <f>+H368</f>
        <v>1050000</v>
      </c>
    </row>
    <row r="364" spans="1:17" ht="15.75" customHeight="1" x14ac:dyDescent="0.25">
      <c r="A364" s="68"/>
      <c r="B364" s="69"/>
      <c r="C364" s="71"/>
      <c r="D364" s="71"/>
      <c r="E364" s="71"/>
      <c r="F364" s="99"/>
      <c r="G364" s="99"/>
      <c r="H364" s="71"/>
      <c r="I364" s="71"/>
      <c r="J364" s="71"/>
      <c r="K364" s="140"/>
      <c r="L364" s="141"/>
      <c r="M364" s="142"/>
      <c r="N364" s="141"/>
      <c r="O364" s="142"/>
      <c r="P364" s="141"/>
    </row>
    <row r="365" spans="1:17" ht="5.25" customHeight="1" x14ac:dyDescent="0.25">
      <c r="A365" s="68"/>
      <c r="B365" s="69"/>
      <c r="C365" s="71"/>
      <c r="D365" s="71"/>
      <c r="E365" s="71"/>
      <c r="F365" s="99"/>
      <c r="G365" s="99"/>
      <c r="H365" s="71"/>
      <c r="I365" s="71"/>
      <c r="J365" s="71"/>
      <c r="K365" s="140"/>
      <c r="L365" s="141"/>
      <c r="M365" s="142"/>
      <c r="N365" s="141"/>
      <c r="O365" s="142"/>
      <c r="P365" s="141"/>
    </row>
    <row r="366" spans="1:17" x14ac:dyDescent="0.25">
      <c r="A366" s="68"/>
      <c r="B366" s="69" t="s">
        <v>306</v>
      </c>
      <c r="C366" s="71"/>
      <c r="D366" s="71"/>
      <c r="E366" s="71"/>
      <c r="F366" s="71"/>
      <c r="G366" s="260"/>
      <c r="H366" s="71"/>
      <c r="I366" s="71"/>
      <c r="J366" s="71"/>
      <c r="K366" s="140"/>
      <c r="L366" s="141"/>
      <c r="M366" s="142"/>
      <c r="N366" s="141"/>
      <c r="O366" s="142"/>
      <c r="P366" s="141"/>
    </row>
    <row r="367" spans="1:17" ht="18" x14ac:dyDescent="0.25">
      <c r="A367" s="68"/>
      <c r="B367" s="71" t="s">
        <v>151</v>
      </c>
      <c r="C367" s="71"/>
      <c r="D367" s="71"/>
      <c r="E367" s="71"/>
      <c r="F367" s="110">
        <f>+G367</f>
        <v>3500000</v>
      </c>
      <c r="G367" s="110">
        <f>+H367</f>
        <v>3500000</v>
      </c>
      <c r="H367" s="110">
        <f>+H87</f>
        <v>3500000</v>
      </c>
      <c r="I367" s="71"/>
      <c r="J367" s="71"/>
      <c r="K367" s="140"/>
      <c r="L367" s="141"/>
      <c r="M367" s="142"/>
      <c r="N367" s="141"/>
      <c r="O367" s="142"/>
      <c r="P367" s="141"/>
    </row>
    <row r="368" spans="1:17" ht="18" x14ac:dyDescent="0.25">
      <c r="A368" s="68"/>
      <c r="B368" s="69" t="s">
        <v>308</v>
      </c>
      <c r="C368" s="71"/>
      <c r="D368" s="71"/>
      <c r="E368" s="71"/>
      <c r="F368" s="109">
        <f>+F367*30%</f>
        <v>1050000</v>
      </c>
      <c r="G368" s="109">
        <f t="shared" ref="G368" si="33">+G367*30%</f>
        <v>1050000</v>
      </c>
      <c r="H368" s="109">
        <f>+H367*30%</f>
        <v>1050000</v>
      </c>
      <c r="I368" s="71"/>
      <c r="J368" s="71"/>
      <c r="K368" s="140"/>
      <c r="L368" s="141"/>
      <c r="M368" s="142"/>
      <c r="N368" s="141"/>
      <c r="O368" s="142"/>
      <c r="P368" s="141"/>
    </row>
    <row r="369" spans="1:16" x14ac:dyDescent="0.25">
      <c r="A369" s="68"/>
      <c r="B369" s="75" t="s">
        <v>307</v>
      </c>
      <c r="C369" s="74"/>
      <c r="D369" s="74"/>
      <c r="E369" s="110"/>
      <c r="F369" s="110"/>
      <c r="G369" s="306"/>
      <c r="H369" s="74"/>
      <c r="I369" s="74"/>
      <c r="J369" s="307"/>
      <c r="K369" s="140"/>
      <c r="L369" s="141"/>
      <c r="M369" s="142"/>
      <c r="N369" s="141"/>
      <c r="O369" s="142"/>
      <c r="P369" s="141"/>
    </row>
    <row r="370" spans="1:16" ht="18" x14ac:dyDescent="0.25">
      <c r="A370" s="116"/>
      <c r="B370" s="71"/>
      <c r="C370" s="71"/>
      <c r="D370" s="71"/>
      <c r="E370" s="71"/>
      <c r="F370" s="71"/>
      <c r="G370" s="71"/>
      <c r="H370" s="71"/>
      <c r="I370" s="71"/>
      <c r="J370" s="71"/>
      <c r="K370" s="305">
        <f t="shared" ref="K370:P370" si="34">SUM(K3:K285)+SUM(K300:K369)</f>
        <v>93955146.089528799</v>
      </c>
      <c r="L370" s="305">
        <f t="shared" si="34"/>
        <v>93955146.089528799</v>
      </c>
      <c r="M370" s="305">
        <f t="shared" si="34"/>
        <v>83283549.6774728</v>
      </c>
      <c r="N370" s="305">
        <f t="shared" si="34"/>
        <v>83283549.6774728</v>
      </c>
      <c r="O370" s="305">
        <f t="shared" si="34"/>
        <v>51889735.077472791</v>
      </c>
      <c r="P370" s="305">
        <f t="shared" si="34"/>
        <v>51889735.077472791</v>
      </c>
    </row>
    <row r="371" spans="1:16" x14ac:dyDescent="0.25">
      <c r="B371" s="260"/>
      <c r="C371" s="260"/>
      <c r="D371" s="260"/>
      <c r="E371" s="260"/>
      <c r="F371" s="260"/>
      <c r="G371" s="260"/>
      <c r="H371" s="260"/>
      <c r="I371" s="260"/>
      <c r="J371" s="260"/>
      <c r="K371" s="308"/>
      <c r="L371" s="308">
        <f>+K370-L370</f>
        <v>0</v>
      </c>
      <c r="M371" s="308"/>
      <c r="N371" s="308">
        <f>+M370-N370</f>
        <v>0</v>
      </c>
      <c r="O371" s="308"/>
      <c r="P371" s="308">
        <f>+O370-P370</f>
        <v>0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scale="48" orientation="portrait" r:id="rId1"/>
  <rowBreaks count="4" manualBreakCount="4">
    <brk id="61" max="16" man="1"/>
    <brk id="128" max="16" man="1"/>
    <brk id="189" max="16" man="1"/>
    <brk id="31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9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4" sqref="A4"/>
      <selection pane="bottomRight" activeCell="O17" sqref="O17"/>
    </sheetView>
  </sheetViews>
  <sheetFormatPr baseColWidth="10" defaultColWidth="9.140625" defaultRowHeight="15" x14ac:dyDescent="0.25"/>
  <cols>
    <col min="1" max="1" width="6" style="18" bestFit="1" customWidth="1"/>
    <col min="2" max="2" width="42.7109375" style="18" bestFit="1" customWidth="1"/>
    <col min="3" max="3" width="14.85546875" style="18" hidden="1" customWidth="1"/>
    <col min="4" max="4" width="14.42578125" style="18" hidden="1" customWidth="1"/>
    <col min="5" max="5" width="14.85546875" style="18" hidden="1" customWidth="1"/>
    <col min="6" max="6" width="3" style="18" hidden="1" customWidth="1"/>
    <col min="7" max="8" width="14.7109375" style="18" hidden="1" customWidth="1"/>
    <col min="9" max="10" width="16.7109375" style="18" hidden="1" customWidth="1"/>
    <col min="11" max="12" width="14.7109375" style="18" hidden="1" customWidth="1"/>
    <col min="13" max="13" width="2.7109375" style="18" hidden="1" customWidth="1"/>
    <col min="14" max="14" width="2" style="18" customWidth="1"/>
    <col min="15" max="17" width="13" style="18" bestFit="1" customWidth="1"/>
    <col min="18" max="18" width="4.5703125" style="18" customWidth="1"/>
    <col min="19" max="19" width="5.5703125" style="18" bestFit="1" customWidth="1"/>
    <col min="20" max="20" width="33.7109375" style="18" customWidth="1"/>
    <col min="21" max="22" width="14.7109375" style="18" hidden="1" customWidth="1"/>
    <col min="23" max="32" width="14.7109375" hidden="1" customWidth="1"/>
    <col min="33" max="76" width="14.7109375" customWidth="1"/>
  </cols>
  <sheetData>
    <row r="1" spans="1:35" x14ac:dyDescent="0.25">
      <c r="A1" s="303" t="s">
        <v>319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AI1" s="18"/>
    </row>
    <row r="2" spans="1:35" x14ac:dyDescent="0.25">
      <c r="A2" s="303" t="s">
        <v>314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AI2" s="18"/>
    </row>
    <row r="3" spans="1:35" s="18" customFormat="1" ht="12.75" x14ac:dyDescent="0.2">
      <c r="A3" s="27"/>
      <c r="B3" s="17"/>
      <c r="C3" s="27">
        <v>2015</v>
      </c>
      <c r="D3" s="27">
        <v>2014</v>
      </c>
      <c r="E3" s="27">
        <v>2013</v>
      </c>
      <c r="F3" s="17"/>
      <c r="G3" s="27">
        <v>2015</v>
      </c>
      <c r="H3" s="27">
        <v>2015</v>
      </c>
      <c r="I3" s="27">
        <v>2014</v>
      </c>
      <c r="J3" s="27">
        <v>2014</v>
      </c>
      <c r="K3" s="27">
        <v>2013</v>
      </c>
      <c r="L3" s="27">
        <v>2013</v>
      </c>
      <c r="M3" s="17"/>
      <c r="N3" s="17"/>
      <c r="O3" s="27" t="s">
        <v>261</v>
      </c>
      <c r="P3" s="27" t="s">
        <v>261</v>
      </c>
      <c r="Q3" s="27" t="s">
        <v>260</v>
      </c>
      <c r="R3" s="17"/>
    </row>
    <row r="4" spans="1:35" s="18" customFormat="1" ht="12.75" x14ac:dyDescent="0.2">
      <c r="A4" s="17"/>
      <c r="B4" s="17"/>
      <c r="C4" s="28" t="s">
        <v>54</v>
      </c>
      <c r="D4" s="28" t="s">
        <v>54</v>
      </c>
      <c r="E4" s="28" t="s">
        <v>54</v>
      </c>
      <c r="F4" s="17"/>
      <c r="G4" s="28" t="s">
        <v>54</v>
      </c>
      <c r="H4" s="28" t="s">
        <v>54</v>
      </c>
      <c r="I4" s="28" t="s">
        <v>54</v>
      </c>
      <c r="J4" s="28" t="s">
        <v>54</v>
      </c>
      <c r="K4" s="28" t="s">
        <v>54</v>
      </c>
      <c r="L4" s="28" t="s">
        <v>54</v>
      </c>
      <c r="M4" s="17"/>
      <c r="N4" s="17"/>
      <c r="O4" s="27">
        <v>2016</v>
      </c>
      <c r="P4" s="27">
        <v>2015</v>
      </c>
      <c r="Q4" s="27">
        <v>2015</v>
      </c>
      <c r="R4" s="17"/>
    </row>
    <row r="5" spans="1:35" s="18" customFormat="1" ht="12.75" x14ac:dyDescent="0.2">
      <c r="A5" s="17"/>
      <c r="B5" s="23" t="s">
        <v>55</v>
      </c>
      <c r="C5" s="27" t="s">
        <v>56</v>
      </c>
      <c r="D5" s="27" t="s">
        <v>56</v>
      </c>
      <c r="E5" s="27" t="s">
        <v>56</v>
      </c>
      <c r="F5" s="17"/>
      <c r="G5" s="27" t="s">
        <v>57</v>
      </c>
      <c r="H5" s="27" t="s">
        <v>58</v>
      </c>
      <c r="I5" s="27" t="s">
        <v>57</v>
      </c>
      <c r="J5" s="27" t="s">
        <v>58</v>
      </c>
      <c r="K5" s="27" t="s">
        <v>57</v>
      </c>
      <c r="L5" s="27" t="s">
        <v>58</v>
      </c>
      <c r="M5" s="17"/>
      <c r="N5" s="17"/>
      <c r="O5" s="28" t="s">
        <v>54</v>
      </c>
      <c r="P5" s="28" t="s">
        <v>54</v>
      </c>
      <c r="Q5" s="28" t="s">
        <v>54</v>
      </c>
      <c r="R5" s="17"/>
    </row>
    <row r="6" spans="1:35" x14ac:dyDescent="0.25">
      <c r="A6" s="17"/>
      <c r="B6" s="23" t="s">
        <v>59</v>
      </c>
      <c r="C6" s="29"/>
      <c r="D6" s="29"/>
      <c r="E6" s="14"/>
      <c r="F6" s="17"/>
      <c r="G6" s="17"/>
      <c r="H6" s="17"/>
      <c r="I6" s="17"/>
      <c r="J6" s="17"/>
      <c r="K6" s="17"/>
      <c r="L6" s="17"/>
      <c r="M6" s="17"/>
      <c r="N6" s="17"/>
      <c r="O6" s="14"/>
      <c r="P6" s="14"/>
      <c r="Q6" s="14"/>
      <c r="R6" s="17"/>
    </row>
    <row r="7" spans="1:35" x14ac:dyDescent="0.25">
      <c r="A7" s="17" t="s">
        <v>60</v>
      </c>
      <c r="B7" s="14" t="s">
        <v>61</v>
      </c>
      <c r="C7" s="30">
        <v>4802961</v>
      </c>
      <c r="D7" s="30">
        <v>4979761</v>
      </c>
      <c r="E7" s="30">
        <v>41365786</v>
      </c>
      <c r="F7" s="22"/>
      <c r="G7" s="22">
        <f ca="1">SUMIF('Asientos-1'!B:P,'EEFF en NIIF'!A7:A7,'Asientos-1'!K:K)</f>
        <v>0</v>
      </c>
      <c r="H7" s="22">
        <f ca="1">SUMIF('Asientos-1'!B:P,'EEFF en NIIF'!A7:A7,'Asientos-1'!L:L)</f>
        <v>0</v>
      </c>
      <c r="I7" s="22">
        <f ca="1">SUMIF('Asientos-1'!B:P,'EEFF en NIIF'!A7:A7,'Asientos-1'!M:M)</f>
        <v>0</v>
      </c>
      <c r="J7" s="22">
        <f ca="1">SUMIF('Asientos-1'!B:P,'EEFF en NIIF'!A7:A7,'Asientos-1'!N:N)</f>
        <v>0</v>
      </c>
      <c r="K7" s="22">
        <f ca="1">SUMIF('Asientos-1'!B:P,'EEFF en NIIF'!A7:A7,'Asientos-1'!O:O)</f>
        <v>0</v>
      </c>
      <c r="L7" s="22">
        <f ca="1">SUMIF('Asientos-1'!B:P,'EEFF en NIIF'!A7:A7,'Asientos-1'!P:P)</f>
        <v>0</v>
      </c>
      <c r="M7" s="22"/>
      <c r="N7" s="22"/>
      <c r="O7" s="31">
        <f ca="1">+Matriz!L10</f>
        <v>4802961</v>
      </c>
      <c r="P7" s="31">
        <f ca="1">+Matriz!M10</f>
        <v>4979761</v>
      </c>
      <c r="Q7" s="31">
        <f ca="1">+Matriz!N10</f>
        <v>41365786</v>
      </c>
      <c r="R7" s="17"/>
    </row>
    <row r="8" spans="1:35" x14ac:dyDescent="0.25">
      <c r="A8" s="17" t="s">
        <v>62</v>
      </c>
      <c r="B8" s="15" t="s">
        <v>63</v>
      </c>
      <c r="C8" s="30">
        <v>23532324</v>
      </c>
      <c r="D8" s="30">
        <v>18677903</v>
      </c>
      <c r="E8" s="30">
        <v>19800738</v>
      </c>
      <c r="F8" s="22"/>
      <c r="G8" s="22">
        <f ca="1">SUMIF('Asientos-1'!B:P,'EEFF en NIIF'!A8:A8,'Asientos-1'!K:K)</f>
        <v>8650000</v>
      </c>
      <c r="H8" s="22">
        <f ca="1">SUMIF('Asientos-1'!B:P,'EEFF en NIIF'!A8:A8,'Asientos-1'!L:L)</f>
        <v>5550000</v>
      </c>
      <c r="I8" s="22">
        <f ca="1">SUMIF('Asientos-1'!B:P,'EEFF en NIIF'!A8:A8,'Asientos-1'!M:M)</f>
        <v>6800000</v>
      </c>
      <c r="J8" s="22">
        <f ca="1">SUMIF('Asientos-1'!B:P,'EEFF en NIIF'!A8:A8,'Asientos-1'!N:N)</f>
        <v>5000000</v>
      </c>
      <c r="K8" s="22">
        <f ca="1">SUMIF('Asientos-1'!B:P,'EEFF en NIIF'!A8:A8,'Asientos-1'!O:O)</f>
        <v>5000000</v>
      </c>
      <c r="L8" s="22">
        <f ca="1">SUMIF('Asientos-1'!B:P,'EEFF en NIIF'!A8:A8,'Asientos-1'!P:P)</f>
        <v>4100000</v>
      </c>
      <c r="M8" s="22"/>
      <c r="N8" s="22"/>
      <c r="O8" s="31">
        <f ca="1">+Matriz!L11</f>
        <v>26632324</v>
      </c>
      <c r="P8" s="31">
        <f ca="1">+Matriz!M11</f>
        <v>10477903</v>
      </c>
      <c r="Q8" s="31">
        <f ca="1">+Matriz!N11</f>
        <v>20700738</v>
      </c>
      <c r="R8" s="17"/>
    </row>
    <row r="9" spans="1:35" x14ac:dyDescent="0.25">
      <c r="A9" s="17" t="s">
        <v>64</v>
      </c>
      <c r="B9" s="14" t="s">
        <v>65</v>
      </c>
      <c r="C9" s="30">
        <v>73616908</v>
      </c>
      <c r="D9" s="30">
        <v>157947</v>
      </c>
      <c r="E9" s="30">
        <v>0</v>
      </c>
      <c r="F9" s="22"/>
      <c r="G9" s="22">
        <f ca="1">SUMIF('Asientos-1'!B:P,'EEFF en NIIF'!A9:A9,'Asientos-1'!K:K)</f>
        <v>0</v>
      </c>
      <c r="H9" s="22">
        <f ca="1">SUMIF('Asientos-1'!B:P,'EEFF en NIIF'!A9:A9,'Asientos-1'!L:L)</f>
        <v>0</v>
      </c>
      <c r="I9" s="22">
        <f ca="1">SUMIF('Asientos-1'!B:P,'EEFF en NIIF'!A9:A9,'Asientos-1'!M:M)</f>
        <v>0</v>
      </c>
      <c r="J9" s="22">
        <f ca="1">SUMIF('Asientos-1'!B:P,'EEFF en NIIF'!A9:A9,'Asientos-1'!N:N)</f>
        <v>0</v>
      </c>
      <c r="K9" s="22">
        <f ca="1">SUMIF('Asientos-1'!B:P,'EEFF en NIIF'!A9:A9,'Asientos-1'!O:O)</f>
        <v>0</v>
      </c>
      <c r="L9" s="22">
        <f ca="1">SUMIF('Asientos-1'!B:P,'EEFF en NIIF'!A9:A9,'Asientos-1'!P:P)</f>
        <v>0</v>
      </c>
      <c r="M9" s="22"/>
      <c r="N9" s="22"/>
      <c r="O9" s="31">
        <f ca="1">+Matriz!L12</f>
        <v>50616908</v>
      </c>
      <c r="P9" s="31">
        <f ca="1">+Matriz!M12</f>
        <v>157947</v>
      </c>
      <c r="Q9" s="31">
        <f ca="1">+Matriz!N12</f>
        <v>0</v>
      </c>
      <c r="R9" s="17"/>
    </row>
    <row r="10" spans="1:35" x14ac:dyDescent="0.25">
      <c r="A10" s="17" t="s">
        <v>66</v>
      </c>
      <c r="B10" s="15" t="s">
        <v>67</v>
      </c>
      <c r="C10" s="31">
        <v>7549999</v>
      </c>
      <c r="D10" s="31">
        <v>8591901</v>
      </c>
      <c r="E10" s="31">
        <v>8611271</v>
      </c>
      <c r="F10" s="32"/>
      <c r="G10" s="22">
        <f ca="1">SUMIF('Asientos-1'!B:P,'EEFF en NIIF'!A10:A10,'Asientos-1'!K:K)</f>
        <v>100000</v>
      </c>
      <c r="H10" s="22">
        <f ca="1">SUMIF('Asientos-1'!B:P,'EEFF en NIIF'!A10:A10,'Asientos-1'!L:L)</f>
        <v>95499.999999999913</v>
      </c>
      <c r="I10" s="22">
        <f ca="1">SUMIF('Asientos-1'!B:P,'EEFF en NIIF'!A10:A10,'Asientos-1'!M:M)</f>
        <v>100000</v>
      </c>
      <c r="J10" s="22">
        <f ca="1">SUMIF('Asientos-1'!B:P,'EEFF en NIIF'!A10:A10,'Asientos-1'!N:N)</f>
        <v>158200.00000000029</v>
      </c>
      <c r="K10" s="22">
        <f ca="1">SUMIF('Asientos-1'!B:P,'EEFF en NIIF'!A10:A10,'Asientos-1'!O:O)</f>
        <v>132400.00000000017</v>
      </c>
      <c r="L10" s="22">
        <f ca="1">SUMIF('Asientos-1'!B:P,'EEFF en NIIF'!A10:A10,'Asientos-1'!P:P)</f>
        <v>0</v>
      </c>
      <c r="M10" s="32"/>
      <c r="N10" s="32"/>
      <c r="O10" s="31">
        <f ca="1">+Matriz!L13</f>
        <v>7554499</v>
      </c>
      <c r="P10" s="31">
        <f ca="1">+Matriz!M13</f>
        <v>8533701</v>
      </c>
      <c r="Q10" s="31">
        <f ca="1">+Matriz!N13</f>
        <v>8743671</v>
      </c>
      <c r="R10" s="17"/>
    </row>
    <row r="11" spans="1:35" x14ac:dyDescent="0.25">
      <c r="A11" s="17" t="s">
        <v>68</v>
      </c>
      <c r="B11" s="14" t="s">
        <v>69</v>
      </c>
      <c r="C11" s="30">
        <v>508739</v>
      </c>
      <c r="D11" s="30">
        <v>1038707</v>
      </c>
      <c r="E11" s="30">
        <v>416646</v>
      </c>
      <c r="F11" s="22"/>
      <c r="G11" s="22">
        <f ca="1">SUMIF('Asientos-1'!B:P,'EEFF en NIIF'!A11:A11,'Asientos-1'!K:K)</f>
        <v>0</v>
      </c>
      <c r="H11" s="22">
        <f ca="1">SUMIF('Asientos-1'!B:P,'EEFF en NIIF'!A11:A11,'Asientos-1'!L:L)</f>
        <v>0</v>
      </c>
      <c r="I11" s="22">
        <f ca="1">SUMIF('Asientos-1'!B:P,'EEFF en NIIF'!A11:A11,'Asientos-1'!M:M)</f>
        <v>0</v>
      </c>
      <c r="J11" s="22">
        <f ca="1">SUMIF('Asientos-1'!B:P,'EEFF en NIIF'!A11:A11,'Asientos-1'!N:N)</f>
        <v>0</v>
      </c>
      <c r="K11" s="22">
        <f ca="1">SUMIF('Asientos-1'!B:P,'EEFF en NIIF'!A11:A11,'Asientos-1'!O:O)</f>
        <v>0</v>
      </c>
      <c r="L11" s="22">
        <f ca="1">SUMIF('Asientos-1'!B:P,'EEFF en NIIF'!A11:A11,'Asientos-1'!P:P)</f>
        <v>0</v>
      </c>
      <c r="M11" s="22"/>
      <c r="N11" s="22"/>
      <c r="O11" s="31">
        <f ca="1">+Matriz!L14</f>
        <v>508739</v>
      </c>
      <c r="P11" s="31">
        <f ca="1">+Matriz!M14</f>
        <v>1038707</v>
      </c>
      <c r="Q11" s="31">
        <f ca="1">+Matriz!N14</f>
        <v>416646</v>
      </c>
      <c r="R11" s="17"/>
    </row>
    <row r="12" spans="1:35" x14ac:dyDescent="0.25">
      <c r="A12" s="17" t="s">
        <v>70</v>
      </c>
      <c r="B12" s="14" t="s">
        <v>71</v>
      </c>
      <c r="C12" s="30">
        <v>5733393</v>
      </c>
      <c r="D12" s="30">
        <v>5748442</v>
      </c>
      <c r="E12" s="30">
        <v>5821147</v>
      </c>
      <c r="F12" s="22"/>
      <c r="G12" s="22">
        <f ca="1">SUMIF('Asientos-1'!B:P,'EEFF en NIIF'!A12:A12,'Asientos-1'!K:K)</f>
        <v>0</v>
      </c>
      <c r="H12" s="22">
        <f ca="1">SUMIF('Asientos-1'!B:P,'EEFF en NIIF'!A12:A12,'Asientos-1'!L:L)</f>
        <v>1175800.0000000002</v>
      </c>
      <c r="I12" s="22">
        <f ca="1">SUMIF('Asientos-1'!B:P,'EEFF en NIIF'!A12:A12,'Asientos-1'!M:M)</f>
        <v>32400.000000000164</v>
      </c>
      <c r="J12" s="22">
        <f ca="1">SUMIF('Asientos-1'!B:P,'EEFF en NIIF'!A12:A12,'Asientos-1'!N:N)</f>
        <v>1340000</v>
      </c>
      <c r="K12" s="22">
        <f ca="1">SUMIF('Asientos-1'!B:P,'EEFF en NIIF'!A12:A12,'Asientos-1'!O:O)</f>
        <v>0</v>
      </c>
      <c r="L12" s="22">
        <f ca="1">SUMIF('Asientos-1'!B:P,'EEFF en NIIF'!A12:A12,'Asientos-1'!P:P)</f>
        <v>1000000</v>
      </c>
      <c r="M12" s="22"/>
      <c r="N12" s="22"/>
      <c r="O12" s="31">
        <f ca="1">+Matriz!L15</f>
        <v>4557593</v>
      </c>
      <c r="P12" s="31">
        <f ca="1">+Matriz!M15</f>
        <v>4440842</v>
      </c>
      <c r="Q12" s="31">
        <f ca="1">+Matriz!N15</f>
        <v>4821147</v>
      </c>
      <c r="R12" s="17"/>
    </row>
    <row r="13" spans="1:35" x14ac:dyDescent="0.25">
      <c r="A13" s="17" t="s">
        <v>72</v>
      </c>
      <c r="B13" s="15" t="s">
        <v>73</v>
      </c>
      <c r="C13" s="30">
        <v>195624</v>
      </c>
      <c r="D13" s="30">
        <v>127011</v>
      </c>
      <c r="E13" s="30">
        <v>281380</v>
      </c>
      <c r="F13" s="22"/>
      <c r="G13" s="22">
        <f ca="1">SUMIF('Asientos-1'!B:P,'EEFF en NIIF'!A13:A13,'Asientos-1'!K:K)</f>
        <v>0</v>
      </c>
      <c r="H13" s="22">
        <f ca="1">SUMIF('Asientos-1'!B:P,'EEFF en NIIF'!A13:A13,'Asientos-1'!L:L)</f>
        <v>0</v>
      </c>
      <c r="I13" s="22">
        <f ca="1">SUMIF('Asientos-1'!B:P,'EEFF en NIIF'!A13:A13,'Asientos-1'!M:M)</f>
        <v>0</v>
      </c>
      <c r="J13" s="22">
        <f ca="1">SUMIF('Asientos-1'!B:P,'EEFF en NIIF'!A13:A13,'Asientos-1'!N:N)</f>
        <v>0</v>
      </c>
      <c r="K13" s="22">
        <f ca="1">SUMIF('Asientos-1'!B:P,'EEFF en NIIF'!A13:A13,'Asientos-1'!O:O)</f>
        <v>0</v>
      </c>
      <c r="L13" s="22">
        <f ca="1">SUMIF('Asientos-1'!B:P,'EEFF en NIIF'!A13:A13,'Asientos-1'!P:P)</f>
        <v>0</v>
      </c>
      <c r="M13" s="22"/>
      <c r="N13" s="22"/>
      <c r="O13" s="33">
        <f ca="1">+Matriz!L16</f>
        <v>195624</v>
      </c>
      <c r="P13" s="33">
        <f ca="1">+Matriz!M16</f>
        <v>127011</v>
      </c>
      <c r="Q13" s="33">
        <f ca="1">+Matriz!N16</f>
        <v>281380</v>
      </c>
      <c r="R13" s="17"/>
    </row>
    <row r="14" spans="1:35" hidden="1" x14ac:dyDescent="0.25">
      <c r="A14" s="17" t="s">
        <v>74</v>
      </c>
      <c r="B14" s="15" t="s">
        <v>75</v>
      </c>
      <c r="C14" s="34">
        <v>0</v>
      </c>
      <c r="D14" s="34">
        <v>0</v>
      </c>
      <c r="E14" s="34">
        <v>0</v>
      </c>
      <c r="F14" s="22"/>
      <c r="G14" s="22">
        <f ca="1">SUMIF('Asientos-1'!B:P,'EEFF en NIIF'!A14:A14,'Asientos-1'!K:K)</f>
        <v>0</v>
      </c>
      <c r="H14" s="22">
        <f ca="1">SUMIF('Asientos-1'!B:P,'EEFF en NIIF'!A14:A14,'Asientos-1'!L:L)</f>
        <v>0</v>
      </c>
      <c r="I14" s="22">
        <f ca="1">SUMIF('Asientos-1'!B:P,'EEFF en NIIF'!A14:A14,'Asientos-1'!M:M)</f>
        <v>0</v>
      </c>
      <c r="J14" s="22">
        <f ca="1">SUMIF('Asientos-1'!B:P,'EEFF en NIIF'!A14:A14,'Asientos-1'!N:N)</f>
        <v>0</v>
      </c>
      <c r="K14" s="22">
        <f ca="1">SUMIF('Asientos-1'!B:P,'EEFF en NIIF'!A14:A14,'Asientos-1'!O:O)</f>
        <v>0</v>
      </c>
      <c r="L14" s="22">
        <f ca="1">SUMIF('Asientos-1'!B:P,'EEFF en NIIF'!A14:A14,'Asientos-1'!P:P)</f>
        <v>0</v>
      </c>
      <c r="M14" s="22"/>
      <c r="N14" s="22"/>
      <c r="O14" s="33">
        <f t="shared" ref="O14" ca="1" si="0">+C14+G14-H14</f>
        <v>0</v>
      </c>
      <c r="P14" s="33">
        <f t="shared" ref="P14" ca="1" si="1">+D14+I14-J14</f>
        <v>0</v>
      </c>
      <c r="Q14" s="33">
        <f t="shared" ref="Q14" ca="1" si="2">+E14+K14-L14</f>
        <v>0</v>
      </c>
      <c r="R14" s="17"/>
    </row>
    <row r="15" spans="1:35" x14ac:dyDescent="0.25">
      <c r="A15" s="17"/>
      <c r="B15" s="23" t="s">
        <v>76</v>
      </c>
      <c r="C15" s="35">
        <f>SUM(C7:C14)</f>
        <v>115939948</v>
      </c>
      <c r="D15" s="35">
        <f>SUM(D7:D14)</f>
        <v>39321672</v>
      </c>
      <c r="E15" s="35">
        <f>SUM(E7:E14)</f>
        <v>76296968</v>
      </c>
      <c r="F15" s="22"/>
      <c r="G15" s="22"/>
      <c r="H15" s="22"/>
      <c r="I15" s="22"/>
      <c r="J15" s="22"/>
      <c r="K15" s="22"/>
      <c r="L15" s="22"/>
      <c r="M15" s="22"/>
      <c r="N15" s="22"/>
      <c r="O15" s="35">
        <f ca="1">SUM(O7:O14)</f>
        <v>94868648</v>
      </c>
      <c r="P15" s="35">
        <f ca="1">SUM(P7:P14)</f>
        <v>29755872</v>
      </c>
      <c r="Q15" s="35">
        <f ca="1">SUM(Q7:Q14)</f>
        <v>76329368</v>
      </c>
      <c r="R15" s="17"/>
    </row>
    <row r="16" spans="1:35" x14ac:dyDescent="0.25">
      <c r="A16" s="17"/>
      <c r="B16" s="23" t="s">
        <v>77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7"/>
    </row>
    <row r="17" spans="1:18" x14ac:dyDescent="0.25">
      <c r="A17" s="17" t="s">
        <v>78</v>
      </c>
      <c r="B17" s="14" t="s">
        <v>65</v>
      </c>
      <c r="C17" s="30">
        <v>0</v>
      </c>
      <c r="D17" s="30">
        <v>51828700</v>
      </c>
      <c r="E17" s="30">
        <v>0</v>
      </c>
      <c r="F17" s="22"/>
      <c r="G17" s="22">
        <f ca="1">SUMIF('Asientos-1'!B:P,'EEFF en NIIF'!A17:A17,'Asientos-1'!K:K)</f>
        <v>0</v>
      </c>
      <c r="H17" s="22">
        <f ca="1">SUMIF('Asientos-1'!B:P,'EEFF en NIIF'!A17:A17,'Asientos-1'!L:L)</f>
        <v>0</v>
      </c>
      <c r="I17" s="22">
        <f ca="1">SUMIF('Asientos-1'!B:P,'EEFF en NIIF'!A17:A17,'Asientos-1'!M:M)</f>
        <v>0</v>
      </c>
      <c r="J17" s="22">
        <f ca="1">SUMIF('Asientos-1'!B:P,'EEFF en NIIF'!A17:A17,'Asientos-1'!N:N)</f>
        <v>0</v>
      </c>
      <c r="K17" s="22">
        <f ca="1">SUMIF('Asientos-1'!B:P,'EEFF en NIIF'!A17:A17,'Asientos-1'!O:O)</f>
        <v>0</v>
      </c>
      <c r="L17" s="22">
        <f ca="1">SUMIF('Asientos-1'!B:P,'EEFF en NIIF'!A17:A17,'Asientos-1'!P:P)</f>
        <v>0</v>
      </c>
      <c r="M17" s="22"/>
      <c r="N17" s="22"/>
      <c r="O17" s="31">
        <f ca="1">+Matriz!L20</f>
        <v>0</v>
      </c>
      <c r="P17" s="31">
        <f ca="1">+Matriz!M20</f>
        <v>51828700</v>
      </c>
      <c r="Q17" s="31">
        <f ca="1">+Matriz!N20</f>
        <v>0</v>
      </c>
      <c r="R17" s="17"/>
    </row>
    <row r="18" spans="1:18" x14ac:dyDescent="0.25">
      <c r="A18" s="17" t="s">
        <v>79</v>
      </c>
      <c r="B18" s="14" t="s">
        <v>144</v>
      </c>
      <c r="C18" s="30">
        <v>23223326</v>
      </c>
      <c r="D18" s="30">
        <v>22473937</v>
      </c>
      <c r="E18" s="30">
        <v>28170908</v>
      </c>
      <c r="F18" s="22"/>
      <c r="G18" s="22">
        <f ca="1">SUMIF('Asientos-1'!B:P,'EEFF en NIIF'!A18:A18,'Asientos-1'!K:K)</f>
        <v>8990000</v>
      </c>
      <c r="H18" s="22">
        <f ca="1">SUMIF('Asientos-1'!B:P,'EEFF en NIIF'!A18:A18,'Asientos-1'!L:L)</f>
        <v>4390000</v>
      </c>
      <c r="I18" s="22">
        <f ca="1">SUMIF('Asientos-1'!B:P,'EEFF en NIIF'!A18:A18,'Asientos-1'!M:M)</f>
        <v>6835000</v>
      </c>
      <c r="J18" s="22">
        <f ca="1">SUMIF('Asientos-1'!B:P,'EEFF en NIIF'!A18:A18,'Asientos-1'!N:N)</f>
        <v>4000000</v>
      </c>
      <c r="K18" s="22">
        <f ca="1">SUMIF('Asientos-1'!B:P,'EEFF en NIIF'!A18:A18,'Asientos-1'!O:O)</f>
        <v>4935000</v>
      </c>
      <c r="L18" s="22">
        <f ca="1">SUMIF('Asientos-1'!B:P,'EEFF en NIIF'!A18:A18,'Asientos-1'!P:P)</f>
        <v>3610000</v>
      </c>
      <c r="M18" s="22"/>
      <c r="N18" s="22"/>
      <c r="O18" s="31">
        <f ca="1">+Matriz!L21</f>
        <v>27823326</v>
      </c>
      <c r="P18" s="31">
        <f ca="1">+Matriz!M21</f>
        <v>25308937</v>
      </c>
      <c r="Q18" s="31">
        <f ca="1">+Matriz!N21</f>
        <v>29495908</v>
      </c>
      <c r="R18" s="17"/>
    </row>
    <row r="19" spans="1:18" x14ac:dyDescent="0.25">
      <c r="A19" s="17" t="s">
        <v>209</v>
      </c>
      <c r="B19" s="14" t="s">
        <v>210</v>
      </c>
      <c r="C19" s="30">
        <v>0</v>
      </c>
      <c r="D19" s="30">
        <v>0</v>
      </c>
      <c r="E19" s="30">
        <v>0</v>
      </c>
      <c r="F19" s="22"/>
      <c r="G19" s="22">
        <f ca="1">SUMIF('Asientos-1'!B:P,'EEFF en NIIF'!A19:A19,'Asientos-1'!K:K)</f>
        <v>4100000</v>
      </c>
      <c r="H19" s="22">
        <f ca="1">SUMIF('Asientos-1'!B:P,'EEFF en NIIF'!A19:A19,'Asientos-1'!L:L)</f>
        <v>0</v>
      </c>
      <c r="I19" s="22">
        <f ca="1">SUMIF('Asientos-1'!B:P,'EEFF en NIIF'!A19:A19,'Asientos-1'!M:M)</f>
        <v>3500000</v>
      </c>
      <c r="J19" s="22">
        <f ca="1">SUMIF('Asientos-1'!B:P,'EEFF en NIIF'!A19:A19,'Asientos-1'!N:N)</f>
        <v>0</v>
      </c>
      <c r="K19" s="22">
        <f ca="1">SUMIF('Asientos-1'!B:P,'EEFF en NIIF'!A19:A19,'Asientos-1'!O:O)</f>
        <v>2800000</v>
      </c>
      <c r="L19" s="22">
        <f ca="1">SUMIF('Asientos-1'!B:P,'EEFF en NIIF'!A19:A19,'Asientos-1'!P:P)</f>
        <v>0</v>
      </c>
      <c r="M19" s="22"/>
      <c r="N19" s="22"/>
      <c r="O19" s="31">
        <f ca="1">+Matriz!L22</f>
        <v>4100000</v>
      </c>
      <c r="P19" s="31">
        <f ca="1">+Matriz!M22</f>
        <v>3500000</v>
      </c>
      <c r="Q19" s="31">
        <f ca="1">+Matriz!N22</f>
        <v>2800000</v>
      </c>
      <c r="R19" s="17"/>
    </row>
    <row r="20" spans="1:18" s="18" customFormat="1" ht="12.75" x14ac:dyDescent="0.2">
      <c r="A20" s="17" t="s">
        <v>207</v>
      </c>
      <c r="B20" s="14" t="s">
        <v>208</v>
      </c>
      <c r="C20" s="30">
        <v>0</v>
      </c>
      <c r="D20" s="30">
        <v>0</v>
      </c>
      <c r="E20" s="30">
        <v>0</v>
      </c>
      <c r="F20" s="22"/>
      <c r="G20" s="22">
        <f ca="1">SUMIF('Asientos-1'!B:P,'EEFF en NIIF'!A20:A20,'Asientos-1'!K:K)</f>
        <v>3000000</v>
      </c>
      <c r="H20" s="22">
        <f ca="1">SUMIF('Asientos-1'!B:P,'EEFF en NIIF'!A20:A20,'Asientos-1'!L:L)</f>
        <v>0</v>
      </c>
      <c r="I20" s="22">
        <f ca="1">SUMIF('Asientos-1'!B:P,'EEFF en NIIF'!A20:A20,'Asientos-1'!M:M)</f>
        <v>3000000</v>
      </c>
      <c r="J20" s="22">
        <f ca="1">SUMIF('Asientos-1'!B:P,'EEFF en NIIF'!A20:A20,'Asientos-1'!N:N)</f>
        <v>0</v>
      </c>
      <c r="K20" s="22">
        <f ca="1">SUMIF('Asientos-1'!B:P,'EEFF en NIIF'!A20:A20,'Asientos-1'!O:O)</f>
        <v>3000000</v>
      </c>
      <c r="L20" s="22">
        <f ca="1">SUMIF('Asientos-1'!B:P,'EEFF en NIIF'!A20:A20,'Asientos-1'!P:P)</f>
        <v>0</v>
      </c>
      <c r="M20" s="22"/>
      <c r="N20" s="22"/>
      <c r="O20" s="31">
        <f ca="1">+Matriz!L23</f>
        <v>3000000</v>
      </c>
      <c r="P20" s="31">
        <f ca="1">+Matriz!M23</f>
        <v>3000000</v>
      </c>
      <c r="Q20" s="31">
        <f ca="1">+Matriz!N23</f>
        <v>3000000</v>
      </c>
      <c r="R20" s="17"/>
    </row>
    <row r="21" spans="1:18" s="18" customFormat="1" ht="12.75" x14ac:dyDescent="0.2">
      <c r="A21" s="17" t="s">
        <v>309</v>
      </c>
      <c r="B21" s="14" t="s">
        <v>310</v>
      </c>
      <c r="C21" s="30"/>
      <c r="D21" s="30"/>
      <c r="E21" s="30"/>
      <c r="F21" s="22"/>
      <c r="G21" s="22"/>
      <c r="H21" s="22"/>
      <c r="I21" s="22"/>
      <c r="J21" s="22"/>
      <c r="K21" s="22"/>
      <c r="L21" s="22"/>
      <c r="M21" s="22"/>
      <c r="N21" s="22"/>
      <c r="O21" s="31">
        <f ca="1">+Matriz!L27</f>
        <v>422141.96951770806</v>
      </c>
      <c r="P21" s="31">
        <f ca="1">+Matriz!M27</f>
        <v>1938618.4759162297</v>
      </c>
      <c r="Q21" s="31">
        <f ca="1">+Matriz!N27</f>
        <v>3095859.8239402301</v>
      </c>
      <c r="R21" s="17"/>
    </row>
    <row r="22" spans="1:18" s="18" customFormat="1" ht="12.75" x14ac:dyDescent="0.2">
      <c r="A22" s="17" t="s">
        <v>185</v>
      </c>
      <c r="B22" s="14" t="s">
        <v>186</v>
      </c>
      <c r="C22" s="30">
        <v>0</v>
      </c>
      <c r="D22" s="30">
        <v>0</v>
      </c>
      <c r="E22" s="30">
        <v>0</v>
      </c>
      <c r="F22" s="22"/>
      <c r="G22" s="22">
        <f ca="1">SUMIF('Asientos-1'!B:P,'EEFF en NIIF'!A22:A22,'Asientos-1'!K:K)</f>
        <v>10321008</v>
      </c>
      <c r="H22" s="22">
        <f ca="1">SUMIF('Asientos-1'!B:P,'EEFF en NIIF'!A22:A22,'Asientos-1'!L:L)</f>
        <v>3612352.8</v>
      </c>
      <c r="I22" s="22">
        <f ca="1">SUMIF('Asientos-1'!B:P,'EEFF en NIIF'!A22:A22,'Asientos-1'!M:M)</f>
        <v>10321008</v>
      </c>
      <c r="J22" s="22">
        <f ca="1">SUMIF('Asientos-1'!B:P,'EEFF en NIIF'!A22:A22,'Asientos-1'!N:N)</f>
        <v>2064201.6</v>
      </c>
      <c r="K22" s="22">
        <f ca="1">SUMIF('Asientos-1'!B:P,'EEFF en NIIF'!A22:A22,'Asientos-1'!O:O)</f>
        <v>0</v>
      </c>
      <c r="L22" s="22">
        <f ca="1">SUMIF('Asientos-1'!B:P,'EEFF en NIIF'!A22:A22,'Asientos-1'!P:P)</f>
        <v>0</v>
      </c>
      <c r="M22" s="22"/>
      <c r="N22" s="22"/>
      <c r="O22" s="33">
        <f ca="1">+Matriz!L24</f>
        <v>6708655.2000000002</v>
      </c>
      <c r="P22" s="33">
        <f ca="1">+Matriz!M24</f>
        <v>8256806.4000000004</v>
      </c>
      <c r="Q22" s="33">
        <f ca="1">+Matriz!N24</f>
        <v>0</v>
      </c>
      <c r="R22" s="17"/>
    </row>
    <row r="23" spans="1:18" s="18" customFormat="1" ht="12.75" hidden="1" x14ac:dyDescent="0.2">
      <c r="A23" s="17" t="s">
        <v>187</v>
      </c>
      <c r="B23" s="14" t="s">
        <v>184</v>
      </c>
      <c r="C23" s="30">
        <v>3200000</v>
      </c>
      <c r="D23" s="30">
        <v>3200000</v>
      </c>
      <c r="E23" s="30">
        <v>3200000</v>
      </c>
      <c r="F23" s="22"/>
      <c r="G23" s="22">
        <f ca="1">SUMIF('Asientos-1'!B:P,'EEFF en NIIF'!A23:A23,'Asientos-1'!K:K)</f>
        <v>0</v>
      </c>
      <c r="H23" s="22">
        <f ca="1">SUMIF('Asientos-1'!B:P,'EEFF en NIIF'!A23:A23,'Asientos-1'!L:L)</f>
        <v>3200000</v>
      </c>
      <c r="I23" s="22">
        <f ca="1">SUMIF('Asientos-1'!B:P,'EEFF en NIIF'!A23:A23,'Asientos-1'!M:M)</f>
        <v>0</v>
      </c>
      <c r="J23" s="22">
        <f ca="1">SUMIF('Asientos-1'!B:P,'EEFF en NIIF'!A23:A23,'Asientos-1'!N:N)</f>
        <v>3200000</v>
      </c>
      <c r="K23" s="22">
        <f ca="1">SUMIF('Asientos-1'!B:P,'EEFF en NIIF'!A23:A23,'Asientos-1'!O:O)</f>
        <v>0</v>
      </c>
      <c r="L23" s="22">
        <f ca="1">SUMIF('Asientos-1'!B:P,'EEFF en NIIF'!A23:A23,'Asientos-1'!P:P)</f>
        <v>3200000</v>
      </c>
      <c r="M23" s="22"/>
      <c r="N23" s="22"/>
      <c r="O23" s="31">
        <f t="shared" ref="O23:O25" ca="1" si="3">+C23+G23-H23</f>
        <v>0</v>
      </c>
      <c r="P23" s="31">
        <f t="shared" ref="P23:P25" ca="1" si="4">+D23+I23-J23</f>
        <v>0</v>
      </c>
      <c r="Q23" s="31">
        <f t="shared" ref="Q23:Q25" ca="1" si="5">+E23+K23-L23</f>
        <v>0</v>
      </c>
      <c r="R23" s="17"/>
    </row>
    <row r="24" spans="1:18" s="18" customFormat="1" ht="12.75" hidden="1" x14ac:dyDescent="0.2">
      <c r="A24" s="17" t="s">
        <v>192</v>
      </c>
      <c r="B24" s="14" t="s">
        <v>193</v>
      </c>
      <c r="C24" s="30">
        <v>2000000</v>
      </c>
      <c r="D24" s="30">
        <v>2250000</v>
      </c>
      <c r="E24" s="30">
        <v>2500000</v>
      </c>
      <c r="F24" s="22"/>
      <c r="G24" s="22">
        <f ca="1">SUMIF('Asientos-1'!B:P,'EEFF en NIIF'!A24:A24,'Asientos-1'!K:K)</f>
        <v>0</v>
      </c>
      <c r="H24" s="22">
        <f ca="1">SUMIF('Asientos-1'!B:P,'EEFF en NIIF'!A24:A24,'Asientos-1'!L:L)</f>
        <v>2000000</v>
      </c>
      <c r="I24" s="22">
        <f ca="1">SUMIF('Asientos-1'!B:P,'EEFF en NIIF'!A24:A24,'Asientos-1'!M:M)</f>
        <v>0</v>
      </c>
      <c r="J24" s="22">
        <f ca="1">SUMIF('Asientos-1'!B:P,'EEFF en NIIF'!A24:A24,'Asientos-1'!N:N)</f>
        <v>2250000</v>
      </c>
      <c r="K24" s="22">
        <f ca="1">SUMIF('Asientos-1'!B:P,'EEFF en NIIF'!A24:A24,'Asientos-1'!O:O)</f>
        <v>0</v>
      </c>
      <c r="L24" s="22">
        <f ca="1">SUMIF('Asientos-1'!B:P,'EEFF en NIIF'!A24:A24,'Asientos-1'!P:P)</f>
        <v>2500000</v>
      </c>
      <c r="M24" s="22"/>
      <c r="N24" s="22"/>
      <c r="O24" s="31">
        <f t="shared" ca="1" si="3"/>
        <v>0</v>
      </c>
      <c r="P24" s="31">
        <f t="shared" ca="1" si="4"/>
        <v>0</v>
      </c>
      <c r="Q24" s="31">
        <f t="shared" ca="1" si="5"/>
        <v>0</v>
      </c>
      <c r="R24" s="17"/>
    </row>
    <row r="25" spans="1:18" s="18" customFormat="1" ht="12.75" hidden="1" x14ac:dyDescent="0.2">
      <c r="A25" s="17" t="s">
        <v>80</v>
      </c>
      <c r="B25" s="14" t="s">
        <v>183</v>
      </c>
      <c r="C25" s="33">
        <v>10321008</v>
      </c>
      <c r="D25" s="33">
        <v>10321008</v>
      </c>
      <c r="E25" s="33">
        <v>0</v>
      </c>
      <c r="F25" s="22"/>
      <c r="G25" s="22">
        <f ca="1">SUMIF('Asientos-1'!B:P,'EEFF en NIIF'!A25:A25,'Asientos-1'!K:K)</f>
        <v>0</v>
      </c>
      <c r="H25" s="22">
        <f ca="1">SUMIF('Asientos-1'!B:P,'EEFF en NIIF'!A25:A25,'Asientos-1'!L:L)</f>
        <v>10321008</v>
      </c>
      <c r="I25" s="22">
        <f ca="1">SUMIF('Asientos-1'!B:P,'EEFF en NIIF'!A25:A25,'Asientos-1'!M:M)</f>
        <v>0</v>
      </c>
      <c r="J25" s="22">
        <f ca="1">SUMIF('Asientos-1'!B:P,'EEFF en NIIF'!A25:A25,'Asientos-1'!N:N)</f>
        <v>10321008</v>
      </c>
      <c r="K25" s="22">
        <f ca="1">SUMIF('Asientos-1'!B:P,'EEFF en NIIF'!A25:A25,'Asientos-1'!O:O)</f>
        <v>0</v>
      </c>
      <c r="L25" s="22">
        <f ca="1">SUMIF('Asientos-1'!B:P,'EEFF en NIIF'!A25:A25,'Asientos-1'!P:P)</f>
        <v>0</v>
      </c>
      <c r="M25" s="22"/>
      <c r="N25" s="22"/>
      <c r="O25" s="33">
        <f t="shared" ca="1" si="3"/>
        <v>0</v>
      </c>
      <c r="P25" s="33">
        <f t="shared" ca="1" si="4"/>
        <v>0</v>
      </c>
      <c r="Q25" s="33">
        <f t="shared" ca="1" si="5"/>
        <v>0</v>
      </c>
      <c r="R25" s="17"/>
    </row>
    <row r="26" spans="1:18" s="18" customFormat="1" ht="13.5" thickBot="1" x14ac:dyDescent="0.25">
      <c r="A26" s="17"/>
      <c r="B26" s="23" t="s">
        <v>81</v>
      </c>
      <c r="C26" s="36">
        <f>SUM(C15:C25)</f>
        <v>154684282</v>
      </c>
      <c r="D26" s="36">
        <f t="shared" ref="D26:E26" si="6">SUM(D15:D25)</f>
        <v>129395317</v>
      </c>
      <c r="E26" s="36">
        <f t="shared" si="6"/>
        <v>110167876</v>
      </c>
      <c r="F26" s="22"/>
      <c r="G26" s="22"/>
      <c r="H26" s="22"/>
      <c r="I26" s="22"/>
      <c r="J26" s="22"/>
      <c r="K26" s="22"/>
      <c r="L26" s="22"/>
      <c r="M26" s="22"/>
      <c r="N26" s="22"/>
      <c r="O26" s="36">
        <f ca="1">SUM(O15:O25)</f>
        <v>136922771.1695177</v>
      </c>
      <c r="P26" s="36">
        <f t="shared" ref="P26:Q26" ca="1" si="7">SUM(P15:P25)</f>
        <v>123588933.87591624</v>
      </c>
      <c r="Q26" s="36">
        <f t="shared" ca="1" si="7"/>
        <v>114721135.82394023</v>
      </c>
      <c r="R26" s="17"/>
    </row>
    <row r="27" spans="1:18" s="18" customFormat="1" ht="12.75" x14ac:dyDescent="0.2">
      <c r="A27" s="17"/>
      <c r="B27" s="1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7"/>
    </row>
    <row r="28" spans="1:18" s="18" customFormat="1" ht="12.75" x14ac:dyDescent="0.2">
      <c r="A28" s="17"/>
      <c r="B28" s="23" t="s">
        <v>82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7"/>
    </row>
    <row r="29" spans="1:18" s="18" customFormat="1" ht="12.75" x14ac:dyDescent="0.2">
      <c r="A29" s="17"/>
      <c r="B29" s="23" t="s">
        <v>83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7"/>
    </row>
    <row r="30" spans="1:18" s="18" customFormat="1" ht="12.75" x14ac:dyDescent="0.2">
      <c r="A30" s="17" t="s">
        <v>84</v>
      </c>
      <c r="B30" s="14" t="s">
        <v>85</v>
      </c>
      <c r="C30" s="30">
        <v>1721241</v>
      </c>
      <c r="D30" s="30">
        <v>769626</v>
      </c>
      <c r="E30" s="30">
        <v>2038679</v>
      </c>
      <c r="F30" s="22"/>
      <c r="G30" s="22">
        <f ca="1">SUMIF('Asientos-1'!B:P,'EEFF en NIIF'!A30:A30,'Asientos-1'!K:K)</f>
        <v>0</v>
      </c>
      <c r="H30" s="22">
        <f ca="1">SUMIF('Asientos-1'!B:P,'EEFF en NIIF'!A30:A30,'Asientos-1'!L:L)</f>
        <v>0</v>
      </c>
      <c r="I30" s="22">
        <f ca="1">SUMIF('Asientos-1'!B:P,'EEFF en NIIF'!A30:A30,'Asientos-1'!M:M)</f>
        <v>0</v>
      </c>
      <c r="J30" s="22">
        <f ca="1">SUMIF('Asientos-1'!B:P,'EEFF en NIIF'!A30:A30,'Asientos-1'!N:N)</f>
        <v>0</v>
      </c>
      <c r="K30" s="22">
        <f ca="1">SUMIF('Asientos-1'!B:P,'EEFF en NIIF'!A30:A30,'Asientos-1'!O:O)</f>
        <v>0</v>
      </c>
      <c r="L30" s="22">
        <f ca="1">SUMIF('Asientos-1'!B:P,'EEFF en NIIF'!A30:A30,'Asientos-1'!P:P)</f>
        <v>0</v>
      </c>
      <c r="M30" s="22"/>
      <c r="N30" s="22"/>
      <c r="O30" s="31">
        <f ca="1">+Matriz!L33</f>
        <v>1721241</v>
      </c>
      <c r="P30" s="31">
        <f ca="1">+Matriz!M33</f>
        <v>769626</v>
      </c>
      <c r="Q30" s="31">
        <f ca="1">+Matriz!N33</f>
        <v>2038679</v>
      </c>
      <c r="R30" s="17"/>
    </row>
    <row r="31" spans="1:18" s="18" customFormat="1" ht="12.75" x14ac:dyDescent="0.2">
      <c r="A31" s="17" t="s">
        <v>86</v>
      </c>
      <c r="B31" s="14" t="s">
        <v>87</v>
      </c>
      <c r="C31" s="30">
        <v>0</v>
      </c>
      <c r="D31" s="30">
        <v>251166</v>
      </c>
      <c r="E31" s="30">
        <v>1919321</v>
      </c>
      <c r="F31" s="22"/>
      <c r="G31" s="22">
        <f ca="1">SUMIF('Asientos-1'!B:P,'EEFF en NIIF'!A31:A31,'Asientos-1'!K:K)</f>
        <v>0</v>
      </c>
      <c r="H31" s="22">
        <f ca="1">SUMIF('Asientos-1'!B:P,'EEFF en NIIF'!A31:A31,'Asientos-1'!L:L)</f>
        <v>0</v>
      </c>
      <c r="I31" s="22">
        <f ca="1">SUMIF('Asientos-1'!B:P,'EEFF en NIIF'!A31:A31,'Asientos-1'!M:M)</f>
        <v>0</v>
      </c>
      <c r="J31" s="22">
        <f ca="1">SUMIF('Asientos-1'!B:P,'EEFF en NIIF'!A31:A31,'Asientos-1'!N:N)</f>
        <v>0</v>
      </c>
      <c r="K31" s="22">
        <f ca="1">SUMIF('Asientos-1'!B:P,'EEFF en NIIF'!A31:A31,'Asientos-1'!O:O)</f>
        <v>0</v>
      </c>
      <c r="L31" s="22">
        <f ca="1">SUMIF('Asientos-1'!B:P,'EEFF en NIIF'!A31:A31,'Asientos-1'!P:P)</f>
        <v>0</v>
      </c>
      <c r="M31" s="22"/>
      <c r="N31" s="22"/>
      <c r="O31" s="31">
        <f ca="1">+Matriz!L34</f>
        <v>0</v>
      </c>
      <c r="P31" s="31">
        <f ca="1">+Matriz!M34</f>
        <v>251166</v>
      </c>
      <c r="Q31" s="31">
        <f ca="1">+Matriz!N34</f>
        <v>1919321</v>
      </c>
      <c r="R31" s="17"/>
    </row>
    <row r="32" spans="1:18" s="18" customFormat="1" ht="12.75" x14ac:dyDescent="0.2">
      <c r="A32" s="17" t="s">
        <v>179</v>
      </c>
      <c r="B32" s="14" t="s">
        <v>180</v>
      </c>
      <c r="C32" s="30">
        <v>0</v>
      </c>
      <c r="D32" s="30">
        <v>0</v>
      </c>
      <c r="E32" s="30">
        <v>0</v>
      </c>
      <c r="F32" s="22"/>
      <c r="G32" s="22">
        <f ca="1">SUMIF('Asientos-1'!B:P,'EEFF en NIIF'!A32:A32,'Asientos-1'!K:K)</f>
        <v>477499.99999999959</v>
      </c>
      <c r="H32" s="22">
        <f ca="1">SUMIF('Asientos-1'!B:P,'EEFF en NIIF'!A32:A32,'Asientos-1'!L:L)</f>
        <v>7977500</v>
      </c>
      <c r="I32" s="22">
        <f ca="1">SUMIF('Asientos-1'!B:P,'EEFF en NIIF'!A32:A32,'Asientos-1'!M:M)</f>
        <v>497200.00000000093</v>
      </c>
      <c r="J32" s="22">
        <f ca="1">SUMIF('Asientos-1'!B:P,'EEFF en NIIF'!A32:A32,'Asientos-1'!N:N)</f>
        <v>6578000.0000000009</v>
      </c>
      <c r="K32" s="22">
        <f ca="1">SUMIF('Asientos-1'!B:P,'EEFF en NIIF'!A32:A32,'Asientos-1'!O:O)</f>
        <v>0</v>
      </c>
      <c r="L32" s="22">
        <f ca="1">SUMIF('Asientos-1'!B:P,'EEFF en NIIF'!A32:A32,'Asientos-1'!P:P)</f>
        <v>5700000.0000000009</v>
      </c>
      <c r="M32" s="22"/>
      <c r="N32" s="22"/>
      <c r="O32" s="31">
        <f ca="1">+Matriz!L35</f>
        <v>7500000</v>
      </c>
      <c r="P32" s="31">
        <f ca="1">+Matriz!M35</f>
        <v>6080800</v>
      </c>
      <c r="Q32" s="31">
        <f ca="1">+Matriz!N35</f>
        <v>5700000.0000000009</v>
      </c>
      <c r="R32" s="17"/>
    </row>
    <row r="33" spans="1:18" s="18" customFormat="1" ht="12.75" x14ac:dyDescent="0.2">
      <c r="A33" s="17" t="s">
        <v>88</v>
      </c>
      <c r="B33" s="14" t="s">
        <v>89</v>
      </c>
      <c r="C33" s="30">
        <v>11267523</v>
      </c>
      <c r="D33" s="30">
        <v>10193875</v>
      </c>
      <c r="E33" s="30">
        <v>9590734</v>
      </c>
      <c r="F33" s="22"/>
      <c r="G33" s="22">
        <f ca="1">SUMIF('Asientos-1'!B:P,'EEFF en NIIF'!A33:A33,'Asientos-1'!K:K)</f>
        <v>11177500</v>
      </c>
      <c r="H33" s="22">
        <f ca="1">SUMIF('Asientos-1'!B:P,'EEFF en NIIF'!A33:A33,'Asientos-1'!L:L)</f>
        <v>1100000</v>
      </c>
      <c r="I33" s="22">
        <f ca="1">SUMIF('Asientos-1'!B:P,'EEFF en NIIF'!A33:A33,'Asientos-1'!M:M)</f>
        <v>10078000</v>
      </c>
      <c r="J33" s="22">
        <f ca="1">SUMIF('Asientos-1'!B:P,'EEFF en NIIF'!A33:A33,'Asientos-1'!N:N)</f>
        <v>900000</v>
      </c>
      <c r="K33" s="22">
        <f ca="1">SUMIF('Asientos-1'!B:P,'EEFF en NIIF'!A33:A33,'Asientos-1'!O:O)</f>
        <v>8492000</v>
      </c>
      <c r="L33" s="22">
        <f ca="1">SUMIF('Asientos-1'!B:P,'EEFF en NIIF'!A33:A33,'Asientos-1'!P:P)</f>
        <v>800000</v>
      </c>
      <c r="M33" s="22"/>
      <c r="N33" s="22"/>
      <c r="O33" s="31">
        <f ca="1">+Matriz!L36</f>
        <v>1190023</v>
      </c>
      <c r="P33" s="31">
        <f ca="1">+Matriz!M36</f>
        <v>1015875</v>
      </c>
      <c r="Q33" s="31">
        <f ca="1">+Matriz!N36</f>
        <v>1898734</v>
      </c>
      <c r="R33" s="17"/>
    </row>
    <row r="34" spans="1:18" s="18" customFormat="1" ht="12.75" x14ac:dyDescent="0.2">
      <c r="A34" s="17" t="s">
        <v>90</v>
      </c>
      <c r="B34" s="14" t="s">
        <v>91</v>
      </c>
      <c r="C34" s="30">
        <v>0</v>
      </c>
      <c r="D34" s="30">
        <v>0</v>
      </c>
      <c r="E34" s="30">
        <v>0</v>
      </c>
      <c r="F34" s="22"/>
      <c r="G34" s="22">
        <f ca="1">SUMIF('Asientos-1'!B:P,'EEFF en NIIF'!A34:A34,'Asientos-1'!K:K)</f>
        <v>0</v>
      </c>
      <c r="H34" s="22">
        <f ca="1">SUMIF('Asientos-1'!B:P,'EEFF en NIIF'!A34:A34,'Asientos-1'!L:L)</f>
        <v>3200000</v>
      </c>
      <c r="I34" s="22">
        <f ca="1">SUMIF('Asientos-1'!B:P,'EEFF en NIIF'!A34:A34,'Asientos-1'!M:M)</f>
        <v>0</v>
      </c>
      <c r="J34" s="22">
        <f ca="1">SUMIF('Asientos-1'!B:P,'EEFF en NIIF'!A34:A34,'Asientos-1'!N:N)</f>
        <v>3500000</v>
      </c>
      <c r="K34" s="22">
        <f ca="1">SUMIF('Asientos-1'!B:P,'EEFF en NIIF'!A34:A34,'Asientos-1'!O:O)</f>
        <v>0</v>
      </c>
      <c r="L34" s="22">
        <f ca="1">SUMIF('Asientos-1'!B:P,'EEFF en NIIF'!A34:A34,'Asientos-1'!P:P)</f>
        <v>2900000</v>
      </c>
      <c r="M34" s="22"/>
      <c r="N34" s="22"/>
      <c r="O34" s="31">
        <f ca="1">+Matriz!L37</f>
        <v>3200000</v>
      </c>
      <c r="P34" s="31">
        <f ca="1">+Matriz!M37</f>
        <v>3500000</v>
      </c>
      <c r="Q34" s="31">
        <f ca="1">+Matriz!N37</f>
        <v>2900000</v>
      </c>
      <c r="R34" s="17"/>
    </row>
    <row r="35" spans="1:18" s="18" customFormat="1" ht="12.75" x14ac:dyDescent="0.2">
      <c r="A35" s="17" t="s">
        <v>92</v>
      </c>
      <c r="B35" s="14" t="s">
        <v>93</v>
      </c>
      <c r="C35" s="33">
        <v>1191578</v>
      </c>
      <c r="D35" s="33">
        <v>1197295</v>
      </c>
      <c r="E35" s="33">
        <v>200000</v>
      </c>
      <c r="F35" s="22"/>
      <c r="G35" s="22">
        <f ca="1">SUMIF('Asientos-1'!B:P,'EEFF en NIIF'!A35:A35,'Asientos-1'!K:K)</f>
        <v>200000</v>
      </c>
      <c r="H35" s="22">
        <f ca="1">SUMIF('Asientos-1'!B:P,'EEFF en NIIF'!A35:A35,'Asientos-1'!L:L)</f>
        <v>2975422</v>
      </c>
      <c r="I35" s="22">
        <f ca="1">SUMIF('Asientos-1'!B:P,'EEFF en NIIF'!A35:A35,'Asientos-1'!M:M)</f>
        <v>200000</v>
      </c>
      <c r="J35" s="22">
        <f ca="1">SUMIF('Asientos-1'!B:P,'EEFF en NIIF'!A35:A35,'Asientos-1'!N:N)</f>
        <v>2444705</v>
      </c>
      <c r="K35" s="22">
        <f ca="1">SUMIF('Asientos-1'!B:P,'EEFF en NIIF'!A35:A35,'Asientos-1'!O:O)</f>
        <v>200000</v>
      </c>
      <c r="L35" s="22">
        <f ca="1">SUMIF('Asientos-1'!B:P,'EEFF en NIIF'!A35:A35,'Asientos-1'!P:P)</f>
        <v>2120000</v>
      </c>
      <c r="M35" s="22"/>
      <c r="N35" s="22"/>
      <c r="O35" s="33">
        <f ca="1">+Matriz!L38</f>
        <v>3967000</v>
      </c>
      <c r="P35" s="33">
        <f ca="1">+Matriz!M38</f>
        <v>3442000</v>
      </c>
      <c r="Q35" s="33">
        <f ca="1">+Matriz!N38</f>
        <v>2120000</v>
      </c>
      <c r="R35" s="17"/>
    </row>
    <row r="36" spans="1:18" s="18" customFormat="1" ht="12.75" x14ac:dyDescent="0.2">
      <c r="A36" s="17"/>
      <c r="B36" s="23" t="s">
        <v>182</v>
      </c>
      <c r="C36" s="37">
        <f>SUM(C30:C35)</f>
        <v>14180342</v>
      </c>
      <c r="D36" s="37">
        <f t="shared" ref="D36:E36" si="8">SUM(D30:D35)</f>
        <v>12411962</v>
      </c>
      <c r="E36" s="37">
        <f t="shared" si="8"/>
        <v>13748734</v>
      </c>
      <c r="F36" s="22"/>
      <c r="G36" s="22"/>
      <c r="H36" s="22"/>
      <c r="I36" s="22"/>
      <c r="J36" s="22"/>
      <c r="K36" s="22"/>
      <c r="L36" s="22"/>
      <c r="M36" s="22"/>
      <c r="N36" s="22"/>
      <c r="O36" s="37">
        <f ca="1">SUM(O30:O35)</f>
        <v>17578264</v>
      </c>
      <c r="P36" s="37">
        <f t="shared" ref="P36:Q36" ca="1" si="9">SUM(P30:P35)</f>
        <v>15059467</v>
      </c>
      <c r="Q36" s="37">
        <f t="shared" ca="1" si="9"/>
        <v>16576734</v>
      </c>
      <c r="R36" s="17"/>
    </row>
    <row r="37" spans="1:18" s="18" customFormat="1" ht="12.75" x14ac:dyDescent="0.2">
      <c r="A37" s="17"/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17"/>
    </row>
    <row r="38" spans="1:18" s="18" customFormat="1" ht="12.75" x14ac:dyDescent="0.2">
      <c r="A38" s="17" t="s">
        <v>191</v>
      </c>
      <c r="B38" s="14" t="s">
        <v>181</v>
      </c>
      <c r="C38" s="33">
        <f>ROUND('Asientos-1'!F297,0)</f>
        <v>716979</v>
      </c>
      <c r="D38" s="33">
        <f>ROUND('Asientos-1'!G297,0)</f>
        <v>1368778</v>
      </c>
      <c r="E38" s="33">
        <f>ROUND('Asientos-1'!H297,0)</f>
        <v>1961323</v>
      </c>
      <c r="F38" s="22"/>
      <c r="G38" s="22">
        <f ca="1">SUMIF('Asientos-1'!B:P,'EEFF en NIIF'!A38:A38,'Asientos-1'!K:K)</f>
        <v>18515.301607638365</v>
      </c>
      <c r="H38" s="22">
        <f ca="1">SUMIF('Asientos-1'!B:P,'EEFF en NIIF'!A38:A38,'Asientos-1'!L:L)</f>
        <v>7650000</v>
      </c>
      <c r="I38" s="22">
        <f ca="1">SUMIF('Asientos-1'!B:P,'EEFF en NIIF'!A38:A38,'Asientos-1'!M:M)</f>
        <v>51744.81361256633</v>
      </c>
      <c r="J38" s="22">
        <f ca="1">SUMIF('Asientos-1'!B:P,'EEFF en NIIF'!A38:A38,'Asientos-1'!N:N)</f>
        <v>7800000</v>
      </c>
      <c r="K38" s="22">
        <f ca="1">SUMIF('Asientos-1'!B:P,'EEFF en NIIF'!A38:A38,'Asientos-1'!O:O)</f>
        <v>96475.253532565199</v>
      </c>
      <c r="L38" s="22">
        <f ca="1">SUMIF('Asientos-1'!B:P,'EEFF en NIIF'!A38:A38,'Asientos-1'!P:P)</f>
        <v>8000000</v>
      </c>
      <c r="M38" s="22"/>
      <c r="N38" s="22"/>
      <c r="O38" s="33">
        <f ca="1">+Matriz!L41</f>
        <v>8348463.6983923614</v>
      </c>
      <c r="P38" s="33">
        <f ca="1">+Matriz!M41</f>
        <v>9117033.1863874346</v>
      </c>
      <c r="Q38" s="33">
        <f ca="1">+Matriz!N41</f>
        <v>9864847.7464674339</v>
      </c>
      <c r="R38" s="17"/>
    </row>
    <row r="39" spans="1:18" s="18" customFormat="1" ht="12.75" x14ac:dyDescent="0.2">
      <c r="A39" s="17"/>
      <c r="B39" s="23" t="s">
        <v>94</v>
      </c>
      <c r="C39" s="37">
        <f>SUM(C36:C38)</f>
        <v>14897321</v>
      </c>
      <c r="D39" s="37">
        <f t="shared" ref="D39:E39" si="10">SUM(D36:D38)</f>
        <v>13780740</v>
      </c>
      <c r="E39" s="37">
        <f t="shared" si="10"/>
        <v>15710057</v>
      </c>
      <c r="F39" s="22"/>
      <c r="G39" s="22"/>
      <c r="H39" s="22"/>
      <c r="I39" s="22"/>
      <c r="J39" s="22"/>
      <c r="K39" s="22"/>
      <c r="L39" s="22"/>
      <c r="M39" s="22"/>
      <c r="N39" s="22"/>
      <c r="O39" s="37">
        <f t="shared" ref="O39:Q39" ca="1" si="11">SUM(O36:O38)</f>
        <v>25926727.698392361</v>
      </c>
      <c r="P39" s="37">
        <f t="shared" ca="1" si="11"/>
        <v>24176500.186387435</v>
      </c>
      <c r="Q39" s="37">
        <f t="shared" ca="1" si="11"/>
        <v>26441581.746467434</v>
      </c>
      <c r="R39" s="17"/>
    </row>
    <row r="40" spans="1:18" s="18" customFormat="1" ht="12.75" x14ac:dyDescent="0.2">
      <c r="A40" s="17"/>
      <c r="B40" s="17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7"/>
    </row>
    <row r="41" spans="1:18" s="18" customFormat="1" ht="12.75" x14ac:dyDescent="0.2">
      <c r="A41" s="17"/>
      <c r="B41" s="23" t="s">
        <v>95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17"/>
    </row>
    <row r="42" spans="1:18" s="18" customFormat="1" ht="12.75" x14ac:dyDescent="0.2">
      <c r="A42" s="17" t="s">
        <v>96</v>
      </c>
      <c r="B42" s="14" t="s">
        <v>97</v>
      </c>
      <c r="C42" s="38">
        <v>26201136</v>
      </c>
      <c r="D42" s="30">
        <v>25549337</v>
      </c>
      <c r="E42" s="30">
        <v>24956792</v>
      </c>
      <c r="F42" s="22"/>
      <c r="G42" s="22">
        <f ca="1">SUMIF('Asientos-1'!B:P,'EEFF en NIIF'!A42:A42,'Asientos-1'!K:K)</f>
        <v>9000000</v>
      </c>
      <c r="H42" s="22">
        <f ca="1">SUMIF('Asientos-1'!B:P,'EEFF en NIIF'!A42:A42,'Asientos-1'!L:L)</f>
        <v>0</v>
      </c>
      <c r="I42" s="22">
        <f ca="1">SUMIF('Asientos-1'!B:P,'EEFF en NIIF'!A42:A42,'Asientos-1'!M:M)</f>
        <v>9000000</v>
      </c>
      <c r="J42" s="22">
        <f ca="1">SUMIF('Asientos-1'!B:P,'EEFF en NIIF'!A42:A42,'Asientos-1'!N:N)</f>
        <v>0</v>
      </c>
      <c r="K42" s="22">
        <f ca="1">SUMIF('Asientos-1'!B:P,'EEFF en NIIF'!A42:A42,'Asientos-1'!O:O)</f>
        <v>9000000</v>
      </c>
      <c r="L42" s="22">
        <f ca="1">SUMIF('Asientos-1'!B:P,'EEFF en NIIF'!A42:A42,'Asientos-1'!P:P)</f>
        <v>0</v>
      </c>
      <c r="M42" s="22"/>
      <c r="N42" s="22"/>
      <c r="O42" s="31">
        <f ca="1">+Matriz!L46</f>
        <v>17201136</v>
      </c>
      <c r="P42" s="31">
        <f ca="1">+Matriz!M46</f>
        <v>16549337</v>
      </c>
      <c r="Q42" s="31">
        <f ca="1">+Matriz!N46</f>
        <v>15956792</v>
      </c>
      <c r="R42" s="17"/>
    </row>
    <row r="43" spans="1:18" s="18" customFormat="1" ht="12.75" x14ac:dyDescent="0.2">
      <c r="A43" s="17" t="s">
        <v>98</v>
      </c>
      <c r="B43" s="14" t="s">
        <v>99</v>
      </c>
      <c r="C43" s="38">
        <v>101228482</v>
      </c>
      <c r="D43" s="30">
        <v>79240392</v>
      </c>
      <c r="E43" s="30">
        <v>69501027</v>
      </c>
      <c r="F43" s="22"/>
      <c r="G43" s="22">
        <f ca="1">SUMIF('Asientos-1'!B:P,'EEFF en NIIF'!A43:A43,'Asientos-1'!K:K)</f>
        <v>16924706.600000001</v>
      </c>
      <c r="H43" s="22">
        <f ca="1">SUMIF('Asientos-1'!B:P,'EEFF en NIIF'!A43:A43,'Asientos-1'!L:L)</f>
        <v>17272563.289528795</v>
      </c>
      <c r="I43" s="22">
        <f ca="1">SUMIF('Asientos-1'!B:P,'EEFF en NIIF'!A43:A43,'Asientos-1'!M:M)</f>
        <v>13038000</v>
      </c>
      <c r="J43" s="22">
        <f ca="1">SUMIF('Asientos-1'!B:P,'EEFF en NIIF'!A43:A43,'Asientos-1'!N:N)</f>
        <v>13409735.077472797</v>
      </c>
      <c r="K43" s="22">
        <f ca="1">SUMIF('Asientos-1'!B:P,'EEFF en NIIF'!A43:A43,'Asientos-1'!O:O)</f>
        <v>13038000</v>
      </c>
      <c r="L43" s="22">
        <f ca="1">SUMIF('Asientos-1'!B:P,'EEFF en NIIF'!A43:A43,'Asientos-1'!P:P)</f>
        <v>13409735.077472797</v>
      </c>
      <c r="M43" s="22"/>
      <c r="N43" s="22"/>
      <c r="O43" s="31">
        <f ca="1">+Matriz!L47+Matriz!L49</f>
        <v>91344907.471125335</v>
      </c>
      <c r="P43" s="31">
        <f ca="1">+Matriz!M47+Matriz!M49</f>
        <v>80413096.689528793</v>
      </c>
      <c r="Q43" s="31">
        <f ca="1">+Matriz!N47+Matriz!N49</f>
        <v>69872762.077472791</v>
      </c>
      <c r="R43" s="17"/>
    </row>
    <row r="44" spans="1:18" s="18" customFormat="1" ht="12.75" x14ac:dyDescent="0.2">
      <c r="A44" s="17" t="s">
        <v>152</v>
      </c>
      <c r="B44" s="14" t="s">
        <v>151</v>
      </c>
      <c r="C44" s="38">
        <v>0</v>
      </c>
      <c r="D44" s="30">
        <v>0</v>
      </c>
      <c r="E44" s="30">
        <v>0</v>
      </c>
      <c r="F44" s="22"/>
      <c r="G44" s="22">
        <f ca="1">SUMIF('Asientos-1'!B:P,'EEFF en NIIF'!A44:A44,'Asientos-1'!K:K)</f>
        <v>1050000</v>
      </c>
      <c r="H44" s="22">
        <f ca="1">SUMIF('Asientos-1'!B:P,'EEFF en NIIF'!A44:A44,'Asientos-1'!L:L)</f>
        <v>3500000</v>
      </c>
      <c r="I44" s="22">
        <f ca="1">SUMIF('Asientos-1'!B:P,'EEFF en NIIF'!A44:A44,'Asientos-1'!M:M)</f>
        <v>1050000</v>
      </c>
      <c r="J44" s="22">
        <f ca="1">SUMIF('Asientos-1'!B:P,'EEFF en NIIF'!A44:A44,'Asientos-1'!N:N)</f>
        <v>3500000</v>
      </c>
      <c r="K44" s="22">
        <f ca="1">SUMIF('Asientos-1'!B:P,'EEFF en NIIF'!A44:A44,'Asientos-1'!O:O)</f>
        <v>1050000</v>
      </c>
      <c r="L44" s="22">
        <f ca="1">SUMIF('Asientos-1'!B:P,'EEFF en NIIF'!A44:A44,'Asientos-1'!P:P)</f>
        <v>3500000</v>
      </c>
      <c r="M44" s="22"/>
      <c r="N44" s="22"/>
      <c r="O44" s="31">
        <f ca="1">+Matriz!L48</f>
        <v>2450000</v>
      </c>
      <c r="P44" s="31">
        <f ca="1">+Matriz!M48</f>
        <v>2450000</v>
      </c>
      <c r="Q44" s="31">
        <f ca="1">+Matriz!N48</f>
        <v>2450000</v>
      </c>
      <c r="R44" s="17"/>
    </row>
    <row r="45" spans="1:18" s="18" customFormat="1" ht="12.75" hidden="1" x14ac:dyDescent="0.2">
      <c r="A45" s="17"/>
      <c r="B45" s="14" t="s">
        <v>100</v>
      </c>
      <c r="C45" s="34">
        <v>12357343</v>
      </c>
      <c r="D45" s="34">
        <v>10824848</v>
      </c>
      <c r="E45" s="34">
        <v>0</v>
      </c>
      <c r="F45" s="22"/>
      <c r="G45" s="22">
        <f t="shared" ref="G45:L45" ca="1" si="12">+G74</f>
        <v>18473774.218403451</v>
      </c>
      <c r="H45" s="22">
        <f t="shared" ca="1" si="12"/>
        <v>18885000</v>
      </c>
      <c r="I45" s="22">
        <f t="shared" ca="1" si="12"/>
        <v>15791578.387943998</v>
      </c>
      <c r="J45" s="22">
        <f t="shared" ca="1" si="12"/>
        <v>15767700</v>
      </c>
      <c r="K45" s="22">
        <f t="shared" ca="1" si="12"/>
        <v>0</v>
      </c>
      <c r="L45" s="22">
        <f t="shared" ca="1" si="12"/>
        <v>0</v>
      </c>
      <c r="M45" s="22"/>
      <c r="N45" s="22"/>
      <c r="O45" s="33"/>
      <c r="P45" s="33"/>
      <c r="Q45" s="33">
        <f t="shared" ref="Q45" ca="1" si="13">+E45+-K45+L45</f>
        <v>0</v>
      </c>
      <c r="R45" s="17"/>
    </row>
    <row r="46" spans="1:18" s="18" customFormat="1" ht="12.75" x14ac:dyDescent="0.2">
      <c r="A46" s="17"/>
      <c r="B46" s="23" t="s">
        <v>101</v>
      </c>
      <c r="C46" s="37">
        <f>SUM(C42:C45)</f>
        <v>139786961</v>
      </c>
      <c r="D46" s="37">
        <f>SUM(D42:D45)</f>
        <v>115614577</v>
      </c>
      <c r="E46" s="37">
        <f>SUM(E42:E45)</f>
        <v>94457819</v>
      </c>
      <c r="F46" s="22"/>
      <c r="G46" s="22"/>
      <c r="H46" s="22"/>
      <c r="I46" s="22"/>
      <c r="J46" s="22"/>
      <c r="K46" s="22"/>
      <c r="L46" s="22"/>
      <c r="M46" s="22"/>
      <c r="N46" s="22"/>
      <c r="O46" s="37">
        <f ca="1">SUM(O42:O45)</f>
        <v>110996043.47112533</v>
      </c>
      <c r="P46" s="37">
        <f ca="1">SUM(P42:P45)</f>
        <v>99412433.689528793</v>
      </c>
      <c r="Q46" s="37">
        <f ca="1">SUM(Q42:Q45)</f>
        <v>88279554.077472791</v>
      </c>
      <c r="R46" s="17"/>
    </row>
    <row r="47" spans="1:18" s="18" customFormat="1" ht="13.5" thickBot="1" x14ac:dyDescent="0.25">
      <c r="A47" s="17"/>
      <c r="B47" s="23" t="s">
        <v>102</v>
      </c>
      <c r="C47" s="37">
        <f>+C46+C39</f>
        <v>154684282</v>
      </c>
      <c r="D47" s="37">
        <f>+D46+D39</f>
        <v>129395317</v>
      </c>
      <c r="E47" s="37">
        <f>+E46+E39</f>
        <v>110167876</v>
      </c>
      <c r="F47" s="22"/>
      <c r="G47" s="34"/>
      <c r="H47" s="34"/>
      <c r="I47" s="34"/>
      <c r="J47" s="34"/>
      <c r="K47" s="34"/>
      <c r="L47" s="34"/>
      <c r="M47" s="22"/>
      <c r="N47" s="22"/>
      <c r="O47" s="39">
        <f ca="1">+O46+O39</f>
        <v>136922771.1695177</v>
      </c>
      <c r="P47" s="39">
        <f ca="1">+P46+P39</f>
        <v>123588933.87591623</v>
      </c>
      <c r="Q47" s="39">
        <f ca="1">+Q46+Q39</f>
        <v>114721135.82394022</v>
      </c>
      <c r="R47" s="17"/>
    </row>
    <row r="48" spans="1:18" s="18" customFormat="1" ht="12.7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s="18" customFormat="1" ht="12.75" hidden="1" x14ac:dyDescent="0.2">
      <c r="C49" s="62"/>
      <c r="D49" s="62"/>
      <c r="E49" s="62"/>
      <c r="F49" s="24"/>
      <c r="G49" s="26"/>
      <c r="H49" s="26"/>
      <c r="I49" s="26"/>
      <c r="J49" s="26"/>
      <c r="K49" s="26"/>
      <c r="L49" s="26"/>
      <c r="M49" s="24"/>
      <c r="N49" s="24"/>
    </row>
    <row r="50" spans="1:17" s="18" customFormat="1" ht="12.75" hidden="1" x14ac:dyDescent="0.2"/>
    <row r="51" spans="1:17" s="18" customFormat="1" ht="13.5" hidden="1" thickBot="1" x14ac:dyDescent="0.25">
      <c r="O51" s="13">
        <f ca="1">+O26-O47</f>
        <v>0</v>
      </c>
      <c r="P51" s="13">
        <f ca="1">+P26-P47</f>
        <v>0</v>
      </c>
      <c r="Q51" s="13">
        <f ca="1">+Q26-Q47</f>
        <v>0</v>
      </c>
    </row>
    <row r="52" spans="1:17" s="18" customFormat="1" ht="12.75" hidden="1" x14ac:dyDescent="0.2"/>
    <row r="53" spans="1:17" s="18" customFormat="1" ht="12.75" x14ac:dyDescent="0.2">
      <c r="A53" s="303" t="s">
        <v>319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</row>
    <row r="54" spans="1:17" s="18" customFormat="1" ht="12.75" x14ac:dyDescent="0.2">
      <c r="A54" s="303" t="s">
        <v>315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</row>
    <row r="55" spans="1:17" s="18" customFormat="1" ht="12.75" x14ac:dyDescent="0.2">
      <c r="A55" s="17"/>
      <c r="B55" s="17"/>
      <c r="C55" s="27">
        <v>2015</v>
      </c>
      <c r="D55" s="27">
        <v>2014</v>
      </c>
      <c r="E55" s="17"/>
      <c r="F55" s="17"/>
      <c r="G55" s="28" t="s">
        <v>54</v>
      </c>
      <c r="H55" s="28" t="s">
        <v>54</v>
      </c>
      <c r="I55" s="28" t="s">
        <v>54</v>
      </c>
      <c r="J55" s="28" t="s">
        <v>54</v>
      </c>
      <c r="K55" s="22"/>
      <c r="L55" s="22"/>
      <c r="M55" s="22"/>
      <c r="N55" s="22"/>
      <c r="O55" s="22"/>
      <c r="P55" s="27">
        <v>2016</v>
      </c>
      <c r="Q55" s="27">
        <v>2015</v>
      </c>
    </row>
    <row r="56" spans="1:17" s="18" customFormat="1" ht="12.75" x14ac:dyDescent="0.2">
      <c r="A56" s="17"/>
      <c r="B56" s="17"/>
      <c r="C56" s="28" t="s">
        <v>54</v>
      </c>
      <c r="D56" s="28" t="s">
        <v>54</v>
      </c>
      <c r="E56" s="17"/>
      <c r="F56" s="17"/>
      <c r="G56" s="27" t="s">
        <v>57</v>
      </c>
      <c r="H56" s="27" t="s">
        <v>58</v>
      </c>
      <c r="I56" s="27" t="s">
        <v>57</v>
      </c>
      <c r="J56" s="27" t="s">
        <v>58</v>
      </c>
      <c r="K56" s="22"/>
      <c r="L56" s="22"/>
      <c r="M56" s="22"/>
      <c r="N56" s="22"/>
      <c r="O56" s="22"/>
      <c r="P56" s="28" t="s">
        <v>54</v>
      </c>
      <c r="Q56" s="28" t="s">
        <v>54</v>
      </c>
    </row>
    <row r="57" spans="1:17" s="18" customFormat="1" ht="12.75" x14ac:dyDescent="0.2">
      <c r="A57" s="17" t="s">
        <v>103</v>
      </c>
      <c r="B57" s="14" t="s">
        <v>139</v>
      </c>
      <c r="C57" s="40">
        <v>86348845</v>
      </c>
      <c r="D57" s="40">
        <v>77738972</v>
      </c>
      <c r="E57" s="17"/>
      <c r="F57" s="22"/>
      <c r="G57" s="22">
        <f ca="1">SUMIF('Asientos-1'!B:P,'EEFF en NIIF'!A57:A57,'Asientos-1'!K:K)</f>
        <v>6347200.0000000009</v>
      </c>
      <c r="H57" s="22">
        <f ca="1">SUMIF('Asientos-1'!B:P,'EEFF en NIIF'!A57:A57,'Asientos-1'!L:L)</f>
        <v>8000000</v>
      </c>
      <c r="I57" s="22">
        <f ca="1">SUMIF('Asientos-1'!B:P,'EEFF en NIIF'!A57:A57,'Asientos-1'!M:M)</f>
        <v>4000000</v>
      </c>
      <c r="J57" s="22">
        <f ca="1">SUMIF('Asientos-1'!B:P,'EEFF en NIIF'!A57:A57,'Asientos-1'!N:N)</f>
        <v>6008000.0000000009</v>
      </c>
      <c r="K57" s="22">
        <f ca="1">SUMIF('Asientos-1'!B:P,'EEFF en NIIF'!A57:A57,'Asientos-1'!O:O)</f>
        <v>0</v>
      </c>
      <c r="L57" s="22">
        <f ca="1">SUMIF('Asientos-1'!B:P,'EEFF en NIIF'!A57:A57,'Asientos-1'!P:P)</f>
        <v>0</v>
      </c>
      <c r="M57" s="22"/>
      <c r="N57" s="22"/>
      <c r="O57" s="22"/>
      <c r="P57" s="30">
        <f ca="1">+C57+H57-G57</f>
        <v>88001645</v>
      </c>
      <c r="Q57" s="30">
        <f ca="1">+D57+J57-I57</f>
        <v>79746972</v>
      </c>
    </row>
    <row r="58" spans="1:17" s="18" customFormat="1" ht="12.75" x14ac:dyDescent="0.2">
      <c r="A58" s="17" t="s">
        <v>175</v>
      </c>
      <c r="B58" s="14" t="s">
        <v>211</v>
      </c>
      <c r="C58" s="40">
        <v>0</v>
      </c>
      <c r="D58" s="40">
        <v>0</v>
      </c>
      <c r="E58" s="17"/>
      <c r="F58" s="22"/>
      <c r="G58" s="22">
        <f ca="1">SUMIF('Asientos-1'!B:P,'EEFF en NIIF'!A58:A58,'Asientos-1'!K:K)</f>
        <v>0</v>
      </c>
      <c r="H58" s="22">
        <f ca="1">SUMIF('Asientos-1'!B:P,'EEFF en NIIF'!A58:A58,'Asientos-1'!L:L)</f>
        <v>600000</v>
      </c>
      <c r="I58" s="22">
        <f ca="1">SUMIF('Asientos-1'!B:P,'EEFF en NIIF'!A58:A58,'Asientos-1'!M:M)</f>
        <v>0</v>
      </c>
      <c r="J58" s="22">
        <f ca="1">SUMIF('Asientos-1'!B:P,'EEFF en NIIF'!A58:A58,'Asientos-1'!N:N)</f>
        <v>700000</v>
      </c>
      <c r="K58" s="22">
        <f ca="1">SUMIF('Asientos-1'!B:P,'EEFF en NIIF'!A58:A58,'Asientos-1'!O:O)</f>
        <v>0</v>
      </c>
      <c r="L58" s="22">
        <f ca="1">SUMIF('Asientos-1'!B:P,'EEFF en NIIF'!A58:A58,'Asientos-1'!P:P)</f>
        <v>0</v>
      </c>
      <c r="M58" s="22"/>
      <c r="N58" s="22"/>
      <c r="O58" s="22"/>
      <c r="P58" s="30">
        <f ca="1">+C58+H58-G58</f>
        <v>600000</v>
      </c>
      <c r="Q58" s="30">
        <f ca="1">+D58+J58-I58</f>
        <v>700000</v>
      </c>
    </row>
    <row r="59" spans="1:17" s="18" customFormat="1" ht="12.75" x14ac:dyDescent="0.2">
      <c r="A59" s="17" t="s">
        <v>104</v>
      </c>
      <c r="B59" s="14" t="s">
        <v>177</v>
      </c>
      <c r="C59" s="41">
        <v>-35324624</v>
      </c>
      <c r="D59" s="41">
        <v>-32655063</v>
      </c>
      <c r="E59" s="17"/>
      <c r="F59" s="22"/>
      <c r="G59" s="22">
        <f ca="1">SUMIF('Asientos-1'!B:P,'EEFF en NIIF'!A59:A59,'Asientos-1'!K:K)</f>
        <v>4230651.1999999993</v>
      </c>
      <c r="H59" s="22">
        <f ca="1">SUMIF('Asientos-1'!B:P,'EEFF en NIIF'!A59:A59,'Asientos-1'!L:L)</f>
        <v>2457500</v>
      </c>
      <c r="I59" s="22">
        <f ca="1">SUMIF('Asientos-1'!B:P,'EEFF en NIIF'!A59:A59,'Asientos-1'!M:M)</f>
        <v>4906701.5999999996</v>
      </c>
      <c r="J59" s="22">
        <f ca="1">SUMIF('Asientos-1'!B:P,'EEFF en NIIF'!A59:A59,'Asientos-1'!N:N)</f>
        <v>1912500</v>
      </c>
      <c r="K59" s="22">
        <f ca="1">SUMIF('Asientos-1'!B:P,'EEFF en NIIF'!A59:A59,'Asientos-1'!O:O)</f>
        <v>0</v>
      </c>
      <c r="L59" s="22">
        <f ca="1">SUMIF('Asientos-1'!B:P,'EEFF en NIIF'!A59:A59,'Asientos-1'!P:P)</f>
        <v>0</v>
      </c>
      <c r="M59" s="22"/>
      <c r="N59" s="22"/>
      <c r="O59" s="22"/>
      <c r="P59" s="41">
        <f ca="1">+C59+H59-G59</f>
        <v>-37097775.200000003</v>
      </c>
      <c r="Q59" s="41">
        <f ca="1">+D59+J59-I59</f>
        <v>-35649264.600000001</v>
      </c>
    </row>
    <row r="60" spans="1:17" s="18" customFormat="1" ht="12.75" x14ac:dyDescent="0.2">
      <c r="A60" s="17"/>
      <c r="B60" s="23" t="s">
        <v>105</v>
      </c>
      <c r="C60" s="42">
        <f>SUM(C57:C59)</f>
        <v>51024221</v>
      </c>
      <c r="D60" s="42">
        <f>SUM(D57:D59)</f>
        <v>45083909</v>
      </c>
      <c r="E60" s="1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2">
        <f t="shared" ref="P60:Q60" ca="1" si="14">SUM(P57:P59)</f>
        <v>51503869.799999997</v>
      </c>
      <c r="Q60" s="42">
        <f t="shared" ca="1" si="14"/>
        <v>44797707.399999999</v>
      </c>
    </row>
    <row r="61" spans="1:17" s="18" customFormat="1" ht="12.75" x14ac:dyDescent="0.2">
      <c r="A61" s="17"/>
      <c r="B61" s="17"/>
      <c r="C61" s="40"/>
      <c r="D61" s="40"/>
      <c r="E61" s="17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s="18" customFormat="1" ht="12.75" x14ac:dyDescent="0.2">
      <c r="A62" s="17" t="s">
        <v>106</v>
      </c>
      <c r="B62" s="14" t="s">
        <v>107</v>
      </c>
      <c r="C62" s="40">
        <v>-10604338</v>
      </c>
      <c r="D62" s="40">
        <v>-10421188</v>
      </c>
      <c r="E62" s="17"/>
      <c r="F62" s="22"/>
      <c r="G62" s="22">
        <f ca="1">SUMIF('Asientos-1'!B:P,'EEFF en NIIF'!A62:A62,'Asientos-1'!K:K)</f>
        <v>2240000</v>
      </c>
      <c r="H62" s="22">
        <f ca="1">SUMIF('Asientos-1'!B:P,'EEFF en NIIF'!A62:A62,'Asientos-1'!L:L)</f>
        <v>250000</v>
      </c>
      <c r="I62" s="22">
        <f ca="1">SUMIF('Asientos-1'!B:P,'EEFF en NIIF'!A62:A62,'Asientos-1'!M:M)</f>
        <v>2050000</v>
      </c>
      <c r="J62" s="22">
        <f ca="1">SUMIF('Asientos-1'!B:P,'EEFF en NIIF'!A62:A62,'Asientos-1'!N:N)</f>
        <v>250000</v>
      </c>
      <c r="K62" s="22">
        <f ca="1">SUMIF('Asientos-1'!B:P,'EEFF en NIIF'!A62:A62,'Asientos-1'!O:O)</f>
        <v>0</v>
      </c>
      <c r="L62" s="22">
        <f ca="1">SUMIF('Asientos-1'!B:P,'EEFF en NIIF'!A62:A62,'Asientos-1'!P:P)</f>
        <v>0</v>
      </c>
      <c r="M62" s="22"/>
      <c r="N62" s="22"/>
      <c r="O62" s="22"/>
      <c r="P62" s="40">
        <f ca="1">+C62+H62-G62</f>
        <v>-12594338</v>
      </c>
      <c r="Q62" s="40">
        <f ca="1">+D62+J62-I62</f>
        <v>-12221188</v>
      </c>
    </row>
    <row r="63" spans="1:17" s="18" customFormat="1" ht="12.75" x14ac:dyDescent="0.2">
      <c r="A63" s="17" t="s">
        <v>108</v>
      </c>
      <c r="B63" s="14" t="s">
        <v>109</v>
      </c>
      <c r="C63" s="40">
        <v>-11749370</v>
      </c>
      <c r="D63" s="40">
        <v>-9167285</v>
      </c>
      <c r="E63" s="17"/>
      <c r="F63" s="22"/>
      <c r="G63" s="22">
        <f ca="1">SUMIF('Asientos-1'!B:P,'EEFF en NIIF'!A63:A63,'Asientos-1'!K:K)</f>
        <v>380000</v>
      </c>
      <c r="H63" s="22">
        <f ca="1">SUMIF('Asientos-1'!B:P,'EEFF en NIIF'!A63:A63,'Asientos-1'!L:L)</f>
        <v>0</v>
      </c>
      <c r="I63" s="22">
        <f ca="1">SUMIF('Asientos-1'!B:P,'EEFF en NIIF'!A63:A63,'Asientos-1'!M:M)</f>
        <v>350000</v>
      </c>
      <c r="J63" s="22">
        <f ca="1">SUMIF('Asientos-1'!B:P,'EEFF en NIIF'!A63:A63,'Asientos-1'!N:N)</f>
        <v>0</v>
      </c>
      <c r="K63" s="22">
        <f ca="1">SUMIF('Asientos-1'!B:P,'EEFF en NIIF'!A63:A63,'Asientos-1'!O:O)</f>
        <v>0</v>
      </c>
      <c r="L63" s="22">
        <f ca="1">SUMIF('Asientos-1'!B:P,'EEFF en NIIF'!A63:A63,'Asientos-1'!P:P)</f>
        <v>0</v>
      </c>
      <c r="M63" s="22"/>
      <c r="N63" s="22"/>
      <c r="O63" s="22"/>
      <c r="P63" s="40">
        <f ca="1">+C63+H63-G63</f>
        <v>-12129370</v>
      </c>
      <c r="Q63" s="40">
        <f ca="1">+D63+J63-I63</f>
        <v>-9517285</v>
      </c>
    </row>
    <row r="64" spans="1:17" s="18" customFormat="1" ht="12.75" x14ac:dyDescent="0.2">
      <c r="A64" s="17" t="s">
        <v>110</v>
      </c>
      <c r="B64" s="14" t="s">
        <v>111</v>
      </c>
      <c r="C64" s="41">
        <v>51495</v>
      </c>
      <c r="D64" s="41">
        <v>116418</v>
      </c>
      <c r="E64" s="17"/>
      <c r="F64" s="22"/>
      <c r="G64" s="22">
        <f ca="1">SUMIF('Asientos-1'!B:P,'EEFF en NIIF'!A64:A64,'Asientos-1'!K:K)</f>
        <v>0</v>
      </c>
      <c r="H64" s="22">
        <f ca="1">SUMIF('Asientos-1'!B:P,'EEFF en NIIF'!A64:A64,'Asientos-1'!L:L)</f>
        <v>0</v>
      </c>
      <c r="I64" s="22">
        <f ca="1">SUMIF('Asientos-1'!B:P,'EEFF en NIIF'!A64:A64,'Asientos-1'!M:M)</f>
        <v>0</v>
      </c>
      <c r="J64" s="22">
        <f ca="1">SUMIF('Asientos-1'!B:P,'EEFF en NIIF'!A64:A64,'Asientos-1'!N:N)</f>
        <v>0</v>
      </c>
      <c r="K64" s="22">
        <f ca="1">SUMIF('Asientos-1'!B:P,'EEFF en NIIF'!A64:A64,'Asientos-1'!O:O)</f>
        <v>0</v>
      </c>
      <c r="L64" s="22">
        <f ca="1">SUMIF('Asientos-1'!B:P,'EEFF en NIIF'!A64:A64,'Asientos-1'!P:P)</f>
        <v>0</v>
      </c>
      <c r="M64" s="22"/>
      <c r="N64" s="22"/>
      <c r="O64" s="22"/>
      <c r="P64" s="41">
        <f ca="1">+C64+-H64+G64</f>
        <v>51495</v>
      </c>
      <c r="Q64" s="41">
        <f ca="1">+D64+-J64+H64</f>
        <v>116418</v>
      </c>
    </row>
    <row r="65" spans="1:21" s="18" customFormat="1" ht="12.75" x14ac:dyDescent="0.2">
      <c r="A65" s="17"/>
      <c r="B65" s="23" t="s">
        <v>112</v>
      </c>
      <c r="C65" s="42">
        <f>SUM(C60:C64)</f>
        <v>28722008</v>
      </c>
      <c r="D65" s="42">
        <f>SUM(D60:D64)</f>
        <v>25611854</v>
      </c>
      <c r="E65" s="17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42">
        <f t="shared" ref="P65:Q65" ca="1" si="15">SUM(P60:P64)</f>
        <v>26831656.799999997</v>
      </c>
      <c r="Q65" s="42">
        <f t="shared" ca="1" si="15"/>
        <v>23175652.399999999</v>
      </c>
    </row>
    <row r="66" spans="1:21" s="18" customFormat="1" ht="12.75" x14ac:dyDescent="0.2">
      <c r="A66" s="17"/>
      <c r="B66" s="17"/>
      <c r="C66" s="40"/>
      <c r="D66" s="40"/>
      <c r="E66" s="17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21" s="18" customFormat="1" ht="12.75" hidden="1" x14ac:dyDescent="0.2">
      <c r="A67" s="17"/>
      <c r="B67" s="14"/>
      <c r="C67" s="40"/>
      <c r="D67" s="40"/>
      <c r="E67" s="17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30"/>
      <c r="Q67" s="30"/>
    </row>
    <row r="68" spans="1:21" s="18" customFormat="1" ht="12.75" x14ac:dyDescent="0.2">
      <c r="A68" s="17" t="s">
        <v>113</v>
      </c>
      <c r="B68" s="14" t="s">
        <v>114</v>
      </c>
      <c r="C68" s="40">
        <v>2238531</v>
      </c>
      <c r="D68" s="40">
        <v>1221201</v>
      </c>
      <c r="E68" s="17"/>
      <c r="F68" s="22"/>
      <c r="G68" s="22">
        <f ca="1">SUMIF('Asientos-1'!B:P,'EEFF en NIIF'!A68:A68,'Asientos-1'!K:K)</f>
        <v>2000000</v>
      </c>
      <c r="H68" s="22">
        <f ca="1">SUMIF('Asientos-1'!B:P,'EEFF en NIIF'!A68:A68,'Asientos-1'!L:L)</f>
        <v>0</v>
      </c>
      <c r="I68" s="22">
        <f ca="1">SUMIF('Asientos-1'!B:P,'EEFF en NIIF'!A68:A68,'Asientos-1'!M:M)</f>
        <v>1000000</v>
      </c>
      <c r="J68" s="22">
        <f ca="1">SUMIF('Asientos-1'!B:P,'EEFF en NIIF'!A68:A68,'Asientos-1'!N:N)</f>
        <v>0</v>
      </c>
      <c r="K68" s="22">
        <f ca="1">SUMIF('Asientos-1'!B:P,'EEFF en NIIF'!A68:A68,'Asientos-1'!O:O)</f>
        <v>0</v>
      </c>
      <c r="L68" s="22">
        <f ca="1">SUMIF('Asientos-1'!B:P,'EEFF en NIIF'!A68:A68,'Asientos-1'!P:P)</f>
        <v>0</v>
      </c>
      <c r="M68" s="22"/>
      <c r="N68" s="22"/>
      <c r="O68" s="22"/>
      <c r="P68" s="30">
        <f ca="1">+C68+H68-G68</f>
        <v>238531</v>
      </c>
      <c r="Q68" s="30">
        <f ca="1">+D68+J68-I68</f>
        <v>221201</v>
      </c>
    </row>
    <row r="69" spans="1:21" s="18" customFormat="1" ht="12.75" x14ac:dyDescent="0.2">
      <c r="A69" s="17" t="s">
        <v>115</v>
      </c>
      <c r="B69" s="14" t="s">
        <v>174</v>
      </c>
      <c r="C69" s="40">
        <v>-3906621</v>
      </c>
      <c r="D69" s="40">
        <v>-3112318</v>
      </c>
      <c r="E69" s="17"/>
      <c r="F69" s="22"/>
      <c r="G69" s="22">
        <f ca="1">SUMIF('Asientos-1'!B:P,'EEFF en NIIF'!A69:A69,'Asientos-1'!K:K)</f>
        <v>163946.51200492796</v>
      </c>
      <c r="H69" s="22">
        <f ca="1">SUMIF('Asientos-1'!B:P,'EEFF en NIIF'!A69:A69,'Asientos-1'!L:L)</f>
        <v>3500000</v>
      </c>
      <c r="I69" s="22">
        <f ca="1">SUMIF('Asientos-1'!B:P,'EEFF en NIIF'!A69:A69,'Asientos-1'!M:M)</f>
        <v>169435.43991999887</v>
      </c>
      <c r="J69" s="22">
        <f ca="1">SUMIF('Asientos-1'!B:P,'EEFF en NIIF'!A69:A69,'Asientos-1'!N:N)</f>
        <v>3000000</v>
      </c>
      <c r="K69" s="22">
        <f ca="1">SUMIF('Asientos-1'!B:P,'EEFF en NIIF'!A69:A69,'Asientos-1'!O:O)</f>
        <v>0</v>
      </c>
      <c r="L69" s="22">
        <f ca="1">SUMIF('Asientos-1'!B:P,'EEFF en NIIF'!A69:A69,'Asientos-1'!P:P)</f>
        <v>0</v>
      </c>
      <c r="M69" s="22"/>
      <c r="N69" s="22"/>
      <c r="O69" s="22"/>
      <c r="P69" s="40">
        <f ca="1">+C69+H69-G69</f>
        <v>-570567.51200492796</v>
      </c>
      <c r="Q69" s="40">
        <f ca="1">+D69+J69-I69</f>
        <v>-281753.43991999887</v>
      </c>
      <c r="S69" s="25">
        <f ca="1">+P74-Matriz!L78</f>
        <v>0</v>
      </c>
      <c r="T69" s="25">
        <f ca="1">+Q74-Matriz!M78</f>
        <v>0</v>
      </c>
    </row>
    <row r="70" spans="1:21" s="18" customFormat="1" ht="12.75" x14ac:dyDescent="0.2">
      <c r="A70" s="17" t="s">
        <v>224</v>
      </c>
      <c r="B70" s="14" t="s">
        <v>176</v>
      </c>
      <c r="C70" s="41"/>
      <c r="D70" s="41"/>
      <c r="E70" s="17"/>
      <c r="F70" s="22"/>
      <c r="G70" s="22">
        <f ca="1">SUMIF('Asientos-1'!B:P,'EEFF en NIIF'!A70:A70,'Asientos-1'!K:K)</f>
        <v>1595500</v>
      </c>
      <c r="H70" s="22">
        <f ca="1">SUMIF('Asientos-1'!B:P,'EEFF en NIIF'!A70:A70,'Asientos-1'!L:L)</f>
        <v>477499.99999999959</v>
      </c>
      <c r="I70" s="22">
        <f ca="1">SUMIF('Asientos-1'!B:P,'EEFF en NIIF'!A70:A70,'Asientos-1'!M:M)</f>
        <v>2158200.0000000005</v>
      </c>
      <c r="J70" s="22">
        <f ca="1">SUMIF('Asientos-1'!B:P,'EEFF en NIIF'!A70:A70,'Asientos-1'!N:N)</f>
        <v>497200.00000000093</v>
      </c>
      <c r="K70" s="22">
        <f ca="1">SUMIF('Asientos-1'!B:P,'EEFF en NIIF'!A70:A70,'Asientos-1'!O:O)</f>
        <v>0</v>
      </c>
      <c r="L70" s="22">
        <f ca="1">SUMIF('Asientos-1'!B:P,'EEFF en NIIF'!A70:A70,'Asientos-1'!P:P)</f>
        <v>0</v>
      </c>
      <c r="M70" s="22"/>
      <c r="N70" s="22"/>
      <c r="O70" s="22"/>
      <c r="P70" s="41">
        <f ca="1">+H70-G70+C70</f>
        <v>-1118000.0000000005</v>
      </c>
      <c r="Q70" s="41">
        <f ca="1">+D70+J70-I70</f>
        <v>-1660999.9999999995</v>
      </c>
      <c r="R70" s="27"/>
      <c r="S70" s="27"/>
      <c r="T70" s="27"/>
      <c r="U70" s="27"/>
    </row>
    <row r="71" spans="1:21" s="18" customFormat="1" ht="12.75" x14ac:dyDescent="0.2">
      <c r="A71" s="17" t="s">
        <v>116</v>
      </c>
      <c r="B71" s="23" t="s">
        <v>117</v>
      </c>
      <c r="C71" s="42">
        <f>SUM(C65:C70)</f>
        <v>27053918</v>
      </c>
      <c r="D71" s="42">
        <f>SUM(D65:D70)</f>
        <v>23720737</v>
      </c>
      <c r="E71" s="17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42">
        <f t="shared" ref="P71:Q71" ca="1" si="16">SUM(P65:P70)</f>
        <v>25381620.28799507</v>
      </c>
      <c r="Q71" s="42">
        <f t="shared" ca="1" si="16"/>
        <v>21454099.960079998</v>
      </c>
      <c r="R71" s="27"/>
      <c r="S71" s="27"/>
      <c r="T71" s="27"/>
      <c r="U71" s="27"/>
    </row>
    <row r="72" spans="1:21" s="18" customFormat="1" ht="12.75" x14ac:dyDescent="0.2">
      <c r="A72" s="17" t="s">
        <v>118</v>
      </c>
      <c r="B72" s="14" t="s">
        <v>165</v>
      </c>
      <c r="C72" s="40">
        <v>-3600000</v>
      </c>
      <c r="D72" s="40">
        <v>-3400000</v>
      </c>
      <c r="E72" s="17"/>
      <c r="F72" s="22"/>
      <c r="G72" s="22">
        <f ca="1">SUMIF('Asientos-1'!B:P,'EEFF en NIIF'!A72:A72,'Asientos-1'!K:K)</f>
        <v>0</v>
      </c>
      <c r="H72" s="22">
        <f ca="1">SUMIF('Asientos-1'!B:P,'EEFF en NIIF'!A72:A72,'Asientos-1'!L:L)</f>
        <v>3600000</v>
      </c>
      <c r="I72" s="22">
        <f ca="1">SUMIF('Asientos-1'!B:P,'EEFF en NIIF'!A72:A72,'Asientos-1'!M:M)</f>
        <v>0</v>
      </c>
      <c r="J72" s="22">
        <f ca="1">SUMIF('Asientos-1'!B:P,'EEFF en NIIF'!A72:A72,'Asientos-1'!N:N)</f>
        <v>3400000</v>
      </c>
      <c r="K72" s="22">
        <f ca="1">SUMIF('Asientos-1'!B:P,'EEFF en NIIF'!A72:A72,'Asientos-1'!O:O)</f>
        <v>0</v>
      </c>
      <c r="L72" s="22">
        <f ca="1">SUMIF('Asientos-1'!B:P,'EEFF en NIIF'!A72:A72,'Asientos-1'!P:P)</f>
        <v>0</v>
      </c>
      <c r="M72" s="22"/>
      <c r="N72" s="22"/>
      <c r="O72" s="22"/>
      <c r="P72" s="40">
        <f ca="1">+C72+H72-G72</f>
        <v>0</v>
      </c>
      <c r="Q72" s="40">
        <f ca="1">+D72+J72-I72</f>
        <v>0</v>
      </c>
    </row>
    <row r="73" spans="1:21" s="18" customFormat="1" ht="12.75" x14ac:dyDescent="0.2">
      <c r="A73" s="17" t="s">
        <v>164</v>
      </c>
      <c r="B73" s="14" t="s">
        <v>119</v>
      </c>
      <c r="C73" s="41">
        <v>-11096575</v>
      </c>
      <c r="D73" s="41">
        <v>-9495889</v>
      </c>
      <c r="E73" s="17"/>
      <c r="F73" s="22"/>
      <c r="G73" s="34">
        <f ca="1">SUMIF('Asientos-1'!B:P,'EEFF en NIIF'!A73:A73,'Asientos-1'!K:K)</f>
        <v>1516476.5063985216</v>
      </c>
      <c r="H73" s="34">
        <f ca="1">SUMIF('Asientos-1'!B:P,'EEFF en NIIF'!A73:A73,'Asientos-1'!L:L)</f>
        <v>0</v>
      </c>
      <c r="I73" s="34">
        <f ca="1">SUMIF('Asientos-1'!B:P,'EEFF en NIIF'!A73:A73,'Asientos-1'!M:M)</f>
        <v>1157241.3480240004</v>
      </c>
      <c r="J73" s="34">
        <f ca="1">SUMIF('Asientos-1'!B:P,'EEFF en NIIF'!A73:A73,'Asientos-1'!N:N)</f>
        <v>0</v>
      </c>
      <c r="K73" s="34">
        <f ca="1">SUMIF('Asientos-1'!B:P,'EEFF en NIIF'!A73:A73,'Asientos-1'!O:O)</f>
        <v>0</v>
      </c>
      <c r="L73" s="34">
        <f ca="1">SUMIF('Asientos-1'!B:P,'EEFF en NIIF'!A73:A73,'Asientos-1'!P:P)</f>
        <v>0</v>
      </c>
      <c r="M73" s="22"/>
      <c r="N73" s="22"/>
      <c r="O73" s="22"/>
      <c r="P73" s="40">
        <f ca="1">+C73+H73-G73</f>
        <v>-12613051.506398521</v>
      </c>
      <c r="Q73" s="40">
        <f ca="1">+D73+J73-I73</f>
        <v>-10653130.348023999</v>
      </c>
    </row>
    <row r="74" spans="1:21" s="18" customFormat="1" ht="13.5" thickBot="1" x14ac:dyDescent="0.25">
      <c r="A74" s="17"/>
      <c r="B74" s="23" t="s">
        <v>120</v>
      </c>
      <c r="C74" s="43">
        <f>SUM(C71:C73)</f>
        <v>12357343</v>
      </c>
      <c r="D74" s="43">
        <f>SUM(D71:D73)</f>
        <v>10824848</v>
      </c>
      <c r="E74" s="17"/>
      <c r="F74" s="22"/>
      <c r="G74" s="21">
        <f ca="1">SUM(G57:G73)</f>
        <v>18473774.218403451</v>
      </c>
      <c r="H74" s="21">
        <f t="shared" ref="H74:L74" ca="1" si="17">SUM(H57:H73)</f>
        <v>18885000</v>
      </c>
      <c r="I74" s="21">
        <f t="shared" ca="1" si="17"/>
        <v>15791578.387943998</v>
      </c>
      <c r="J74" s="21">
        <f t="shared" ca="1" si="17"/>
        <v>15767700</v>
      </c>
      <c r="K74" s="21">
        <f t="shared" ca="1" si="17"/>
        <v>0</v>
      </c>
      <c r="L74" s="21">
        <f t="shared" ca="1" si="17"/>
        <v>0</v>
      </c>
      <c r="M74" s="22"/>
      <c r="N74" s="22"/>
      <c r="O74" s="22"/>
      <c r="P74" s="43">
        <f ca="1">SUM(P71:P73)</f>
        <v>12768568.781596549</v>
      </c>
      <c r="Q74" s="43">
        <f ca="1">SUM(Q71:Q73)</f>
        <v>10800969.612055998</v>
      </c>
    </row>
    <row r="75" spans="1:21" s="18" customFormat="1" ht="12.75" x14ac:dyDescent="0.2">
      <c r="A75" s="1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21" s="18" customFormat="1" ht="12.75" x14ac:dyDescent="0.2">
      <c r="A76" s="1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21" s="18" customFormat="1" ht="12.75" x14ac:dyDescent="0.2">
      <c r="A77" s="17"/>
      <c r="B77" s="17"/>
      <c r="C77" s="17"/>
      <c r="D77" s="17"/>
      <c r="E77" s="17"/>
      <c r="F77" s="17"/>
      <c r="G77" s="22"/>
      <c r="H77" s="22"/>
      <c r="I77" s="22"/>
      <c r="J77" s="22"/>
      <c r="K77" s="22"/>
      <c r="L77" s="22"/>
      <c r="M77" s="22"/>
      <c r="N77" s="22"/>
      <c r="O77" s="17"/>
      <c r="P77" s="17"/>
    </row>
    <row r="78" spans="1:21" s="18" customFormat="1" ht="12.75" x14ac:dyDescent="0.2">
      <c r="A78" s="17"/>
      <c r="B78" s="17"/>
      <c r="C78" s="17"/>
      <c r="D78" s="17"/>
      <c r="E78" s="17"/>
      <c r="F78" s="17"/>
      <c r="G78" s="22"/>
      <c r="H78" s="22"/>
      <c r="I78" s="22"/>
      <c r="J78" s="22"/>
      <c r="K78" s="22"/>
      <c r="L78" s="22"/>
      <c r="M78" s="22"/>
      <c r="N78" s="22"/>
      <c r="O78" s="17"/>
      <c r="P78" s="17"/>
    </row>
    <row r="79" spans="1:21" s="18" customFormat="1" ht="12.75" x14ac:dyDescent="0.2">
      <c r="A79" s="17"/>
      <c r="B79" s="17"/>
      <c r="C79" s="17"/>
      <c r="D79" s="17"/>
      <c r="E79" s="17"/>
      <c r="F79" s="17"/>
      <c r="G79" s="22"/>
      <c r="H79" s="22"/>
      <c r="I79" s="22"/>
      <c r="J79" s="22"/>
      <c r="K79" s="22"/>
      <c r="L79" s="22"/>
      <c r="M79" s="22"/>
      <c r="N79" s="22"/>
      <c r="O79" s="17"/>
      <c r="P79" s="17"/>
    </row>
    <row r="80" spans="1:21" s="18" customFormat="1" ht="12.75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s="18" customFormat="1" ht="12.75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s="18" customFormat="1" ht="12.7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s="18" customFormat="1" ht="12.75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s="18" customFormat="1" ht="12.7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s="18" customFormat="1" ht="12.75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8" customFormat="1" ht="12.7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s="18" customFormat="1" ht="12.75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s="18" customFormat="1" ht="12.75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s="18" customFormat="1" ht="12.75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s="18" customFormat="1" ht="12.75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s="18" customFormat="1" ht="12.7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s="18" customFormat="1" ht="12.75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s="18" customFormat="1" ht="12.75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s="18" customFormat="1" ht="12.75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ht="15.75" thickBot="1" x14ac:dyDescent="0.3">
      <c r="A99" s="17"/>
      <c r="B99" s="17"/>
      <c r="C99" s="36">
        <f ca="1">+Q26-Q47</f>
        <v>0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7"/>
  <sheetViews>
    <sheetView zoomScale="70" zoomScaleNormal="70" workbookViewId="0">
      <selection activeCell="L5" sqref="L5"/>
    </sheetView>
  </sheetViews>
  <sheetFormatPr baseColWidth="10" defaultColWidth="9.140625" defaultRowHeight="15.75" x14ac:dyDescent="0.25"/>
  <cols>
    <col min="1" max="1" width="10.140625" style="276" customWidth="1"/>
    <col min="2" max="2" width="48.85546875" style="276" customWidth="1"/>
    <col min="3" max="3" width="2.28515625" style="276" customWidth="1"/>
    <col min="4" max="5" width="15.140625" style="276" customWidth="1"/>
    <col min="6" max="7" width="18.28515625" style="276" customWidth="1"/>
    <col min="8" max="11" width="18.7109375" style="276" customWidth="1"/>
    <col min="12" max="14" width="15.140625" style="276" bestFit="1" customWidth="1"/>
    <col min="15" max="19" width="14.7109375" style="18" customWidth="1"/>
    <col min="20" max="73" width="14.7109375" customWidth="1"/>
  </cols>
  <sheetData>
    <row r="1" spans="1:14" x14ac:dyDescent="0.25">
      <c r="A1" s="274" t="s">
        <v>319</v>
      </c>
    </row>
    <row r="2" spans="1:14" x14ac:dyDescent="0.25">
      <c r="A2" s="274" t="s">
        <v>314</v>
      </c>
    </row>
    <row r="3" spans="1:14" x14ac:dyDescent="0.25">
      <c r="A3" s="274"/>
    </row>
    <row r="4" spans="1:14" x14ac:dyDescent="0.25">
      <c r="A4" s="274"/>
    </row>
    <row r="5" spans="1:14" x14ac:dyDescent="0.25">
      <c r="A5" s="294"/>
      <c r="B5" s="309"/>
      <c r="C5" s="310">
        <v>2016</v>
      </c>
      <c r="D5" s="310">
        <v>2015</v>
      </c>
      <c r="E5" s="311">
        <v>2014</v>
      </c>
      <c r="F5" s="310">
        <v>2016</v>
      </c>
      <c r="G5" s="310">
        <v>2016</v>
      </c>
      <c r="H5" s="310">
        <v>2015</v>
      </c>
      <c r="I5" s="310">
        <v>2015</v>
      </c>
      <c r="J5" s="310">
        <v>2014</v>
      </c>
      <c r="K5" s="310">
        <v>2014</v>
      </c>
      <c r="L5" s="310">
        <v>2016</v>
      </c>
      <c r="M5" s="310">
        <v>2015</v>
      </c>
      <c r="N5" s="311">
        <v>2014</v>
      </c>
    </row>
    <row r="6" spans="1:14" x14ac:dyDescent="0.25">
      <c r="B6" s="312"/>
      <c r="C6" s="313" t="s">
        <v>54</v>
      </c>
      <c r="D6" s="313" t="s">
        <v>54</v>
      </c>
      <c r="E6" s="314" t="s">
        <v>54</v>
      </c>
      <c r="F6" s="313" t="s">
        <v>54</v>
      </c>
      <c r="G6" s="313" t="s">
        <v>54</v>
      </c>
      <c r="H6" s="313" t="s">
        <v>54</v>
      </c>
      <c r="I6" s="313" t="s">
        <v>54</v>
      </c>
      <c r="J6" s="313" t="s">
        <v>54</v>
      </c>
      <c r="K6" s="313" t="s">
        <v>54</v>
      </c>
      <c r="L6" s="313" t="s">
        <v>54</v>
      </c>
      <c r="M6" s="313" t="s">
        <v>54</v>
      </c>
      <c r="N6" s="314" t="s">
        <v>54</v>
      </c>
    </row>
    <row r="7" spans="1:14" x14ac:dyDescent="0.25">
      <c r="B7" s="312"/>
      <c r="C7" s="315" t="s">
        <v>228</v>
      </c>
      <c r="D7" s="315" t="s">
        <v>228</v>
      </c>
      <c r="E7" s="316" t="s">
        <v>228</v>
      </c>
      <c r="F7" s="313"/>
      <c r="G7" s="313"/>
      <c r="H7" s="313"/>
      <c r="I7" s="313"/>
      <c r="J7" s="313"/>
      <c r="K7" s="313"/>
      <c r="L7" s="313"/>
      <c r="M7" s="313"/>
      <c r="N7" s="314"/>
    </row>
    <row r="8" spans="1:14" x14ac:dyDescent="0.25">
      <c r="B8" s="317" t="s">
        <v>55</v>
      </c>
      <c r="C8" s="315" t="s">
        <v>56</v>
      </c>
      <c r="D8" s="315" t="s">
        <v>56</v>
      </c>
      <c r="E8" s="316" t="s">
        <v>56</v>
      </c>
      <c r="F8" s="315" t="s">
        <v>57</v>
      </c>
      <c r="G8" s="315" t="s">
        <v>58</v>
      </c>
      <c r="H8" s="315" t="s">
        <v>57</v>
      </c>
      <c r="I8" s="315" t="s">
        <v>58</v>
      </c>
      <c r="J8" s="315" t="s">
        <v>57</v>
      </c>
      <c r="K8" s="315" t="s">
        <v>58</v>
      </c>
      <c r="L8" s="315" t="s">
        <v>50</v>
      </c>
      <c r="M8" s="315" t="s">
        <v>50</v>
      </c>
      <c r="N8" s="316" t="s">
        <v>50</v>
      </c>
    </row>
    <row r="9" spans="1:14" x14ac:dyDescent="0.25">
      <c r="B9" s="317" t="s">
        <v>59</v>
      </c>
      <c r="C9" s="318"/>
      <c r="D9" s="318"/>
      <c r="E9" s="319"/>
      <c r="F9" s="333"/>
      <c r="G9" s="333"/>
      <c r="H9" s="333"/>
      <c r="I9" s="333"/>
      <c r="J9" s="333"/>
      <c r="K9" s="333"/>
      <c r="L9" s="343"/>
      <c r="M9" s="343"/>
      <c r="N9" s="319"/>
    </row>
    <row r="10" spans="1:14" x14ac:dyDescent="0.25">
      <c r="A10" s="276" t="s">
        <v>60</v>
      </c>
      <c r="B10" s="320" t="s">
        <v>61</v>
      </c>
      <c r="C10" s="295">
        <v>4802961</v>
      </c>
      <c r="D10" s="295">
        <v>4979761</v>
      </c>
      <c r="E10" s="321">
        <v>41365786</v>
      </c>
      <c r="F10" s="325">
        <f ca="1">SUMIF('Asientos-1'!B:P,Matriz!A10:A10,'Asientos-1'!K:K)</f>
        <v>0</v>
      </c>
      <c r="G10" s="325">
        <f ca="1">SUMIF('Asientos-1'!B:P,Matriz!A10:A10,'Asientos-1'!L:L)</f>
        <v>0</v>
      </c>
      <c r="H10" s="325">
        <f ca="1">SUMIF('Asientos-1'!B:P,Matriz!A10:A10,'Asientos-1'!M:M)</f>
        <v>0</v>
      </c>
      <c r="I10" s="325">
        <f ca="1">SUMIF('Asientos-1'!B:P,Matriz!A10:A10,'Asientos-1'!N:N)</f>
        <v>0</v>
      </c>
      <c r="J10" s="325">
        <f ca="1">SUMIF('Asientos-1'!B:P,Matriz!A10:A10,'Asientos-1'!O:O)</f>
        <v>0</v>
      </c>
      <c r="K10" s="325">
        <f ca="1">SUMIF('Asientos-1'!B:P,Matriz!A10:A10,'Asientos-1'!P:P)</f>
        <v>0</v>
      </c>
      <c r="L10" s="295">
        <f t="shared" ref="L10:L17" ca="1" si="0">+C10+F10-G10</f>
        <v>4802961</v>
      </c>
      <c r="M10" s="295">
        <f t="shared" ref="M10:M17" ca="1" si="1">+D10+H10-I10</f>
        <v>4979761</v>
      </c>
      <c r="N10" s="321">
        <f t="shared" ref="N10:N17" ca="1" si="2">+E10+J10-K10</f>
        <v>41365786</v>
      </c>
    </row>
    <row r="11" spans="1:14" x14ac:dyDescent="0.25">
      <c r="A11" s="276" t="s">
        <v>62</v>
      </c>
      <c r="B11" s="322" t="s">
        <v>63</v>
      </c>
      <c r="C11" s="295">
        <v>23532324</v>
      </c>
      <c r="D11" s="295">
        <v>8677903</v>
      </c>
      <c r="E11" s="321">
        <v>19800738</v>
      </c>
      <c r="F11" s="325">
        <f ca="1">SUMIF('Asientos-1'!B:P,Matriz!A11:A11,'Asientos-1'!K:K)</f>
        <v>8650000</v>
      </c>
      <c r="G11" s="325">
        <f ca="1">SUMIF('Asientos-1'!B:P,Matriz!A11:A11,'Asientos-1'!L:L)</f>
        <v>5550000</v>
      </c>
      <c r="H11" s="325">
        <f ca="1">SUMIF('Asientos-1'!B:P,Matriz!A11:A11,'Asientos-1'!M:M)</f>
        <v>6800000</v>
      </c>
      <c r="I11" s="325">
        <f ca="1">SUMIF('Asientos-1'!B:P,Matriz!A11:A11,'Asientos-1'!N:N)</f>
        <v>5000000</v>
      </c>
      <c r="J11" s="325">
        <f ca="1">SUMIF('Asientos-1'!B:P,Matriz!A11:A11,'Asientos-1'!O:O)</f>
        <v>5000000</v>
      </c>
      <c r="K11" s="325">
        <f ca="1">SUMIF('Asientos-1'!B:P,Matriz!A11:A11,'Asientos-1'!P:P)</f>
        <v>4100000</v>
      </c>
      <c r="L11" s="295">
        <f t="shared" ca="1" si="0"/>
        <v>26632324</v>
      </c>
      <c r="M11" s="295">
        <f t="shared" ca="1" si="1"/>
        <v>10477903</v>
      </c>
      <c r="N11" s="321">
        <f t="shared" ca="1" si="2"/>
        <v>20700738</v>
      </c>
    </row>
    <row r="12" spans="1:14" x14ac:dyDescent="0.25">
      <c r="A12" s="276" t="s">
        <v>64</v>
      </c>
      <c r="B12" s="320" t="s">
        <v>65</v>
      </c>
      <c r="C12" s="295">
        <f>73616908-23000000</f>
        <v>50616908</v>
      </c>
      <c r="D12" s="295">
        <v>157947</v>
      </c>
      <c r="E12" s="321">
        <v>0</v>
      </c>
      <c r="F12" s="325">
        <f ca="1">SUMIF('Asientos-1'!B:P,Matriz!A12:A12,'Asientos-1'!K:K)</f>
        <v>0</v>
      </c>
      <c r="G12" s="325">
        <f ca="1">SUMIF('Asientos-1'!B:P,Matriz!A12:A12,'Asientos-1'!L:L)</f>
        <v>0</v>
      </c>
      <c r="H12" s="325">
        <f ca="1">SUMIF('Asientos-1'!B:P,Matriz!A12:A12,'Asientos-1'!M:M)</f>
        <v>0</v>
      </c>
      <c r="I12" s="325">
        <f ca="1">SUMIF('Asientos-1'!B:P,Matriz!A12:A12,'Asientos-1'!N:N)</f>
        <v>0</v>
      </c>
      <c r="J12" s="325">
        <f ca="1">SUMIF('Asientos-1'!B:P,Matriz!A12:A12,'Asientos-1'!O:O)</f>
        <v>0</v>
      </c>
      <c r="K12" s="325">
        <f ca="1">SUMIF('Asientos-1'!B:P,Matriz!A12:A12,'Asientos-1'!P:P)</f>
        <v>0</v>
      </c>
      <c r="L12" s="295">
        <f t="shared" ca="1" si="0"/>
        <v>50616908</v>
      </c>
      <c r="M12" s="295">
        <f t="shared" ca="1" si="1"/>
        <v>157947</v>
      </c>
      <c r="N12" s="321">
        <f t="shared" ca="1" si="2"/>
        <v>0</v>
      </c>
    </row>
    <row r="13" spans="1:14" x14ac:dyDescent="0.25">
      <c r="A13" s="276" t="s">
        <v>66</v>
      </c>
      <c r="B13" s="322" t="s">
        <v>67</v>
      </c>
      <c r="C13" s="295">
        <v>7549999</v>
      </c>
      <c r="D13" s="295">
        <v>8591901</v>
      </c>
      <c r="E13" s="321">
        <v>8611271</v>
      </c>
      <c r="F13" s="325">
        <f ca="1">SUMIF('Asientos-1'!B:P,Matriz!A13:A13,'Asientos-1'!K:K)</f>
        <v>100000</v>
      </c>
      <c r="G13" s="325">
        <f ca="1">SUMIF('Asientos-1'!B:P,Matriz!A13:A13,'Asientos-1'!L:L)</f>
        <v>95499.999999999913</v>
      </c>
      <c r="H13" s="325">
        <f ca="1">SUMIF('Asientos-1'!B:P,Matriz!A13:A13,'Asientos-1'!M:M)</f>
        <v>100000</v>
      </c>
      <c r="I13" s="325">
        <f ca="1">SUMIF('Asientos-1'!B:P,Matriz!A13:A13,'Asientos-1'!N:N)</f>
        <v>158200.00000000029</v>
      </c>
      <c r="J13" s="325">
        <f ca="1">SUMIF('Asientos-1'!B:P,Matriz!A13:A13,'Asientos-1'!O:O)</f>
        <v>132400.00000000017</v>
      </c>
      <c r="K13" s="325">
        <f ca="1">SUMIF('Asientos-1'!B:P,Matriz!A13:A13,'Asientos-1'!P:P)</f>
        <v>0</v>
      </c>
      <c r="L13" s="295">
        <f t="shared" ca="1" si="0"/>
        <v>7554499</v>
      </c>
      <c r="M13" s="295">
        <f t="shared" ca="1" si="1"/>
        <v>8533701</v>
      </c>
      <c r="N13" s="321">
        <f t="shared" ca="1" si="2"/>
        <v>8743671</v>
      </c>
    </row>
    <row r="14" spans="1:14" x14ac:dyDescent="0.25">
      <c r="A14" s="276" t="s">
        <v>68</v>
      </c>
      <c r="B14" s="320" t="s">
        <v>69</v>
      </c>
      <c r="C14" s="295">
        <v>508739</v>
      </c>
      <c r="D14" s="295">
        <v>1038707</v>
      </c>
      <c r="E14" s="321">
        <v>416646</v>
      </c>
      <c r="F14" s="325">
        <f ca="1">SUMIF('Asientos-1'!B:P,Matriz!A14:A14,'Asientos-1'!K:K)</f>
        <v>0</v>
      </c>
      <c r="G14" s="325">
        <f ca="1">SUMIF('Asientos-1'!B:P,Matriz!A14:A14,'Asientos-1'!L:L)</f>
        <v>0</v>
      </c>
      <c r="H14" s="325">
        <f ca="1">SUMIF('Asientos-1'!B:P,Matriz!A14:A14,'Asientos-1'!M:M)</f>
        <v>0</v>
      </c>
      <c r="I14" s="325">
        <f ca="1">SUMIF('Asientos-1'!B:P,Matriz!A14:A14,'Asientos-1'!N:N)</f>
        <v>0</v>
      </c>
      <c r="J14" s="325">
        <f ca="1">SUMIF('Asientos-1'!B:P,Matriz!A14:A14,'Asientos-1'!O:O)</f>
        <v>0</v>
      </c>
      <c r="K14" s="325">
        <f ca="1">SUMIF('Asientos-1'!B:P,Matriz!A14:A14,'Asientos-1'!P:P)</f>
        <v>0</v>
      </c>
      <c r="L14" s="295">
        <f t="shared" ca="1" si="0"/>
        <v>508739</v>
      </c>
      <c r="M14" s="295">
        <f t="shared" ca="1" si="1"/>
        <v>1038707</v>
      </c>
      <c r="N14" s="321">
        <f t="shared" ca="1" si="2"/>
        <v>416646</v>
      </c>
    </row>
    <row r="15" spans="1:14" x14ac:dyDescent="0.25">
      <c r="A15" s="276" t="s">
        <v>70</v>
      </c>
      <c r="B15" s="320" t="s">
        <v>71</v>
      </c>
      <c r="C15" s="295">
        <v>5733393</v>
      </c>
      <c r="D15" s="295">
        <v>5748442</v>
      </c>
      <c r="E15" s="321">
        <v>5821147</v>
      </c>
      <c r="F15" s="325">
        <f ca="1">SUMIF('Asientos-1'!B:P,Matriz!A15:A15,'Asientos-1'!K:K)</f>
        <v>0</v>
      </c>
      <c r="G15" s="325">
        <f ca="1">SUMIF('Asientos-1'!B:P,Matriz!A15:A15,'Asientos-1'!L:L)</f>
        <v>1175800.0000000002</v>
      </c>
      <c r="H15" s="325">
        <f ca="1">SUMIF('Asientos-1'!B:P,Matriz!A15:A15,'Asientos-1'!M:M)</f>
        <v>32400.000000000164</v>
      </c>
      <c r="I15" s="325">
        <f ca="1">SUMIF('Asientos-1'!B:P,Matriz!A15:A15,'Asientos-1'!N:N)</f>
        <v>1340000</v>
      </c>
      <c r="J15" s="325">
        <f ca="1">SUMIF('Asientos-1'!B:P,Matriz!A15:A15,'Asientos-1'!O:O)</f>
        <v>0</v>
      </c>
      <c r="K15" s="325">
        <f ca="1">SUMIF('Asientos-1'!B:P,Matriz!A15:A15,'Asientos-1'!P:P)</f>
        <v>1000000</v>
      </c>
      <c r="L15" s="295">
        <f t="shared" ca="1" si="0"/>
        <v>4557593</v>
      </c>
      <c r="M15" s="295">
        <f t="shared" ca="1" si="1"/>
        <v>4440842</v>
      </c>
      <c r="N15" s="321">
        <f t="shared" ca="1" si="2"/>
        <v>4821147</v>
      </c>
    </row>
    <row r="16" spans="1:14" x14ac:dyDescent="0.25">
      <c r="A16" s="276" t="s">
        <v>72</v>
      </c>
      <c r="B16" s="322" t="s">
        <v>73</v>
      </c>
      <c r="C16" s="295">
        <v>195624</v>
      </c>
      <c r="D16" s="295">
        <v>127011</v>
      </c>
      <c r="E16" s="321">
        <v>281380</v>
      </c>
      <c r="F16" s="325">
        <f ca="1">SUMIF('Asientos-1'!B:P,Matriz!A16:A16,'Asientos-1'!K:K)</f>
        <v>0</v>
      </c>
      <c r="G16" s="325">
        <f ca="1">SUMIF('Asientos-1'!B:P,Matriz!A16:A16,'Asientos-1'!L:L)</f>
        <v>0</v>
      </c>
      <c r="H16" s="325">
        <f ca="1">SUMIF('Asientos-1'!B:P,Matriz!A16:A16,'Asientos-1'!M:M)</f>
        <v>0</v>
      </c>
      <c r="I16" s="325">
        <f ca="1">SUMIF('Asientos-1'!B:P,Matriz!A16:A16,'Asientos-1'!N:N)</f>
        <v>0</v>
      </c>
      <c r="J16" s="325">
        <f ca="1">SUMIF('Asientos-1'!B:P,Matriz!A16:A16,'Asientos-1'!O:O)</f>
        <v>0</v>
      </c>
      <c r="K16" s="325">
        <f ca="1">SUMIF('Asientos-1'!B:P,Matriz!A16:A16,'Asientos-1'!P:P)</f>
        <v>0</v>
      </c>
      <c r="L16" s="295">
        <f t="shared" ca="1" si="0"/>
        <v>195624</v>
      </c>
      <c r="M16" s="295">
        <f t="shared" ca="1" si="1"/>
        <v>127011</v>
      </c>
      <c r="N16" s="321">
        <f t="shared" ca="1" si="2"/>
        <v>281380</v>
      </c>
    </row>
    <row r="17" spans="1:14" x14ac:dyDescent="0.25">
      <c r="A17" s="276" t="s">
        <v>74</v>
      </c>
      <c r="B17" s="322" t="s">
        <v>75</v>
      </c>
      <c r="C17" s="296">
        <v>0</v>
      </c>
      <c r="D17" s="296">
        <v>0</v>
      </c>
      <c r="E17" s="323">
        <v>0</v>
      </c>
      <c r="F17" s="325">
        <f ca="1">SUMIF('Asientos-1'!B:P,Matriz!A17:A17,'Asientos-1'!K:K)</f>
        <v>0</v>
      </c>
      <c r="G17" s="325">
        <f ca="1">SUMIF('Asientos-1'!B:P,Matriz!A17:A17,'Asientos-1'!L:L)</f>
        <v>0</v>
      </c>
      <c r="H17" s="325">
        <f ca="1">SUMIF('Asientos-1'!B:P,Matriz!A17:A17,'Asientos-1'!M:M)</f>
        <v>0</v>
      </c>
      <c r="I17" s="325">
        <f ca="1">SUMIF('Asientos-1'!B:P,Matriz!A17:A17,'Asientos-1'!N:N)</f>
        <v>0</v>
      </c>
      <c r="J17" s="325">
        <f ca="1">SUMIF('Asientos-1'!B:P,Matriz!A17:A17,'Asientos-1'!O:O)</f>
        <v>0</v>
      </c>
      <c r="K17" s="325">
        <f ca="1">SUMIF('Asientos-1'!B:P,Matriz!A17:A17,'Asientos-1'!P:P)</f>
        <v>0</v>
      </c>
      <c r="L17" s="297">
        <f t="shared" ca="1" si="0"/>
        <v>0</v>
      </c>
      <c r="M17" s="297">
        <f t="shared" ca="1" si="1"/>
        <v>0</v>
      </c>
      <c r="N17" s="327">
        <f t="shared" ca="1" si="2"/>
        <v>0</v>
      </c>
    </row>
    <row r="18" spans="1:14" x14ac:dyDescent="0.25">
      <c r="B18" s="317" t="s">
        <v>76</v>
      </c>
      <c r="C18" s="240">
        <f>SUM(C10:C17)</f>
        <v>92939948</v>
      </c>
      <c r="D18" s="240">
        <f>SUM(D10:D17)</f>
        <v>29321672</v>
      </c>
      <c r="E18" s="329">
        <f>SUM(E10:E17)</f>
        <v>76296968</v>
      </c>
      <c r="F18" s="325"/>
      <c r="G18" s="325"/>
      <c r="H18" s="325"/>
      <c r="I18" s="325"/>
      <c r="J18" s="325"/>
      <c r="K18" s="325"/>
      <c r="L18" s="278">
        <f ca="1">SUM(L10:L17)</f>
        <v>94868648</v>
      </c>
      <c r="M18" s="278">
        <f ca="1">SUM(M10:M17)</f>
        <v>29755872</v>
      </c>
      <c r="N18" s="324">
        <f ca="1">SUM(N10:N17)</f>
        <v>76329368</v>
      </c>
    </row>
    <row r="19" spans="1:14" x14ac:dyDescent="0.25">
      <c r="B19" s="317" t="s">
        <v>77</v>
      </c>
      <c r="C19" s="325"/>
      <c r="D19" s="325"/>
      <c r="E19" s="326"/>
      <c r="F19" s="325"/>
      <c r="G19" s="325"/>
      <c r="H19" s="325"/>
      <c r="I19" s="325"/>
      <c r="J19" s="325"/>
      <c r="K19" s="325"/>
      <c r="L19" s="325"/>
      <c r="M19" s="325"/>
      <c r="N19" s="326"/>
    </row>
    <row r="20" spans="1:14" x14ac:dyDescent="0.25">
      <c r="A20" s="276" t="s">
        <v>78</v>
      </c>
      <c r="B20" s="320" t="s">
        <v>65</v>
      </c>
      <c r="C20" s="295">
        <v>0</v>
      </c>
      <c r="D20" s="295">
        <v>51828700</v>
      </c>
      <c r="E20" s="321">
        <v>0</v>
      </c>
      <c r="F20" s="325">
        <f ca="1">SUMIF('Asientos-1'!B:P,Matriz!A20:A20,'Asientos-1'!K:K)</f>
        <v>0</v>
      </c>
      <c r="G20" s="325">
        <f ca="1">SUMIF('Asientos-1'!B:P,Matriz!A20:A20,'Asientos-1'!L:L)</f>
        <v>0</v>
      </c>
      <c r="H20" s="325">
        <f ca="1">SUMIF('Asientos-1'!B:P,Matriz!A20:A20,'Asientos-1'!M:M)</f>
        <v>0</v>
      </c>
      <c r="I20" s="325">
        <f ca="1">SUMIF('Asientos-1'!B:P,Matriz!A20:A20,'Asientos-1'!N:N)</f>
        <v>0</v>
      </c>
      <c r="J20" s="325">
        <f ca="1">SUMIF('Asientos-1'!B:P,Matriz!A20:A20,'Asientos-1'!O:O)</f>
        <v>0</v>
      </c>
      <c r="K20" s="325">
        <f ca="1">SUMIF('Asientos-1'!B:P,Matriz!A20:A20,'Asientos-1'!P:P)</f>
        <v>0</v>
      </c>
      <c r="L20" s="295">
        <f t="shared" ref="L20:L28" ca="1" si="3">+C20+F20-G20</f>
        <v>0</v>
      </c>
      <c r="M20" s="295">
        <f t="shared" ref="M20:M28" ca="1" si="4">+D20+H20-I20</f>
        <v>51828700</v>
      </c>
      <c r="N20" s="321">
        <f t="shared" ref="N20:N28" ca="1" si="5">+E20+J20-K20</f>
        <v>0</v>
      </c>
    </row>
    <row r="21" spans="1:14" x14ac:dyDescent="0.25">
      <c r="A21" s="276" t="s">
        <v>79</v>
      </c>
      <c r="B21" s="320" t="s">
        <v>144</v>
      </c>
      <c r="C21" s="295">
        <v>23223326</v>
      </c>
      <c r="D21" s="295">
        <v>22473937</v>
      </c>
      <c r="E21" s="321">
        <v>28170908</v>
      </c>
      <c r="F21" s="325">
        <f ca="1">SUMIF('Asientos-1'!B:P,Matriz!A21:A21,'Asientos-1'!K:K)</f>
        <v>8990000</v>
      </c>
      <c r="G21" s="325">
        <f ca="1">SUMIF('Asientos-1'!B:P,Matriz!A21:A21,'Asientos-1'!L:L)</f>
        <v>4390000</v>
      </c>
      <c r="H21" s="325">
        <f ca="1">SUMIF('Asientos-1'!B:P,Matriz!A21:A21,'Asientos-1'!M:M)</f>
        <v>6835000</v>
      </c>
      <c r="I21" s="325">
        <f ca="1">SUMIF('Asientos-1'!B:P,Matriz!A21:A21,'Asientos-1'!N:N)</f>
        <v>4000000</v>
      </c>
      <c r="J21" s="325">
        <f ca="1">SUMIF('Asientos-1'!B:P,Matriz!A21:A21,'Asientos-1'!O:O)</f>
        <v>4935000</v>
      </c>
      <c r="K21" s="325">
        <f ca="1">SUMIF('Asientos-1'!B:P,Matriz!A21:A21,'Asientos-1'!P:P)</f>
        <v>3610000</v>
      </c>
      <c r="L21" s="295">
        <f t="shared" ca="1" si="3"/>
        <v>27823326</v>
      </c>
      <c r="M21" s="295">
        <f t="shared" ca="1" si="4"/>
        <v>25308937</v>
      </c>
      <c r="N21" s="321">
        <f t="shared" ca="1" si="5"/>
        <v>29495908</v>
      </c>
    </row>
    <row r="22" spans="1:14" x14ac:dyDescent="0.25">
      <c r="A22" s="276" t="s">
        <v>209</v>
      </c>
      <c r="B22" s="320" t="s">
        <v>210</v>
      </c>
      <c r="C22" s="295">
        <v>0</v>
      </c>
      <c r="D22" s="295">
        <v>0</v>
      </c>
      <c r="E22" s="321">
        <v>0</v>
      </c>
      <c r="F22" s="325">
        <f ca="1">SUMIF('Asientos-1'!B:P,Matriz!A22:A22,'Asientos-1'!K:K)</f>
        <v>4100000</v>
      </c>
      <c r="G22" s="325">
        <f ca="1">SUMIF('Asientos-1'!B:P,Matriz!A22:A22,'Asientos-1'!L:L)</f>
        <v>0</v>
      </c>
      <c r="H22" s="325">
        <f ca="1">SUMIF('Asientos-1'!B:P,Matriz!A22:A22,'Asientos-1'!M:M)</f>
        <v>3500000</v>
      </c>
      <c r="I22" s="325">
        <f ca="1">SUMIF('Asientos-1'!B:P,Matriz!A22:A22,'Asientos-1'!N:N)</f>
        <v>0</v>
      </c>
      <c r="J22" s="325">
        <f ca="1">SUMIF('Asientos-1'!B:P,Matriz!A22:A22,'Asientos-1'!O:O)</f>
        <v>2800000</v>
      </c>
      <c r="K22" s="325">
        <f ca="1">SUMIF('Asientos-1'!B:P,Matriz!A22:A22,'Asientos-1'!P:P)</f>
        <v>0</v>
      </c>
      <c r="L22" s="295">
        <f t="shared" ca="1" si="3"/>
        <v>4100000</v>
      </c>
      <c r="M22" s="295">
        <f t="shared" ca="1" si="4"/>
        <v>3500000</v>
      </c>
      <c r="N22" s="321">
        <f t="shared" ca="1" si="5"/>
        <v>2800000</v>
      </c>
    </row>
    <row r="23" spans="1:14" x14ac:dyDescent="0.25">
      <c r="A23" s="276" t="s">
        <v>207</v>
      </c>
      <c r="B23" s="320" t="s">
        <v>208</v>
      </c>
      <c r="C23" s="295">
        <v>0</v>
      </c>
      <c r="D23" s="295">
        <v>0</v>
      </c>
      <c r="E23" s="321">
        <v>0</v>
      </c>
      <c r="F23" s="325">
        <f ca="1">SUMIF('Asientos-1'!B:P,Matriz!A23:A23,'Asientos-1'!K:K)</f>
        <v>3000000</v>
      </c>
      <c r="G23" s="325">
        <f ca="1">SUMIF('Asientos-1'!B:P,Matriz!A23:A23,'Asientos-1'!L:L)</f>
        <v>0</v>
      </c>
      <c r="H23" s="325">
        <f ca="1">SUMIF('Asientos-1'!B:P,Matriz!A23:A23,'Asientos-1'!M:M)</f>
        <v>3000000</v>
      </c>
      <c r="I23" s="325">
        <f ca="1">SUMIF('Asientos-1'!B:P,Matriz!A23:A23,'Asientos-1'!N:N)</f>
        <v>0</v>
      </c>
      <c r="J23" s="325">
        <f ca="1">SUMIF('Asientos-1'!B:P,Matriz!A23:A23,'Asientos-1'!O:O)</f>
        <v>3000000</v>
      </c>
      <c r="K23" s="325">
        <f ca="1">SUMIF('Asientos-1'!B:P,Matriz!A23:A23,'Asientos-1'!P:P)</f>
        <v>0</v>
      </c>
      <c r="L23" s="295">
        <f t="shared" ca="1" si="3"/>
        <v>3000000</v>
      </c>
      <c r="M23" s="295">
        <f t="shared" ca="1" si="4"/>
        <v>3000000</v>
      </c>
      <c r="N23" s="321">
        <f t="shared" ca="1" si="5"/>
        <v>3000000</v>
      </c>
    </row>
    <row r="24" spans="1:14" x14ac:dyDescent="0.25">
      <c r="A24" s="276" t="s">
        <v>185</v>
      </c>
      <c r="B24" s="320" t="s">
        <v>186</v>
      </c>
      <c r="C24" s="295">
        <v>0</v>
      </c>
      <c r="D24" s="295">
        <v>0</v>
      </c>
      <c r="E24" s="321">
        <v>0</v>
      </c>
      <c r="F24" s="325">
        <f ca="1">SUMIF('Asientos-1'!B:P,Matriz!A24:A24,'Asientos-1'!K:K)</f>
        <v>10321008</v>
      </c>
      <c r="G24" s="325">
        <f ca="1">SUMIF('Asientos-1'!B:P,Matriz!A24:A24,'Asientos-1'!L:L)</f>
        <v>3612352.8</v>
      </c>
      <c r="H24" s="325">
        <f ca="1">SUMIF('Asientos-1'!B:P,Matriz!A24:A24,'Asientos-1'!M:M)</f>
        <v>10321008</v>
      </c>
      <c r="I24" s="325">
        <f ca="1">SUMIF('Asientos-1'!B:P,Matriz!A24:A24,'Asientos-1'!N:N)</f>
        <v>2064201.6</v>
      </c>
      <c r="J24" s="325">
        <f ca="1">SUMIF('Asientos-1'!B:P,Matriz!A24:A24,'Asientos-1'!O:O)</f>
        <v>0</v>
      </c>
      <c r="K24" s="325">
        <f ca="1">SUMIF('Asientos-1'!B:P,Matriz!A24:A24,'Asientos-1'!P:P)</f>
        <v>0</v>
      </c>
      <c r="L24" s="295">
        <f t="shared" ca="1" si="3"/>
        <v>6708655.2000000002</v>
      </c>
      <c r="M24" s="295">
        <f t="shared" ca="1" si="4"/>
        <v>8256806.4000000004</v>
      </c>
      <c r="N24" s="321">
        <f t="shared" ca="1" si="5"/>
        <v>0</v>
      </c>
    </row>
    <row r="25" spans="1:14" x14ac:dyDescent="0.25">
      <c r="A25" s="276" t="s">
        <v>187</v>
      </c>
      <c r="B25" s="320" t="s">
        <v>184</v>
      </c>
      <c r="C25" s="295">
        <v>3200000</v>
      </c>
      <c r="D25" s="295">
        <v>3200000</v>
      </c>
      <c r="E25" s="321">
        <v>3200000</v>
      </c>
      <c r="F25" s="325">
        <f ca="1">SUMIF('Asientos-1'!B:P,Matriz!A25:A25,'Asientos-1'!K:K)</f>
        <v>0</v>
      </c>
      <c r="G25" s="325">
        <f ca="1">SUMIF('Asientos-1'!B:P,Matriz!A25:A25,'Asientos-1'!L:L)</f>
        <v>3200000</v>
      </c>
      <c r="H25" s="325">
        <f ca="1">SUMIF('Asientos-1'!B:P,Matriz!A25:A25,'Asientos-1'!M:M)</f>
        <v>0</v>
      </c>
      <c r="I25" s="325">
        <f ca="1">SUMIF('Asientos-1'!B:P,Matriz!A25:A25,'Asientos-1'!N:N)</f>
        <v>3200000</v>
      </c>
      <c r="J25" s="325">
        <f ca="1">SUMIF('Asientos-1'!B:P,Matriz!A25:A25,'Asientos-1'!O:O)</f>
        <v>0</v>
      </c>
      <c r="K25" s="325">
        <f ca="1">SUMIF('Asientos-1'!B:P,Matriz!A25:A25,'Asientos-1'!P:P)</f>
        <v>3200000</v>
      </c>
      <c r="L25" s="295">
        <f t="shared" ca="1" si="3"/>
        <v>0</v>
      </c>
      <c r="M25" s="295">
        <f t="shared" ca="1" si="4"/>
        <v>0</v>
      </c>
      <c r="N25" s="321">
        <f t="shared" ca="1" si="5"/>
        <v>0</v>
      </c>
    </row>
    <row r="26" spans="1:14" x14ac:dyDescent="0.25">
      <c r="A26" s="276" t="s">
        <v>192</v>
      </c>
      <c r="B26" s="320" t="s">
        <v>193</v>
      </c>
      <c r="C26" s="295">
        <v>2000000</v>
      </c>
      <c r="D26" s="295">
        <v>2250000</v>
      </c>
      <c r="E26" s="321">
        <v>2500000</v>
      </c>
      <c r="F26" s="325">
        <f ca="1">SUMIF('Asientos-1'!B:P,Matriz!A26:A26,'Asientos-1'!K:K)</f>
        <v>0</v>
      </c>
      <c r="G26" s="325">
        <f ca="1">SUMIF('Asientos-1'!B:P,Matriz!A26:A26,'Asientos-1'!L:L)</f>
        <v>2000000</v>
      </c>
      <c r="H26" s="325">
        <f ca="1">SUMIF('Asientos-1'!B:P,Matriz!A26:A26,'Asientos-1'!M:M)</f>
        <v>0</v>
      </c>
      <c r="I26" s="325">
        <f ca="1">SUMIF('Asientos-1'!B:P,Matriz!A26:A26,'Asientos-1'!N:N)</f>
        <v>2250000</v>
      </c>
      <c r="J26" s="325">
        <f ca="1">SUMIF('Asientos-1'!B:P,Matriz!A26:A26,'Asientos-1'!O:O)</f>
        <v>0</v>
      </c>
      <c r="K26" s="325">
        <f ca="1">SUMIF('Asientos-1'!B:P,Matriz!A26:A26,'Asientos-1'!P:P)</f>
        <v>2500000</v>
      </c>
      <c r="L26" s="295">
        <f t="shared" ca="1" si="3"/>
        <v>0</v>
      </c>
      <c r="M26" s="295">
        <f t="shared" ca="1" si="4"/>
        <v>0</v>
      </c>
      <c r="N26" s="321">
        <f t="shared" ca="1" si="5"/>
        <v>0</v>
      </c>
    </row>
    <row r="27" spans="1:14" x14ac:dyDescent="0.25">
      <c r="A27" s="276" t="s">
        <v>309</v>
      </c>
      <c r="B27" s="320" t="s">
        <v>310</v>
      </c>
      <c r="C27" s="295">
        <v>0</v>
      </c>
      <c r="D27" s="295">
        <v>0</v>
      </c>
      <c r="E27" s="321">
        <v>0</v>
      </c>
      <c r="F27" s="325">
        <f ca="1">SUMIF('Asientos-1'!B:P,Matriz!A27:A27,'Asientos-1'!K:K)</f>
        <v>1472141.9695177081</v>
      </c>
      <c r="G27" s="325">
        <f ca="1">SUMIF('Asientos-1'!B:P,Matriz!A27:A27,'Asientos-1'!L:L)</f>
        <v>1050000</v>
      </c>
      <c r="H27" s="325">
        <f ca="1">SUMIF('Asientos-1'!B:P,Matriz!A27:A27,'Asientos-1'!M:M)</f>
        <v>2988618.4759162297</v>
      </c>
      <c r="I27" s="325">
        <f ca="1">SUMIF('Asientos-1'!B:P,Matriz!A27:A27,'Asientos-1'!N:N)</f>
        <v>1050000</v>
      </c>
      <c r="J27" s="325">
        <f ca="1">SUMIF('Asientos-1'!B:P,Matriz!A27:A27,'Asientos-1'!O:O)</f>
        <v>4145859.8239402301</v>
      </c>
      <c r="K27" s="325">
        <f ca="1">SUMIF('Asientos-1'!B:P,Matriz!A27:A27,'Asientos-1'!P:P)</f>
        <v>1050000</v>
      </c>
      <c r="L27" s="295">
        <f t="shared" ca="1" si="3"/>
        <v>422141.96951770806</v>
      </c>
      <c r="M27" s="295">
        <f t="shared" ca="1" si="4"/>
        <v>1938618.4759162297</v>
      </c>
      <c r="N27" s="321">
        <f t="shared" ca="1" si="5"/>
        <v>3095859.8239402301</v>
      </c>
    </row>
    <row r="28" spans="1:14" x14ac:dyDescent="0.25">
      <c r="A28" s="276" t="s">
        <v>80</v>
      </c>
      <c r="B28" s="320" t="s">
        <v>183</v>
      </c>
      <c r="C28" s="297">
        <v>10321008</v>
      </c>
      <c r="D28" s="297">
        <v>10321008</v>
      </c>
      <c r="E28" s="327">
        <v>0</v>
      </c>
      <c r="F28" s="325">
        <f ca="1">SUMIF('Asientos-1'!B:P,Matriz!A28:A28,'Asientos-1'!K:K)</f>
        <v>0</v>
      </c>
      <c r="G28" s="325">
        <f ca="1">SUMIF('Asientos-1'!B:P,Matriz!A28:A28,'Asientos-1'!L:L)</f>
        <v>10321008</v>
      </c>
      <c r="H28" s="325">
        <f ca="1">SUMIF('Asientos-1'!B:P,Matriz!A28:A28,'Asientos-1'!M:M)</f>
        <v>0</v>
      </c>
      <c r="I28" s="325">
        <f ca="1">SUMIF('Asientos-1'!B:P,Matriz!A28:A28,'Asientos-1'!N:N)</f>
        <v>10321008</v>
      </c>
      <c r="J28" s="325">
        <f ca="1">SUMIF('Asientos-1'!B:P,Matriz!A28:A28,'Asientos-1'!O:O)</f>
        <v>0</v>
      </c>
      <c r="K28" s="325">
        <f ca="1">SUMIF('Asientos-1'!B:P,Matriz!A28:A28,'Asientos-1'!P:P)</f>
        <v>0</v>
      </c>
      <c r="L28" s="297">
        <f t="shared" ca="1" si="3"/>
        <v>0</v>
      </c>
      <c r="M28" s="297">
        <f t="shared" ca="1" si="4"/>
        <v>0</v>
      </c>
      <c r="N28" s="327">
        <f t="shared" ca="1" si="5"/>
        <v>0</v>
      </c>
    </row>
    <row r="29" spans="1:14" ht="16.5" thickBot="1" x14ac:dyDescent="0.3">
      <c r="B29" s="317" t="s">
        <v>81</v>
      </c>
      <c r="C29" s="240">
        <f>SUM(C18:C28)</f>
        <v>131684282</v>
      </c>
      <c r="D29" s="240">
        <f t="shared" ref="D29:E29" si="6">SUM(D18:D28)</f>
        <v>119395317</v>
      </c>
      <c r="E29" s="329">
        <f t="shared" si="6"/>
        <v>110167876</v>
      </c>
      <c r="F29" s="325"/>
      <c r="G29" s="325"/>
      <c r="H29" s="325"/>
      <c r="I29" s="325"/>
      <c r="J29" s="325"/>
      <c r="K29" s="325"/>
      <c r="L29" s="298">
        <f ca="1">SUM(L18:L28)</f>
        <v>136922771.1695177</v>
      </c>
      <c r="M29" s="298">
        <f t="shared" ref="M29:N29" ca="1" si="7">SUM(M18:M28)</f>
        <v>123588933.87591624</v>
      </c>
      <c r="N29" s="328">
        <f t="shared" ca="1" si="7"/>
        <v>114721135.82394023</v>
      </c>
    </row>
    <row r="30" spans="1:14" x14ac:dyDescent="0.25">
      <c r="B30" s="312"/>
      <c r="C30" s="325"/>
      <c r="D30" s="325"/>
      <c r="E30" s="326"/>
      <c r="F30" s="325"/>
      <c r="G30" s="325"/>
      <c r="H30" s="325"/>
      <c r="I30" s="325"/>
      <c r="J30" s="325"/>
      <c r="K30" s="325"/>
      <c r="L30" s="325"/>
      <c r="M30" s="325"/>
      <c r="N30" s="326"/>
    </row>
    <row r="31" spans="1:14" x14ac:dyDescent="0.25">
      <c r="B31" s="317" t="s">
        <v>82</v>
      </c>
      <c r="C31" s="325"/>
      <c r="D31" s="325"/>
      <c r="E31" s="326"/>
      <c r="F31" s="325"/>
      <c r="G31" s="325"/>
      <c r="H31" s="325"/>
      <c r="I31" s="325"/>
      <c r="J31" s="325"/>
      <c r="K31" s="325"/>
      <c r="L31" s="325"/>
      <c r="M31" s="325"/>
      <c r="N31" s="326"/>
    </row>
    <row r="32" spans="1:14" x14ac:dyDescent="0.25">
      <c r="B32" s="317" t="s">
        <v>83</v>
      </c>
      <c r="C32" s="325"/>
      <c r="D32" s="325"/>
      <c r="E32" s="326"/>
      <c r="F32" s="325"/>
      <c r="G32" s="325"/>
      <c r="H32" s="325"/>
      <c r="I32" s="325"/>
      <c r="J32" s="325"/>
      <c r="K32" s="325"/>
      <c r="L32" s="325"/>
      <c r="M32" s="325"/>
      <c r="N32" s="326"/>
    </row>
    <row r="33" spans="1:15" x14ac:dyDescent="0.25">
      <c r="A33" s="276" t="s">
        <v>84</v>
      </c>
      <c r="B33" s="320" t="s">
        <v>85</v>
      </c>
      <c r="C33" s="295">
        <v>1721241</v>
      </c>
      <c r="D33" s="295">
        <v>769626</v>
      </c>
      <c r="E33" s="321">
        <v>2038679</v>
      </c>
      <c r="F33" s="325">
        <f ca="1">SUMIF('Asientos-1'!B:P,Matriz!A33:A33,'Asientos-1'!K:K)</f>
        <v>0</v>
      </c>
      <c r="G33" s="325">
        <f ca="1">SUMIF('Asientos-1'!B:P,Matriz!A33:A33,'Asientos-1'!L:L)</f>
        <v>0</v>
      </c>
      <c r="H33" s="325">
        <f ca="1">SUMIF('Asientos-1'!B:P,Matriz!A33:A33,'Asientos-1'!M:M)</f>
        <v>0</v>
      </c>
      <c r="I33" s="325">
        <f ca="1">SUMIF('Asientos-1'!B:P,Matriz!A33:A33,'Asientos-1'!N:N)</f>
        <v>0</v>
      </c>
      <c r="J33" s="325">
        <f ca="1">SUMIF('Asientos-1'!B:P,Matriz!A33:A33,'Asientos-1'!O:O)</f>
        <v>0</v>
      </c>
      <c r="K33" s="325">
        <f ca="1">SUMIF('Asientos-1'!B:P,Matriz!A33:A33,'Asientos-1'!P:P)</f>
        <v>0</v>
      </c>
      <c r="L33" s="295">
        <f t="shared" ref="L33:L38" ca="1" si="8">+C33+-F33+G33</f>
        <v>1721241</v>
      </c>
      <c r="M33" s="295">
        <f t="shared" ref="M33:M38" ca="1" si="9">+D33+-H33+I33</f>
        <v>769626</v>
      </c>
      <c r="N33" s="321">
        <f t="shared" ref="N33:N38" ca="1" si="10">+E33+-J33+K33</f>
        <v>2038679</v>
      </c>
    </row>
    <row r="34" spans="1:15" x14ac:dyDescent="0.25">
      <c r="A34" s="276" t="s">
        <v>86</v>
      </c>
      <c r="B34" s="320" t="s">
        <v>87</v>
      </c>
      <c r="C34" s="295">
        <v>0</v>
      </c>
      <c r="D34" s="295">
        <v>251166</v>
      </c>
      <c r="E34" s="321">
        <v>1919321</v>
      </c>
      <c r="F34" s="325">
        <f ca="1">SUMIF('Asientos-1'!B:P,Matriz!A34:A34,'Asientos-1'!K:K)</f>
        <v>0</v>
      </c>
      <c r="G34" s="325">
        <f ca="1">SUMIF('Asientos-1'!B:P,Matriz!A34:A34,'Asientos-1'!L:L)</f>
        <v>0</v>
      </c>
      <c r="H34" s="325">
        <f ca="1">SUMIF('Asientos-1'!B:P,Matriz!A34:A34,'Asientos-1'!M:M)</f>
        <v>0</v>
      </c>
      <c r="I34" s="325">
        <f ca="1">SUMIF('Asientos-1'!B:P,Matriz!A34:A34,'Asientos-1'!N:N)</f>
        <v>0</v>
      </c>
      <c r="J34" s="325">
        <f ca="1">SUMIF('Asientos-1'!B:P,Matriz!A34:A34,'Asientos-1'!O:O)</f>
        <v>0</v>
      </c>
      <c r="K34" s="325">
        <f ca="1">SUMIF('Asientos-1'!B:P,Matriz!A34:A34,'Asientos-1'!P:P)</f>
        <v>0</v>
      </c>
      <c r="L34" s="295">
        <f t="shared" ca="1" si="8"/>
        <v>0</v>
      </c>
      <c r="M34" s="295">
        <f t="shared" ca="1" si="9"/>
        <v>251166</v>
      </c>
      <c r="N34" s="321">
        <f t="shared" ca="1" si="10"/>
        <v>1919321</v>
      </c>
    </row>
    <row r="35" spans="1:15" x14ac:dyDescent="0.25">
      <c r="A35" s="276" t="s">
        <v>179</v>
      </c>
      <c r="B35" s="320" t="s">
        <v>180</v>
      </c>
      <c r="C35" s="295">
        <v>0</v>
      </c>
      <c r="D35" s="295">
        <v>0</v>
      </c>
      <c r="E35" s="321">
        <v>0</v>
      </c>
      <c r="F35" s="325">
        <f ca="1">SUMIF('Asientos-1'!B:P,Matriz!A35:A35,'Asientos-1'!K:K)</f>
        <v>477499.99999999959</v>
      </c>
      <c r="G35" s="325">
        <f ca="1">SUMIF('Asientos-1'!B:P,Matriz!A35:A35,'Asientos-1'!L:L)</f>
        <v>7977500</v>
      </c>
      <c r="H35" s="325">
        <f ca="1">SUMIF('Asientos-1'!B:P,Matriz!A35:A35,'Asientos-1'!M:M)</f>
        <v>497200.00000000093</v>
      </c>
      <c r="I35" s="325">
        <f ca="1">SUMIF('Asientos-1'!B:P,Matriz!A35:A35,'Asientos-1'!N:N)</f>
        <v>6578000.0000000009</v>
      </c>
      <c r="J35" s="325">
        <f ca="1">SUMIF('Asientos-1'!B:P,Matriz!A35:A35,'Asientos-1'!O:O)</f>
        <v>0</v>
      </c>
      <c r="K35" s="325">
        <f ca="1">SUMIF('Asientos-1'!B:P,Matriz!A35:A35,'Asientos-1'!P:P)</f>
        <v>5700000.0000000009</v>
      </c>
      <c r="L35" s="295">
        <f t="shared" ca="1" si="8"/>
        <v>7500000</v>
      </c>
      <c r="M35" s="295">
        <f t="shared" ca="1" si="9"/>
        <v>6080800</v>
      </c>
      <c r="N35" s="321">
        <f t="shared" ca="1" si="10"/>
        <v>5700000.0000000009</v>
      </c>
    </row>
    <row r="36" spans="1:15" x14ac:dyDescent="0.25">
      <c r="A36" s="276" t="s">
        <v>88</v>
      </c>
      <c r="B36" s="320" t="s">
        <v>89</v>
      </c>
      <c r="C36" s="295">
        <v>11267523</v>
      </c>
      <c r="D36" s="295">
        <v>10193875</v>
      </c>
      <c r="E36" s="321">
        <v>9590734</v>
      </c>
      <c r="F36" s="325">
        <f ca="1">SUMIF('Asientos-1'!B:P,Matriz!A36:A36,'Asientos-1'!K:K)</f>
        <v>11177500</v>
      </c>
      <c r="G36" s="325">
        <f ca="1">SUMIF('Asientos-1'!B:P,Matriz!A36:A36,'Asientos-1'!L:L)</f>
        <v>1100000</v>
      </c>
      <c r="H36" s="325">
        <f ca="1">SUMIF('Asientos-1'!B:P,Matriz!A36:A36,'Asientos-1'!M:M)</f>
        <v>10078000</v>
      </c>
      <c r="I36" s="325">
        <f ca="1">SUMIF('Asientos-1'!B:P,Matriz!A36:A36,'Asientos-1'!N:N)</f>
        <v>900000</v>
      </c>
      <c r="J36" s="325">
        <f ca="1">SUMIF('Asientos-1'!B:P,Matriz!A36:A36,'Asientos-1'!O:O)</f>
        <v>8492000</v>
      </c>
      <c r="K36" s="325">
        <f ca="1">SUMIF('Asientos-1'!B:P,Matriz!A36:A36,'Asientos-1'!P:P)</f>
        <v>800000</v>
      </c>
      <c r="L36" s="295">
        <f t="shared" ca="1" si="8"/>
        <v>1190023</v>
      </c>
      <c r="M36" s="295">
        <f t="shared" ca="1" si="9"/>
        <v>1015875</v>
      </c>
      <c r="N36" s="321">
        <f t="shared" ca="1" si="10"/>
        <v>1898734</v>
      </c>
    </row>
    <row r="37" spans="1:15" x14ac:dyDescent="0.25">
      <c r="A37" s="276" t="s">
        <v>90</v>
      </c>
      <c r="B37" s="320" t="s">
        <v>91</v>
      </c>
      <c r="C37" s="295">
        <v>0</v>
      </c>
      <c r="D37" s="295">
        <v>0</v>
      </c>
      <c r="E37" s="321">
        <v>0</v>
      </c>
      <c r="F37" s="325">
        <f ca="1">SUMIF('Asientos-1'!B:P,Matriz!A37:A37,'Asientos-1'!K:K)</f>
        <v>0</v>
      </c>
      <c r="G37" s="325">
        <f ca="1">SUMIF('Asientos-1'!B:P,Matriz!A37:A37,'Asientos-1'!L:L)</f>
        <v>3200000</v>
      </c>
      <c r="H37" s="325">
        <f ca="1">SUMIF('Asientos-1'!B:P,Matriz!A37:A37,'Asientos-1'!M:M)</f>
        <v>0</v>
      </c>
      <c r="I37" s="325">
        <f ca="1">SUMIF('Asientos-1'!B:P,Matriz!A37:A37,'Asientos-1'!N:N)</f>
        <v>3500000</v>
      </c>
      <c r="J37" s="325">
        <f ca="1">SUMIF('Asientos-1'!B:P,Matriz!A37:A37,'Asientos-1'!O:O)</f>
        <v>0</v>
      </c>
      <c r="K37" s="325">
        <f ca="1">SUMIF('Asientos-1'!B:P,Matriz!A37:A37,'Asientos-1'!P:P)</f>
        <v>2900000</v>
      </c>
      <c r="L37" s="295">
        <f t="shared" ca="1" si="8"/>
        <v>3200000</v>
      </c>
      <c r="M37" s="295">
        <f t="shared" ca="1" si="9"/>
        <v>3500000</v>
      </c>
      <c r="N37" s="321">
        <f t="shared" ca="1" si="10"/>
        <v>2900000</v>
      </c>
    </row>
    <row r="38" spans="1:15" x14ac:dyDescent="0.25">
      <c r="A38" s="276" t="s">
        <v>92</v>
      </c>
      <c r="B38" s="320" t="s">
        <v>93</v>
      </c>
      <c r="C38" s="297">
        <v>1191578</v>
      </c>
      <c r="D38" s="297">
        <v>1197295</v>
      </c>
      <c r="E38" s="327">
        <v>200000</v>
      </c>
      <c r="F38" s="325">
        <f ca="1">SUMIF('Asientos-1'!B:P,Matriz!A38:A38,'Asientos-1'!K:K)</f>
        <v>200000</v>
      </c>
      <c r="G38" s="325">
        <f ca="1">SUMIF('Asientos-1'!B:P,Matriz!A38:A38,'Asientos-1'!L:L)</f>
        <v>2975422</v>
      </c>
      <c r="H38" s="325">
        <f ca="1">SUMIF('Asientos-1'!B:P,Matriz!A38:A38,'Asientos-1'!M:M)</f>
        <v>200000</v>
      </c>
      <c r="I38" s="325">
        <f ca="1">SUMIF('Asientos-1'!B:P,Matriz!A38:A38,'Asientos-1'!N:N)</f>
        <v>2444705</v>
      </c>
      <c r="J38" s="325">
        <f ca="1">SUMIF('Asientos-1'!B:P,Matriz!A38:A38,'Asientos-1'!O:O)</f>
        <v>200000</v>
      </c>
      <c r="K38" s="325">
        <f ca="1">SUMIF('Asientos-1'!B:P,Matriz!A38:A38,'Asientos-1'!P:P)</f>
        <v>2120000</v>
      </c>
      <c r="L38" s="297">
        <f t="shared" ca="1" si="8"/>
        <v>3967000</v>
      </c>
      <c r="M38" s="297">
        <f t="shared" ca="1" si="9"/>
        <v>3442000</v>
      </c>
      <c r="N38" s="327">
        <f t="shared" ca="1" si="10"/>
        <v>2120000</v>
      </c>
    </row>
    <row r="39" spans="1:15" x14ac:dyDescent="0.25">
      <c r="B39" s="317" t="s">
        <v>182</v>
      </c>
      <c r="C39" s="240">
        <f>SUM(C33:C38)</f>
        <v>14180342</v>
      </c>
      <c r="D39" s="240">
        <f t="shared" ref="D39:E39" si="11">SUM(D33:D38)</f>
        <v>12411962</v>
      </c>
      <c r="E39" s="329">
        <f t="shared" si="11"/>
        <v>13748734</v>
      </c>
      <c r="F39" s="325"/>
      <c r="G39" s="325"/>
      <c r="H39" s="325"/>
      <c r="I39" s="325"/>
      <c r="J39" s="325"/>
      <c r="K39" s="325"/>
      <c r="L39" s="240">
        <f ca="1">SUM(L33:L38)</f>
        <v>17578264</v>
      </c>
      <c r="M39" s="240">
        <f t="shared" ref="M39:N39" ca="1" si="12">SUM(M33:M38)</f>
        <v>15059467</v>
      </c>
      <c r="N39" s="329">
        <f t="shared" ca="1" si="12"/>
        <v>16576734</v>
      </c>
    </row>
    <row r="40" spans="1:15" ht="3.75" customHeight="1" x14ac:dyDescent="0.25">
      <c r="B40" s="312"/>
      <c r="C40" s="325"/>
      <c r="D40" s="325"/>
      <c r="E40" s="326"/>
      <c r="F40" s="325"/>
      <c r="G40" s="325"/>
      <c r="H40" s="325"/>
      <c r="I40" s="325"/>
      <c r="J40" s="325"/>
      <c r="K40" s="325"/>
      <c r="L40" s="325"/>
      <c r="M40" s="325"/>
      <c r="N40" s="326"/>
    </row>
    <row r="41" spans="1:15" x14ac:dyDescent="0.25">
      <c r="A41" s="276" t="s">
        <v>191</v>
      </c>
      <c r="B41" s="320" t="s">
        <v>181</v>
      </c>
      <c r="C41" s="297">
        <f>ROUND('Asientos-1'!F297,0)</f>
        <v>716979</v>
      </c>
      <c r="D41" s="297">
        <f>ROUND('Asientos-1'!G297,0)</f>
        <v>1368778</v>
      </c>
      <c r="E41" s="327">
        <f>ROUND('Asientos-1'!H297,0)</f>
        <v>1961323</v>
      </c>
      <c r="F41" s="325">
        <f ca="1">SUMIF('Asientos-1'!B:P,Matriz!A41:A41,'Asientos-1'!K:K)</f>
        <v>18515.301607638365</v>
      </c>
      <c r="G41" s="325">
        <f ca="1">SUMIF('Asientos-1'!B:P,Matriz!A41:A41,'Asientos-1'!L:L)</f>
        <v>7650000</v>
      </c>
      <c r="H41" s="325">
        <f ca="1">SUMIF('Asientos-1'!B:P,Matriz!A41:A41,'Asientos-1'!M:M)</f>
        <v>51744.81361256633</v>
      </c>
      <c r="I41" s="325">
        <f ca="1">SUMIF('Asientos-1'!B:P,Matriz!A41:A41,'Asientos-1'!N:N)</f>
        <v>7800000</v>
      </c>
      <c r="J41" s="325">
        <f ca="1">SUMIF('Asientos-1'!B:P,Matriz!A41:A41,'Asientos-1'!O:O)</f>
        <v>96475.253532565199</v>
      </c>
      <c r="K41" s="325">
        <f ca="1">SUMIF('Asientos-1'!B:P,Matriz!A41:A41,'Asientos-1'!P:P)</f>
        <v>8000000</v>
      </c>
      <c r="L41" s="297">
        <f ca="1">+C41+-F41+G41</f>
        <v>8348463.6983923614</v>
      </c>
      <c r="M41" s="297">
        <f ca="1">+D41+-H41+I41</f>
        <v>9117033.1863874346</v>
      </c>
      <c r="N41" s="327">
        <f ca="1">+E41+-J41+K41</f>
        <v>9864847.7464674339</v>
      </c>
    </row>
    <row r="42" spans="1:15" x14ac:dyDescent="0.25">
      <c r="B42" s="317" t="s">
        <v>94</v>
      </c>
      <c r="C42" s="240">
        <f>SUM(C39:C41)</f>
        <v>14897321</v>
      </c>
      <c r="D42" s="240">
        <f t="shared" ref="D42:E42" si="13">SUM(D39:D41)</f>
        <v>13780740</v>
      </c>
      <c r="E42" s="329">
        <f t="shared" si="13"/>
        <v>15710057</v>
      </c>
      <c r="F42" s="325"/>
      <c r="G42" s="325"/>
      <c r="H42" s="325"/>
      <c r="I42" s="325"/>
      <c r="J42" s="325"/>
      <c r="K42" s="325"/>
      <c r="L42" s="240">
        <f t="shared" ref="L42" ca="1" si="14">SUM(L39:L41)</f>
        <v>25926727.698392361</v>
      </c>
      <c r="M42" s="240">
        <f t="shared" ref="M42" ca="1" si="15">SUM(M39:M41)</f>
        <v>24176500.186387435</v>
      </c>
      <c r="N42" s="329">
        <f t="shared" ref="N42" ca="1" si="16">SUM(N39:N41)</f>
        <v>26441581.746467434</v>
      </c>
    </row>
    <row r="43" spans="1:15" ht="2.25" customHeight="1" x14ac:dyDescent="0.25">
      <c r="B43" s="312"/>
      <c r="C43" s="325"/>
      <c r="D43" s="325"/>
      <c r="E43" s="326"/>
      <c r="F43" s="325"/>
      <c r="G43" s="325"/>
      <c r="H43" s="325"/>
      <c r="I43" s="325"/>
      <c r="J43" s="325"/>
      <c r="K43" s="325"/>
      <c r="L43" s="325"/>
      <c r="M43" s="325"/>
      <c r="N43" s="326"/>
    </row>
    <row r="44" spans="1:15" hidden="1" x14ac:dyDescent="0.25">
      <c r="B44" s="312"/>
      <c r="C44" s="325"/>
      <c r="D44" s="325"/>
      <c r="E44" s="326"/>
      <c r="F44" s="325"/>
      <c r="G44" s="325"/>
      <c r="H44" s="325"/>
      <c r="I44" s="325"/>
      <c r="J44" s="325"/>
      <c r="K44" s="325"/>
      <c r="L44" s="325"/>
      <c r="M44" s="325"/>
      <c r="N44" s="326"/>
    </row>
    <row r="45" spans="1:15" x14ac:dyDescent="0.25">
      <c r="B45" s="317" t="s">
        <v>95</v>
      </c>
      <c r="C45" s="325"/>
      <c r="D45" s="325"/>
      <c r="E45" s="326"/>
      <c r="F45" s="325"/>
      <c r="G45" s="325"/>
      <c r="H45" s="325"/>
      <c r="I45" s="325"/>
      <c r="J45" s="325"/>
      <c r="K45" s="325"/>
      <c r="L45" s="325"/>
      <c r="M45" s="325"/>
      <c r="N45" s="326"/>
    </row>
    <row r="46" spans="1:15" x14ac:dyDescent="0.25">
      <c r="A46" s="276" t="s">
        <v>96</v>
      </c>
      <c r="B46" s="320" t="s">
        <v>97</v>
      </c>
      <c r="C46" s="330">
        <v>26201136</v>
      </c>
      <c r="D46" s="295">
        <v>25549337</v>
      </c>
      <c r="E46" s="321">
        <v>24956792</v>
      </c>
      <c r="F46" s="325">
        <f ca="1">SUMIF('Asientos-1'!B:P,Matriz!A46:A46,'Asientos-1'!K:K)</f>
        <v>9000000</v>
      </c>
      <c r="G46" s="325">
        <f ca="1">SUMIF('Asientos-1'!B:P,Matriz!A46:A46,'Asientos-1'!L:L)</f>
        <v>0</v>
      </c>
      <c r="H46" s="325">
        <f ca="1">SUMIF('Asientos-1'!B:P,Matriz!A46:A46,'Asientos-1'!M:M)</f>
        <v>9000000</v>
      </c>
      <c r="I46" s="325">
        <f ca="1">SUMIF('Asientos-1'!B:P,Matriz!A46:A46,'Asientos-1'!N:N)</f>
        <v>0</v>
      </c>
      <c r="J46" s="325">
        <f ca="1">SUMIF('Asientos-1'!B:P,Matriz!A46:A46,'Asientos-1'!O:O)</f>
        <v>9000000</v>
      </c>
      <c r="K46" s="325">
        <f ca="1">SUMIF('Asientos-1'!B:P,Matriz!A46:A46,'Asientos-1'!P:P)</f>
        <v>0</v>
      </c>
      <c r="L46" s="295">
        <f ca="1">+C46+-F46+G46</f>
        <v>17201136</v>
      </c>
      <c r="M46" s="295">
        <f ca="1">+D46+-H46+I46</f>
        <v>16549337</v>
      </c>
      <c r="N46" s="321">
        <f ca="1">+E46+-J46+K46</f>
        <v>15956792</v>
      </c>
    </row>
    <row r="47" spans="1:15" x14ac:dyDescent="0.25">
      <c r="A47" s="276" t="s">
        <v>98</v>
      </c>
      <c r="B47" s="320" t="s">
        <v>99</v>
      </c>
      <c r="C47" s="330">
        <f>101228482-23000000</f>
        <v>78228482</v>
      </c>
      <c r="D47" s="295">
        <v>69240392</v>
      </c>
      <c r="E47" s="321">
        <v>69501027</v>
      </c>
      <c r="F47" s="325">
        <f ca="1">SUMIF('Asientos-1'!B:P,Matriz!A47:A47,'Asientos-1'!K:K)</f>
        <v>16924706.600000001</v>
      </c>
      <c r="G47" s="325">
        <f ca="1">SUMIF('Asientos-1'!B:P,Matriz!A47:A47,'Asientos-1'!L:L)</f>
        <v>17272563.289528795</v>
      </c>
      <c r="H47" s="325">
        <f ca="1">SUMIF('Asientos-1'!B:P,Matriz!A47:A47,'Asientos-1'!M:M)</f>
        <v>13038000</v>
      </c>
      <c r="I47" s="325">
        <f ca="1">SUMIF('Asientos-1'!B:P,Matriz!A47:A47,'Asientos-1'!N:N)</f>
        <v>13409735.077472797</v>
      </c>
      <c r="J47" s="325">
        <f ca="1">SUMIF('Asientos-1'!B:P,Matriz!A47:A47,'Asientos-1'!O:O)</f>
        <v>13038000</v>
      </c>
      <c r="K47" s="325">
        <f ca="1">SUMIF('Asientos-1'!B:P,Matriz!A47:A47,'Asientos-1'!P:P)</f>
        <v>13409735.077472797</v>
      </c>
      <c r="L47" s="295">
        <f ca="1">+C47+-F47+G47</f>
        <v>78576338.689528793</v>
      </c>
      <c r="M47" s="295">
        <f ca="1">+D47+-H47+I47</f>
        <v>69612127.077472791</v>
      </c>
      <c r="N47" s="321">
        <f ca="1">+E47+-J47+K47</f>
        <v>69872762.077472791</v>
      </c>
      <c r="O47" s="25"/>
    </row>
    <row r="48" spans="1:15" x14ac:dyDescent="0.25">
      <c r="A48" s="276" t="s">
        <v>152</v>
      </c>
      <c r="B48" s="320" t="s">
        <v>151</v>
      </c>
      <c r="C48" s="330">
        <v>0</v>
      </c>
      <c r="D48" s="295">
        <v>0</v>
      </c>
      <c r="E48" s="321">
        <v>0</v>
      </c>
      <c r="F48" s="325">
        <f ca="1">SUMIF('Asientos-1'!B:P,Matriz!A48:A48,'Asientos-1'!K:K)</f>
        <v>1050000</v>
      </c>
      <c r="G48" s="325">
        <f ca="1">SUMIF('Asientos-1'!B:P,Matriz!A48:A48,'Asientos-1'!L:L)</f>
        <v>3500000</v>
      </c>
      <c r="H48" s="325">
        <f ca="1">SUMIF('Asientos-1'!B:P,Matriz!A48:A48,'Asientos-1'!M:M)</f>
        <v>1050000</v>
      </c>
      <c r="I48" s="325">
        <f ca="1">SUMIF('Asientos-1'!B:P,Matriz!A48:A48,'Asientos-1'!N:N)</f>
        <v>3500000</v>
      </c>
      <c r="J48" s="325">
        <f ca="1">SUMIF('Asientos-1'!B:P,Matriz!A48:A48,'Asientos-1'!O:O)</f>
        <v>1050000</v>
      </c>
      <c r="K48" s="325">
        <f ca="1">SUMIF('Asientos-1'!B:P,Matriz!A48:A48,'Asientos-1'!P:P)</f>
        <v>3500000</v>
      </c>
      <c r="L48" s="295">
        <f ca="1">+C48+-F48+G48</f>
        <v>2450000</v>
      </c>
      <c r="M48" s="295">
        <f ca="1">+D48+-H48+I48</f>
        <v>2450000</v>
      </c>
      <c r="N48" s="321">
        <f ca="1">+E48+-J48+K48</f>
        <v>2450000</v>
      </c>
    </row>
    <row r="49" spans="1:14" x14ac:dyDescent="0.25">
      <c r="B49" s="320" t="s">
        <v>100</v>
      </c>
      <c r="C49" s="296">
        <v>12357343</v>
      </c>
      <c r="D49" s="296">
        <v>10824848</v>
      </c>
      <c r="E49" s="323">
        <v>0</v>
      </c>
      <c r="F49" s="344">
        <f ca="1">+F78</f>
        <v>18473774.218403451</v>
      </c>
      <c r="G49" s="344">
        <f t="shared" ref="G49:K49" ca="1" si="17">+G78</f>
        <v>18885000</v>
      </c>
      <c r="H49" s="344">
        <f t="shared" ca="1" si="17"/>
        <v>15791578.387943998</v>
      </c>
      <c r="I49" s="344">
        <f t="shared" ca="1" si="17"/>
        <v>15767700</v>
      </c>
      <c r="J49" s="325">
        <f t="shared" ca="1" si="17"/>
        <v>0</v>
      </c>
      <c r="K49" s="325">
        <f t="shared" ca="1" si="17"/>
        <v>0</v>
      </c>
      <c r="L49" s="297">
        <f ca="1">+C49+-F49+G49</f>
        <v>12768568.781596549</v>
      </c>
      <c r="M49" s="297">
        <f ca="1">+D49+-H49+I49</f>
        <v>10800969.612056002</v>
      </c>
      <c r="N49" s="327">
        <f ca="1">+E49+-J49+K49</f>
        <v>0</v>
      </c>
    </row>
    <row r="50" spans="1:14" x14ac:dyDescent="0.25">
      <c r="B50" s="317" t="s">
        <v>101</v>
      </c>
      <c r="C50" s="240">
        <f>SUM(C46:C49)</f>
        <v>116786961</v>
      </c>
      <c r="D50" s="240">
        <f t="shared" ref="D50:E50" si="18">SUM(D46:D49)</f>
        <v>105614577</v>
      </c>
      <c r="E50" s="329">
        <f t="shared" si="18"/>
        <v>94457819</v>
      </c>
      <c r="F50" s="325"/>
      <c r="G50" s="325"/>
      <c r="H50" s="325"/>
      <c r="I50" s="325"/>
      <c r="J50" s="325"/>
      <c r="K50" s="325"/>
      <c r="L50" s="240">
        <f ca="1">SUM(L46:L49)</f>
        <v>110996043.47112533</v>
      </c>
      <c r="M50" s="240">
        <f t="shared" ref="M50" ca="1" si="19">SUM(M46:M49)</f>
        <v>99412433.689528793</v>
      </c>
      <c r="N50" s="329">
        <f t="shared" ref="N50" ca="1" si="20">SUM(N46:N49)</f>
        <v>88279554.077472791</v>
      </c>
    </row>
    <row r="51" spans="1:14" x14ac:dyDescent="0.25">
      <c r="B51" s="331" t="s">
        <v>102</v>
      </c>
      <c r="C51" s="240">
        <f>+C50+C42</f>
        <v>131684282</v>
      </c>
      <c r="D51" s="240">
        <f t="shared" ref="D51:E51" si="21">+D50+D42</f>
        <v>119395317</v>
      </c>
      <c r="E51" s="329">
        <f t="shared" si="21"/>
        <v>110167876</v>
      </c>
      <c r="F51" s="296"/>
      <c r="G51" s="296"/>
      <c r="H51" s="296"/>
      <c r="I51" s="296"/>
      <c r="J51" s="296"/>
      <c r="K51" s="296"/>
      <c r="L51" s="240">
        <f t="shared" ref="L51:N51" ca="1" si="22">+L50+L42</f>
        <v>136922771.1695177</v>
      </c>
      <c r="M51" s="240">
        <f t="shared" ref="M51" ca="1" si="23">+M50+M42</f>
        <v>123588933.87591623</v>
      </c>
      <c r="N51" s="329">
        <f t="shared" ca="1" si="22"/>
        <v>114721135.82394022</v>
      </c>
    </row>
    <row r="52" spans="1:14" ht="16.5" thickBot="1" x14ac:dyDescent="0.3">
      <c r="C52" s="299">
        <f>+C29-C51</f>
        <v>0</v>
      </c>
      <c r="D52" s="299">
        <f>+D29-D51</f>
        <v>0</v>
      </c>
      <c r="E52" s="299">
        <f>+E29-E51</f>
        <v>0</v>
      </c>
      <c r="F52" s="298">
        <f ca="1">SUM(F10:F51)</f>
        <v>93955146.089528799</v>
      </c>
      <c r="G52" s="298">
        <f t="shared" ref="G52:K52" ca="1" si="24">SUM(G10:G51)</f>
        <v>93955146.089528799</v>
      </c>
      <c r="H52" s="298">
        <f t="shared" ca="1" si="24"/>
        <v>83283549.677472785</v>
      </c>
      <c r="I52" s="298">
        <f t="shared" ca="1" si="24"/>
        <v>83283549.6774728</v>
      </c>
      <c r="J52" s="298">
        <f t="shared" ca="1" si="24"/>
        <v>51889735.077472791</v>
      </c>
      <c r="K52" s="298">
        <f t="shared" ca="1" si="24"/>
        <v>51889735.077472799</v>
      </c>
      <c r="L52" s="298">
        <f ca="1">+L29-L51</f>
        <v>0</v>
      </c>
      <c r="M52" s="298">
        <f ca="1">+M29-M51</f>
        <v>0</v>
      </c>
      <c r="N52" s="298">
        <f ca="1">+N29-N51</f>
        <v>0</v>
      </c>
    </row>
    <row r="53" spans="1:14" x14ac:dyDescent="0.25">
      <c r="F53" s="277"/>
      <c r="G53" s="277">
        <f ca="1">+F52-G52</f>
        <v>0</v>
      </c>
      <c r="H53" s="277"/>
      <c r="I53" s="277">
        <f ca="1">+H52-I52</f>
        <v>0</v>
      </c>
      <c r="J53" s="277"/>
      <c r="K53" s="277">
        <f ca="1">+J52-K52</f>
        <v>0</v>
      </c>
    </row>
    <row r="54" spans="1:14" x14ac:dyDescent="0.25">
      <c r="A54" s="274" t="s">
        <v>319</v>
      </c>
    </row>
    <row r="55" spans="1:14" x14ac:dyDescent="0.25">
      <c r="A55" s="274" t="s">
        <v>315</v>
      </c>
    </row>
    <row r="56" spans="1:14" x14ac:dyDescent="0.25">
      <c r="B56" s="309"/>
      <c r="C56" s="332"/>
      <c r="D56" s="310">
        <v>2016</v>
      </c>
      <c r="E56" s="311">
        <v>2015</v>
      </c>
      <c r="F56" s="310">
        <v>2015</v>
      </c>
      <c r="G56" s="310">
        <v>2015</v>
      </c>
      <c r="H56" s="310">
        <v>2014</v>
      </c>
      <c r="I56" s="310">
        <v>2014</v>
      </c>
      <c r="J56" s="345"/>
      <c r="K56" s="345"/>
      <c r="L56" s="346">
        <v>2015</v>
      </c>
      <c r="M56" s="311">
        <v>2014</v>
      </c>
    </row>
    <row r="57" spans="1:14" x14ac:dyDescent="0.25">
      <c r="B57" s="312"/>
      <c r="C57" s="333"/>
      <c r="D57" s="313" t="s">
        <v>54</v>
      </c>
      <c r="E57" s="314" t="s">
        <v>54</v>
      </c>
      <c r="F57" s="313" t="s">
        <v>54</v>
      </c>
      <c r="G57" s="313" t="s">
        <v>54</v>
      </c>
      <c r="H57" s="313" t="s">
        <v>54</v>
      </c>
      <c r="I57" s="313" t="s">
        <v>54</v>
      </c>
      <c r="J57" s="325"/>
      <c r="K57" s="325"/>
      <c r="L57" s="347" t="s">
        <v>54</v>
      </c>
      <c r="M57" s="314" t="s">
        <v>54</v>
      </c>
    </row>
    <row r="58" spans="1:14" x14ac:dyDescent="0.25">
      <c r="B58" s="312"/>
      <c r="C58" s="333"/>
      <c r="D58" s="315" t="s">
        <v>228</v>
      </c>
      <c r="E58" s="316" t="s">
        <v>228</v>
      </c>
      <c r="F58" s="315" t="s">
        <v>57</v>
      </c>
      <c r="G58" s="315" t="s">
        <v>58</v>
      </c>
      <c r="H58" s="315" t="s">
        <v>57</v>
      </c>
      <c r="I58" s="315" t="s">
        <v>58</v>
      </c>
      <c r="J58" s="325"/>
      <c r="K58" s="325"/>
      <c r="L58" s="312"/>
      <c r="M58" s="334"/>
    </row>
    <row r="59" spans="1:14" x14ac:dyDescent="0.25">
      <c r="B59" s="317"/>
      <c r="C59" s="333"/>
      <c r="D59" s="315" t="s">
        <v>56</v>
      </c>
      <c r="E59" s="316" t="s">
        <v>56</v>
      </c>
      <c r="F59" s="325"/>
      <c r="G59" s="325"/>
      <c r="H59" s="325"/>
      <c r="I59" s="325"/>
      <c r="J59" s="325"/>
      <c r="K59" s="325"/>
      <c r="L59" s="348"/>
      <c r="M59" s="335"/>
    </row>
    <row r="60" spans="1:14" x14ac:dyDescent="0.25">
      <c r="B60" s="317"/>
      <c r="C60" s="333"/>
      <c r="D60" s="318"/>
      <c r="E60" s="335"/>
      <c r="F60" s="325"/>
      <c r="G60" s="325"/>
      <c r="H60" s="325"/>
      <c r="I60" s="325"/>
      <c r="J60" s="325"/>
      <c r="K60" s="325"/>
      <c r="L60" s="348"/>
      <c r="M60" s="335"/>
    </row>
    <row r="61" spans="1:14" x14ac:dyDescent="0.25">
      <c r="A61" s="276" t="s">
        <v>103</v>
      </c>
      <c r="B61" s="320" t="s">
        <v>139</v>
      </c>
      <c r="C61" s="333"/>
      <c r="D61" s="279">
        <v>86348845</v>
      </c>
      <c r="E61" s="336">
        <v>77738972</v>
      </c>
      <c r="F61" s="325">
        <f ca="1">SUMIF('Asientos-1'!B:P,Matriz!A61:A61,'Asientos-1'!K:K)</f>
        <v>6347200.0000000009</v>
      </c>
      <c r="G61" s="325">
        <f ca="1">SUMIF('Asientos-1'!B:P,Matriz!A61:A61,'Asientos-1'!L:L)</f>
        <v>8000000</v>
      </c>
      <c r="H61" s="325">
        <f ca="1">SUMIF('Asientos-1'!B:P,Matriz!A61:A61,'Asientos-1'!M:M)</f>
        <v>4000000</v>
      </c>
      <c r="I61" s="325">
        <f ca="1">SUMIF('Asientos-1'!B:P,Matriz!A61:A61,'Asientos-1'!N:N)</f>
        <v>6008000.0000000009</v>
      </c>
      <c r="J61" s="325">
        <f ca="1">SUMIF('Asientos-1'!B:P,Matriz!A61:A61,'Asientos-1'!O:O)</f>
        <v>0</v>
      </c>
      <c r="K61" s="325">
        <f ca="1">SUMIF('Asientos-1'!B:P,Matriz!A61:A61,'Asientos-1'!P:P)</f>
        <v>0</v>
      </c>
      <c r="L61" s="349">
        <f ca="1">+D61+G61-F61</f>
        <v>88001645</v>
      </c>
      <c r="M61" s="321">
        <f ca="1">+E61+I61-H61</f>
        <v>79746972</v>
      </c>
    </row>
    <row r="62" spans="1:14" x14ac:dyDescent="0.25">
      <c r="A62" s="276" t="s">
        <v>175</v>
      </c>
      <c r="B62" s="320" t="s">
        <v>430</v>
      </c>
      <c r="C62" s="333"/>
      <c r="D62" s="279">
        <v>0</v>
      </c>
      <c r="E62" s="336">
        <v>0</v>
      </c>
      <c r="F62" s="325">
        <f ca="1">SUMIF('Asientos-1'!B:P,Matriz!A62:A62,'Asientos-1'!K:K)</f>
        <v>0</v>
      </c>
      <c r="G62" s="325">
        <f ca="1">SUMIF('Asientos-1'!B:P,Matriz!A62:A62,'Asientos-1'!L:L)</f>
        <v>600000</v>
      </c>
      <c r="H62" s="325">
        <f ca="1">SUMIF('Asientos-1'!B:P,Matriz!A62:A62,'Asientos-1'!M:M)</f>
        <v>0</v>
      </c>
      <c r="I62" s="325">
        <f ca="1">SUMIF('Asientos-1'!B:P,Matriz!A62:A62,'Asientos-1'!N:N)</f>
        <v>700000</v>
      </c>
      <c r="J62" s="325">
        <f ca="1">SUMIF('Asientos-1'!B:P,Matriz!A62:A62,'Asientos-1'!O:O)</f>
        <v>0</v>
      </c>
      <c r="K62" s="325">
        <f ca="1">SUMIF('Asientos-1'!B:P,Matriz!A62:A62,'Asientos-1'!P:P)</f>
        <v>0</v>
      </c>
      <c r="L62" s="349">
        <f ca="1">+D62+G62-F62</f>
        <v>600000</v>
      </c>
      <c r="M62" s="321">
        <f ca="1">+E62+I62-H62</f>
        <v>700000</v>
      </c>
    </row>
    <row r="63" spans="1:14" x14ac:dyDescent="0.25">
      <c r="A63" s="276" t="s">
        <v>104</v>
      </c>
      <c r="B63" s="320" t="s">
        <v>177</v>
      </c>
      <c r="C63" s="333"/>
      <c r="D63" s="280">
        <v>-35324624</v>
      </c>
      <c r="E63" s="337">
        <v>-32655063</v>
      </c>
      <c r="F63" s="325">
        <f ca="1">SUMIF('Asientos-1'!B:P,Matriz!A63:A63,'Asientos-1'!K:K)</f>
        <v>4230651.1999999993</v>
      </c>
      <c r="G63" s="325">
        <f ca="1">SUMIF('Asientos-1'!B:P,Matriz!A63:A63,'Asientos-1'!L:L)</f>
        <v>2457500</v>
      </c>
      <c r="H63" s="325">
        <f ca="1">SUMIF('Asientos-1'!B:P,Matriz!A63:A63,'Asientos-1'!M:M)</f>
        <v>4906701.5999999996</v>
      </c>
      <c r="I63" s="325">
        <f ca="1">SUMIF('Asientos-1'!B:P,Matriz!A63:A63,'Asientos-1'!N:N)</f>
        <v>1912500</v>
      </c>
      <c r="J63" s="325">
        <f ca="1">SUMIF('Asientos-1'!B:P,Matriz!A63:A63,'Asientos-1'!O:O)</f>
        <v>0</v>
      </c>
      <c r="K63" s="325">
        <f ca="1">SUMIF('Asientos-1'!B:P,Matriz!A63:A63,'Asientos-1'!P:P)</f>
        <v>0</v>
      </c>
      <c r="L63" s="350">
        <f ca="1">+D63+G63-F63</f>
        <v>-37097775.200000003</v>
      </c>
      <c r="M63" s="337">
        <f ca="1">+E63+I63-H63</f>
        <v>-35649264.600000001</v>
      </c>
    </row>
    <row r="64" spans="1:14" x14ac:dyDescent="0.25">
      <c r="B64" s="317" t="s">
        <v>105</v>
      </c>
      <c r="C64" s="333"/>
      <c r="D64" s="275">
        <f>SUM(D61:D63)</f>
        <v>51024221</v>
      </c>
      <c r="E64" s="338">
        <f>SUM(E61:E63)</f>
        <v>45083909</v>
      </c>
      <c r="F64" s="325"/>
      <c r="G64" s="325"/>
      <c r="H64" s="325"/>
      <c r="I64" s="325"/>
      <c r="J64" s="325"/>
      <c r="K64" s="325"/>
      <c r="L64" s="351">
        <f t="shared" ref="L64:M64" ca="1" si="25">SUM(L61:L63)</f>
        <v>51503869.799999997</v>
      </c>
      <c r="M64" s="338">
        <f t="shared" ca="1" si="25"/>
        <v>44797707.399999999</v>
      </c>
    </row>
    <row r="65" spans="1:13" x14ac:dyDescent="0.25">
      <c r="B65" s="312"/>
      <c r="C65" s="333"/>
      <c r="D65" s="279"/>
      <c r="E65" s="336"/>
      <c r="F65" s="325"/>
      <c r="G65" s="325"/>
      <c r="H65" s="325"/>
      <c r="I65" s="325"/>
      <c r="J65" s="325"/>
      <c r="K65" s="325"/>
      <c r="L65" s="352"/>
      <c r="M65" s="326"/>
    </row>
    <row r="66" spans="1:13" x14ac:dyDescent="0.25">
      <c r="A66" s="276" t="s">
        <v>106</v>
      </c>
      <c r="B66" s="320" t="s">
        <v>107</v>
      </c>
      <c r="C66" s="333"/>
      <c r="D66" s="279">
        <v>-10604338</v>
      </c>
      <c r="E66" s="336">
        <v>-10421188</v>
      </c>
      <c r="F66" s="325">
        <f ca="1">SUMIF('Asientos-1'!B:P,Matriz!A66:A66,'Asientos-1'!K:K)</f>
        <v>2240000</v>
      </c>
      <c r="G66" s="325">
        <f ca="1">SUMIF('Asientos-1'!B:P,Matriz!A66:A66,'Asientos-1'!L:L)</f>
        <v>250000</v>
      </c>
      <c r="H66" s="325">
        <f ca="1">SUMIF('Asientos-1'!B:P,Matriz!A66:A66,'Asientos-1'!M:M)</f>
        <v>2050000</v>
      </c>
      <c r="I66" s="325">
        <f ca="1">SUMIF('Asientos-1'!B:P,Matriz!A66:A66,'Asientos-1'!N:N)</f>
        <v>250000</v>
      </c>
      <c r="J66" s="325">
        <f ca="1">SUMIF('Asientos-1'!B:P,Matriz!A66:A66,'Asientos-1'!O:O)</f>
        <v>0</v>
      </c>
      <c r="K66" s="325">
        <f ca="1">SUMIF('Asientos-1'!B:P,Matriz!A66:A66,'Asientos-1'!P:P)</f>
        <v>0</v>
      </c>
      <c r="L66" s="353">
        <f ca="1">+D66+G66-F66</f>
        <v>-12594338</v>
      </c>
      <c r="M66" s="336">
        <f ca="1">+E66+I66-H66</f>
        <v>-12221188</v>
      </c>
    </row>
    <row r="67" spans="1:13" x14ac:dyDescent="0.25">
      <c r="A67" s="276" t="s">
        <v>108</v>
      </c>
      <c r="B67" s="320" t="s">
        <v>109</v>
      </c>
      <c r="C67" s="333"/>
      <c r="D67" s="279">
        <v>-11749370</v>
      </c>
      <c r="E67" s="336">
        <v>-9167285</v>
      </c>
      <c r="F67" s="325">
        <f ca="1">SUMIF('Asientos-1'!B:P,Matriz!A67:A67,'Asientos-1'!K:K)</f>
        <v>380000</v>
      </c>
      <c r="G67" s="325">
        <f ca="1">SUMIF('Asientos-1'!B:P,Matriz!A67:A67,'Asientos-1'!L:L)</f>
        <v>0</v>
      </c>
      <c r="H67" s="325">
        <f ca="1">SUMIF('Asientos-1'!B:P,Matriz!A67:A67,'Asientos-1'!M:M)</f>
        <v>350000</v>
      </c>
      <c r="I67" s="325">
        <f ca="1">SUMIF('Asientos-1'!B:P,Matriz!A67:A67,'Asientos-1'!N:N)</f>
        <v>0</v>
      </c>
      <c r="J67" s="325">
        <f ca="1">SUMIF('Asientos-1'!B:P,Matriz!A67:A67,'Asientos-1'!O:O)</f>
        <v>0</v>
      </c>
      <c r="K67" s="325">
        <f ca="1">SUMIF('Asientos-1'!B:P,Matriz!A67:A67,'Asientos-1'!P:P)</f>
        <v>0</v>
      </c>
      <c r="L67" s="353">
        <f ca="1">+D67+G67-F67</f>
        <v>-12129370</v>
      </c>
      <c r="M67" s="336">
        <f ca="1">+E67+I67-H67</f>
        <v>-9517285</v>
      </c>
    </row>
    <row r="68" spans="1:13" x14ac:dyDescent="0.25">
      <c r="A68" s="276" t="s">
        <v>110</v>
      </c>
      <c r="B68" s="320" t="s">
        <v>111</v>
      </c>
      <c r="C68" s="333"/>
      <c r="D68" s="280">
        <v>51495</v>
      </c>
      <c r="E68" s="337">
        <v>116418</v>
      </c>
      <c r="F68" s="325">
        <f ca="1">SUMIF('Asientos-1'!B:P,Matriz!A68:A68,'Asientos-1'!K:K)</f>
        <v>0</v>
      </c>
      <c r="G68" s="325">
        <f ca="1">SUMIF('Asientos-1'!B:P,Matriz!A68:A68,'Asientos-1'!L:L)</f>
        <v>0</v>
      </c>
      <c r="H68" s="325">
        <f ca="1">SUMIF('Asientos-1'!B:P,Matriz!A68:A68,'Asientos-1'!M:M)</f>
        <v>0</v>
      </c>
      <c r="I68" s="325">
        <f ca="1">SUMIF('Asientos-1'!B:P,Matriz!A68:A68,'Asientos-1'!N:N)</f>
        <v>0</v>
      </c>
      <c r="J68" s="325">
        <f ca="1">SUMIF('Asientos-1'!B:P,Matriz!A68:A68,'Asientos-1'!O:O)</f>
        <v>0</v>
      </c>
      <c r="K68" s="325">
        <f ca="1">SUMIF('Asientos-1'!B:P,Matriz!A68:A68,'Asientos-1'!P:P)</f>
        <v>0</v>
      </c>
      <c r="L68" s="350">
        <f ca="1">+D68+-G68+F68</f>
        <v>51495</v>
      </c>
      <c r="M68" s="337">
        <f ca="1">+E68+-I68+G68</f>
        <v>116418</v>
      </c>
    </row>
    <row r="69" spans="1:13" x14ac:dyDescent="0.25">
      <c r="B69" s="317" t="s">
        <v>112</v>
      </c>
      <c r="C69" s="333"/>
      <c r="D69" s="275">
        <f>SUM(D64:D68)</f>
        <v>28722008</v>
      </c>
      <c r="E69" s="338">
        <f>SUM(E64:E68)</f>
        <v>25611854</v>
      </c>
      <c r="F69" s="325"/>
      <c r="G69" s="325"/>
      <c r="H69" s="325"/>
      <c r="I69" s="325"/>
      <c r="J69" s="325"/>
      <c r="K69" s="325"/>
      <c r="L69" s="351">
        <f t="shared" ref="L69:M69" ca="1" si="26">SUM(L64:L68)</f>
        <v>26831656.799999997</v>
      </c>
      <c r="M69" s="338">
        <f t="shared" ca="1" si="26"/>
        <v>23175652.399999999</v>
      </c>
    </row>
    <row r="70" spans="1:13" x14ac:dyDescent="0.25">
      <c r="B70" s="312"/>
      <c r="C70" s="333"/>
      <c r="D70" s="279"/>
      <c r="E70" s="336"/>
      <c r="F70" s="325"/>
      <c r="G70" s="325"/>
      <c r="H70" s="325"/>
      <c r="I70" s="325"/>
      <c r="J70" s="325"/>
      <c r="K70" s="325"/>
      <c r="L70" s="352"/>
      <c r="M70" s="326"/>
    </row>
    <row r="71" spans="1:13" x14ac:dyDescent="0.25">
      <c r="B71" s="320"/>
      <c r="C71" s="333"/>
      <c r="D71" s="279"/>
      <c r="E71" s="336"/>
      <c r="F71" s="325"/>
      <c r="G71" s="325"/>
      <c r="H71" s="325"/>
      <c r="I71" s="325"/>
      <c r="J71" s="325"/>
      <c r="K71" s="325"/>
      <c r="L71" s="349"/>
      <c r="M71" s="321"/>
    </row>
    <row r="72" spans="1:13" x14ac:dyDescent="0.25">
      <c r="A72" s="276" t="s">
        <v>113</v>
      </c>
      <c r="B72" s="320" t="s">
        <v>114</v>
      </c>
      <c r="C72" s="333"/>
      <c r="D72" s="279">
        <v>2238531</v>
      </c>
      <c r="E72" s="336">
        <v>1221201</v>
      </c>
      <c r="F72" s="325">
        <f ca="1">SUMIF('Asientos-1'!B:P,Matriz!A72:A72,'Asientos-1'!K:K)</f>
        <v>2000000</v>
      </c>
      <c r="G72" s="325">
        <f ca="1">SUMIF('Asientos-1'!B:P,Matriz!A72:A72,'Asientos-1'!L:L)</f>
        <v>0</v>
      </c>
      <c r="H72" s="325">
        <f ca="1">SUMIF('Asientos-1'!B:P,Matriz!A72:A72,'Asientos-1'!M:M)</f>
        <v>1000000</v>
      </c>
      <c r="I72" s="325">
        <f ca="1">SUMIF('Asientos-1'!B:P,Matriz!A72:A72,'Asientos-1'!N:N)</f>
        <v>0</v>
      </c>
      <c r="J72" s="325">
        <f ca="1">SUMIF('Asientos-1'!B:P,Matriz!A72:A72,'Asientos-1'!O:O)</f>
        <v>0</v>
      </c>
      <c r="K72" s="325">
        <f ca="1">SUMIF('Asientos-1'!B:P,Matriz!A72:A72,'Asientos-1'!P:P)</f>
        <v>0</v>
      </c>
      <c r="L72" s="349">
        <f ca="1">+D72+G72-F72</f>
        <v>238531</v>
      </c>
      <c r="M72" s="321">
        <f ca="1">+E72+I72-H72</f>
        <v>221201</v>
      </c>
    </row>
    <row r="73" spans="1:13" x14ac:dyDescent="0.25">
      <c r="A73" s="276" t="s">
        <v>115</v>
      </c>
      <c r="B73" s="320" t="s">
        <v>174</v>
      </c>
      <c r="C73" s="333"/>
      <c r="D73" s="279">
        <v>-3906621</v>
      </c>
      <c r="E73" s="336">
        <v>-3112318</v>
      </c>
      <c r="F73" s="325">
        <f ca="1">SUMIF('Asientos-1'!B:P,Matriz!A73:A73,'Asientos-1'!K:K)</f>
        <v>163946.51200492796</v>
      </c>
      <c r="G73" s="325">
        <f ca="1">SUMIF('Asientos-1'!B:P,Matriz!A73:A73,'Asientos-1'!L:L)</f>
        <v>3500000</v>
      </c>
      <c r="H73" s="325">
        <f ca="1">SUMIF('Asientos-1'!B:P,Matriz!A73:A73,'Asientos-1'!M:M)</f>
        <v>169435.43991999887</v>
      </c>
      <c r="I73" s="325">
        <f ca="1">SUMIF('Asientos-1'!B:P,Matriz!A73:A73,'Asientos-1'!N:N)</f>
        <v>3000000</v>
      </c>
      <c r="J73" s="325">
        <f ca="1">SUMIF('Asientos-1'!B:P,Matriz!A73:A73,'Asientos-1'!O:O)</f>
        <v>0</v>
      </c>
      <c r="K73" s="325">
        <f ca="1">SUMIF('Asientos-1'!B:P,Matriz!A73:A73,'Asientos-1'!P:P)</f>
        <v>0</v>
      </c>
      <c r="L73" s="353">
        <f ca="1">+D73+G73-F73</f>
        <v>-570567.51200492796</v>
      </c>
      <c r="M73" s="336">
        <f ca="1">+E73+I73-H73</f>
        <v>-281753.43991999887</v>
      </c>
    </row>
    <row r="74" spans="1:13" hidden="1" x14ac:dyDescent="0.25">
      <c r="A74" s="276" t="s">
        <v>224</v>
      </c>
      <c r="B74" s="320" t="s">
        <v>176</v>
      </c>
      <c r="C74" s="333"/>
      <c r="D74" s="280">
        <v>0</v>
      </c>
      <c r="E74" s="337">
        <v>0</v>
      </c>
      <c r="F74" s="325">
        <f ca="1">SUMIF('Asientos-1'!B:P,Matriz!A74:A74,'Asientos-1'!K:K)</f>
        <v>1595500</v>
      </c>
      <c r="G74" s="325">
        <f ca="1">SUMIF('Asientos-1'!B:P,Matriz!A74:A74,'Asientos-1'!L:L)</f>
        <v>477499.99999999959</v>
      </c>
      <c r="H74" s="325">
        <f ca="1">SUMIF('Asientos-1'!B:P,Matriz!A74:A74,'Asientos-1'!M:M)</f>
        <v>2158200.0000000005</v>
      </c>
      <c r="I74" s="325">
        <f ca="1">SUMIF('Asientos-1'!B:P,Matriz!A74:A74,'Asientos-1'!N:N)</f>
        <v>497200.00000000093</v>
      </c>
      <c r="J74" s="325">
        <f ca="1">SUMIF('Asientos-1'!B:P,Matriz!A74:A74,'Asientos-1'!O:O)</f>
        <v>0</v>
      </c>
      <c r="K74" s="325">
        <f ca="1">SUMIF('Asientos-1'!B:P,Matriz!A74:A74,'Asientos-1'!P:P)</f>
        <v>0</v>
      </c>
      <c r="L74" s="350">
        <f ca="1">+G74-F74+D74</f>
        <v>-1118000.0000000005</v>
      </c>
      <c r="M74" s="337">
        <f ca="1">+E74+I74-H74</f>
        <v>-1660999.9999999995</v>
      </c>
    </row>
    <row r="75" spans="1:13" x14ac:dyDescent="0.25">
      <c r="A75" s="276" t="s">
        <v>116</v>
      </c>
      <c r="B75" s="317" t="s">
        <v>117</v>
      </c>
      <c r="C75" s="333"/>
      <c r="D75" s="275">
        <f>SUM(D69:D74)</f>
        <v>27053918</v>
      </c>
      <c r="E75" s="338">
        <f>SUM(E69:E74)</f>
        <v>23720737</v>
      </c>
      <c r="F75" s="325"/>
      <c r="G75" s="325"/>
      <c r="H75" s="325"/>
      <c r="I75" s="325"/>
      <c r="J75" s="325"/>
      <c r="K75" s="325"/>
      <c r="L75" s="351">
        <f t="shared" ref="L75:M75" ca="1" si="27">SUM(L69:L74)</f>
        <v>25381620.28799507</v>
      </c>
      <c r="M75" s="338">
        <f t="shared" ca="1" si="27"/>
        <v>21454099.960079998</v>
      </c>
    </row>
    <row r="76" spans="1:13" x14ac:dyDescent="0.25">
      <c r="A76" s="276" t="s">
        <v>118</v>
      </c>
      <c r="B76" s="320" t="s">
        <v>165</v>
      </c>
      <c r="C76" s="333"/>
      <c r="D76" s="279">
        <v>-3600000</v>
      </c>
      <c r="E76" s="336">
        <v>-3400000</v>
      </c>
      <c r="F76" s="325">
        <f ca="1">SUMIF('Asientos-1'!B:P,Matriz!A76:A76,'Asientos-1'!K:K)</f>
        <v>0</v>
      </c>
      <c r="G76" s="325">
        <f ca="1">SUMIF('Asientos-1'!B:P,Matriz!A76:A76,'Asientos-1'!L:L)</f>
        <v>3600000</v>
      </c>
      <c r="H76" s="325">
        <f ca="1">SUMIF('Asientos-1'!B:P,Matriz!A76:A76,'Asientos-1'!M:M)</f>
        <v>0</v>
      </c>
      <c r="I76" s="325">
        <f ca="1">SUMIF('Asientos-1'!B:P,Matriz!A76:A76,'Asientos-1'!N:N)</f>
        <v>3400000</v>
      </c>
      <c r="J76" s="325">
        <f ca="1">SUMIF('Asientos-1'!B:P,Matriz!A76:A76,'Asientos-1'!O:O)</f>
        <v>0</v>
      </c>
      <c r="K76" s="325">
        <f ca="1">SUMIF('Asientos-1'!B:P,Matriz!A76:A76,'Asientos-1'!P:P)</f>
        <v>0</v>
      </c>
      <c r="L76" s="353">
        <f ca="1">+D76+G76-F76</f>
        <v>0</v>
      </c>
      <c r="M76" s="336">
        <f ca="1">+E76+I76-H76</f>
        <v>0</v>
      </c>
    </row>
    <row r="77" spans="1:13" x14ac:dyDescent="0.25">
      <c r="A77" s="276" t="s">
        <v>164</v>
      </c>
      <c r="B77" s="320" t="s">
        <v>119</v>
      </c>
      <c r="C77" s="333"/>
      <c r="D77" s="280">
        <v>-11096575</v>
      </c>
      <c r="E77" s="337">
        <v>-9495889</v>
      </c>
      <c r="F77" s="296">
        <f ca="1">SUMIF('Asientos-1'!B:P,Matriz!A77:A77,'Asientos-1'!K:K)</f>
        <v>1516476.5063985216</v>
      </c>
      <c r="G77" s="296">
        <f ca="1">SUMIF('Asientos-1'!B:P,Matriz!A77:A77,'Asientos-1'!L:L)</f>
        <v>0</v>
      </c>
      <c r="H77" s="296">
        <f ca="1">SUMIF('Asientos-1'!B:P,Matriz!A77:A77,'Asientos-1'!M:M)</f>
        <v>1157241.3480240004</v>
      </c>
      <c r="I77" s="296">
        <f ca="1">SUMIF('Asientos-1'!B:P,Matriz!A77:A77,'Asientos-1'!N:N)</f>
        <v>0</v>
      </c>
      <c r="J77" s="296">
        <f ca="1">SUMIF('Asientos-1'!B:P,Matriz!A77:A77,'Asientos-1'!O:O)</f>
        <v>0</v>
      </c>
      <c r="K77" s="296">
        <f ca="1">SUMIF('Asientos-1'!B:P,Matriz!A77:A77,'Asientos-1'!P:P)</f>
        <v>0</v>
      </c>
      <c r="L77" s="353">
        <f ca="1">+D77+G77-F77</f>
        <v>-12613051.506398521</v>
      </c>
      <c r="M77" s="336">
        <f ca="1">+E77+I77-H77</f>
        <v>-10653130.348023999</v>
      </c>
    </row>
    <row r="78" spans="1:13" x14ac:dyDescent="0.25">
      <c r="B78" s="331" t="s">
        <v>120</v>
      </c>
      <c r="C78" s="339"/>
      <c r="D78" s="340">
        <f>SUM(D75:D77)</f>
        <v>12357343</v>
      </c>
      <c r="E78" s="341">
        <f>SUM(E75:E77)</f>
        <v>10824848</v>
      </c>
      <c r="F78" s="342">
        <f ca="1">SUM(F61:F77)</f>
        <v>18473774.218403451</v>
      </c>
      <c r="G78" s="342">
        <f t="shared" ref="G78:K78" ca="1" si="28">SUM(G61:G77)</f>
        <v>18885000</v>
      </c>
      <c r="H78" s="342">
        <f t="shared" ca="1" si="28"/>
        <v>15791578.387943998</v>
      </c>
      <c r="I78" s="342">
        <f t="shared" ca="1" si="28"/>
        <v>15767700</v>
      </c>
      <c r="J78" s="342">
        <f t="shared" ca="1" si="28"/>
        <v>0</v>
      </c>
      <c r="K78" s="342">
        <f t="shared" ca="1" si="28"/>
        <v>0</v>
      </c>
      <c r="L78" s="354">
        <f ca="1">SUM(L75:L77)</f>
        <v>12768568.781596549</v>
      </c>
      <c r="M78" s="341">
        <f ca="1">SUM(M75:M77)</f>
        <v>10800969.612055998</v>
      </c>
    </row>
    <row r="79" spans="1:13" x14ac:dyDescent="0.25">
      <c r="F79" s="277"/>
      <c r="G79" s="277"/>
      <c r="H79" s="277"/>
      <c r="I79" s="277"/>
      <c r="J79" s="277"/>
      <c r="K79" s="277"/>
      <c r="L79" s="286">
        <f ca="1">+L49-L78</f>
        <v>0</v>
      </c>
      <c r="M79" s="286">
        <f ca="1">+M49-M78</f>
        <v>0</v>
      </c>
    </row>
    <row r="80" spans="1:13" x14ac:dyDescent="0.25">
      <c r="C80" s="277"/>
      <c r="D80" s="277"/>
      <c r="F80" s="277"/>
      <c r="G80" s="277"/>
      <c r="H80" s="277"/>
      <c r="I80" s="277"/>
      <c r="J80" s="277"/>
      <c r="K80" s="277"/>
    </row>
    <row r="81" spans="6:11" x14ac:dyDescent="0.25">
      <c r="F81" s="277"/>
      <c r="G81" s="277"/>
      <c r="H81" s="277"/>
      <c r="I81" s="277"/>
      <c r="J81" s="277"/>
      <c r="K81" s="277"/>
    </row>
    <row r="82" spans="6:11" x14ac:dyDescent="0.25">
      <c r="F82" s="277"/>
      <c r="G82" s="277"/>
      <c r="H82" s="277"/>
      <c r="I82" s="277"/>
      <c r="J82" s="277"/>
      <c r="K82" s="277"/>
    </row>
    <row r="83" spans="6:11" x14ac:dyDescent="0.25">
      <c r="F83" s="277"/>
      <c r="G83" s="277"/>
      <c r="H83" s="277"/>
      <c r="I83" s="277"/>
      <c r="J83" s="277"/>
      <c r="K83" s="277"/>
    </row>
    <row r="84" spans="6:11" x14ac:dyDescent="0.25">
      <c r="F84" s="277"/>
      <c r="G84" s="277"/>
      <c r="H84" s="277"/>
      <c r="I84" s="277"/>
      <c r="J84" s="277"/>
      <c r="K84" s="277"/>
    </row>
    <row r="85" spans="6:11" x14ac:dyDescent="0.25">
      <c r="F85" s="277"/>
      <c r="G85" s="277"/>
      <c r="H85" s="277"/>
      <c r="I85" s="277"/>
      <c r="J85" s="277"/>
      <c r="K85" s="277"/>
    </row>
    <row r="86" spans="6:11" x14ac:dyDescent="0.25">
      <c r="F86" s="277"/>
      <c r="G86" s="277"/>
      <c r="H86" s="277"/>
      <c r="I86" s="277"/>
      <c r="J86" s="277"/>
      <c r="K86" s="277"/>
    </row>
    <row r="87" spans="6:11" x14ac:dyDescent="0.25">
      <c r="F87" s="277"/>
      <c r="G87" s="277"/>
      <c r="H87" s="277"/>
      <c r="I87" s="277"/>
      <c r="J87" s="277"/>
      <c r="K87" s="277"/>
    </row>
    <row r="88" spans="6:11" x14ac:dyDescent="0.25">
      <c r="F88" s="277"/>
      <c r="G88" s="277"/>
      <c r="H88" s="277"/>
      <c r="I88" s="277"/>
      <c r="J88" s="277"/>
      <c r="K88" s="277"/>
    </row>
    <row r="89" spans="6:11" x14ac:dyDescent="0.25">
      <c r="F89" s="277"/>
      <c r="G89" s="277"/>
      <c r="H89" s="277"/>
      <c r="I89" s="277"/>
      <c r="J89" s="277"/>
      <c r="K89" s="277"/>
    </row>
    <row r="90" spans="6:11" x14ac:dyDescent="0.25">
      <c r="F90" s="277"/>
      <c r="G90" s="277"/>
      <c r="H90" s="277"/>
      <c r="I90" s="277"/>
      <c r="J90" s="277"/>
      <c r="K90" s="277"/>
    </row>
    <row r="91" spans="6:11" x14ac:dyDescent="0.25">
      <c r="F91" s="277"/>
      <c r="G91" s="277"/>
      <c r="H91" s="277"/>
      <c r="I91" s="277"/>
      <c r="J91" s="277"/>
      <c r="K91" s="277"/>
    </row>
    <row r="92" spans="6:11" x14ac:dyDescent="0.25">
      <c r="F92" s="277"/>
      <c r="G92" s="277"/>
      <c r="H92" s="277"/>
      <c r="I92" s="277"/>
      <c r="J92" s="277"/>
      <c r="K92" s="277"/>
    </row>
    <row r="93" spans="6:11" x14ac:dyDescent="0.25">
      <c r="F93" s="277"/>
      <c r="G93" s="277"/>
      <c r="H93" s="277"/>
      <c r="I93" s="277"/>
      <c r="J93" s="277"/>
      <c r="K93" s="277"/>
    </row>
    <row r="94" spans="6:11" x14ac:dyDescent="0.25">
      <c r="F94" s="277"/>
      <c r="G94" s="277"/>
      <c r="H94" s="277"/>
      <c r="I94" s="277"/>
      <c r="J94" s="277"/>
      <c r="K94" s="277"/>
    </row>
    <row r="95" spans="6:11" x14ac:dyDescent="0.25">
      <c r="F95" s="277"/>
      <c r="G95" s="277"/>
      <c r="H95" s="277"/>
      <c r="I95" s="277"/>
      <c r="J95" s="277"/>
      <c r="K95" s="277"/>
    </row>
    <row r="96" spans="6:11" x14ac:dyDescent="0.25">
      <c r="F96" s="277"/>
      <c r="G96" s="277"/>
      <c r="H96" s="277"/>
      <c r="I96" s="277"/>
      <c r="J96" s="277"/>
      <c r="K96" s="277"/>
    </row>
    <row r="97" spans="6:11" x14ac:dyDescent="0.25">
      <c r="F97" s="277"/>
      <c r="G97" s="277"/>
      <c r="H97" s="277"/>
      <c r="I97" s="277"/>
      <c r="J97" s="277"/>
      <c r="K97" s="277"/>
    </row>
    <row r="98" spans="6:11" x14ac:dyDescent="0.25">
      <c r="F98" s="277"/>
      <c r="G98" s="277"/>
      <c r="H98" s="277"/>
      <c r="I98" s="277"/>
      <c r="J98" s="277"/>
      <c r="K98" s="277"/>
    </row>
    <row r="99" spans="6:11" x14ac:dyDescent="0.25">
      <c r="F99" s="277"/>
      <c r="G99" s="277"/>
      <c r="H99" s="277"/>
      <c r="I99" s="277"/>
      <c r="J99" s="277"/>
      <c r="K99" s="277"/>
    </row>
    <row r="100" spans="6:11" x14ac:dyDescent="0.25">
      <c r="F100" s="277"/>
      <c r="G100" s="277"/>
      <c r="H100" s="277"/>
      <c r="I100" s="277"/>
      <c r="J100" s="277"/>
      <c r="K100" s="277"/>
    </row>
    <row r="101" spans="6:11" x14ac:dyDescent="0.25">
      <c r="F101" s="277"/>
      <c r="G101" s="277"/>
      <c r="H101" s="277"/>
      <c r="I101" s="277"/>
      <c r="J101" s="277"/>
      <c r="K101" s="277"/>
    </row>
    <row r="102" spans="6:11" x14ac:dyDescent="0.25">
      <c r="F102" s="277"/>
      <c r="G102" s="277"/>
      <c r="H102" s="277"/>
      <c r="I102" s="277"/>
      <c r="J102" s="277"/>
      <c r="K102" s="277"/>
    </row>
    <row r="103" spans="6:11" x14ac:dyDescent="0.25">
      <c r="F103" s="277"/>
      <c r="G103" s="277"/>
      <c r="H103" s="277"/>
      <c r="I103" s="277"/>
      <c r="J103" s="277"/>
      <c r="K103" s="277"/>
    </row>
    <row r="104" spans="6:11" x14ac:dyDescent="0.25">
      <c r="F104" s="277"/>
      <c r="G104" s="277"/>
      <c r="H104" s="277"/>
      <c r="I104" s="277"/>
      <c r="J104" s="277"/>
      <c r="K104" s="277"/>
    </row>
    <row r="105" spans="6:11" x14ac:dyDescent="0.25">
      <c r="F105" s="277"/>
      <c r="G105" s="277"/>
      <c r="H105" s="277"/>
      <c r="I105" s="277"/>
      <c r="J105" s="277"/>
      <c r="K105" s="277"/>
    </row>
    <row r="106" spans="6:11" x14ac:dyDescent="0.25">
      <c r="F106" s="277"/>
      <c r="G106" s="277"/>
      <c r="H106" s="277"/>
      <c r="I106" s="277"/>
      <c r="J106" s="277"/>
      <c r="K106" s="277"/>
    </row>
    <row r="107" spans="6:11" x14ac:dyDescent="0.25">
      <c r="F107" s="277"/>
      <c r="G107" s="277"/>
      <c r="H107" s="277"/>
      <c r="I107" s="277"/>
      <c r="J107" s="277"/>
      <c r="K107" s="277"/>
    </row>
    <row r="108" spans="6:11" x14ac:dyDescent="0.25">
      <c r="F108" s="277"/>
      <c r="G108" s="277"/>
      <c r="H108" s="277"/>
      <c r="I108" s="277"/>
      <c r="J108" s="277"/>
      <c r="K108" s="277"/>
    </row>
    <row r="109" spans="6:11" x14ac:dyDescent="0.25">
      <c r="F109" s="277"/>
      <c r="G109" s="277"/>
      <c r="H109" s="277"/>
      <c r="I109" s="277"/>
      <c r="J109" s="277"/>
      <c r="K109" s="277"/>
    </row>
    <row r="110" spans="6:11" x14ac:dyDescent="0.25">
      <c r="F110" s="277"/>
      <c r="G110" s="277"/>
      <c r="H110" s="277"/>
      <c r="I110" s="277"/>
      <c r="J110" s="277"/>
      <c r="K110" s="277"/>
    </row>
    <row r="111" spans="6:11" x14ac:dyDescent="0.25">
      <c r="F111" s="277"/>
      <c r="G111" s="277"/>
      <c r="H111" s="277"/>
      <c r="I111" s="277"/>
      <c r="J111" s="277"/>
      <c r="K111" s="277"/>
    </row>
    <row r="112" spans="6:11" x14ac:dyDescent="0.25">
      <c r="F112" s="277"/>
      <c r="G112" s="277"/>
      <c r="H112" s="277"/>
      <c r="I112" s="277"/>
      <c r="J112" s="277"/>
      <c r="K112" s="277"/>
    </row>
    <row r="113" spans="6:11" x14ac:dyDescent="0.25">
      <c r="F113" s="277"/>
      <c r="G113" s="277"/>
      <c r="H113" s="277"/>
      <c r="I113" s="277"/>
      <c r="J113" s="277"/>
      <c r="K113" s="277"/>
    </row>
    <row r="114" spans="6:11" x14ac:dyDescent="0.25">
      <c r="F114" s="277"/>
      <c r="G114" s="277"/>
      <c r="H114" s="277"/>
      <c r="I114" s="277"/>
      <c r="J114" s="277"/>
      <c r="K114" s="277"/>
    </row>
    <row r="115" spans="6:11" x14ac:dyDescent="0.25">
      <c r="F115" s="277"/>
      <c r="G115" s="277"/>
      <c r="H115" s="277"/>
      <c r="I115" s="277"/>
      <c r="J115" s="277"/>
      <c r="K115" s="277"/>
    </row>
    <row r="116" spans="6:11" x14ac:dyDescent="0.25">
      <c r="F116" s="277"/>
      <c r="G116" s="277"/>
      <c r="H116" s="277"/>
      <c r="I116" s="277"/>
      <c r="J116" s="277"/>
      <c r="K116" s="277"/>
    </row>
    <row r="117" spans="6:11" x14ac:dyDescent="0.25">
      <c r="F117" s="277"/>
      <c r="G117" s="277"/>
      <c r="H117" s="277"/>
      <c r="I117" s="277"/>
      <c r="J117" s="277"/>
      <c r="K117" s="277"/>
    </row>
  </sheetData>
  <printOptions horizontalCentered="1"/>
  <pageMargins left="0.31496062992125984" right="0.31496062992125984" top="0.74803149606299213" bottom="0.74803149606299213" header="0.31496062992125984" footer="0.31496062992125984"/>
  <pageSetup scale="46" fitToHeight="2" orientation="landscape" r:id="rId1"/>
  <rowBreaks count="1" manualBreakCount="1">
    <brk id="53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5"/>
  <sheetViews>
    <sheetView zoomScale="70" zoomScaleNormal="70" zoomScaleSheetLayoutView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baseColWidth="10" defaultColWidth="9.140625" defaultRowHeight="15" x14ac:dyDescent="0.25"/>
  <cols>
    <col min="1" max="1" width="6.7109375" customWidth="1"/>
    <col min="2" max="2" width="67.7109375" style="18" bestFit="1" customWidth="1"/>
    <col min="3" max="3" width="19.42578125" style="18" bestFit="1" customWidth="1"/>
    <col min="4" max="4" width="18.7109375" style="18" bestFit="1" customWidth="1"/>
    <col min="5" max="5" width="3" style="18" customWidth="1"/>
    <col min="6" max="6" width="5.5703125" customWidth="1"/>
    <col min="7" max="7" width="65.28515625" style="18" bestFit="1" customWidth="1"/>
    <col min="8" max="8" width="19.42578125" style="18" bestFit="1" customWidth="1"/>
    <col min="9" max="9" width="18.7109375" style="18" bestFit="1" customWidth="1"/>
    <col min="10" max="10" width="2.5703125" customWidth="1"/>
    <col min="11" max="51" width="14.7109375" customWidth="1"/>
  </cols>
  <sheetData>
    <row r="1" spans="1:10" ht="15.75" x14ac:dyDescent="0.25">
      <c r="A1" s="173" t="s">
        <v>319</v>
      </c>
      <c r="B1" s="162"/>
      <c r="C1" s="172" t="s">
        <v>258</v>
      </c>
      <c r="D1" s="172" t="s">
        <v>257</v>
      </c>
      <c r="E1" s="65"/>
      <c r="F1" s="173" t="s">
        <v>319</v>
      </c>
      <c r="G1" s="162"/>
      <c r="H1" s="172" t="s">
        <v>258</v>
      </c>
      <c r="I1" s="172" t="s">
        <v>257</v>
      </c>
      <c r="J1" s="161"/>
    </row>
    <row r="2" spans="1:10" s="18" customFormat="1" ht="15.75" x14ac:dyDescent="0.25">
      <c r="A2" s="173" t="s">
        <v>428</v>
      </c>
      <c r="B2" s="162"/>
      <c r="C2" s="163">
        <v>2015</v>
      </c>
      <c r="D2" s="163">
        <v>2015</v>
      </c>
      <c r="E2" s="65"/>
      <c r="F2" s="173" t="s">
        <v>429</v>
      </c>
      <c r="G2" s="162"/>
      <c r="H2" s="163">
        <v>2015</v>
      </c>
      <c r="I2" s="163">
        <v>2015</v>
      </c>
      <c r="J2" s="65"/>
    </row>
    <row r="3" spans="1:10" s="18" customFormat="1" ht="15.75" x14ac:dyDescent="0.25">
      <c r="A3" s="173"/>
      <c r="B3" s="162"/>
      <c r="C3" s="163" t="s">
        <v>54</v>
      </c>
      <c r="D3" s="163" t="s">
        <v>54</v>
      </c>
      <c r="E3" s="65"/>
      <c r="F3" s="173"/>
      <c r="G3" s="162"/>
      <c r="H3" s="163" t="s">
        <v>54</v>
      </c>
      <c r="I3" s="163" t="s">
        <v>54</v>
      </c>
      <c r="J3" s="65"/>
    </row>
    <row r="4" spans="1:10" s="18" customFormat="1" ht="15.75" x14ac:dyDescent="0.2">
      <c r="A4" s="270" t="s">
        <v>256</v>
      </c>
      <c r="B4" s="276"/>
      <c r="C4" s="240">
        <f>+Matriz!D50</f>
        <v>105614577</v>
      </c>
      <c r="D4" s="240">
        <f>+Matriz!E50</f>
        <v>94457819</v>
      </c>
      <c r="E4" s="277"/>
      <c r="F4" s="276"/>
      <c r="G4" s="276"/>
      <c r="H4" s="276"/>
      <c r="I4" s="276"/>
      <c r="J4" s="65"/>
    </row>
    <row r="5" spans="1:10" s="18" customFormat="1" ht="15.75" x14ac:dyDescent="0.25">
      <c r="A5" s="274" t="s">
        <v>232</v>
      </c>
      <c r="B5" s="276"/>
      <c r="C5" s="276"/>
      <c r="D5" s="276"/>
      <c r="E5" s="276"/>
      <c r="F5" s="276"/>
      <c r="G5" s="270" t="s">
        <v>256</v>
      </c>
      <c r="H5" s="278">
        <f>+C4</f>
        <v>105614577</v>
      </c>
      <c r="I5" s="278">
        <f>+D4</f>
        <v>94457819</v>
      </c>
      <c r="J5" s="65"/>
    </row>
    <row r="6" spans="1:10" s="18" customFormat="1" ht="15.75" x14ac:dyDescent="0.25">
      <c r="A6" s="276"/>
      <c r="B6" s="274" t="s">
        <v>279</v>
      </c>
      <c r="C6" s="276"/>
      <c r="D6" s="276"/>
      <c r="E6" s="276"/>
      <c r="F6" s="276"/>
      <c r="G6" s="276"/>
      <c r="H6" s="276"/>
      <c r="I6" s="276"/>
      <c r="J6" s="65"/>
    </row>
    <row r="7" spans="1:10" s="18" customFormat="1" ht="15.75" x14ac:dyDescent="0.25">
      <c r="A7" s="276">
        <v>9</v>
      </c>
      <c r="B7" s="276" t="s">
        <v>238</v>
      </c>
      <c r="C7" s="279">
        <f>+'Asientos-1'!N90</f>
        <v>500000</v>
      </c>
      <c r="D7" s="279">
        <f>+'Asientos-1'!P90</f>
        <v>500000</v>
      </c>
      <c r="E7" s="279"/>
      <c r="F7" s="276"/>
      <c r="G7" s="274" t="s">
        <v>232</v>
      </c>
      <c r="H7" s="276"/>
      <c r="I7" s="276"/>
      <c r="J7" s="65"/>
    </row>
    <row r="8" spans="1:10" s="18" customFormat="1" ht="15.75" x14ac:dyDescent="0.25">
      <c r="A8" s="276">
        <v>31</v>
      </c>
      <c r="B8" s="276" t="s">
        <v>311</v>
      </c>
      <c r="C8" s="280">
        <f>-'Asientos-1'!M362</f>
        <v>-1050000</v>
      </c>
      <c r="D8" s="280">
        <f>-'Asientos-1'!O362</f>
        <v>-1050000</v>
      </c>
      <c r="E8" s="279"/>
      <c r="F8" s="276"/>
      <c r="G8" s="274" t="s">
        <v>279</v>
      </c>
      <c r="H8" s="276"/>
      <c r="I8" s="276"/>
      <c r="J8" s="65"/>
    </row>
    <row r="9" spans="1:10" s="18" customFormat="1" ht="15.75" x14ac:dyDescent="0.25">
      <c r="A9" s="276"/>
      <c r="B9" s="276"/>
      <c r="C9" s="275">
        <f t="shared" ref="C9" si="0">+C7+C8</f>
        <v>-550000</v>
      </c>
      <c r="D9" s="275">
        <f>+D7+D8</f>
        <v>-550000</v>
      </c>
      <c r="E9" s="279"/>
      <c r="F9" s="276">
        <v>9</v>
      </c>
      <c r="G9" s="276" t="s">
        <v>238</v>
      </c>
      <c r="H9" s="279">
        <f>+C7</f>
        <v>500000</v>
      </c>
      <c r="I9" s="279">
        <f>+D7</f>
        <v>500000</v>
      </c>
      <c r="J9" s="65"/>
    </row>
    <row r="10" spans="1:10" s="18" customFormat="1" ht="15.75" x14ac:dyDescent="0.25">
      <c r="A10" s="276"/>
      <c r="B10" s="274" t="s">
        <v>280</v>
      </c>
      <c r="C10" s="279"/>
      <c r="D10" s="279"/>
      <c r="E10" s="277"/>
      <c r="F10" s="276">
        <v>31</v>
      </c>
      <c r="G10" s="276" t="s">
        <v>311</v>
      </c>
      <c r="H10" s="279">
        <f>+C8</f>
        <v>-1050000</v>
      </c>
      <c r="I10" s="279">
        <f>+D8+D53</f>
        <v>-1050000</v>
      </c>
      <c r="J10" s="65"/>
    </row>
    <row r="11" spans="1:10" s="18" customFormat="1" ht="15.75" x14ac:dyDescent="0.25">
      <c r="A11" s="276">
        <v>19</v>
      </c>
      <c r="B11" s="276" t="s">
        <v>246</v>
      </c>
      <c r="C11" s="275">
        <f>-'Asientos-1'!M214</f>
        <v>-6000000</v>
      </c>
      <c r="D11" s="275">
        <f>-'Asientos-1'!O214</f>
        <v>-6000000</v>
      </c>
      <c r="E11" s="277"/>
      <c r="F11" s="276"/>
      <c r="G11" s="276"/>
      <c r="H11" s="279"/>
      <c r="I11" s="279"/>
      <c r="J11" s="65"/>
    </row>
    <row r="12" spans="1:10" s="18" customFormat="1" ht="15.75" x14ac:dyDescent="0.25">
      <c r="A12" s="276"/>
      <c r="B12" s="274" t="s">
        <v>281</v>
      </c>
      <c r="C12" s="279"/>
      <c r="D12" s="279"/>
      <c r="E12" s="279"/>
      <c r="F12" s="276"/>
      <c r="G12" s="274" t="s">
        <v>280</v>
      </c>
      <c r="H12" s="279"/>
      <c r="I12" s="279"/>
      <c r="J12" s="65"/>
    </row>
    <row r="13" spans="1:10" s="18" customFormat="1" x14ac:dyDescent="0.2">
      <c r="A13" s="276">
        <v>3</v>
      </c>
      <c r="B13" s="276" t="s">
        <v>328</v>
      </c>
      <c r="C13" s="279">
        <f>-'Asientos-1'!M13</f>
        <v>-800000</v>
      </c>
      <c r="D13" s="279">
        <f>-'Asientos-1'!O13</f>
        <v>-800000</v>
      </c>
      <c r="E13" s="279"/>
      <c r="F13" s="276">
        <v>19</v>
      </c>
      <c r="G13" s="276" t="s">
        <v>246</v>
      </c>
      <c r="H13" s="279">
        <f>+C11</f>
        <v>-6000000</v>
      </c>
      <c r="I13" s="279">
        <f>+D11</f>
        <v>-6000000</v>
      </c>
      <c r="J13" s="65"/>
    </row>
    <row r="14" spans="1:10" s="18" customFormat="1" ht="15.75" x14ac:dyDescent="0.25">
      <c r="A14" s="276">
        <v>4</v>
      </c>
      <c r="B14" s="276" t="s">
        <v>234</v>
      </c>
      <c r="C14" s="279">
        <f>-'Asientos-1'!M24</f>
        <v>-200000</v>
      </c>
      <c r="D14" s="279">
        <f>-'Asientos-1'!O24</f>
        <v>-200000</v>
      </c>
      <c r="E14" s="279"/>
      <c r="F14" s="276"/>
      <c r="G14" s="274" t="s">
        <v>281</v>
      </c>
      <c r="H14" s="279"/>
      <c r="I14" s="279"/>
      <c r="J14" s="65"/>
    </row>
    <row r="15" spans="1:10" s="18" customFormat="1" x14ac:dyDescent="0.2">
      <c r="A15" s="276">
        <v>5</v>
      </c>
      <c r="B15" s="276" t="s">
        <v>235</v>
      </c>
      <c r="C15" s="279">
        <f>+'Asientos-1'!N44</f>
        <v>3000000</v>
      </c>
      <c r="D15" s="279">
        <f>+'Asientos-1'!P44</f>
        <v>3000000</v>
      </c>
      <c r="E15" s="279"/>
      <c r="F15" s="276">
        <v>3</v>
      </c>
      <c r="G15" s="276" t="s">
        <v>233</v>
      </c>
      <c r="H15" s="279">
        <f t="shared" ref="H15:I21" si="1">+C13+C35</f>
        <v>-1100000</v>
      </c>
      <c r="I15" s="279">
        <f t="shared" si="1"/>
        <v>-800000</v>
      </c>
      <c r="J15" s="65"/>
    </row>
    <row r="16" spans="1:10" s="18" customFormat="1" x14ac:dyDescent="0.2">
      <c r="A16" s="276">
        <v>6</v>
      </c>
      <c r="B16" s="276" t="s">
        <v>236</v>
      </c>
      <c r="C16" s="279">
        <f>-'Asientos-1'!M47</f>
        <v>-450000</v>
      </c>
      <c r="D16" s="279">
        <f>-'Asientos-1'!O47</f>
        <v>-450000</v>
      </c>
      <c r="E16" s="279"/>
      <c r="F16" s="276">
        <v>4</v>
      </c>
      <c r="G16" s="276" t="s">
        <v>234</v>
      </c>
      <c r="H16" s="279">
        <f t="shared" si="1"/>
        <v>-240000</v>
      </c>
      <c r="I16" s="279">
        <f t="shared" si="1"/>
        <v>-200000</v>
      </c>
      <c r="J16" s="65"/>
    </row>
    <row r="17" spans="1:10" s="18" customFormat="1" x14ac:dyDescent="0.2">
      <c r="A17" s="276">
        <v>7</v>
      </c>
      <c r="B17" s="276" t="s">
        <v>237</v>
      </c>
      <c r="C17" s="279">
        <f>-'Asientos-1'!M64</f>
        <v>-40000</v>
      </c>
      <c r="D17" s="279">
        <f>-'Asientos-1'!O64</f>
        <v>-40000</v>
      </c>
      <c r="E17" s="279"/>
      <c r="F17" s="276">
        <v>5</v>
      </c>
      <c r="G17" s="276" t="s">
        <v>235</v>
      </c>
      <c r="H17" s="279">
        <f t="shared" si="1"/>
        <v>5000000</v>
      </c>
      <c r="I17" s="279">
        <f t="shared" si="1"/>
        <v>3000000</v>
      </c>
      <c r="J17" s="65"/>
    </row>
    <row r="18" spans="1:10" s="18" customFormat="1" x14ac:dyDescent="0.2">
      <c r="A18" s="276">
        <v>10</v>
      </c>
      <c r="B18" s="276" t="s">
        <v>239</v>
      </c>
      <c r="C18" s="279">
        <f>+'Asientos-1'!N95</f>
        <v>175000</v>
      </c>
      <c r="D18" s="279">
        <f>+'Asientos-1'!P95</f>
        <v>175000</v>
      </c>
      <c r="E18" s="279"/>
      <c r="F18" s="276">
        <v>6</v>
      </c>
      <c r="G18" s="276" t="s">
        <v>236</v>
      </c>
      <c r="H18" s="279">
        <f t="shared" si="1"/>
        <v>-600000</v>
      </c>
      <c r="I18" s="279">
        <f t="shared" si="1"/>
        <v>-450000</v>
      </c>
      <c r="J18" s="65"/>
    </row>
    <row r="19" spans="1:10" s="18" customFormat="1" x14ac:dyDescent="0.2">
      <c r="A19" s="276">
        <v>11</v>
      </c>
      <c r="B19" s="276" t="s">
        <v>240</v>
      </c>
      <c r="C19" s="279">
        <f>+'Asientos-1'!N113</f>
        <v>3060000</v>
      </c>
      <c r="D19" s="279">
        <f>+'Asientos-1'!P113</f>
        <v>3060000</v>
      </c>
      <c r="E19" s="279"/>
      <c r="F19" s="276">
        <v>7</v>
      </c>
      <c r="G19" s="276" t="s">
        <v>237</v>
      </c>
      <c r="H19" s="279">
        <f t="shared" si="1"/>
        <v>-160000</v>
      </c>
      <c r="I19" s="279">
        <f t="shared" si="1"/>
        <v>-40000</v>
      </c>
      <c r="J19" s="65"/>
    </row>
    <row r="20" spans="1:10" s="18" customFormat="1" x14ac:dyDescent="0.2">
      <c r="A20" s="276">
        <v>12</v>
      </c>
      <c r="B20" s="276" t="s">
        <v>241</v>
      </c>
      <c r="C20" s="279">
        <f>'Asientos-1'!M130</f>
        <v>100000</v>
      </c>
      <c r="D20" s="279">
        <f>'Asientos-1'!O130</f>
        <v>100000</v>
      </c>
      <c r="E20" s="279"/>
      <c r="F20" s="276">
        <v>10</v>
      </c>
      <c r="G20" s="276" t="s">
        <v>239</v>
      </c>
      <c r="H20" s="279">
        <f t="shared" si="1"/>
        <v>162500</v>
      </c>
      <c r="I20" s="279">
        <f t="shared" si="1"/>
        <v>175000</v>
      </c>
      <c r="J20" s="65"/>
    </row>
    <row r="21" spans="1:10" s="18" customFormat="1" x14ac:dyDescent="0.2">
      <c r="A21" s="276">
        <v>13</v>
      </c>
      <c r="B21" s="276" t="s">
        <v>242</v>
      </c>
      <c r="C21" s="279">
        <f>-+'Asientos-1'!M150</f>
        <v>-900000</v>
      </c>
      <c r="D21" s="279">
        <f>-'Asientos-1'!O146</f>
        <v>-900000</v>
      </c>
      <c r="E21" s="279"/>
      <c r="F21" s="276">
        <v>11</v>
      </c>
      <c r="G21" s="276" t="s">
        <v>240</v>
      </c>
      <c r="H21" s="279">
        <f t="shared" si="1"/>
        <v>4972500</v>
      </c>
      <c r="I21" s="279">
        <f t="shared" si="1"/>
        <v>3060000</v>
      </c>
      <c r="J21" s="65"/>
    </row>
    <row r="22" spans="1:10" s="18" customFormat="1" x14ac:dyDescent="0.2">
      <c r="A22" s="276">
        <v>15</v>
      </c>
      <c r="B22" s="276" t="s">
        <v>243</v>
      </c>
      <c r="C22" s="279">
        <f>-'Asientos-1'!M169</f>
        <v>-600000</v>
      </c>
      <c r="D22" s="279">
        <f>-'Asientos-1'!O169</f>
        <v>-600000</v>
      </c>
      <c r="E22" s="279"/>
      <c r="F22" s="276">
        <v>12</v>
      </c>
      <c r="G22" s="276" t="s">
        <v>241</v>
      </c>
      <c r="H22" s="279">
        <f>+C20</f>
        <v>100000</v>
      </c>
      <c r="I22" s="279">
        <f>+D20</f>
        <v>100000</v>
      </c>
      <c r="J22" s="65"/>
    </row>
    <row r="23" spans="1:10" s="18" customFormat="1" x14ac:dyDescent="0.2">
      <c r="A23" s="276">
        <v>16</v>
      </c>
      <c r="B23" s="276" t="s">
        <v>244</v>
      </c>
      <c r="C23" s="279">
        <f>+'Asientos-1'!N181</f>
        <v>32400.000000000164</v>
      </c>
      <c r="D23" s="279">
        <f>+'Asientos-1'!P181</f>
        <v>32400.000000000164</v>
      </c>
      <c r="E23" s="279"/>
      <c r="F23" s="276">
        <v>13</v>
      </c>
      <c r="G23" s="276" t="s">
        <v>242</v>
      </c>
      <c r="H23" s="279">
        <f t="shared" ref="H23:I26" si="2">+C21+C42</f>
        <v>-1000000</v>
      </c>
      <c r="I23" s="279">
        <f t="shared" si="2"/>
        <v>-900000</v>
      </c>
      <c r="J23" s="65"/>
    </row>
    <row r="24" spans="1:10" s="18" customFormat="1" x14ac:dyDescent="0.2">
      <c r="A24" s="276">
        <v>17</v>
      </c>
      <c r="B24" s="276" t="s">
        <v>245</v>
      </c>
      <c r="C24" s="279">
        <f>-'Asientos-1'!M197</f>
        <v>-108000.00000000054</v>
      </c>
      <c r="D24" s="279">
        <f>-'Asientos-1'!O197</f>
        <v>-108000.00000000054</v>
      </c>
      <c r="E24" s="277"/>
      <c r="F24" s="276">
        <v>15</v>
      </c>
      <c r="G24" s="276" t="s">
        <v>243</v>
      </c>
      <c r="H24" s="279">
        <f t="shared" si="2"/>
        <v>-700000</v>
      </c>
      <c r="I24" s="279">
        <f t="shared" si="2"/>
        <v>-600000</v>
      </c>
      <c r="J24" s="65"/>
    </row>
    <row r="25" spans="1:10" s="18" customFormat="1" x14ac:dyDescent="0.2">
      <c r="A25" s="276">
        <v>21</v>
      </c>
      <c r="B25" s="276" t="s">
        <v>248</v>
      </c>
      <c r="C25" s="279">
        <f>-'Asientos-1'!M231</f>
        <v>-900000</v>
      </c>
      <c r="D25" s="279">
        <f>-'Asientos-1'!O231</f>
        <v>-900000</v>
      </c>
      <c r="E25" s="277"/>
      <c r="F25" s="276">
        <v>16</v>
      </c>
      <c r="G25" s="276" t="s">
        <v>244</v>
      </c>
      <c r="H25" s="279">
        <f t="shared" si="2"/>
        <v>-125800.00000000013</v>
      </c>
      <c r="I25" s="279">
        <f t="shared" si="2"/>
        <v>32400.000000000164</v>
      </c>
      <c r="J25" s="65"/>
    </row>
    <row r="26" spans="1:10" s="18" customFormat="1" x14ac:dyDescent="0.2">
      <c r="A26" s="276">
        <v>22</v>
      </c>
      <c r="B26" s="276" t="s">
        <v>249</v>
      </c>
      <c r="C26" s="279">
        <f>-'Asientos-1'!M244+-'Asientos-1'!M248</f>
        <v>-140000</v>
      </c>
      <c r="D26" s="279">
        <f>-'Asientos-1'!O244+-'Asientos-1'!O248</f>
        <v>-140000</v>
      </c>
      <c r="E26" s="277"/>
      <c r="F26" s="276">
        <v>17</v>
      </c>
      <c r="G26" s="276" t="s">
        <v>245</v>
      </c>
      <c r="H26" s="279">
        <f t="shared" si="2"/>
        <v>497200.00000000099</v>
      </c>
      <c r="I26" s="279">
        <f t="shared" si="2"/>
        <v>-108000.00000000054</v>
      </c>
      <c r="J26" s="65"/>
    </row>
    <row r="27" spans="1:10" s="18" customFormat="1" x14ac:dyDescent="0.2">
      <c r="A27" s="276">
        <v>24</v>
      </c>
      <c r="B27" s="276" t="s">
        <v>251</v>
      </c>
      <c r="C27" s="279">
        <f>-'Asientos-1'!M273</f>
        <v>-2500000</v>
      </c>
      <c r="D27" s="279">
        <f>-'Asientos-1'!O273</f>
        <v>-2500000</v>
      </c>
      <c r="E27" s="277"/>
      <c r="F27" s="276">
        <v>21</v>
      </c>
      <c r="G27" s="276" t="s">
        <v>248</v>
      </c>
      <c r="H27" s="279">
        <f>+C25+C47</f>
        <v>-1100000</v>
      </c>
      <c r="I27" s="279">
        <f>+D25+D47</f>
        <v>-900000</v>
      </c>
      <c r="J27" s="65"/>
    </row>
    <row r="28" spans="1:10" s="18" customFormat="1" x14ac:dyDescent="0.2">
      <c r="A28" s="276">
        <v>25</v>
      </c>
      <c r="B28" s="276" t="s">
        <v>252</v>
      </c>
      <c r="C28" s="279">
        <f>+'Asientos-1'!N285</f>
        <v>96475.253532565199</v>
      </c>
      <c r="D28" s="279">
        <f>+'Asientos-1'!P285</f>
        <v>96475.253532565199</v>
      </c>
      <c r="E28" s="277"/>
      <c r="F28" s="276">
        <v>22</v>
      </c>
      <c r="G28" s="276" t="s">
        <v>249</v>
      </c>
      <c r="H28" s="279">
        <f>+C26+C48</f>
        <v>-282000</v>
      </c>
      <c r="I28" s="279">
        <f>+D26+D48</f>
        <v>-140000</v>
      </c>
      <c r="J28" s="65"/>
    </row>
    <row r="29" spans="1:10" s="18" customFormat="1" x14ac:dyDescent="0.2">
      <c r="A29" s="276">
        <v>26</v>
      </c>
      <c r="B29" s="276" t="s">
        <v>253</v>
      </c>
      <c r="C29" s="279">
        <f>-'Asientos-1'!M301</f>
        <v>-3200000</v>
      </c>
      <c r="D29" s="279">
        <f>-'Asientos-1'!O301</f>
        <v>-3200000</v>
      </c>
      <c r="E29" s="277"/>
      <c r="F29" s="276">
        <v>24</v>
      </c>
      <c r="G29" s="276" t="s">
        <v>251</v>
      </c>
      <c r="H29" s="279">
        <f t="shared" ref="H29:I31" si="3">+C27+C50</f>
        <v>-2250000</v>
      </c>
      <c r="I29" s="279">
        <f t="shared" si="3"/>
        <v>-2500000</v>
      </c>
      <c r="J29" s="65"/>
    </row>
    <row r="30" spans="1:10" s="18" customFormat="1" x14ac:dyDescent="0.2">
      <c r="A30" s="276">
        <v>29</v>
      </c>
      <c r="B30" s="276" t="s">
        <v>254</v>
      </c>
      <c r="C30" s="279">
        <f>+'Asientos-1'!N323</f>
        <v>2800000</v>
      </c>
      <c r="D30" s="279">
        <f>+'Asientos-1'!P323</f>
        <v>2800000</v>
      </c>
      <c r="E30" s="277"/>
      <c r="F30" s="276">
        <v>25</v>
      </c>
      <c r="G30" s="276" t="s">
        <v>252</v>
      </c>
      <c r="H30" s="279">
        <f t="shared" si="3"/>
        <v>51744.81361256633</v>
      </c>
      <c r="I30" s="279">
        <f t="shared" si="3"/>
        <v>96475.253532565199</v>
      </c>
      <c r="J30" s="65"/>
    </row>
    <row r="31" spans="1:10" s="18" customFormat="1" x14ac:dyDescent="0.2">
      <c r="A31" s="276">
        <v>31</v>
      </c>
      <c r="B31" s="276" t="s">
        <v>311</v>
      </c>
      <c r="C31" s="279">
        <f>+'Asientos-1'!N336</f>
        <v>4145859.8239402301</v>
      </c>
      <c r="D31" s="279">
        <f>+'Asientos-1'!P336</f>
        <v>4145859.8239402301</v>
      </c>
      <c r="E31" s="277"/>
      <c r="F31" s="276">
        <v>26</v>
      </c>
      <c r="G31" s="276" t="s">
        <v>253</v>
      </c>
      <c r="H31" s="279">
        <f t="shared" si="3"/>
        <v>-4000000</v>
      </c>
      <c r="I31" s="279">
        <f t="shared" si="3"/>
        <v>-3200000</v>
      </c>
      <c r="J31" s="65"/>
    </row>
    <row r="32" spans="1:10" s="18" customFormat="1" x14ac:dyDescent="0.2">
      <c r="A32" s="276">
        <v>30</v>
      </c>
      <c r="B32" s="276" t="s">
        <v>255</v>
      </c>
      <c r="C32" s="280">
        <f>-'Asientos-1'!M331</f>
        <v>-3200000</v>
      </c>
      <c r="D32" s="280">
        <f>-'Asientos-1'!O331</f>
        <v>-3200000</v>
      </c>
      <c r="E32" s="277"/>
      <c r="F32" s="276">
        <v>29</v>
      </c>
      <c r="G32" s="276" t="s">
        <v>254</v>
      </c>
      <c r="H32" s="279">
        <f>+C30+C54</f>
        <v>3500000</v>
      </c>
      <c r="I32" s="279">
        <f>+D30+D54</f>
        <v>2800000</v>
      </c>
      <c r="J32" s="65"/>
    </row>
    <row r="33" spans="1:10" s="18" customFormat="1" ht="15.75" x14ac:dyDescent="0.25">
      <c r="A33" s="276"/>
      <c r="B33" s="276"/>
      <c r="C33" s="275">
        <f>SUM(C13:C32)</f>
        <v>371735.0774727948</v>
      </c>
      <c r="D33" s="275">
        <f>SUM(D13:D32)</f>
        <v>371735.0774727948</v>
      </c>
      <c r="E33" s="277"/>
      <c r="F33" s="276">
        <v>31</v>
      </c>
      <c r="G33" s="276" t="s">
        <v>311</v>
      </c>
      <c r="H33" s="279">
        <f>+C31+C53</f>
        <v>2988618.4759162297</v>
      </c>
      <c r="I33" s="279">
        <f>+D31+D53</f>
        <v>4145859.8239402301</v>
      </c>
      <c r="J33" s="65"/>
    </row>
    <row r="34" spans="1:10" s="18" customFormat="1" ht="15.75" x14ac:dyDescent="0.25">
      <c r="A34" s="276"/>
      <c r="B34" s="274" t="s">
        <v>404</v>
      </c>
      <c r="C34" s="279"/>
      <c r="D34" s="279"/>
      <c r="E34" s="277"/>
      <c r="F34" s="276">
        <v>30</v>
      </c>
      <c r="G34" s="276" t="s">
        <v>255</v>
      </c>
      <c r="H34" s="279">
        <f>+C32</f>
        <v>-3200000</v>
      </c>
      <c r="I34" s="279">
        <f>+D32</f>
        <v>-3200000</v>
      </c>
      <c r="J34" s="65"/>
    </row>
    <row r="35" spans="1:10" s="18" customFormat="1" x14ac:dyDescent="0.2">
      <c r="A35" s="276">
        <v>3</v>
      </c>
      <c r="B35" s="276" t="s">
        <v>328</v>
      </c>
      <c r="C35" s="279">
        <f>-'Asientos-1'!M15</f>
        <v>-300000</v>
      </c>
      <c r="D35" s="279">
        <v>0</v>
      </c>
      <c r="E35" s="277"/>
      <c r="F35" s="276">
        <v>20</v>
      </c>
      <c r="G35" s="276" t="s">
        <v>247</v>
      </c>
      <c r="H35" s="281">
        <f>+C46</f>
        <v>-2064201.6</v>
      </c>
      <c r="I35" s="282">
        <v>0</v>
      </c>
      <c r="J35" s="65"/>
    </row>
    <row r="36" spans="1:10" s="18" customFormat="1" x14ac:dyDescent="0.2">
      <c r="A36" s="276">
        <v>4</v>
      </c>
      <c r="B36" s="276" t="s">
        <v>234</v>
      </c>
      <c r="C36" s="279">
        <f>-'Asientos-1'!M25</f>
        <v>-40000</v>
      </c>
      <c r="D36" s="279">
        <v>0</v>
      </c>
      <c r="E36" s="277"/>
      <c r="F36" s="276">
        <v>23</v>
      </c>
      <c r="G36" s="276" t="s">
        <v>250</v>
      </c>
      <c r="H36" s="283">
        <f>+C49</f>
        <v>-102705</v>
      </c>
      <c r="I36" s="284">
        <v>0</v>
      </c>
      <c r="J36" s="65"/>
    </row>
    <row r="37" spans="1:10" s="18" customFormat="1" ht="15.75" x14ac:dyDescent="0.2">
      <c r="A37" s="276">
        <v>5</v>
      </c>
      <c r="B37" s="276" t="s">
        <v>235</v>
      </c>
      <c r="C37" s="279">
        <f>+'Asientos-1'!N42-'Asientos-1'!M43</f>
        <v>2000000</v>
      </c>
      <c r="D37" s="279">
        <v>0</v>
      </c>
      <c r="E37" s="277"/>
      <c r="F37" s="276"/>
      <c r="G37" s="270" t="s">
        <v>259</v>
      </c>
      <c r="H37" s="285">
        <f>SUM(H5:H36)</f>
        <v>99412433.689528808</v>
      </c>
      <c r="I37" s="285">
        <f>SUM(I5:I36)</f>
        <v>88279554.077472791</v>
      </c>
      <c r="J37" s="65"/>
    </row>
    <row r="38" spans="1:10" s="18" customFormat="1" x14ac:dyDescent="0.2">
      <c r="A38" s="276">
        <v>6</v>
      </c>
      <c r="B38" s="276" t="s">
        <v>236</v>
      </c>
      <c r="C38" s="279">
        <f>-'Asientos-1'!M48</f>
        <v>-150000</v>
      </c>
      <c r="D38" s="279">
        <v>0</v>
      </c>
      <c r="E38" s="277"/>
      <c r="F38" s="276"/>
      <c r="G38" s="276"/>
      <c r="H38" s="279"/>
      <c r="I38" s="279"/>
      <c r="J38" s="65"/>
    </row>
    <row r="39" spans="1:10" s="18" customFormat="1" ht="15.75" x14ac:dyDescent="0.25">
      <c r="A39" s="276">
        <v>7</v>
      </c>
      <c r="B39" s="276" t="s">
        <v>237</v>
      </c>
      <c r="C39" s="279">
        <f>-'Asientos-1'!M65</f>
        <v>-120000</v>
      </c>
      <c r="D39" s="279">
        <v>0</v>
      </c>
      <c r="E39" s="277"/>
      <c r="F39" s="276"/>
      <c r="G39" s="276"/>
      <c r="H39" s="275">
        <f>+H37-H5</f>
        <v>-6202143.310471192</v>
      </c>
      <c r="I39" s="279"/>
      <c r="J39" s="65"/>
    </row>
    <row r="40" spans="1:10" s="18" customFormat="1" x14ac:dyDescent="0.2">
      <c r="A40" s="276">
        <v>10</v>
      </c>
      <c r="B40" s="276" t="s">
        <v>239</v>
      </c>
      <c r="C40" s="279">
        <f>-'Asientos-1'!M94</f>
        <v>-12500</v>
      </c>
      <c r="D40" s="279">
        <v>0</v>
      </c>
      <c r="E40" s="277"/>
      <c r="F40" s="276"/>
      <c r="G40" s="276"/>
      <c r="H40" s="279"/>
      <c r="I40" s="279"/>
      <c r="J40" s="65"/>
    </row>
    <row r="41" spans="1:10" s="18" customFormat="1" x14ac:dyDescent="0.2">
      <c r="A41" s="276">
        <v>11</v>
      </c>
      <c r="B41" s="276" t="s">
        <v>240</v>
      </c>
      <c r="C41" s="279">
        <f>+'Asientos-1'!N114</f>
        <v>1912500</v>
      </c>
      <c r="D41" s="279">
        <v>0</v>
      </c>
      <c r="E41" s="277"/>
      <c r="F41" s="276"/>
      <c r="G41" s="276"/>
      <c r="H41" s="279"/>
      <c r="I41" s="279"/>
      <c r="J41" s="65"/>
    </row>
    <row r="42" spans="1:10" s="18" customFormat="1" x14ac:dyDescent="0.2">
      <c r="A42" s="276">
        <v>13</v>
      </c>
      <c r="B42" s="276" t="s">
        <v>242</v>
      </c>
      <c r="C42" s="279">
        <f>+'Asientos-1'!N151-'Asientos-1'!M147</f>
        <v>-100000</v>
      </c>
      <c r="D42" s="279">
        <v>0</v>
      </c>
      <c r="E42" s="277"/>
      <c r="F42" s="276"/>
      <c r="G42" s="276"/>
      <c r="H42" s="279"/>
      <c r="I42" s="279"/>
      <c r="J42" s="65"/>
    </row>
    <row r="43" spans="1:10" s="18" customFormat="1" x14ac:dyDescent="0.2">
      <c r="A43" s="276">
        <v>15</v>
      </c>
      <c r="B43" s="276" t="s">
        <v>243</v>
      </c>
      <c r="C43" s="279">
        <f>-'Asientos-1'!M166-'Asientos-1'!M167-'Asientos-1'!M168</f>
        <v>-100000</v>
      </c>
      <c r="D43" s="279">
        <v>0</v>
      </c>
      <c r="E43" s="277"/>
      <c r="F43" s="276"/>
      <c r="G43" s="276"/>
      <c r="H43" s="279"/>
      <c r="I43" s="279"/>
      <c r="J43" s="65"/>
    </row>
    <row r="44" spans="1:10" s="18" customFormat="1" x14ac:dyDescent="0.2">
      <c r="A44" s="276">
        <v>16</v>
      </c>
      <c r="B44" s="276" t="s">
        <v>244</v>
      </c>
      <c r="C44" s="279">
        <f>-'Asientos-1'!M180</f>
        <v>-158200.00000000029</v>
      </c>
      <c r="D44" s="279">
        <v>0</v>
      </c>
      <c r="E44" s="277"/>
      <c r="F44" s="276"/>
      <c r="G44" s="276"/>
      <c r="H44" s="279"/>
      <c r="I44" s="279"/>
      <c r="J44" s="65"/>
    </row>
    <row r="45" spans="1:10" s="18" customFormat="1" x14ac:dyDescent="0.2">
      <c r="A45" s="276">
        <v>17</v>
      </c>
      <c r="B45" s="276" t="s">
        <v>245</v>
      </c>
      <c r="C45" s="279">
        <f>+'Asientos-1'!N196+'Asientos-1'!N198</f>
        <v>605200.00000000151</v>
      </c>
      <c r="D45" s="279">
        <v>0</v>
      </c>
      <c r="E45" s="277"/>
      <c r="F45" s="276"/>
      <c r="G45" s="276"/>
      <c r="H45" s="279"/>
      <c r="I45" s="279"/>
      <c r="J45" s="65"/>
    </row>
    <row r="46" spans="1:10" s="18" customFormat="1" x14ac:dyDescent="0.2">
      <c r="A46" s="276">
        <v>20</v>
      </c>
      <c r="B46" s="276" t="s">
        <v>247</v>
      </c>
      <c r="C46" s="279">
        <f>-'Asientos-1'!M222</f>
        <v>-2064201.6</v>
      </c>
      <c r="D46" s="279">
        <v>0</v>
      </c>
      <c r="E46" s="277"/>
      <c r="F46" s="276"/>
      <c r="G46" s="276"/>
      <c r="H46" s="279"/>
      <c r="I46" s="279"/>
      <c r="J46" s="65"/>
    </row>
    <row r="47" spans="1:10" s="18" customFormat="1" x14ac:dyDescent="0.2">
      <c r="A47" s="276">
        <v>21</v>
      </c>
      <c r="B47" s="276" t="s">
        <v>248</v>
      </c>
      <c r="C47" s="279">
        <f>-'Asientos-1'!M232</f>
        <v>-200000</v>
      </c>
      <c r="D47" s="279">
        <v>0</v>
      </c>
      <c r="E47" s="277"/>
      <c r="F47" s="276"/>
      <c r="G47" s="276"/>
      <c r="H47" s="279"/>
      <c r="I47" s="279"/>
      <c r="J47" s="65"/>
    </row>
    <row r="48" spans="1:10" s="18" customFormat="1" x14ac:dyDescent="0.2">
      <c r="A48" s="276">
        <v>22</v>
      </c>
      <c r="B48" s="276" t="s">
        <v>249</v>
      </c>
      <c r="C48" s="279">
        <f>-'Asientos-1'!M245-'Asientos-1'!M249</f>
        <v>-142000</v>
      </c>
      <c r="D48" s="279">
        <v>0</v>
      </c>
      <c r="E48" s="277"/>
      <c r="F48" s="276"/>
      <c r="G48" s="276"/>
      <c r="H48" s="279"/>
      <c r="I48" s="279"/>
      <c r="J48" s="65"/>
    </row>
    <row r="49" spans="1:10" s="18" customFormat="1" x14ac:dyDescent="0.2">
      <c r="A49" s="276">
        <v>23</v>
      </c>
      <c r="B49" s="276" t="s">
        <v>250</v>
      </c>
      <c r="C49" s="279">
        <f>-'Asientos-1'!M265</f>
        <v>-102705</v>
      </c>
      <c r="D49" s="279">
        <v>0</v>
      </c>
      <c r="E49" s="277"/>
      <c r="F49" s="276"/>
      <c r="G49" s="276"/>
      <c r="H49" s="279"/>
      <c r="I49" s="279"/>
      <c r="J49" s="65"/>
    </row>
    <row r="50" spans="1:10" s="18" customFormat="1" x14ac:dyDescent="0.2">
      <c r="A50" s="276">
        <v>24</v>
      </c>
      <c r="B50" s="276" t="s">
        <v>251</v>
      </c>
      <c r="C50" s="279">
        <f>+'Asientos-1'!N274</f>
        <v>250000</v>
      </c>
      <c r="D50" s="279">
        <v>0</v>
      </c>
      <c r="E50" s="277"/>
      <c r="F50" s="276"/>
      <c r="G50" s="276"/>
      <c r="H50" s="279"/>
      <c r="I50" s="279"/>
      <c r="J50" s="65"/>
    </row>
    <row r="51" spans="1:10" s="18" customFormat="1" x14ac:dyDescent="0.2">
      <c r="A51" s="276">
        <v>25</v>
      </c>
      <c r="B51" s="276" t="s">
        <v>252</v>
      </c>
      <c r="C51" s="279">
        <f>-'Asientos-1'!M284</f>
        <v>-44730.439919998869</v>
      </c>
      <c r="D51" s="279">
        <v>0</v>
      </c>
      <c r="E51" s="277"/>
      <c r="F51" s="276"/>
      <c r="G51" s="276"/>
      <c r="H51" s="279"/>
      <c r="I51" s="279"/>
      <c r="J51" s="65"/>
    </row>
    <row r="52" spans="1:10" s="18" customFormat="1" x14ac:dyDescent="0.2">
      <c r="A52" s="276">
        <v>26</v>
      </c>
      <c r="B52" s="276" t="s">
        <v>253</v>
      </c>
      <c r="C52" s="279">
        <f>-'Asientos-1'!M302</f>
        <v>-800000</v>
      </c>
      <c r="D52" s="279">
        <v>0</v>
      </c>
      <c r="E52" s="277"/>
      <c r="F52" s="276"/>
      <c r="G52" s="276"/>
      <c r="H52" s="279"/>
      <c r="I52" s="279"/>
      <c r="J52" s="65"/>
    </row>
    <row r="53" spans="1:10" s="18" customFormat="1" x14ac:dyDescent="0.2">
      <c r="A53" s="276">
        <v>31</v>
      </c>
      <c r="B53" s="276" t="s">
        <v>311</v>
      </c>
      <c r="C53" s="279">
        <f>-'Asientos-1'!M337</f>
        <v>-1157241.3480240004</v>
      </c>
      <c r="D53" s="279">
        <v>0</v>
      </c>
      <c r="E53" s="276"/>
      <c r="F53" s="276"/>
      <c r="G53" s="276"/>
      <c r="H53" s="279"/>
      <c r="I53" s="279"/>
      <c r="J53" s="65"/>
    </row>
    <row r="54" spans="1:10" s="18" customFormat="1" x14ac:dyDescent="0.2">
      <c r="A54" s="276">
        <v>29</v>
      </c>
      <c r="B54" s="276" t="s">
        <v>431</v>
      </c>
      <c r="C54" s="280">
        <f>+'Asientos-1'!N324</f>
        <v>700000</v>
      </c>
      <c r="D54" s="280">
        <v>0</v>
      </c>
      <c r="E54" s="277"/>
      <c r="F54" s="276"/>
      <c r="G54" s="276"/>
      <c r="H54" s="279"/>
      <c r="I54" s="279"/>
      <c r="J54" s="65"/>
    </row>
    <row r="55" spans="1:10" s="18" customFormat="1" ht="15.75" x14ac:dyDescent="0.25">
      <c r="A55" s="276"/>
      <c r="B55" s="276"/>
      <c r="C55" s="275">
        <f>SUM(C35:C54)</f>
        <v>-23878.387943998445</v>
      </c>
      <c r="D55" s="275">
        <f>SUM(D35:D54)</f>
        <v>0</v>
      </c>
      <c r="E55" s="17"/>
      <c r="F55" s="276"/>
      <c r="G55" s="276"/>
      <c r="H55" s="279"/>
      <c r="I55" s="279"/>
      <c r="J55" s="65"/>
    </row>
    <row r="56" spans="1:10" s="18" customFormat="1" ht="15.75" x14ac:dyDescent="0.2">
      <c r="A56" s="276"/>
      <c r="B56" s="270" t="s">
        <v>259</v>
      </c>
      <c r="C56" s="240">
        <f>+C4+C9+C11+C33+C55</f>
        <v>99412433.689528793</v>
      </c>
      <c r="D56" s="240">
        <f>+D4+D9+D11+D33+D55</f>
        <v>88279554.077472791</v>
      </c>
      <c r="E56" s="17"/>
      <c r="F56" s="276"/>
      <c r="G56" s="276"/>
      <c r="H56" s="286">
        <f>+C56-H37</f>
        <v>0</v>
      </c>
      <c r="I56" s="286">
        <f>+D56-I37</f>
        <v>0</v>
      </c>
      <c r="J56" s="65"/>
    </row>
    <row r="57" spans="1:10" s="18" customFormat="1" x14ac:dyDescent="0.2">
      <c r="A57" s="17"/>
      <c r="B57" s="17"/>
      <c r="C57" s="17"/>
      <c r="D57" s="17"/>
      <c r="E57" s="277"/>
      <c r="F57" s="17"/>
      <c r="G57" s="17"/>
      <c r="H57" s="17"/>
      <c r="I57" s="17"/>
      <c r="J57" s="65"/>
    </row>
    <row r="58" spans="1:10" s="18" customFormat="1" ht="12.75" x14ac:dyDescent="0.2">
      <c r="A58" s="17"/>
      <c r="B58" s="271" t="s">
        <v>316</v>
      </c>
      <c r="C58" s="272">
        <f ca="1">+C56-Matriz!M50</f>
        <v>0</v>
      </c>
      <c r="D58" s="272">
        <f ca="1">+D56-Matriz!N50</f>
        <v>0</v>
      </c>
      <c r="E58" s="17"/>
      <c r="F58" s="17"/>
      <c r="G58" s="17"/>
      <c r="H58" s="17"/>
      <c r="I58" s="17"/>
    </row>
    <row r="59" spans="1:10" s="18" customFormat="1" ht="12.75" x14ac:dyDescent="0.2">
      <c r="A59" s="17"/>
      <c r="B59" s="17"/>
      <c r="C59" s="273"/>
      <c r="D59" s="273"/>
      <c r="E59" s="17"/>
      <c r="F59" s="17"/>
      <c r="G59" s="17"/>
      <c r="H59" s="17"/>
      <c r="I59" s="17"/>
    </row>
    <row r="60" spans="1:10" s="18" customFormat="1" ht="15.75" x14ac:dyDescent="0.25">
      <c r="A60" s="276"/>
      <c r="B60" s="274" t="s">
        <v>317</v>
      </c>
      <c r="C60" s="275">
        <f>+C33+C55+C11+C9</f>
        <v>-6202143.3104712032</v>
      </c>
      <c r="D60" s="275">
        <f>+D33+D55+D11+D9</f>
        <v>-6178264.9225272052</v>
      </c>
      <c r="E60" s="17"/>
      <c r="F60" s="276"/>
      <c r="G60" s="276"/>
      <c r="H60" s="279"/>
      <c r="I60" s="279"/>
    </row>
    <row r="61" spans="1:10" s="18" customFormat="1" x14ac:dyDescent="0.2">
      <c r="F61" s="17"/>
      <c r="G61" s="17"/>
      <c r="H61" s="17"/>
      <c r="I61" s="17"/>
      <c r="J61" s="65"/>
    </row>
    <row r="62" spans="1:10" s="18" customFormat="1" ht="12.75" x14ac:dyDescent="0.2">
      <c r="F62" s="17"/>
      <c r="G62" s="17"/>
      <c r="H62" s="17"/>
      <c r="I62" s="17"/>
    </row>
    <row r="63" spans="1:10" s="18" customFormat="1" ht="12.75" x14ac:dyDescent="0.2">
      <c r="F63" s="17"/>
      <c r="G63" s="17"/>
      <c r="H63" s="17"/>
      <c r="I63" s="17"/>
    </row>
    <row r="64" spans="1:10" s="18" customFormat="1" ht="12.75" x14ac:dyDescent="0.2">
      <c r="F64" s="17"/>
      <c r="G64" s="17"/>
      <c r="H64" s="17"/>
      <c r="I64" s="17"/>
    </row>
    <row r="65" spans="1:6" s="18" customFormat="1" x14ac:dyDescent="0.25">
      <c r="A65"/>
      <c r="F65"/>
    </row>
  </sheetData>
  <printOptions horizontalCentered="1"/>
  <pageMargins left="0.31496062992125984" right="0.31496062992125984" top="0.35433070866141736" bottom="0.74803149606299213" header="0.31496062992125984" footer="0.31496062992125984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92"/>
  <sheetViews>
    <sheetView zoomScale="60" zoomScaleNormal="60" workbookViewId="0">
      <pane xSplit="4" ySplit="4" topLeftCell="E5" activePane="bottomRight" state="frozen"/>
      <selection pane="topRight" activeCell="G1" sqref="G1"/>
      <selection pane="bottomLeft" activeCell="A4" sqref="A4"/>
      <selection pane="bottomRight" activeCell="O49" sqref="O49"/>
    </sheetView>
  </sheetViews>
  <sheetFormatPr baseColWidth="10" defaultColWidth="9.140625" defaultRowHeight="15" x14ac:dyDescent="0.25"/>
  <cols>
    <col min="1" max="1" width="7.140625" style="18" customWidth="1"/>
    <col min="2" max="2" width="39.85546875" style="18" bestFit="1" customWidth="1"/>
    <col min="3" max="3" width="16.28515625" style="18" customWidth="1"/>
    <col min="4" max="4" width="3" style="18" customWidth="1"/>
    <col min="5" max="5" width="12.42578125" style="18" bestFit="1" customWidth="1"/>
    <col min="6" max="6" width="2.7109375" style="18" customWidth="1"/>
    <col min="7" max="7" width="16.7109375" style="18" bestFit="1" customWidth="1"/>
    <col min="8" max="8" width="2.140625" style="18" customWidth="1"/>
    <col min="9" max="9" width="6.7109375" style="18" hidden="1" customWidth="1"/>
    <col min="10" max="10" width="34" style="18" hidden="1" customWidth="1"/>
    <col min="11" max="11" width="16.85546875" style="18" bestFit="1" customWidth="1"/>
    <col min="12" max="12" width="0.85546875" style="18" customWidth="1"/>
    <col min="13" max="13" width="12.7109375" bestFit="1" customWidth="1"/>
    <col min="14" max="14" width="1.7109375" customWidth="1"/>
    <col min="15" max="15" width="17.28515625" bestFit="1" customWidth="1"/>
    <col min="16" max="16" width="1.5703125" customWidth="1"/>
    <col min="17" max="17" width="6.140625" style="166" customWidth="1"/>
    <col min="18" max="18" width="44.85546875" style="166" customWidth="1"/>
    <col min="19" max="19" width="18" style="166" bestFit="1" customWidth="1"/>
    <col min="20" max="20" width="0.85546875" style="166" customWidth="1"/>
    <col min="21" max="21" width="12.28515625" style="166" bestFit="1" customWidth="1"/>
    <col min="22" max="22" width="1.5703125" style="166" customWidth="1"/>
    <col min="23" max="23" width="18" style="166" bestFit="1" customWidth="1"/>
    <col min="24" max="66" width="14.7109375" customWidth="1"/>
  </cols>
  <sheetData>
    <row r="1" spans="1:23" x14ac:dyDescent="0.25">
      <c r="A1" s="146" t="s">
        <v>322</v>
      </c>
      <c r="B1" s="147"/>
      <c r="C1" s="375" t="s">
        <v>229</v>
      </c>
      <c r="D1" s="375"/>
      <c r="E1" s="375"/>
      <c r="F1" s="375"/>
      <c r="G1" s="375"/>
      <c r="H1" s="288"/>
      <c r="I1" s="289" t="s">
        <v>230</v>
      </c>
      <c r="J1" s="290"/>
      <c r="K1" s="375" t="s">
        <v>231</v>
      </c>
      <c r="L1" s="375"/>
      <c r="M1" s="375"/>
      <c r="N1" s="375"/>
      <c r="O1" s="375"/>
      <c r="P1" s="6"/>
      <c r="Q1" s="146" t="s">
        <v>322</v>
      </c>
      <c r="R1" s="147"/>
      <c r="S1" s="148" t="s">
        <v>228</v>
      </c>
      <c r="T1" s="147"/>
      <c r="U1" s="148"/>
      <c r="V1" s="165"/>
      <c r="W1" s="148"/>
    </row>
    <row r="2" spans="1:23" x14ac:dyDescent="0.25">
      <c r="A2" s="146" t="s">
        <v>323</v>
      </c>
      <c r="B2" s="147"/>
      <c r="C2" s="148" t="s">
        <v>228</v>
      </c>
      <c r="D2" s="147"/>
      <c r="E2" s="148" t="s">
        <v>143</v>
      </c>
      <c r="F2" s="147"/>
      <c r="G2" s="148" t="s">
        <v>50</v>
      </c>
      <c r="H2" s="16"/>
      <c r="I2" s="146" t="s">
        <v>231</v>
      </c>
      <c r="J2" s="147"/>
      <c r="K2" s="148" t="s">
        <v>321</v>
      </c>
      <c r="L2" s="147"/>
      <c r="M2" s="148" t="s">
        <v>143</v>
      </c>
      <c r="N2" s="147"/>
      <c r="O2" s="148" t="s">
        <v>50</v>
      </c>
      <c r="P2" s="6"/>
      <c r="Q2" s="146" t="s">
        <v>324</v>
      </c>
      <c r="R2" s="147"/>
      <c r="S2" s="148" t="s">
        <v>56</v>
      </c>
      <c r="T2" s="147"/>
      <c r="U2" s="148" t="s">
        <v>143</v>
      </c>
      <c r="V2" s="165"/>
      <c r="W2" s="148" t="s">
        <v>50</v>
      </c>
    </row>
    <row r="3" spans="1:23" s="18" customFormat="1" x14ac:dyDescent="0.2">
      <c r="A3" s="148"/>
      <c r="B3" s="147"/>
      <c r="C3" s="149" t="s">
        <v>54</v>
      </c>
      <c r="D3" s="147"/>
      <c r="E3" s="149" t="s">
        <v>54</v>
      </c>
      <c r="F3" s="147"/>
      <c r="G3" s="149" t="s">
        <v>54</v>
      </c>
      <c r="H3" s="16"/>
      <c r="I3" s="148"/>
      <c r="J3" s="147"/>
      <c r="K3" s="149" t="s">
        <v>54</v>
      </c>
      <c r="L3" s="147"/>
      <c r="M3" s="149" t="s">
        <v>54</v>
      </c>
      <c r="N3" s="147"/>
      <c r="O3" s="149" t="s">
        <v>54</v>
      </c>
      <c r="P3" s="17"/>
      <c r="Q3" s="147"/>
      <c r="R3" s="147"/>
      <c r="S3" s="149" t="s">
        <v>54</v>
      </c>
      <c r="T3" s="147"/>
      <c r="U3" s="149" t="s">
        <v>54</v>
      </c>
      <c r="V3" s="165"/>
      <c r="W3" s="149" t="s">
        <v>54</v>
      </c>
    </row>
    <row r="4" spans="1:23" s="18" customFormat="1" x14ac:dyDescent="0.2">
      <c r="A4" s="16"/>
      <c r="B4" s="150" t="s">
        <v>55</v>
      </c>
      <c r="C4" s="16"/>
      <c r="D4" s="16"/>
      <c r="E4" s="151"/>
      <c r="F4" s="16"/>
      <c r="G4" s="16"/>
      <c r="H4" s="16"/>
      <c r="I4" s="16"/>
      <c r="J4" s="150" t="s">
        <v>55</v>
      </c>
      <c r="K4" s="16"/>
      <c r="L4" s="16"/>
      <c r="M4" s="151"/>
      <c r="N4" s="16"/>
      <c r="O4" s="16"/>
      <c r="P4" s="17"/>
      <c r="Q4" s="16"/>
      <c r="R4" s="150"/>
      <c r="S4" s="167"/>
      <c r="T4" s="16"/>
      <c r="U4" s="19"/>
      <c r="V4" s="19"/>
      <c r="W4" s="167"/>
    </row>
    <row r="5" spans="1:23" s="18" customFormat="1" x14ac:dyDescent="0.2">
      <c r="A5" s="16"/>
      <c r="B5" s="150" t="s">
        <v>59</v>
      </c>
      <c r="C5" s="63"/>
      <c r="D5" s="16"/>
      <c r="E5" s="151"/>
      <c r="F5" s="16"/>
      <c r="G5" s="63"/>
      <c r="H5" s="16"/>
      <c r="I5" s="16"/>
      <c r="J5" s="150" t="s">
        <v>59</v>
      </c>
      <c r="K5" s="63"/>
      <c r="L5" s="16"/>
      <c r="M5" s="151"/>
      <c r="N5" s="16"/>
      <c r="O5" s="63"/>
      <c r="P5" s="17"/>
      <c r="Q5" s="16" t="s">
        <v>103</v>
      </c>
      <c r="R5" s="63" t="s">
        <v>139</v>
      </c>
      <c r="S5" s="151">
        <v>77738972</v>
      </c>
      <c r="T5" s="19"/>
      <c r="U5" s="151">
        <f ca="1">+W5-S5</f>
        <v>2008000</v>
      </c>
      <c r="V5" s="19"/>
      <c r="W5" s="151">
        <f ca="1">+Matriz!M61</f>
        <v>79746972</v>
      </c>
    </row>
    <row r="6" spans="1:23" s="18" customFormat="1" ht="14.25" x14ac:dyDescent="0.2">
      <c r="A6" s="16" t="s">
        <v>60</v>
      </c>
      <c r="B6" s="63" t="s">
        <v>61</v>
      </c>
      <c r="C6" s="152">
        <v>41365786</v>
      </c>
      <c r="D6" s="19"/>
      <c r="E6" s="151">
        <f ca="1">+G6-C6</f>
        <v>0</v>
      </c>
      <c r="F6" s="19"/>
      <c r="G6" s="152">
        <f ca="1">+Matriz!N10</f>
        <v>41365786</v>
      </c>
      <c r="H6" s="16"/>
      <c r="I6" s="16" t="s">
        <v>60</v>
      </c>
      <c r="J6" s="63" t="s">
        <v>61</v>
      </c>
      <c r="K6" s="153">
        <f>+Matriz!D10</f>
        <v>4979761</v>
      </c>
      <c r="L6" s="19"/>
      <c r="M6" s="151">
        <f t="shared" ref="M6:M13" ca="1" si="0">+O6-K6</f>
        <v>0</v>
      </c>
      <c r="N6" s="19"/>
      <c r="O6" s="152">
        <f ca="1">+Matriz!M10</f>
        <v>4979761</v>
      </c>
      <c r="P6" s="17"/>
      <c r="Q6" s="16" t="s">
        <v>175</v>
      </c>
      <c r="R6" s="63" t="s">
        <v>211</v>
      </c>
      <c r="S6" s="151">
        <v>0</v>
      </c>
      <c r="T6" s="19"/>
      <c r="U6" s="151">
        <f ca="1">+W6-S6</f>
        <v>700000</v>
      </c>
      <c r="V6" s="19"/>
      <c r="W6" s="151">
        <f ca="1">+Matriz!M62</f>
        <v>700000</v>
      </c>
    </row>
    <row r="7" spans="1:23" s="18" customFormat="1" ht="14.25" x14ac:dyDescent="0.2">
      <c r="A7" s="16" t="s">
        <v>62</v>
      </c>
      <c r="B7" s="64" t="s">
        <v>63</v>
      </c>
      <c r="C7" s="152">
        <v>19800738</v>
      </c>
      <c r="D7" s="19"/>
      <c r="E7" s="151">
        <f t="shared" ref="E7:E13" ca="1" si="1">+G7-C7</f>
        <v>900000</v>
      </c>
      <c r="F7" s="19"/>
      <c r="G7" s="152">
        <f ca="1">+Matriz!N11</f>
        <v>20700738</v>
      </c>
      <c r="H7" s="16"/>
      <c r="I7" s="16" t="s">
        <v>62</v>
      </c>
      <c r="J7" s="64" t="s">
        <v>63</v>
      </c>
      <c r="K7" s="153">
        <f>+Matriz!D11</f>
        <v>8677903</v>
      </c>
      <c r="L7" s="19"/>
      <c r="M7" s="151">
        <f t="shared" ca="1" si="0"/>
        <v>1800000</v>
      </c>
      <c r="N7" s="19"/>
      <c r="O7" s="152">
        <f ca="1">+Matriz!M11</f>
        <v>10477903</v>
      </c>
      <c r="P7" s="17"/>
      <c r="Q7" s="16" t="s">
        <v>104</v>
      </c>
      <c r="R7" s="63" t="s">
        <v>177</v>
      </c>
      <c r="S7" s="168">
        <v>-32655063</v>
      </c>
      <c r="T7" s="19"/>
      <c r="U7" s="151">
        <f ca="1">+W7-S7</f>
        <v>-2994201.6000000015</v>
      </c>
      <c r="V7" s="19"/>
      <c r="W7" s="168">
        <f ca="1">+Matriz!M63</f>
        <v>-35649264.600000001</v>
      </c>
    </row>
    <row r="8" spans="1:23" s="18" customFormat="1" x14ac:dyDescent="0.25">
      <c r="A8" s="16" t="s">
        <v>64</v>
      </c>
      <c r="B8" s="63" t="s">
        <v>65</v>
      </c>
      <c r="C8" s="152">
        <v>0</v>
      </c>
      <c r="D8" s="19"/>
      <c r="E8" s="151">
        <f t="shared" ca="1" si="1"/>
        <v>0</v>
      </c>
      <c r="F8" s="19"/>
      <c r="G8" s="152">
        <f ca="1">+Matriz!N12</f>
        <v>0</v>
      </c>
      <c r="H8" s="16"/>
      <c r="I8" s="16" t="s">
        <v>64</v>
      </c>
      <c r="J8" s="63" t="s">
        <v>65</v>
      </c>
      <c r="K8" s="153">
        <f>+Matriz!D12</f>
        <v>157947</v>
      </c>
      <c r="L8" s="19"/>
      <c r="M8" s="151">
        <f t="shared" ca="1" si="0"/>
        <v>0</v>
      </c>
      <c r="N8" s="19"/>
      <c r="O8" s="152">
        <f ca="1">+Matriz!M12</f>
        <v>157947</v>
      </c>
      <c r="P8" s="17"/>
      <c r="Q8" s="16"/>
      <c r="R8" s="150" t="s">
        <v>105</v>
      </c>
      <c r="S8" s="169">
        <f>SUM(S5:S7)</f>
        <v>45083909</v>
      </c>
      <c r="T8" s="19"/>
      <c r="U8" s="151"/>
      <c r="V8" s="19"/>
      <c r="W8" s="169">
        <f ca="1">SUM(W5:W7)</f>
        <v>44797707.399999999</v>
      </c>
    </row>
    <row r="9" spans="1:23" s="18" customFormat="1" ht="14.25" x14ac:dyDescent="0.2">
      <c r="A9" s="16" t="s">
        <v>66</v>
      </c>
      <c r="B9" s="64" t="s">
        <v>67</v>
      </c>
      <c r="C9" s="153">
        <v>8611271</v>
      </c>
      <c r="D9" s="154"/>
      <c r="E9" s="151">
        <f t="shared" ca="1" si="1"/>
        <v>132400</v>
      </c>
      <c r="F9" s="154"/>
      <c r="G9" s="153">
        <f ca="1">+Matriz!N13</f>
        <v>8743671</v>
      </c>
      <c r="H9" s="16"/>
      <c r="I9" s="16" t="s">
        <v>66</v>
      </c>
      <c r="J9" s="64" t="s">
        <v>67</v>
      </c>
      <c r="K9" s="153">
        <f>+Matriz!D13</f>
        <v>8591901</v>
      </c>
      <c r="L9" s="154"/>
      <c r="M9" s="151">
        <f t="shared" ca="1" si="0"/>
        <v>-58200</v>
      </c>
      <c r="N9" s="154"/>
      <c r="O9" s="152">
        <f ca="1">+Matriz!M13</f>
        <v>8533701</v>
      </c>
      <c r="P9" s="17"/>
      <c r="Q9" s="16"/>
      <c r="R9" s="16"/>
      <c r="S9" s="151"/>
      <c r="T9" s="19"/>
      <c r="U9" s="151"/>
      <c r="V9" s="19"/>
      <c r="W9" s="151"/>
    </row>
    <row r="10" spans="1:23" s="18" customFormat="1" ht="14.25" x14ac:dyDescent="0.2">
      <c r="A10" s="16" t="s">
        <v>68</v>
      </c>
      <c r="B10" s="63" t="s">
        <v>69</v>
      </c>
      <c r="C10" s="152">
        <v>416646</v>
      </c>
      <c r="D10" s="19"/>
      <c r="E10" s="151">
        <f t="shared" ca="1" si="1"/>
        <v>0</v>
      </c>
      <c r="F10" s="19"/>
      <c r="G10" s="152">
        <f ca="1">+Matriz!N14</f>
        <v>416646</v>
      </c>
      <c r="H10" s="16"/>
      <c r="I10" s="16" t="s">
        <v>68</v>
      </c>
      <c r="J10" s="63" t="s">
        <v>69</v>
      </c>
      <c r="K10" s="153">
        <f>+Matriz!D14</f>
        <v>1038707</v>
      </c>
      <c r="L10" s="19"/>
      <c r="M10" s="151">
        <f t="shared" ca="1" si="0"/>
        <v>0</v>
      </c>
      <c r="N10" s="19"/>
      <c r="O10" s="152">
        <f ca="1">+Matriz!M14</f>
        <v>1038707</v>
      </c>
      <c r="P10" s="17"/>
      <c r="Q10" s="16" t="s">
        <v>106</v>
      </c>
      <c r="R10" s="63" t="s">
        <v>107</v>
      </c>
      <c r="S10" s="151">
        <v>-10421188</v>
      </c>
      <c r="T10" s="19"/>
      <c r="U10" s="151">
        <f ca="1">+W10-S10</f>
        <v>-1800000</v>
      </c>
      <c r="V10" s="19"/>
      <c r="W10" s="151">
        <f ca="1">+Matriz!M66</f>
        <v>-12221188</v>
      </c>
    </row>
    <row r="11" spans="1:23" s="18" customFormat="1" ht="14.25" x14ac:dyDescent="0.2">
      <c r="A11" s="16" t="s">
        <v>70</v>
      </c>
      <c r="B11" s="63" t="s">
        <v>71</v>
      </c>
      <c r="C11" s="152">
        <v>5821147</v>
      </c>
      <c r="D11" s="19"/>
      <c r="E11" s="151">
        <f t="shared" ca="1" si="1"/>
        <v>-1000000</v>
      </c>
      <c r="F11" s="19"/>
      <c r="G11" s="152">
        <f ca="1">+Matriz!N15</f>
        <v>4821147</v>
      </c>
      <c r="H11" s="16"/>
      <c r="I11" s="16" t="s">
        <v>70</v>
      </c>
      <c r="J11" s="63" t="s">
        <v>71</v>
      </c>
      <c r="K11" s="153">
        <f>+Matriz!D15</f>
        <v>5748442</v>
      </c>
      <c r="L11" s="19"/>
      <c r="M11" s="151">
        <f t="shared" ca="1" si="0"/>
        <v>-1307600</v>
      </c>
      <c r="N11" s="19"/>
      <c r="O11" s="152">
        <f ca="1">+Matriz!M15</f>
        <v>4440842</v>
      </c>
      <c r="P11" s="17"/>
      <c r="Q11" s="16" t="s">
        <v>108</v>
      </c>
      <c r="R11" s="63" t="s">
        <v>109</v>
      </c>
      <c r="S11" s="151">
        <v>-9167285</v>
      </c>
      <c r="T11" s="19"/>
      <c r="U11" s="151">
        <f ca="1">+W11-S11</f>
        <v>-350000</v>
      </c>
      <c r="V11" s="19"/>
      <c r="W11" s="151">
        <f ca="1">+Matriz!M67</f>
        <v>-9517285</v>
      </c>
    </row>
    <row r="12" spans="1:23" s="18" customFormat="1" ht="14.25" x14ac:dyDescent="0.2">
      <c r="A12" s="16" t="s">
        <v>72</v>
      </c>
      <c r="B12" s="64" t="s">
        <v>73</v>
      </c>
      <c r="C12" s="152">
        <v>281380</v>
      </c>
      <c r="D12" s="19"/>
      <c r="E12" s="151">
        <f t="shared" ca="1" si="1"/>
        <v>0</v>
      </c>
      <c r="F12" s="19"/>
      <c r="G12" s="152">
        <f ca="1">+Matriz!N16</f>
        <v>281380</v>
      </c>
      <c r="H12" s="16"/>
      <c r="I12" s="16" t="s">
        <v>72</v>
      </c>
      <c r="J12" s="64" t="s">
        <v>73</v>
      </c>
      <c r="K12" s="153">
        <f>+Matriz!D16</f>
        <v>127011</v>
      </c>
      <c r="L12" s="19"/>
      <c r="M12" s="151">
        <f t="shared" ca="1" si="0"/>
        <v>0</v>
      </c>
      <c r="N12" s="19"/>
      <c r="O12" s="152">
        <f ca="1">+Matriz!M16</f>
        <v>127011</v>
      </c>
      <c r="P12" s="17"/>
      <c r="Q12" s="16" t="s">
        <v>110</v>
      </c>
      <c r="R12" s="63" t="s">
        <v>111</v>
      </c>
      <c r="S12" s="168">
        <v>116418</v>
      </c>
      <c r="T12" s="19"/>
      <c r="U12" s="151">
        <f ca="1">+W12-S12</f>
        <v>0</v>
      </c>
      <c r="V12" s="19"/>
      <c r="W12" s="168">
        <f ca="1">+Matriz!M68</f>
        <v>116418</v>
      </c>
    </row>
    <row r="13" spans="1:23" s="18" customFormat="1" x14ac:dyDescent="0.25">
      <c r="A13" s="16" t="s">
        <v>74</v>
      </c>
      <c r="B13" s="64" t="s">
        <v>75</v>
      </c>
      <c r="C13" s="155">
        <v>0</v>
      </c>
      <c r="D13" s="19"/>
      <c r="E13" s="151">
        <f t="shared" ca="1" si="1"/>
        <v>0</v>
      </c>
      <c r="F13" s="19"/>
      <c r="G13" s="155">
        <f ca="1">+Matriz!N17</f>
        <v>0</v>
      </c>
      <c r="H13" s="16"/>
      <c r="I13" s="16" t="s">
        <v>74</v>
      </c>
      <c r="J13" s="64" t="s">
        <v>75</v>
      </c>
      <c r="K13" s="156">
        <f>+Matriz!D17</f>
        <v>0</v>
      </c>
      <c r="L13" s="19"/>
      <c r="M13" s="151">
        <f t="shared" ca="1" si="0"/>
        <v>0</v>
      </c>
      <c r="N13" s="19"/>
      <c r="O13" s="156">
        <f ca="1">+Matriz!M17</f>
        <v>0</v>
      </c>
      <c r="P13" s="17"/>
      <c r="Q13" s="16"/>
      <c r="R13" s="150" t="s">
        <v>112</v>
      </c>
      <c r="S13" s="169">
        <f>SUM(S8:S12)</f>
        <v>25611854</v>
      </c>
      <c r="T13" s="19"/>
      <c r="U13" s="151"/>
      <c r="V13" s="19"/>
      <c r="W13" s="169">
        <f ca="1">SUM(W8:W12)</f>
        <v>23175652.399999999</v>
      </c>
    </row>
    <row r="14" spans="1:23" s="18" customFormat="1" x14ac:dyDescent="0.2">
      <c r="A14" s="16"/>
      <c r="B14" s="150" t="s">
        <v>76</v>
      </c>
      <c r="C14" s="157">
        <f>SUM(C6:C13)</f>
        <v>76296968</v>
      </c>
      <c r="D14" s="19"/>
      <c r="E14" s="151"/>
      <c r="F14" s="19"/>
      <c r="G14" s="157">
        <f ca="1">SUM(G6:G13)</f>
        <v>76329368</v>
      </c>
      <c r="H14" s="16"/>
      <c r="I14" s="16"/>
      <c r="J14" s="150" t="s">
        <v>76</v>
      </c>
      <c r="K14" s="157">
        <f>SUM(K6:K13)</f>
        <v>29321672</v>
      </c>
      <c r="L14" s="19"/>
      <c r="M14" s="151"/>
      <c r="N14" s="19"/>
      <c r="O14" s="157">
        <f ca="1">SUM(O6:O13)</f>
        <v>29755872</v>
      </c>
      <c r="P14" s="17"/>
      <c r="Q14" s="16"/>
      <c r="R14" s="63"/>
      <c r="S14" s="151"/>
      <c r="T14" s="19"/>
      <c r="U14" s="151"/>
      <c r="V14" s="19"/>
      <c r="W14" s="151"/>
    </row>
    <row r="15" spans="1:23" s="18" customFormat="1" x14ac:dyDescent="0.2">
      <c r="A15" s="16"/>
      <c r="B15" s="150"/>
      <c r="C15" s="157"/>
      <c r="D15" s="19"/>
      <c r="E15" s="151"/>
      <c r="F15" s="19"/>
      <c r="G15" s="157"/>
      <c r="H15" s="16"/>
      <c r="I15" s="16"/>
      <c r="J15" s="150"/>
      <c r="K15" s="157"/>
      <c r="L15" s="19"/>
      <c r="M15" s="151"/>
      <c r="N15" s="19"/>
      <c r="O15" s="157"/>
      <c r="P15" s="17"/>
      <c r="Q15" s="16" t="s">
        <v>113</v>
      </c>
      <c r="R15" s="63" t="s">
        <v>114</v>
      </c>
      <c r="S15" s="151">
        <v>1221201</v>
      </c>
      <c r="T15" s="19"/>
      <c r="U15" s="151">
        <f ca="1">+W15-S15</f>
        <v>-1000000</v>
      </c>
      <c r="V15" s="19"/>
      <c r="W15" s="151">
        <f ca="1">+Matriz!M72</f>
        <v>221201</v>
      </c>
    </row>
    <row r="16" spans="1:23" s="18" customFormat="1" x14ac:dyDescent="0.2">
      <c r="A16" s="16"/>
      <c r="B16" s="150" t="s">
        <v>77</v>
      </c>
      <c r="C16" s="19"/>
      <c r="D16" s="19"/>
      <c r="E16" s="151"/>
      <c r="F16" s="19"/>
      <c r="G16" s="19"/>
      <c r="H16" s="16"/>
      <c r="I16" s="16"/>
      <c r="J16" s="150" t="s">
        <v>77</v>
      </c>
      <c r="K16" s="19"/>
      <c r="L16" s="19"/>
      <c r="M16" s="151"/>
      <c r="N16" s="19"/>
      <c r="O16" s="19"/>
      <c r="P16" s="17"/>
      <c r="Q16" s="16" t="s">
        <v>115</v>
      </c>
      <c r="R16" s="63" t="s">
        <v>174</v>
      </c>
      <c r="S16" s="151">
        <v>-3112318</v>
      </c>
      <c r="T16" s="19"/>
      <c r="U16" s="151">
        <f ca="1">+W16-S16</f>
        <v>2830564.5600800011</v>
      </c>
      <c r="V16" s="19"/>
      <c r="W16" s="151">
        <f ca="1">+Matriz!M73</f>
        <v>-281753.43991999887</v>
      </c>
    </row>
    <row r="17" spans="1:23" s="18" customFormat="1" ht="14.25" x14ac:dyDescent="0.2">
      <c r="A17" s="16" t="s">
        <v>78</v>
      </c>
      <c r="B17" s="63" t="s">
        <v>65</v>
      </c>
      <c r="C17" s="152">
        <v>0</v>
      </c>
      <c r="D17" s="19"/>
      <c r="E17" s="151">
        <f t="shared" ref="E17:E25" ca="1" si="2">+G17-C17</f>
        <v>0</v>
      </c>
      <c r="F17" s="19"/>
      <c r="G17" s="152">
        <f ca="1">+Matriz!N20</f>
        <v>0</v>
      </c>
      <c r="H17" s="16"/>
      <c r="I17" s="16" t="s">
        <v>78</v>
      </c>
      <c r="J17" s="63" t="s">
        <v>65</v>
      </c>
      <c r="K17" s="153">
        <f>+Matriz!D20</f>
        <v>51828700</v>
      </c>
      <c r="L17" s="19"/>
      <c r="M17" s="151">
        <f t="shared" ref="M17:M25" ca="1" si="3">+O17-K17</f>
        <v>0</v>
      </c>
      <c r="N17" s="19"/>
      <c r="O17" s="152">
        <f ca="1">+Matriz!M20</f>
        <v>51828700</v>
      </c>
      <c r="P17" s="17"/>
      <c r="Q17" s="16" t="s">
        <v>224</v>
      </c>
      <c r="R17" s="63" t="s">
        <v>176</v>
      </c>
      <c r="S17" s="168"/>
      <c r="T17" s="19"/>
      <c r="U17" s="151">
        <f ca="1">+W17-S17</f>
        <v>-1660999.9999999995</v>
      </c>
      <c r="V17" s="19"/>
      <c r="W17" s="168">
        <f ca="1">+Matriz!M74</f>
        <v>-1660999.9999999995</v>
      </c>
    </row>
    <row r="18" spans="1:23" s="18" customFormat="1" x14ac:dyDescent="0.25">
      <c r="A18" s="16" t="s">
        <v>79</v>
      </c>
      <c r="B18" s="63" t="s">
        <v>144</v>
      </c>
      <c r="C18" s="152">
        <v>28170908</v>
      </c>
      <c r="D18" s="19"/>
      <c r="E18" s="151">
        <f t="shared" ca="1" si="2"/>
        <v>1325000</v>
      </c>
      <c r="F18" s="19"/>
      <c r="G18" s="152">
        <f ca="1">+Matriz!N21</f>
        <v>29495908</v>
      </c>
      <c r="H18" s="16"/>
      <c r="I18" s="16" t="s">
        <v>79</v>
      </c>
      <c r="J18" s="63" t="s">
        <v>144</v>
      </c>
      <c r="K18" s="153">
        <f>+Matriz!D21</f>
        <v>22473937</v>
      </c>
      <c r="L18" s="19"/>
      <c r="M18" s="151">
        <f t="shared" ca="1" si="3"/>
        <v>2835000</v>
      </c>
      <c r="N18" s="19"/>
      <c r="O18" s="152">
        <f ca="1">+Matriz!M21</f>
        <v>25308937</v>
      </c>
      <c r="P18" s="17"/>
      <c r="Q18" s="16" t="s">
        <v>116</v>
      </c>
      <c r="R18" s="150" t="s">
        <v>117</v>
      </c>
      <c r="S18" s="169">
        <f>SUM(S13:S17)</f>
        <v>23720737</v>
      </c>
      <c r="T18" s="19"/>
      <c r="U18" s="151"/>
      <c r="V18" s="19"/>
      <c r="W18" s="169">
        <f ca="1">SUM(W13:W17)</f>
        <v>21454099.960079998</v>
      </c>
    </row>
    <row r="19" spans="1:23" s="18" customFormat="1" ht="14.25" x14ac:dyDescent="0.2">
      <c r="A19" s="16" t="s">
        <v>209</v>
      </c>
      <c r="B19" s="63" t="s">
        <v>210</v>
      </c>
      <c r="C19" s="152">
        <v>0</v>
      </c>
      <c r="D19" s="19"/>
      <c r="E19" s="151">
        <f t="shared" ca="1" si="2"/>
        <v>2800000</v>
      </c>
      <c r="F19" s="19"/>
      <c r="G19" s="152">
        <f ca="1">+Matriz!N22</f>
        <v>2800000</v>
      </c>
      <c r="H19" s="16"/>
      <c r="I19" s="16" t="s">
        <v>209</v>
      </c>
      <c r="J19" s="63" t="s">
        <v>210</v>
      </c>
      <c r="K19" s="153">
        <f>+Matriz!D22</f>
        <v>0</v>
      </c>
      <c r="L19" s="19"/>
      <c r="M19" s="151">
        <f t="shared" ca="1" si="3"/>
        <v>3500000</v>
      </c>
      <c r="N19" s="19"/>
      <c r="O19" s="152">
        <f ca="1">+Matriz!M22</f>
        <v>3500000</v>
      </c>
      <c r="P19" s="17"/>
      <c r="Q19" s="16" t="s">
        <v>118</v>
      </c>
      <c r="R19" s="63" t="s">
        <v>165</v>
      </c>
      <c r="S19" s="151">
        <v>-3400000</v>
      </c>
      <c r="T19" s="19"/>
      <c r="U19" s="151">
        <f ca="1">+W19-S19</f>
        <v>3400000</v>
      </c>
      <c r="V19" s="19"/>
      <c r="W19" s="151">
        <f ca="1">+Matriz!M76</f>
        <v>0</v>
      </c>
    </row>
    <row r="20" spans="1:23" s="18" customFormat="1" ht="14.25" x14ac:dyDescent="0.2">
      <c r="A20" s="16" t="s">
        <v>207</v>
      </c>
      <c r="B20" s="63" t="s">
        <v>208</v>
      </c>
      <c r="C20" s="152">
        <v>0</v>
      </c>
      <c r="D20" s="19"/>
      <c r="E20" s="151">
        <f t="shared" ca="1" si="2"/>
        <v>3000000</v>
      </c>
      <c r="F20" s="19"/>
      <c r="G20" s="152">
        <f ca="1">+Matriz!N23</f>
        <v>3000000</v>
      </c>
      <c r="H20" s="16"/>
      <c r="I20" s="16" t="s">
        <v>207</v>
      </c>
      <c r="J20" s="63" t="s">
        <v>208</v>
      </c>
      <c r="K20" s="153">
        <f>+Matriz!D23</f>
        <v>0</v>
      </c>
      <c r="L20" s="19"/>
      <c r="M20" s="151">
        <f t="shared" ca="1" si="3"/>
        <v>3000000</v>
      </c>
      <c r="N20" s="19"/>
      <c r="O20" s="152">
        <f ca="1">+Matriz!M23</f>
        <v>3000000</v>
      </c>
      <c r="P20" s="17"/>
      <c r="Q20" s="16" t="s">
        <v>164</v>
      </c>
      <c r="R20" s="63" t="s">
        <v>119</v>
      </c>
      <c r="S20" s="168">
        <v>-9495889</v>
      </c>
      <c r="T20" s="19"/>
      <c r="U20" s="151">
        <f ca="1">+W20-S20</f>
        <v>-1157241.3480239995</v>
      </c>
      <c r="V20" s="19"/>
      <c r="W20" s="168">
        <f ca="1">+Matriz!M77</f>
        <v>-10653130.348023999</v>
      </c>
    </row>
    <row r="21" spans="1:23" s="18" customFormat="1" ht="15.75" thickBot="1" x14ac:dyDescent="0.3">
      <c r="A21" s="16" t="s">
        <v>185</v>
      </c>
      <c r="B21" s="63" t="s">
        <v>186</v>
      </c>
      <c r="C21" s="152">
        <v>0</v>
      </c>
      <c r="D21" s="19"/>
      <c r="E21" s="151">
        <f t="shared" ca="1" si="2"/>
        <v>0</v>
      </c>
      <c r="F21" s="19"/>
      <c r="G21" s="152">
        <f ca="1">+Matriz!N24</f>
        <v>0</v>
      </c>
      <c r="H21" s="16"/>
      <c r="I21" s="16" t="s">
        <v>185</v>
      </c>
      <c r="J21" s="63" t="s">
        <v>186</v>
      </c>
      <c r="K21" s="153">
        <f>+Matriz!D24</f>
        <v>0</v>
      </c>
      <c r="L21" s="19"/>
      <c r="M21" s="151">
        <f t="shared" ca="1" si="3"/>
        <v>8256806.4000000004</v>
      </c>
      <c r="N21" s="19"/>
      <c r="O21" s="152">
        <f ca="1">+Matriz!M24</f>
        <v>8256806.4000000004</v>
      </c>
      <c r="P21" s="17"/>
      <c r="Q21" s="16"/>
      <c r="R21" s="150" t="s">
        <v>120</v>
      </c>
      <c r="S21" s="170">
        <f>SUM(S18:S20)</f>
        <v>10824848</v>
      </c>
      <c r="T21" s="19"/>
      <c r="U21" s="151"/>
      <c r="V21" s="19"/>
      <c r="W21" s="170">
        <f ca="1">SUM(W18:W20)</f>
        <v>10800969.612055998</v>
      </c>
    </row>
    <row r="22" spans="1:23" s="18" customFormat="1" ht="14.25" x14ac:dyDescent="0.2">
      <c r="A22" s="16" t="s">
        <v>187</v>
      </c>
      <c r="B22" s="63" t="s">
        <v>184</v>
      </c>
      <c r="C22" s="152">
        <v>3200000</v>
      </c>
      <c r="D22" s="19"/>
      <c r="E22" s="151">
        <f t="shared" ca="1" si="2"/>
        <v>-3200000</v>
      </c>
      <c r="F22" s="19"/>
      <c r="G22" s="152">
        <f ca="1">+Matriz!N25</f>
        <v>0</v>
      </c>
      <c r="H22" s="16"/>
      <c r="I22" s="16" t="s">
        <v>187</v>
      </c>
      <c r="J22" s="63" t="s">
        <v>184</v>
      </c>
      <c r="K22" s="153">
        <f>+Matriz!D25</f>
        <v>3200000</v>
      </c>
      <c r="L22" s="19"/>
      <c r="M22" s="151">
        <f t="shared" ca="1" si="3"/>
        <v>-3200000</v>
      </c>
      <c r="N22" s="19"/>
      <c r="O22" s="152">
        <f ca="1">+Matriz!M25</f>
        <v>0</v>
      </c>
      <c r="P22" s="17"/>
      <c r="Q22" s="16"/>
      <c r="R22" s="16"/>
      <c r="S22" s="16"/>
      <c r="T22" s="16"/>
      <c r="U22" s="16"/>
      <c r="V22" s="16"/>
      <c r="W22" s="16"/>
    </row>
    <row r="23" spans="1:23" s="18" customFormat="1" ht="14.25" x14ac:dyDescent="0.2">
      <c r="A23" s="16" t="s">
        <v>192</v>
      </c>
      <c r="B23" s="63" t="s">
        <v>193</v>
      </c>
      <c r="C23" s="152">
        <v>2500000</v>
      </c>
      <c r="D23" s="19"/>
      <c r="E23" s="151">
        <f t="shared" ca="1" si="2"/>
        <v>-2500000</v>
      </c>
      <c r="F23" s="19"/>
      <c r="G23" s="152">
        <f ca="1">+Matriz!N26</f>
        <v>0</v>
      </c>
      <c r="H23" s="16"/>
      <c r="I23" s="16" t="s">
        <v>192</v>
      </c>
      <c r="J23" s="63" t="s">
        <v>193</v>
      </c>
      <c r="K23" s="153">
        <f>+Matriz!D26</f>
        <v>2250000</v>
      </c>
      <c r="L23" s="19"/>
      <c r="M23" s="151">
        <f t="shared" ca="1" si="3"/>
        <v>-2250000</v>
      </c>
      <c r="N23" s="19"/>
      <c r="O23" s="152">
        <f ca="1">+Matriz!M26</f>
        <v>0</v>
      </c>
      <c r="P23" s="17"/>
      <c r="Q23" s="16"/>
      <c r="R23" s="16"/>
      <c r="S23" s="171"/>
      <c r="T23" s="16"/>
      <c r="U23" s="19"/>
      <c r="V23" s="19"/>
      <c r="W23" s="171"/>
    </row>
    <row r="24" spans="1:23" s="18" customFormat="1" x14ac:dyDescent="0.25">
      <c r="A24" s="16" t="s">
        <v>309</v>
      </c>
      <c r="B24" s="63" t="s">
        <v>310</v>
      </c>
      <c r="C24" s="152">
        <v>0</v>
      </c>
      <c r="D24" s="19"/>
      <c r="E24" s="151">
        <f t="shared" ca="1" si="2"/>
        <v>3095859.8239402301</v>
      </c>
      <c r="F24" s="19"/>
      <c r="G24" s="152">
        <f ca="1">+Matriz!N27</f>
        <v>3095859.8239402301</v>
      </c>
      <c r="H24" s="16"/>
      <c r="I24" s="16" t="s">
        <v>309</v>
      </c>
      <c r="J24" s="63" t="s">
        <v>310</v>
      </c>
      <c r="K24" s="153">
        <v>0</v>
      </c>
      <c r="L24" s="19"/>
      <c r="M24" s="151">
        <f t="shared" ca="1" si="3"/>
        <v>1938618.4759162297</v>
      </c>
      <c r="N24" s="19"/>
      <c r="O24" s="152">
        <f ca="1">+Matriz!M27</f>
        <v>1938618.4759162297</v>
      </c>
      <c r="P24" s="17"/>
      <c r="Q24" s="287" t="s">
        <v>316</v>
      </c>
      <c r="R24" s="16"/>
      <c r="S24" s="171">
        <f>+S21-Matriz!E78</f>
        <v>0</v>
      </c>
      <c r="T24" s="16"/>
      <c r="U24" s="19"/>
      <c r="V24" s="19"/>
      <c r="W24" s="171">
        <f ca="1">+W21-Matriz!M78</f>
        <v>0</v>
      </c>
    </row>
    <row r="25" spans="1:23" s="18" customFormat="1" ht="14.25" x14ac:dyDescent="0.2">
      <c r="A25" s="16" t="s">
        <v>80</v>
      </c>
      <c r="B25" s="63" t="s">
        <v>183</v>
      </c>
      <c r="C25" s="156">
        <v>0</v>
      </c>
      <c r="D25" s="19"/>
      <c r="E25" s="151">
        <f t="shared" ca="1" si="2"/>
        <v>0</v>
      </c>
      <c r="F25" s="19"/>
      <c r="G25" s="156">
        <f ca="1">+Matriz!N28</f>
        <v>0</v>
      </c>
      <c r="H25" s="16"/>
      <c r="I25" s="16" t="s">
        <v>80</v>
      </c>
      <c r="J25" s="63" t="s">
        <v>183</v>
      </c>
      <c r="K25" s="156">
        <f>+Matriz!D28</f>
        <v>10321008</v>
      </c>
      <c r="L25" s="19"/>
      <c r="M25" s="151">
        <f t="shared" ca="1" si="3"/>
        <v>-10321008</v>
      </c>
      <c r="N25" s="19"/>
      <c r="O25" s="156">
        <f ca="1">+Matriz!M28</f>
        <v>0</v>
      </c>
      <c r="P25" s="17"/>
      <c r="Q25" s="16"/>
      <c r="R25" s="16"/>
      <c r="S25" s="16"/>
      <c r="T25" s="16"/>
      <c r="U25" s="16"/>
      <c r="V25" s="16"/>
      <c r="W25" s="16"/>
    </row>
    <row r="26" spans="1:23" s="18" customFormat="1" ht="15.75" thickBot="1" x14ac:dyDescent="0.25">
      <c r="A26" s="16"/>
      <c r="B26" s="150" t="s">
        <v>81</v>
      </c>
      <c r="C26" s="158">
        <f>SUM(C14:C25)</f>
        <v>110167876</v>
      </c>
      <c r="D26" s="19"/>
      <c r="E26" s="151"/>
      <c r="F26" s="19"/>
      <c r="G26" s="158">
        <f ca="1">SUM(G14:G25)</f>
        <v>114721135.82394023</v>
      </c>
      <c r="H26" s="16"/>
      <c r="I26" s="16"/>
      <c r="J26" s="150" t="s">
        <v>81</v>
      </c>
      <c r="K26" s="158">
        <f>SUM(K14:K25)</f>
        <v>119395317</v>
      </c>
      <c r="L26" s="19"/>
      <c r="M26" s="151"/>
      <c r="N26" s="19"/>
      <c r="O26" s="158">
        <f ca="1">SUM(O14:O25)</f>
        <v>123588933.87591624</v>
      </c>
      <c r="P26" s="17"/>
      <c r="Q26" s="16"/>
      <c r="R26" s="16"/>
      <c r="S26" s="16"/>
      <c r="T26" s="16"/>
      <c r="U26" s="16"/>
      <c r="V26" s="16"/>
      <c r="W26" s="16"/>
    </row>
    <row r="27" spans="1:23" s="18" customFormat="1" ht="14.25" x14ac:dyDescent="0.2">
      <c r="A27" s="16"/>
      <c r="B27" s="16"/>
      <c r="C27" s="19"/>
      <c r="D27" s="19"/>
      <c r="E27" s="151"/>
      <c r="F27" s="19"/>
      <c r="G27" s="19"/>
      <c r="H27" s="16"/>
      <c r="I27" s="16"/>
      <c r="J27" s="16"/>
      <c r="K27" s="19"/>
      <c r="L27" s="19"/>
      <c r="M27" s="151"/>
      <c r="N27" s="19"/>
      <c r="O27" s="19"/>
      <c r="P27" s="17"/>
      <c r="Q27" s="16"/>
      <c r="R27" s="16"/>
      <c r="S27" s="16"/>
      <c r="T27" s="16"/>
      <c r="U27" s="16"/>
      <c r="V27" s="16"/>
      <c r="W27" s="16"/>
    </row>
    <row r="28" spans="1:23" s="18" customFormat="1" x14ac:dyDescent="0.2">
      <c r="A28" s="16"/>
      <c r="B28" s="150" t="s">
        <v>82</v>
      </c>
      <c r="C28" s="19"/>
      <c r="D28" s="19"/>
      <c r="E28" s="151"/>
      <c r="F28" s="19"/>
      <c r="G28" s="19"/>
      <c r="H28" s="16"/>
      <c r="I28" s="16"/>
      <c r="J28" s="150" t="s">
        <v>82</v>
      </c>
      <c r="K28" s="19"/>
      <c r="L28" s="19"/>
      <c r="M28" s="151"/>
      <c r="N28" s="19"/>
      <c r="O28" s="19"/>
      <c r="P28" s="17"/>
      <c r="Q28" s="16"/>
      <c r="R28" s="16"/>
      <c r="S28" s="16"/>
      <c r="T28" s="16"/>
      <c r="U28" s="16"/>
      <c r="V28" s="16"/>
      <c r="W28" s="16"/>
    </row>
    <row r="29" spans="1:23" s="18" customFormat="1" x14ac:dyDescent="0.2">
      <c r="A29" s="16"/>
      <c r="B29" s="150" t="s">
        <v>83</v>
      </c>
      <c r="C29" s="19"/>
      <c r="D29" s="19"/>
      <c r="E29" s="151"/>
      <c r="F29" s="19"/>
      <c r="G29" s="19"/>
      <c r="H29" s="16"/>
      <c r="I29" s="16"/>
      <c r="J29" s="150" t="s">
        <v>83</v>
      </c>
      <c r="K29" s="19"/>
      <c r="L29" s="19"/>
      <c r="M29" s="151"/>
      <c r="N29" s="19"/>
      <c r="O29" s="19"/>
      <c r="P29" s="17"/>
      <c r="Q29" s="16"/>
      <c r="R29" s="16"/>
      <c r="S29" s="16"/>
      <c r="T29" s="16"/>
      <c r="U29" s="16"/>
      <c r="V29" s="16"/>
      <c r="W29" s="16"/>
    </row>
    <row r="30" spans="1:23" s="18" customFormat="1" ht="14.25" x14ac:dyDescent="0.2">
      <c r="A30" s="16" t="s">
        <v>84</v>
      </c>
      <c r="B30" s="63" t="s">
        <v>85</v>
      </c>
      <c r="C30" s="152">
        <v>2038679</v>
      </c>
      <c r="D30" s="19"/>
      <c r="E30" s="151">
        <f t="shared" ref="E30:E35" ca="1" si="4">+G30-C30</f>
        <v>0</v>
      </c>
      <c r="F30" s="19"/>
      <c r="G30" s="152">
        <f ca="1">+Matriz!N33</f>
        <v>2038679</v>
      </c>
      <c r="H30" s="16"/>
      <c r="I30" s="16" t="s">
        <v>84</v>
      </c>
      <c r="J30" s="63" t="s">
        <v>85</v>
      </c>
      <c r="K30" s="153">
        <f>+Matriz!D33</f>
        <v>769626</v>
      </c>
      <c r="L30" s="19"/>
      <c r="M30" s="151">
        <f t="shared" ref="M30:M35" ca="1" si="5">+O30-K30</f>
        <v>0</v>
      </c>
      <c r="N30" s="19"/>
      <c r="O30" s="152">
        <f ca="1">+Matriz!M33</f>
        <v>769626</v>
      </c>
      <c r="P30" s="17"/>
      <c r="Q30" s="16"/>
      <c r="R30" s="16"/>
      <c r="S30" s="16"/>
      <c r="T30" s="16"/>
      <c r="U30" s="16"/>
      <c r="V30" s="16"/>
      <c r="W30" s="16"/>
    </row>
    <row r="31" spans="1:23" s="18" customFormat="1" ht="14.25" x14ac:dyDescent="0.2">
      <c r="A31" s="16" t="s">
        <v>86</v>
      </c>
      <c r="B31" s="63" t="s">
        <v>87</v>
      </c>
      <c r="C31" s="152">
        <v>1919321</v>
      </c>
      <c r="D31" s="19"/>
      <c r="E31" s="151">
        <f t="shared" ca="1" si="4"/>
        <v>0</v>
      </c>
      <c r="F31" s="19"/>
      <c r="G31" s="152">
        <f ca="1">+Matriz!N34</f>
        <v>1919321</v>
      </c>
      <c r="H31" s="16"/>
      <c r="I31" s="16" t="s">
        <v>86</v>
      </c>
      <c r="J31" s="63" t="s">
        <v>87</v>
      </c>
      <c r="K31" s="153">
        <f>+Matriz!D34</f>
        <v>251166</v>
      </c>
      <c r="L31" s="19"/>
      <c r="M31" s="151">
        <f t="shared" ca="1" si="5"/>
        <v>0</v>
      </c>
      <c r="N31" s="19"/>
      <c r="O31" s="152">
        <f ca="1">+Matriz!M34</f>
        <v>251166</v>
      </c>
      <c r="P31" s="17"/>
      <c r="Q31" s="16"/>
      <c r="R31" s="16"/>
      <c r="S31" s="16"/>
      <c r="T31" s="16"/>
      <c r="U31" s="16"/>
      <c r="V31" s="16"/>
      <c r="W31" s="16"/>
    </row>
    <row r="32" spans="1:23" s="18" customFormat="1" ht="14.25" x14ac:dyDescent="0.2">
      <c r="A32" s="16" t="s">
        <v>179</v>
      </c>
      <c r="B32" s="63" t="s">
        <v>180</v>
      </c>
      <c r="C32" s="152">
        <v>0</v>
      </c>
      <c r="D32" s="19"/>
      <c r="E32" s="151">
        <f t="shared" ca="1" si="4"/>
        <v>5700000.0000000009</v>
      </c>
      <c r="F32" s="19"/>
      <c r="G32" s="152">
        <f ca="1">+Matriz!N35</f>
        <v>5700000.0000000009</v>
      </c>
      <c r="H32" s="16"/>
      <c r="I32" s="16" t="s">
        <v>179</v>
      </c>
      <c r="J32" s="63" t="s">
        <v>180</v>
      </c>
      <c r="K32" s="153">
        <f>+Matriz!D35</f>
        <v>0</v>
      </c>
      <c r="L32" s="19"/>
      <c r="M32" s="151">
        <f t="shared" ca="1" si="5"/>
        <v>6080800</v>
      </c>
      <c r="N32" s="19"/>
      <c r="O32" s="152">
        <f ca="1">+Matriz!M35</f>
        <v>6080800</v>
      </c>
      <c r="P32" s="17"/>
      <c r="Q32" s="16"/>
      <c r="R32" s="16"/>
      <c r="S32" s="16"/>
      <c r="T32" s="16"/>
      <c r="U32" s="16"/>
      <c r="V32" s="16"/>
      <c r="W32" s="16"/>
    </row>
    <row r="33" spans="1:23" s="18" customFormat="1" ht="14.25" x14ac:dyDescent="0.2">
      <c r="A33" s="16" t="s">
        <v>88</v>
      </c>
      <c r="B33" s="63" t="s">
        <v>89</v>
      </c>
      <c r="C33" s="152">
        <v>6590734</v>
      </c>
      <c r="D33" s="19"/>
      <c r="E33" s="151">
        <f t="shared" ca="1" si="4"/>
        <v>-4692000</v>
      </c>
      <c r="F33" s="19"/>
      <c r="G33" s="152">
        <f ca="1">+Matriz!N36</f>
        <v>1898734</v>
      </c>
      <c r="H33" s="16"/>
      <c r="I33" s="16" t="s">
        <v>88</v>
      </c>
      <c r="J33" s="63" t="s">
        <v>89</v>
      </c>
      <c r="K33" s="153">
        <f>+Matriz!D36</f>
        <v>10193875</v>
      </c>
      <c r="L33" s="19"/>
      <c r="M33" s="151">
        <f t="shared" ca="1" si="5"/>
        <v>-9178000</v>
      </c>
      <c r="N33" s="19"/>
      <c r="O33" s="152">
        <f ca="1">+Matriz!M36</f>
        <v>1015875</v>
      </c>
      <c r="P33" s="17"/>
      <c r="Q33" s="16"/>
      <c r="R33" s="16"/>
      <c r="S33" s="16"/>
      <c r="T33" s="16"/>
      <c r="U33" s="16"/>
      <c r="V33" s="16"/>
      <c r="W33" s="16"/>
    </row>
    <row r="34" spans="1:23" s="18" customFormat="1" ht="14.25" x14ac:dyDescent="0.2">
      <c r="A34" s="16" t="s">
        <v>90</v>
      </c>
      <c r="B34" s="63" t="s">
        <v>91</v>
      </c>
      <c r="C34" s="152">
        <v>0</v>
      </c>
      <c r="D34" s="19"/>
      <c r="E34" s="151">
        <f t="shared" ca="1" si="4"/>
        <v>2900000</v>
      </c>
      <c r="F34" s="19"/>
      <c r="G34" s="152">
        <f ca="1">+Matriz!N37</f>
        <v>2900000</v>
      </c>
      <c r="H34" s="16"/>
      <c r="I34" s="16" t="s">
        <v>90</v>
      </c>
      <c r="J34" s="63" t="s">
        <v>91</v>
      </c>
      <c r="K34" s="153">
        <f>+Matriz!D37</f>
        <v>0</v>
      </c>
      <c r="L34" s="19"/>
      <c r="M34" s="151">
        <f t="shared" ca="1" si="5"/>
        <v>3500000</v>
      </c>
      <c r="N34" s="19"/>
      <c r="O34" s="152">
        <f ca="1">+Matriz!M37</f>
        <v>3500000</v>
      </c>
      <c r="P34" s="17"/>
      <c r="Q34" s="16"/>
      <c r="R34" s="16"/>
      <c r="S34" s="16"/>
      <c r="T34" s="16"/>
      <c r="U34" s="16"/>
      <c r="V34" s="16"/>
      <c r="W34" s="16"/>
    </row>
    <row r="35" spans="1:23" s="18" customFormat="1" ht="14.25" x14ac:dyDescent="0.2">
      <c r="A35" s="16" t="s">
        <v>92</v>
      </c>
      <c r="B35" s="63" t="s">
        <v>93</v>
      </c>
      <c r="C35" s="156">
        <v>200000</v>
      </c>
      <c r="D35" s="19"/>
      <c r="E35" s="151">
        <f t="shared" ca="1" si="4"/>
        <v>1920000</v>
      </c>
      <c r="F35" s="19"/>
      <c r="G35" s="156">
        <f ca="1">+Matriz!N38</f>
        <v>2120000</v>
      </c>
      <c r="H35" s="16"/>
      <c r="I35" s="16" t="s">
        <v>92</v>
      </c>
      <c r="J35" s="63" t="s">
        <v>93</v>
      </c>
      <c r="K35" s="156">
        <f>+Matriz!D38</f>
        <v>1197295</v>
      </c>
      <c r="L35" s="19"/>
      <c r="M35" s="151">
        <f t="shared" ca="1" si="5"/>
        <v>2244705</v>
      </c>
      <c r="N35" s="19"/>
      <c r="O35" s="152">
        <f ca="1">+Matriz!M38</f>
        <v>3442000</v>
      </c>
      <c r="P35" s="17"/>
      <c r="Q35" s="16"/>
      <c r="R35" s="16"/>
      <c r="S35" s="16"/>
      <c r="T35" s="16"/>
      <c r="U35" s="16"/>
      <c r="V35" s="16"/>
      <c r="W35" s="16"/>
    </row>
    <row r="36" spans="1:23" s="18" customFormat="1" x14ac:dyDescent="0.2">
      <c r="A36" s="16"/>
      <c r="B36" s="150" t="s">
        <v>182</v>
      </c>
      <c r="C36" s="159">
        <f t="shared" ref="C36" si="6">SUM(C30:C35)</f>
        <v>10748734</v>
      </c>
      <c r="D36" s="19"/>
      <c r="E36" s="151"/>
      <c r="F36" s="19"/>
      <c r="G36" s="159">
        <f t="shared" ref="G36" ca="1" si="7">SUM(G30:G35)</f>
        <v>16576734</v>
      </c>
      <c r="H36" s="16"/>
      <c r="I36" s="16"/>
      <c r="J36" s="150" t="s">
        <v>182</v>
      </c>
      <c r="K36" s="159">
        <f>SUM(K30:K35)</f>
        <v>12411962</v>
      </c>
      <c r="L36" s="19"/>
      <c r="M36" s="151"/>
      <c r="N36" s="19"/>
      <c r="O36" s="159">
        <f ca="1">SUM(O30:O35)</f>
        <v>15059467</v>
      </c>
      <c r="P36" s="17"/>
      <c r="Q36" s="16"/>
      <c r="R36" s="16"/>
      <c r="S36" s="16"/>
      <c r="T36" s="16"/>
      <c r="U36" s="16"/>
      <c r="V36" s="16"/>
      <c r="W36" s="16"/>
    </row>
    <row r="37" spans="1:23" s="18" customFormat="1" ht="14.25" x14ac:dyDescent="0.2">
      <c r="A37" s="16"/>
      <c r="B37" s="16"/>
      <c r="C37" s="19"/>
      <c r="D37" s="19"/>
      <c r="E37" s="151"/>
      <c r="F37" s="19"/>
      <c r="G37" s="19"/>
      <c r="H37" s="16"/>
      <c r="I37" s="16"/>
      <c r="J37" s="16"/>
      <c r="K37" s="19"/>
      <c r="L37" s="19"/>
      <c r="M37" s="151"/>
      <c r="N37" s="19"/>
      <c r="O37" s="19"/>
      <c r="P37" s="17"/>
      <c r="Q37" s="16"/>
      <c r="R37" s="16"/>
      <c r="S37" s="16"/>
      <c r="T37" s="16"/>
      <c r="U37" s="16"/>
      <c r="V37" s="16"/>
      <c r="W37" s="16"/>
    </row>
    <row r="38" spans="1:23" s="18" customFormat="1" ht="14.25" x14ac:dyDescent="0.2">
      <c r="A38" s="16" t="s">
        <v>191</v>
      </c>
      <c r="B38" s="63" t="s">
        <v>181</v>
      </c>
      <c r="C38" s="156">
        <f>ROUND('Asientos-1'!H297,0)</f>
        <v>1961323</v>
      </c>
      <c r="D38" s="19"/>
      <c r="E38" s="151">
        <f t="shared" ref="E38" ca="1" si="8">+G38-C38</f>
        <v>7903524.7464674339</v>
      </c>
      <c r="F38" s="19"/>
      <c r="G38" s="156">
        <f ca="1">+Matriz!N41</f>
        <v>9864847.7464674339</v>
      </c>
      <c r="H38" s="16"/>
      <c r="I38" s="16" t="s">
        <v>191</v>
      </c>
      <c r="J38" s="63" t="s">
        <v>181</v>
      </c>
      <c r="K38" s="156">
        <f>+Matriz!D41</f>
        <v>1368778</v>
      </c>
      <c r="L38" s="19"/>
      <c r="M38" s="151">
        <f ca="1">+O38-K38</f>
        <v>7748255.1863874346</v>
      </c>
      <c r="N38" s="19"/>
      <c r="O38" s="152">
        <f ca="1">+Matriz!M41</f>
        <v>9117033.1863874346</v>
      </c>
      <c r="P38" s="17"/>
      <c r="Q38" s="16"/>
      <c r="R38" s="16"/>
      <c r="S38" s="16"/>
      <c r="T38" s="16"/>
      <c r="U38" s="16"/>
      <c r="V38" s="16"/>
      <c r="W38" s="16"/>
    </row>
    <row r="39" spans="1:23" s="18" customFormat="1" x14ac:dyDescent="0.2">
      <c r="A39" s="16"/>
      <c r="B39" s="150" t="s">
        <v>94</v>
      </c>
      <c r="C39" s="159">
        <f t="shared" ref="C39" si="9">SUM(C36:C38)</f>
        <v>12710057</v>
      </c>
      <c r="D39" s="19"/>
      <c r="E39" s="151"/>
      <c r="F39" s="19"/>
      <c r="G39" s="159">
        <f t="shared" ref="G39" ca="1" si="10">SUM(G36:G38)</f>
        <v>26441581.746467434</v>
      </c>
      <c r="H39" s="16"/>
      <c r="I39" s="16"/>
      <c r="J39" s="150" t="s">
        <v>94</v>
      </c>
      <c r="K39" s="159">
        <f>SUM(K36:K38)</f>
        <v>13780740</v>
      </c>
      <c r="L39" s="19"/>
      <c r="M39" s="151"/>
      <c r="N39" s="19"/>
      <c r="O39" s="159">
        <f ca="1">SUM(O36:O38)</f>
        <v>24176500.186387435</v>
      </c>
      <c r="P39" s="17"/>
      <c r="Q39" s="16"/>
      <c r="R39" s="16"/>
      <c r="S39" s="16"/>
      <c r="T39" s="16"/>
      <c r="U39" s="16"/>
      <c r="V39" s="16"/>
      <c r="W39" s="16"/>
    </row>
    <row r="40" spans="1:23" s="18" customFormat="1" ht="14.25" x14ac:dyDescent="0.2">
      <c r="A40" s="16"/>
      <c r="B40" s="16"/>
      <c r="C40" s="19"/>
      <c r="D40" s="19"/>
      <c r="E40" s="151"/>
      <c r="F40" s="19"/>
      <c r="G40" s="19"/>
      <c r="H40" s="16"/>
      <c r="I40" s="16"/>
      <c r="J40" s="16"/>
      <c r="K40" s="19"/>
      <c r="L40" s="19"/>
      <c r="M40" s="151"/>
      <c r="N40" s="19"/>
      <c r="O40" s="19"/>
      <c r="P40" s="17"/>
      <c r="Q40" s="16"/>
      <c r="R40" s="16"/>
      <c r="S40" s="16"/>
      <c r="T40" s="16"/>
      <c r="U40" s="16"/>
      <c r="V40" s="16"/>
      <c r="W40" s="16"/>
    </row>
    <row r="41" spans="1:23" s="18" customFormat="1" ht="14.25" x14ac:dyDescent="0.2">
      <c r="A41" s="16"/>
      <c r="B41" s="16"/>
      <c r="C41" s="19"/>
      <c r="D41" s="19"/>
      <c r="E41" s="151"/>
      <c r="F41" s="19"/>
      <c r="G41" s="19"/>
      <c r="H41" s="16"/>
      <c r="I41" s="16"/>
      <c r="J41" s="16"/>
      <c r="K41" s="19"/>
      <c r="L41" s="19"/>
      <c r="M41" s="151"/>
      <c r="N41" s="19"/>
      <c r="O41" s="19"/>
      <c r="P41" s="17"/>
      <c r="Q41" s="16"/>
      <c r="R41" s="16"/>
      <c r="S41" s="16"/>
      <c r="T41" s="16"/>
      <c r="U41" s="16"/>
      <c r="V41" s="16"/>
      <c r="W41" s="16"/>
    </row>
    <row r="42" spans="1:23" s="18" customFormat="1" x14ac:dyDescent="0.2">
      <c r="A42" s="16"/>
      <c r="B42" s="150" t="s">
        <v>95</v>
      </c>
      <c r="C42" s="19"/>
      <c r="D42" s="19"/>
      <c r="E42" s="151"/>
      <c r="F42" s="19"/>
      <c r="G42" s="19"/>
      <c r="H42" s="16"/>
      <c r="I42" s="16"/>
      <c r="J42" s="150" t="s">
        <v>95</v>
      </c>
      <c r="K42" s="19"/>
      <c r="L42" s="19"/>
      <c r="M42" s="151"/>
      <c r="N42" s="19"/>
      <c r="O42" s="19"/>
      <c r="P42" s="17"/>
      <c r="Q42" s="16"/>
      <c r="R42" s="16"/>
      <c r="S42" s="16"/>
      <c r="T42" s="16"/>
      <c r="U42" s="16"/>
      <c r="V42" s="16"/>
      <c r="W42" s="16"/>
    </row>
    <row r="43" spans="1:23" s="18" customFormat="1" ht="14.25" x14ac:dyDescent="0.2">
      <c r="A43" s="16" t="s">
        <v>96</v>
      </c>
      <c r="B43" s="63" t="s">
        <v>97</v>
      </c>
      <c r="C43" s="152">
        <v>24956792</v>
      </c>
      <c r="D43" s="19"/>
      <c r="E43" s="151">
        <f t="shared" ref="E43:E45" ca="1" si="11">+G43-C43</f>
        <v>-9000000</v>
      </c>
      <c r="F43" s="19"/>
      <c r="G43" s="152">
        <f ca="1">+Matriz!N46</f>
        <v>15956792</v>
      </c>
      <c r="H43" s="16"/>
      <c r="I43" s="16" t="s">
        <v>96</v>
      </c>
      <c r="J43" s="63" t="s">
        <v>97</v>
      </c>
      <c r="K43" s="153">
        <f>+Matriz!D46</f>
        <v>25549337</v>
      </c>
      <c r="L43" s="19"/>
      <c r="M43" s="151">
        <f ca="1">+O43-K43</f>
        <v>-9000000</v>
      </c>
      <c r="N43" s="19"/>
      <c r="O43" s="152">
        <f ca="1">+Matriz!M46</f>
        <v>16549337</v>
      </c>
      <c r="P43" s="17"/>
      <c r="Q43" s="16"/>
      <c r="R43" s="16"/>
      <c r="S43" s="16"/>
      <c r="T43" s="16"/>
      <c r="U43" s="16"/>
      <c r="V43" s="16"/>
      <c r="W43" s="16"/>
    </row>
    <row r="44" spans="1:23" s="18" customFormat="1" ht="14.25" x14ac:dyDescent="0.2">
      <c r="A44" s="16" t="s">
        <v>98</v>
      </c>
      <c r="B44" s="63" t="s">
        <v>99</v>
      </c>
      <c r="C44" s="152">
        <v>72501027</v>
      </c>
      <c r="D44" s="19"/>
      <c r="E44" s="151">
        <f t="shared" ca="1" si="11"/>
        <v>-2628264.9225272089</v>
      </c>
      <c r="F44" s="19"/>
      <c r="G44" s="152">
        <f ca="1">+Matriz!N47</f>
        <v>69872762.077472791</v>
      </c>
      <c r="H44" s="16"/>
      <c r="I44" s="16" t="s">
        <v>98</v>
      </c>
      <c r="J44" s="63" t="s">
        <v>99</v>
      </c>
      <c r="K44" s="153">
        <f>+Matriz!D47++Matriz!D49</f>
        <v>80065240</v>
      </c>
      <c r="L44" s="19"/>
      <c r="M44" s="151">
        <f ca="1">+O44-K44</f>
        <v>347856.6895287931</v>
      </c>
      <c r="N44" s="19"/>
      <c r="O44" s="152">
        <f ca="1">+Matriz!M47+Matriz!M49</f>
        <v>80413096.689528793</v>
      </c>
      <c r="P44" s="17"/>
      <c r="Q44" s="16"/>
      <c r="R44" s="16"/>
      <c r="S44" s="16"/>
      <c r="T44" s="16"/>
      <c r="U44" s="16"/>
      <c r="V44" s="16"/>
      <c r="W44" s="16"/>
    </row>
    <row r="45" spans="1:23" s="18" customFormat="1" ht="14.25" x14ac:dyDescent="0.2">
      <c r="A45" s="16" t="s">
        <v>152</v>
      </c>
      <c r="B45" s="63" t="s">
        <v>151</v>
      </c>
      <c r="C45" s="152">
        <v>0</v>
      </c>
      <c r="D45" s="19"/>
      <c r="E45" s="151">
        <f t="shared" ca="1" si="11"/>
        <v>2450000</v>
      </c>
      <c r="F45" s="19"/>
      <c r="G45" s="152">
        <f ca="1">+Matriz!N48</f>
        <v>2450000</v>
      </c>
      <c r="H45" s="16"/>
      <c r="I45" s="16" t="s">
        <v>152</v>
      </c>
      <c r="J45" s="63" t="s">
        <v>151</v>
      </c>
      <c r="K45" s="153">
        <f>+Matriz!D48</f>
        <v>0</v>
      </c>
      <c r="L45" s="19"/>
      <c r="M45" s="151">
        <f ca="1">+O45-K45</f>
        <v>2450000</v>
      </c>
      <c r="N45" s="19"/>
      <c r="O45" s="156">
        <f ca="1">+Matriz!M48</f>
        <v>2450000</v>
      </c>
      <c r="P45" s="17"/>
      <c r="Q45" s="16"/>
      <c r="R45" s="16"/>
      <c r="S45" s="16"/>
      <c r="T45" s="16"/>
      <c r="U45" s="16"/>
      <c r="V45" s="16"/>
      <c r="W45" s="16"/>
    </row>
    <row r="46" spans="1:23" s="18" customFormat="1" x14ac:dyDescent="0.2">
      <c r="A46" s="16"/>
      <c r="B46" s="150" t="s">
        <v>101</v>
      </c>
      <c r="C46" s="159">
        <f>SUM(C43:C45)</f>
        <v>97457819</v>
      </c>
      <c r="D46" s="19"/>
      <c r="E46" s="19"/>
      <c r="F46" s="19"/>
      <c r="G46" s="159">
        <f ca="1">SUM(G43:G45)</f>
        <v>88279554.077472791</v>
      </c>
      <c r="H46" s="16"/>
      <c r="I46" s="16"/>
      <c r="J46" s="150" t="s">
        <v>101</v>
      </c>
      <c r="K46" s="159">
        <f>SUM(K43:K45)</f>
        <v>105614577</v>
      </c>
      <c r="L46" s="19"/>
      <c r="M46" s="19"/>
      <c r="N46" s="19"/>
      <c r="O46" s="159">
        <f ca="1">SUM(O43:O45)</f>
        <v>99412433.689528793</v>
      </c>
      <c r="P46" s="17"/>
      <c r="Q46" s="16"/>
      <c r="R46" s="16"/>
      <c r="S46" s="16"/>
      <c r="T46" s="16"/>
      <c r="U46" s="16"/>
      <c r="V46" s="16"/>
      <c r="W46" s="16"/>
    </row>
    <row r="47" spans="1:23" s="18" customFormat="1" x14ac:dyDescent="0.2">
      <c r="A47" s="16"/>
      <c r="B47" s="150" t="s">
        <v>102</v>
      </c>
      <c r="C47" s="159">
        <f>+C46+C39</f>
        <v>110167876</v>
      </c>
      <c r="D47" s="19"/>
      <c r="E47" s="19"/>
      <c r="F47" s="19"/>
      <c r="G47" s="159">
        <f ca="1">+G46+G39</f>
        <v>114721135.82394022</v>
      </c>
      <c r="H47" s="16"/>
      <c r="I47" s="16"/>
      <c r="J47" s="150" t="s">
        <v>102</v>
      </c>
      <c r="K47" s="159">
        <f>+K46+K39</f>
        <v>119395317</v>
      </c>
      <c r="L47" s="19"/>
      <c r="M47" s="19"/>
      <c r="N47" s="19"/>
      <c r="O47" s="159">
        <f ca="1">+O46+O39</f>
        <v>123588933.87591623</v>
      </c>
      <c r="P47" s="17"/>
      <c r="Q47" s="16"/>
      <c r="R47" s="16"/>
      <c r="S47" s="16"/>
      <c r="T47" s="16"/>
      <c r="U47" s="16"/>
      <c r="V47" s="16"/>
      <c r="W47" s="16"/>
    </row>
    <row r="48" spans="1:23" s="18" customFormat="1" ht="15.75" thickBot="1" x14ac:dyDescent="0.25">
      <c r="A48" s="16"/>
      <c r="B48" s="16"/>
      <c r="C48" s="160">
        <f>+C26-C47</f>
        <v>0</v>
      </c>
      <c r="D48" s="19"/>
      <c r="E48" s="19"/>
      <c r="F48" s="19"/>
      <c r="G48" s="160">
        <f ca="1">+G26-G47</f>
        <v>0</v>
      </c>
      <c r="H48" s="16"/>
      <c r="I48" s="16"/>
      <c r="J48" s="16"/>
      <c r="K48" s="160">
        <f>+K26-K47</f>
        <v>0</v>
      </c>
      <c r="L48" s="19"/>
      <c r="M48" s="19"/>
      <c r="N48" s="19"/>
      <c r="O48" s="160">
        <f ca="1">+O26-O47</f>
        <v>0</v>
      </c>
      <c r="P48" s="17"/>
      <c r="Q48" s="16"/>
      <c r="R48" s="16"/>
      <c r="S48" s="16"/>
      <c r="T48" s="16"/>
      <c r="U48" s="16"/>
      <c r="V48" s="16"/>
      <c r="W48" s="16"/>
    </row>
    <row r="49" spans="2:23" s="18" customFormat="1" ht="14.25" x14ac:dyDescent="0.2">
      <c r="E49" s="24"/>
      <c r="F49" s="24"/>
      <c r="Q49" s="166"/>
      <c r="R49" s="166"/>
      <c r="S49" s="166"/>
      <c r="T49" s="166"/>
      <c r="U49" s="166"/>
      <c r="V49" s="166"/>
      <c r="W49" s="166"/>
    </row>
    <row r="50" spans="2:23" s="18" customFormat="1" ht="14.25" x14ac:dyDescent="0.2">
      <c r="E50" s="24"/>
      <c r="F50" s="24"/>
      <c r="Q50" s="166"/>
      <c r="R50" s="166"/>
      <c r="S50" s="166"/>
      <c r="T50" s="166"/>
      <c r="U50" s="166"/>
      <c r="V50" s="166"/>
      <c r="W50" s="166"/>
    </row>
    <row r="51" spans="2:23" s="18" customFormat="1" ht="14.25" x14ac:dyDescent="0.2">
      <c r="E51" s="11"/>
      <c r="F51" s="24"/>
      <c r="Q51" s="166"/>
      <c r="R51" s="166"/>
      <c r="S51" s="166"/>
      <c r="T51" s="166"/>
      <c r="U51" s="166"/>
      <c r="V51" s="166"/>
      <c r="W51" s="166"/>
    </row>
    <row r="52" spans="2:23" s="18" customFormat="1" ht="14.25" x14ac:dyDescent="0.2">
      <c r="E52" s="10"/>
      <c r="F52" s="24"/>
      <c r="Q52" s="166"/>
      <c r="R52" s="166"/>
      <c r="S52" s="166"/>
      <c r="T52" s="166"/>
      <c r="U52" s="166"/>
      <c r="V52" s="166"/>
      <c r="W52" s="166"/>
    </row>
    <row r="53" spans="2:23" s="18" customFormat="1" ht="14.25" x14ac:dyDescent="0.2">
      <c r="B53" s="12"/>
      <c r="E53" s="24"/>
      <c r="F53" s="24"/>
      <c r="Q53" s="166"/>
      <c r="R53" s="166"/>
      <c r="S53" s="166"/>
      <c r="T53" s="166"/>
      <c r="U53" s="166"/>
      <c r="V53" s="166"/>
      <c r="W53" s="166"/>
    </row>
    <row r="54" spans="2:23" s="18" customFormat="1" ht="14.25" x14ac:dyDescent="0.2">
      <c r="B54" s="12"/>
      <c r="E54" s="24"/>
      <c r="F54" s="24"/>
      <c r="Q54" s="166"/>
      <c r="R54" s="166"/>
      <c r="S54" s="166"/>
      <c r="T54" s="166"/>
      <c r="U54" s="166"/>
      <c r="V54" s="166"/>
      <c r="W54" s="166"/>
    </row>
    <row r="55" spans="2:23" s="18" customFormat="1" ht="14.25" x14ac:dyDescent="0.2">
      <c r="E55" s="24"/>
      <c r="F55" s="24"/>
      <c r="Q55" s="166"/>
      <c r="R55" s="166"/>
      <c r="S55" s="166"/>
      <c r="T55" s="166"/>
      <c r="U55" s="166"/>
      <c r="V55" s="166"/>
      <c r="W55" s="166"/>
    </row>
    <row r="56" spans="2:23" s="18" customFormat="1" ht="14.25" x14ac:dyDescent="0.2">
      <c r="E56" s="24"/>
      <c r="F56" s="24"/>
      <c r="Q56" s="166"/>
      <c r="R56" s="166"/>
      <c r="S56" s="166"/>
      <c r="T56" s="166"/>
      <c r="U56" s="166"/>
      <c r="V56" s="166"/>
      <c r="W56" s="166"/>
    </row>
    <row r="57" spans="2:23" s="18" customFormat="1" ht="14.25" x14ac:dyDescent="0.2">
      <c r="E57" s="24"/>
      <c r="F57" s="24"/>
      <c r="Q57" s="166"/>
      <c r="R57" s="166"/>
      <c r="S57" s="166"/>
      <c r="T57" s="166"/>
      <c r="U57" s="166"/>
      <c r="V57" s="166"/>
      <c r="W57" s="166"/>
    </row>
    <row r="58" spans="2:23" s="18" customFormat="1" ht="14.25" x14ac:dyDescent="0.2">
      <c r="E58" s="24"/>
      <c r="F58" s="24"/>
      <c r="Q58" s="166"/>
      <c r="R58" s="166"/>
      <c r="S58" s="166"/>
      <c r="T58" s="166"/>
      <c r="U58" s="166"/>
      <c r="V58" s="166"/>
      <c r="W58" s="166"/>
    </row>
    <row r="59" spans="2:23" s="18" customFormat="1" ht="14.25" x14ac:dyDescent="0.2">
      <c r="E59" s="24"/>
      <c r="F59" s="24"/>
      <c r="Q59" s="166"/>
      <c r="R59" s="166"/>
      <c r="S59" s="166"/>
      <c r="T59" s="166"/>
      <c r="U59" s="166"/>
      <c r="V59" s="166"/>
      <c r="W59" s="166"/>
    </row>
    <row r="60" spans="2:23" s="18" customFormat="1" ht="14.25" x14ac:dyDescent="0.2">
      <c r="E60" s="24"/>
      <c r="F60" s="24"/>
      <c r="Q60" s="166"/>
      <c r="R60" s="166"/>
      <c r="S60" s="166"/>
      <c r="T60" s="166"/>
      <c r="U60" s="166"/>
      <c r="V60" s="166"/>
      <c r="W60" s="166"/>
    </row>
    <row r="61" spans="2:23" s="18" customFormat="1" ht="14.25" x14ac:dyDescent="0.2">
      <c r="E61" s="24"/>
      <c r="F61" s="24"/>
      <c r="Q61" s="166"/>
      <c r="R61" s="166"/>
      <c r="S61" s="166"/>
      <c r="T61" s="166"/>
      <c r="U61" s="166"/>
      <c r="V61" s="166"/>
      <c r="W61" s="166"/>
    </row>
    <row r="62" spans="2:23" s="18" customFormat="1" ht="14.25" x14ac:dyDescent="0.2">
      <c r="E62" s="24"/>
      <c r="F62" s="24"/>
      <c r="Q62" s="166"/>
      <c r="R62" s="166"/>
      <c r="S62" s="166"/>
      <c r="T62" s="166"/>
      <c r="U62" s="166"/>
      <c r="V62" s="166"/>
      <c r="W62" s="166"/>
    </row>
    <row r="63" spans="2:23" s="18" customFormat="1" ht="14.25" x14ac:dyDescent="0.2">
      <c r="E63" s="24"/>
      <c r="F63" s="24"/>
      <c r="Q63" s="166"/>
      <c r="R63" s="166"/>
      <c r="S63" s="166"/>
      <c r="T63" s="166"/>
      <c r="U63" s="166"/>
      <c r="V63" s="166"/>
      <c r="W63" s="166"/>
    </row>
    <row r="64" spans="2:23" s="18" customFormat="1" ht="14.25" x14ac:dyDescent="0.2">
      <c r="E64" s="24"/>
      <c r="F64" s="24"/>
      <c r="Q64" s="166"/>
      <c r="R64" s="166"/>
      <c r="S64" s="166"/>
      <c r="T64" s="166"/>
      <c r="U64" s="166"/>
      <c r="V64" s="166"/>
      <c r="W64" s="166"/>
    </row>
    <row r="65" spans="5:23" s="18" customFormat="1" ht="14.25" x14ac:dyDescent="0.2">
      <c r="E65" s="24"/>
      <c r="F65" s="24"/>
      <c r="Q65" s="166"/>
      <c r="R65" s="166"/>
      <c r="S65" s="166"/>
      <c r="T65" s="166"/>
      <c r="U65" s="166"/>
      <c r="V65" s="166"/>
      <c r="W65" s="166"/>
    </row>
    <row r="66" spans="5:23" s="18" customFormat="1" ht="14.25" x14ac:dyDescent="0.2">
      <c r="E66" s="24"/>
      <c r="F66" s="24"/>
      <c r="Q66" s="166"/>
      <c r="R66" s="166"/>
      <c r="S66" s="166"/>
      <c r="T66" s="166"/>
      <c r="U66" s="166"/>
      <c r="V66" s="166"/>
      <c r="W66" s="166"/>
    </row>
    <row r="67" spans="5:23" s="18" customFormat="1" ht="14.25" x14ac:dyDescent="0.2">
      <c r="E67" s="24"/>
      <c r="F67" s="24"/>
      <c r="Q67" s="166"/>
      <c r="R67" s="166"/>
      <c r="S67" s="166"/>
      <c r="T67" s="166"/>
      <c r="U67" s="166"/>
      <c r="V67" s="166"/>
      <c r="W67" s="166"/>
    </row>
    <row r="68" spans="5:23" s="18" customFormat="1" ht="14.25" x14ac:dyDescent="0.2">
      <c r="E68" s="24"/>
      <c r="F68" s="24"/>
      <c r="Q68" s="166"/>
      <c r="R68" s="166"/>
      <c r="S68" s="166"/>
      <c r="T68" s="166"/>
      <c r="U68" s="166"/>
      <c r="V68" s="166"/>
      <c r="W68" s="166"/>
    </row>
    <row r="69" spans="5:23" s="18" customFormat="1" ht="14.25" x14ac:dyDescent="0.2">
      <c r="E69" s="24"/>
      <c r="F69" s="24"/>
      <c r="Q69" s="166"/>
      <c r="R69" s="166"/>
      <c r="S69" s="166"/>
      <c r="T69" s="166"/>
      <c r="U69" s="166"/>
      <c r="V69" s="166"/>
      <c r="W69" s="166"/>
    </row>
    <row r="70" spans="5:23" s="18" customFormat="1" ht="14.25" x14ac:dyDescent="0.2">
      <c r="E70" s="24"/>
      <c r="F70" s="24"/>
      <c r="Q70" s="166"/>
      <c r="R70" s="166"/>
      <c r="S70" s="166"/>
      <c r="T70" s="166"/>
      <c r="U70" s="166"/>
      <c r="V70" s="166"/>
      <c r="W70" s="166"/>
    </row>
    <row r="71" spans="5:23" s="18" customFormat="1" ht="14.25" x14ac:dyDescent="0.2">
      <c r="E71" s="24"/>
      <c r="F71" s="24"/>
      <c r="Q71" s="166"/>
      <c r="R71" s="166"/>
      <c r="S71" s="166"/>
      <c r="T71" s="166"/>
      <c r="U71" s="166"/>
      <c r="V71" s="166"/>
      <c r="W71" s="166"/>
    </row>
    <row r="72" spans="5:23" s="18" customFormat="1" ht="14.25" x14ac:dyDescent="0.2">
      <c r="E72" s="24"/>
      <c r="F72" s="24"/>
      <c r="Q72" s="166"/>
      <c r="R72" s="166"/>
      <c r="S72" s="166"/>
      <c r="T72" s="166"/>
      <c r="U72" s="166"/>
      <c r="V72" s="166"/>
      <c r="W72" s="166"/>
    </row>
    <row r="73" spans="5:23" s="18" customFormat="1" ht="14.25" x14ac:dyDescent="0.2">
      <c r="E73" s="24"/>
      <c r="F73" s="24"/>
      <c r="Q73" s="166"/>
      <c r="R73" s="166"/>
      <c r="S73" s="166"/>
      <c r="T73" s="166"/>
      <c r="U73" s="166"/>
      <c r="V73" s="166"/>
      <c r="W73" s="166"/>
    </row>
    <row r="74" spans="5:23" s="18" customFormat="1" ht="14.25" x14ac:dyDescent="0.2">
      <c r="E74" s="24"/>
      <c r="F74" s="24"/>
      <c r="Q74" s="166"/>
      <c r="R74" s="166"/>
      <c r="S74" s="166"/>
      <c r="T74" s="166"/>
      <c r="U74" s="166"/>
      <c r="V74" s="166"/>
      <c r="W74" s="166"/>
    </row>
    <row r="75" spans="5:23" s="18" customFormat="1" ht="14.25" x14ac:dyDescent="0.2">
      <c r="E75" s="24"/>
      <c r="F75" s="24"/>
      <c r="Q75" s="166"/>
      <c r="R75" s="166"/>
      <c r="S75" s="166"/>
      <c r="T75" s="166"/>
      <c r="U75" s="166"/>
      <c r="V75" s="166"/>
      <c r="W75" s="166"/>
    </row>
    <row r="76" spans="5:23" s="18" customFormat="1" ht="14.25" x14ac:dyDescent="0.2">
      <c r="E76" s="24"/>
      <c r="F76" s="24"/>
      <c r="Q76" s="166"/>
      <c r="R76" s="166"/>
      <c r="S76" s="166"/>
      <c r="T76" s="166"/>
      <c r="U76" s="166"/>
      <c r="V76" s="166"/>
      <c r="W76" s="166"/>
    </row>
    <row r="77" spans="5:23" s="18" customFormat="1" ht="14.25" x14ac:dyDescent="0.2">
      <c r="E77" s="24"/>
      <c r="F77" s="24"/>
      <c r="Q77" s="166"/>
      <c r="R77" s="166"/>
      <c r="S77" s="166"/>
      <c r="T77" s="166"/>
      <c r="U77" s="166"/>
      <c r="V77" s="166"/>
      <c r="W77" s="166"/>
    </row>
    <row r="78" spans="5:23" s="18" customFormat="1" ht="14.25" x14ac:dyDescent="0.2">
      <c r="E78" s="24"/>
      <c r="F78" s="24"/>
      <c r="Q78" s="166"/>
      <c r="R78" s="166"/>
      <c r="S78" s="166"/>
      <c r="T78" s="166"/>
      <c r="U78" s="166"/>
      <c r="V78" s="166"/>
      <c r="W78" s="166"/>
    </row>
    <row r="79" spans="5:23" s="18" customFormat="1" ht="14.25" x14ac:dyDescent="0.2">
      <c r="E79" s="24"/>
      <c r="F79" s="24"/>
      <c r="Q79" s="166"/>
      <c r="R79" s="166"/>
      <c r="S79" s="166"/>
      <c r="T79" s="166"/>
      <c r="U79" s="166"/>
      <c r="V79" s="166"/>
      <c r="W79" s="166"/>
    </row>
    <row r="80" spans="5:23" s="18" customFormat="1" ht="14.25" x14ac:dyDescent="0.2">
      <c r="E80" s="24"/>
      <c r="F80" s="24"/>
      <c r="Q80" s="166"/>
      <c r="R80" s="166"/>
      <c r="S80" s="166"/>
      <c r="T80" s="166"/>
      <c r="U80" s="166"/>
      <c r="V80" s="166"/>
      <c r="W80" s="166"/>
    </row>
    <row r="81" spans="5:23" s="18" customFormat="1" ht="14.25" x14ac:dyDescent="0.2">
      <c r="E81" s="24"/>
      <c r="F81" s="24"/>
      <c r="Q81" s="166"/>
      <c r="R81" s="166"/>
      <c r="S81" s="166"/>
      <c r="T81" s="166"/>
      <c r="U81" s="166"/>
      <c r="V81" s="166"/>
      <c r="W81" s="166"/>
    </row>
    <row r="82" spans="5:23" s="18" customFormat="1" ht="14.25" x14ac:dyDescent="0.2">
      <c r="E82" s="24"/>
      <c r="F82" s="24"/>
      <c r="Q82" s="166"/>
      <c r="R82" s="166"/>
      <c r="S82" s="166"/>
      <c r="T82" s="166"/>
      <c r="U82" s="166"/>
      <c r="V82" s="166"/>
      <c r="W82" s="166"/>
    </row>
    <row r="83" spans="5:23" s="18" customFormat="1" ht="14.25" x14ac:dyDescent="0.2">
      <c r="E83" s="24"/>
      <c r="F83" s="24"/>
      <c r="Q83" s="166"/>
      <c r="R83" s="166"/>
      <c r="S83" s="166"/>
      <c r="T83" s="166"/>
      <c r="U83" s="166"/>
      <c r="V83" s="166"/>
      <c r="W83" s="166"/>
    </row>
    <row r="84" spans="5:23" s="18" customFormat="1" ht="14.25" x14ac:dyDescent="0.2">
      <c r="E84" s="24"/>
      <c r="F84" s="24"/>
      <c r="Q84" s="166"/>
      <c r="R84" s="166"/>
      <c r="S84" s="166"/>
      <c r="T84" s="166"/>
      <c r="U84" s="166"/>
      <c r="V84" s="166"/>
      <c r="W84" s="166"/>
    </row>
    <row r="85" spans="5:23" s="18" customFormat="1" ht="14.25" x14ac:dyDescent="0.2">
      <c r="E85" s="24"/>
      <c r="F85" s="24"/>
      <c r="Q85" s="166"/>
      <c r="R85" s="166"/>
      <c r="S85" s="166"/>
      <c r="T85" s="166"/>
      <c r="U85" s="166"/>
      <c r="V85" s="166"/>
      <c r="W85" s="166"/>
    </row>
    <row r="86" spans="5:23" s="18" customFormat="1" ht="14.25" x14ac:dyDescent="0.2">
      <c r="E86" s="24"/>
      <c r="F86" s="24"/>
      <c r="Q86" s="166"/>
      <c r="R86" s="166"/>
      <c r="S86" s="166"/>
      <c r="T86" s="166"/>
      <c r="U86" s="166"/>
      <c r="V86" s="166"/>
      <c r="W86" s="166"/>
    </row>
    <row r="87" spans="5:23" s="18" customFormat="1" ht="14.25" x14ac:dyDescent="0.2">
      <c r="E87" s="24"/>
      <c r="F87" s="24"/>
      <c r="Q87" s="166"/>
      <c r="R87" s="166"/>
      <c r="S87" s="166"/>
      <c r="T87" s="166"/>
      <c r="U87" s="166"/>
      <c r="V87" s="166"/>
      <c r="W87" s="166"/>
    </row>
    <row r="88" spans="5:23" s="18" customFormat="1" ht="14.25" x14ac:dyDescent="0.2">
      <c r="E88" s="24"/>
      <c r="F88" s="24"/>
      <c r="Q88" s="166"/>
      <c r="R88" s="166"/>
      <c r="S88" s="166"/>
      <c r="T88" s="166"/>
      <c r="U88" s="166"/>
      <c r="V88" s="166"/>
      <c r="W88" s="166"/>
    </row>
    <row r="89" spans="5:23" s="18" customFormat="1" ht="14.25" x14ac:dyDescent="0.2">
      <c r="E89" s="24"/>
      <c r="F89" s="24"/>
      <c r="Q89" s="166"/>
      <c r="R89" s="166"/>
      <c r="S89" s="166"/>
      <c r="T89" s="166"/>
      <c r="U89" s="166"/>
      <c r="V89" s="166"/>
      <c r="W89" s="166"/>
    </row>
    <row r="90" spans="5:23" s="18" customFormat="1" ht="14.25" x14ac:dyDescent="0.2">
      <c r="E90" s="24"/>
      <c r="F90" s="24"/>
      <c r="Q90" s="166"/>
      <c r="R90" s="166"/>
      <c r="S90" s="166"/>
      <c r="T90" s="166"/>
      <c r="U90" s="166"/>
      <c r="V90" s="166"/>
      <c r="W90" s="166"/>
    </row>
    <row r="91" spans="5:23" s="18" customFormat="1" ht="14.25" x14ac:dyDescent="0.2">
      <c r="E91" s="24"/>
      <c r="F91" s="24"/>
      <c r="Q91" s="166"/>
      <c r="R91" s="166"/>
      <c r="S91" s="166"/>
      <c r="T91" s="166"/>
      <c r="U91" s="166"/>
      <c r="V91" s="166"/>
      <c r="W91" s="166"/>
    </row>
    <row r="92" spans="5:23" s="18" customFormat="1" ht="14.25" x14ac:dyDescent="0.2">
      <c r="E92" s="24"/>
      <c r="F92" s="24"/>
      <c r="Q92" s="166"/>
      <c r="R92" s="166"/>
      <c r="S92" s="166"/>
      <c r="T92" s="166"/>
      <c r="U92" s="166"/>
      <c r="V92" s="166"/>
      <c r="W92" s="166"/>
    </row>
  </sheetData>
  <mergeCells count="2">
    <mergeCell ref="K1:O1"/>
    <mergeCell ref="C1:G1"/>
  </mergeCells>
  <printOptions horizontalCentered="1"/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0"/>
  <sheetViews>
    <sheetView tabSelected="1" zoomScale="80" zoomScaleNormal="80" workbookViewId="0">
      <pane xSplit="13" ySplit="5" topLeftCell="N10" activePane="bottomRight" state="frozen"/>
      <selection pane="topRight" activeCell="N1" sqref="N1"/>
      <selection pane="bottomLeft" activeCell="A6" sqref="A6"/>
      <selection pane="bottomRight" activeCell="Q36" sqref="Q36"/>
    </sheetView>
  </sheetViews>
  <sheetFormatPr baseColWidth="10" defaultColWidth="9.140625" defaultRowHeight="15" x14ac:dyDescent="0.25"/>
  <cols>
    <col min="1" max="1" width="4.28515625" style="18" customWidth="1"/>
    <col min="2" max="2" width="42.7109375" style="18" bestFit="1" customWidth="1"/>
    <col min="3" max="3" width="14.85546875" style="18" hidden="1" customWidth="1"/>
    <col min="4" max="4" width="14.42578125" style="18" hidden="1" customWidth="1"/>
    <col min="5" max="5" width="14.85546875" style="18" hidden="1" customWidth="1"/>
    <col min="6" max="6" width="3" style="18" hidden="1" customWidth="1"/>
    <col min="7" max="8" width="14.7109375" style="18" hidden="1" customWidth="1"/>
    <col min="9" max="10" width="16.7109375" style="18" hidden="1" customWidth="1"/>
    <col min="11" max="12" width="14.7109375" style="18" hidden="1" customWidth="1"/>
    <col min="13" max="13" width="2.7109375" style="18" hidden="1" customWidth="1"/>
    <col min="14" max="16" width="14.85546875" style="18" bestFit="1" customWidth="1"/>
    <col min="17" max="17" width="14.7109375" style="18" customWidth="1"/>
    <col min="18" max="18" width="3.140625" style="18" customWidth="1"/>
    <col min="19" max="19" width="0.5703125" style="18" customWidth="1"/>
    <col min="20" max="20" width="14.85546875" style="18" hidden="1" customWidth="1"/>
    <col min="21" max="21" width="14.42578125" style="18" hidden="1" customWidth="1"/>
    <col min="22" max="22" width="14.85546875" style="18" hidden="1" customWidth="1"/>
    <col min="23" max="23" width="3" style="18" hidden="1" customWidth="1"/>
    <col min="24" max="25" width="14.7109375" style="18" hidden="1" customWidth="1"/>
    <col min="26" max="27" width="16.7109375" style="18" hidden="1" customWidth="1"/>
    <col min="28" max="29" width="14.7109375" style="18" hidden="1" customWidth="1"/>
    <col min="30" max="30" width="2.7109375" style="18" hidden="1" customWidth="1"/>
    <col min="31" max="33" width="14.85546875" style="18" bestFit="1" customWidth="1"/>
    <col min="34" max="34" width="14.7109375" style="18" customWidth="1"/>
    <col min="35" max="73" width="14.7109375" customWidth="1"/>
  </cols>
  <sheetData>
    <row r="1" spans="1:36" s="18" customFormat="1" ht="12.75" x14ac:dyDescent="0.2">
      <c r="B1" s="53" t="s">
        <v>273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53" t="s">
        <v>276</v>
      </c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6" s="18" customFormat="1" ht="12.75" x14ac:dyDescent="0.2">
      <c r="A2" s="10"/>
      <c r="B2" s="50"/>
      <c r="C2" s="51"/>
      <c r="D2" s="51"/>
      <c r="E2" s="51"/>
      <c r="F2" s="50"/>
      <c r="G2" s="51"/>
      <c r="H2" s="51"/>
      <c r="I2" s="51"/>
      <c r="J2" s="51"/>
      <c r="K2" s="51"/>
      <c r="L2" s="51"/>
      <c r="M2" s="50"/>
      <c r="N2" s="51" t="s">
        <v>262</v>
      </c>
      <c r="O2" s="51" t="s">
        <v>264</v>
      </c>
      <c r="P2" s="51" t="s">
        <v>266</v>
      </c>
      <c r="Q2" s="50"/>
      <c r="R2" s="27"/>
      <c r="S2" s="50"/>
      <c r="T2" s="51"/>
      <c r="U2" s="51"/>
      <c r="V2" s="51"/>
      <c r="W2" s="50"/>
      <c r="X2" s="51"/>
      <c r="Y2" s="51"/>
      <c r="Z2" s="51"/>
      <c r="AA2" s="51"/>
      <c r="AB2" s="51"/>
      <c r="AC2" s="51"/>
      <c r="AD2" s="50"/>
      <c r="AE2" s="51" t="s">
        <v>262</v>
      </c>
      <c r="AF2" s="51" t="s">
        <v>264</v>
      </c>
      <c r="AG2" s="51" t="s">
        <v>266</v>
      </c>
      <c r="AH2" s="50"/>
    </row>
    <row r="3" spans="1:36" s="18" customFormat="1" ht="12.75" x14ac:dyDescent="0.2">
      <c r="B3" s="50"/>
      <c r="C3" s="52"/>
      <c r="D3" s="52"/>
      <c r="E3" s="52"/>
      <c r="F3" s="50"/>
      <c r="G3" s="52"/>
      <c r="H3" s="52"/>
      <c r="I3" s="52"/>
      <c r="J3" s="52"/>
      <c r="K3" s="52"/>
      <c r="L3" s="52"/>
      <c r="M3" s="50"/>
      <c r="N3" s="51" t="s">
        <v>263</v>
      </c>
      <c r="O3" s="51" t="s">
        <v>265</v>
      </c>
      <c r="P3" s="51" t="s">
        <v>267</v>
      </c>
      <c r="Q3" s="51" t="s">
        <v>200</v>
      </c>
      <c r="R3" s="27"/>
      <c r="S3" s="50"/>
      <c r="T3" s="52"/>
      <c r="U3" s="52"/>
      <c r="V3" s="52"/>
      <c r="W3" s="50"/>
      <c r="X3" s="52"/>
      <c r="Y3" s="52"/>
      <c r="Z3" s="52"/>
      <c r="AA3" s="52"/>
      <c r="AB3" s="52"/>
      <c r="AC3" s="52"/>
      <c r="AD3" s="50"/>
      <c r="AE3" s="51" t="s">
        <v>263</v>
      </c>
      <c r="AF3" s="51" t="s">
        <v>265</v>
      </c>
      <c r="AG3" s="51" t="s">
        <v>267</v>
      </c>
      <c r="AH3" s="51" t="s">
        <v>200</v>
      </c>
    </row>
    <row r="4" spans="1:36" s="18" customFormat="1" ht="12.75" x14ac:dyDescent="0.2">
      <c r="B4" s="17"/>
      <c r="C4" s="28"/>
      <c r="D4" s="28"/>
      <c r="E4" s="28"/>
      <c r="F4" s="17"/>
      <c r="G4" s="28"/>
      <c r="H4" s="28"/>
      <c r="I4" s="28"/>
      <c r="J4" s="28"/>
      <c r="K4" s="28"/>
      <c r="L4" s="28"/>
      <c r="M4" s="17"/>
      <c r="N4" s="27"/>
      <c r="O4" s="27"/>
      <c r="P4" s="27"/>
      <c r="Q4" s="27"/>
      <c r="R4" s="27"/>
      <c r="S4" s="17"/>
      <c r="T4" s="28"/>
      <c r="U4" s="28"/>
      <c r="V4" s="28"/>
      <c r="W4" s="17"/>
      <c r="X4" s="28"/>
      <c r="Y4" s="28"/>
      <c r="Z4" s="28"/>
      <c r="AA4" s="28"/>
      <c r="AB4" s="28"/>
      <c r="AC4" s="28"/>
      <c r="AD4" s="17"/>
      <c r="AE4" s="27"/>
      <c r="AF4" s="27"/>
      <c r="AG4" s="27"/>
      <c r="AH4" s="27"/>
    </row>
    <row r="5" spans="1:36" s="18" customFormat="1" ht="12.75" x14ac:dyDescent="0.2">
      <c r="B5" s="45" t="s">
        <v>268</v>
      </c>
      <c r="C5" s="49"/>
      <c r="D5" s="49"/>
      <c r="E5" s="49"/>
      <c r="F5" s="46"/>
      <c r="G5" s="49"/>
      <c r="H5" s="49"/>
      <c r="I5" s="49"/>
      <c r="J5" s="49"/>
      <c r="K5" s="49"/>
      <c r="L5" s="49"/>
      <c r="M5" s="46"/>
      <c r="N5" s="48">
        <f>+Matriz!E46</f>
        <v>24956792</v>
      </c>
      <c r="O5" s="48">
        <f>+Matriz!E47</f>
        <v>69501027</v>
      </c>
      <c r="P5" s="48">
        <v>0</v>
      </c>
      <c r="Q5" s="48">
        <f>SUM(N5:P5)</f>
        <v>94457819</v>
      </c>
      <c r="R5" s="27"/>
      <c r="S5" s="45" t="s">
        <v>268</v>
      </c>
      <c r="T5" s="49"/>
      <c r="U5" s="49"/>
      <c r="V5" s="49"/>
      <c r="W5" s="46"/>
      <c r="X5" s="49"/>
      <c r="Y5" s="49"/>
      <c r="Z5" s="49"/>
      <c r="AA5" s="49"/>
      <c r="AB5" s="49"/>
      <c r="AC5" s="49"/>
      <c r="AD5" s="46"/>
      <c r="AE5" s="48">
        <f>+N5+O30+O31</f>
        <v>15956792</v>
      </c>
      <c r="AF5" s="48">
        <f>+O5+O35</f>
        <v>69872762.077472791</v>
      </c>
      <c r="AG5" s="48">
        <f>+P5+O33+O34+O32</f>
        <v>2450000</v>
      </c>
      <c r="AH5" s="48">
        <f>SUM(AE5:AG5)</f>
        <v>88279554.077472791</v>
      </c>
      <c r="AJ5" s="185">
        <f>+AH5-Q5</f>
        <v>-6178264.9225272089</v>
      </c>
    </row>
    <row r="6" spans="1:36" s="18" customFormat="1" ht="12.75" x14ac:dyDescent="0.2">
      <c r="B6" s="23"/>
      <c r="C6" s="27"/>
      <c r="D6" s="27"/>
      <c r="E6" s="27"/>
      <c r="F6" s="17"/>
      <c r="G6" s="27"/>
      <c r="H6" s="27"/>
      <c r="I6" s="27"/>
      <c r="J6" s="27"/>
      <c r="K6" s="27"/>
      <c r="L6" s="27"/>
      <c r="M6" s="17"/>
      <c r="N6" s="44"/>
      <c r="O6" s="44"/>
      <c r="P6" s="44"/>
      <c r="Q6" s="44"/>
      <c r="R6" s="27"/>
      <c r="S6" s="23"/>
      <c r="T6" s="27"/>
      <c r="U6" s="27"/>
      <c r="V6" s="27"/>
      <c r="W6" s="17"/>
      <c r="X6" s="27"/>
      <c r="Y6" s="27"/>
      <c r="Z6" s="27"/>
      <c r="AA6" s="27"/>
      <c r="AB6" s="27"/>
      <c r="AC6" s="27"/>
      <c r="AD6" s="17"/>
      <c r="AE6" s="44"/>
      <c r="AF6" s="44"/>
      <c r="AG6" s="44"/>
      <c r="AH6" s="44"/>
    </row>
    <row r="7" spans="1:36" s="18" customFormat="1" ht="12.75" x14ac:dyDescent="0.2">
      <c r="B7" s="14" t="s">
        <v>271</v>
      </c>
      <c r="C7" s="27"/>
      <c r="D7" s="27"/>
      <c r="E7" s="27"/>
      <c r="F7" s="17"/>
      <c r="G7" s="27"/>
      <c r="H7" s="27"/>
      <c r="I7" s="27"/>
      <c r="J7" s="27"/>
      <c r="K7" s="27"/>
      <c r="L7" s="27"/>
      <c r="M7" s="17"/>
      <c r="N7" s="44">
        <v>592545</v>
      </c>
      <c r="O7" s="44">
        <v>0</v>
      </c>
      <c r="P7" s="44">
        <v>0</v>
      </c>
      <c r="Q7" s="44">
        <f>SUM(N7:P7)</f>
        <v>592545</v>
      </c>
      <c r="R7" s="27"/>
      <c r="S7" s="14" t="s">
        <v>271</v>
      </c>
      <c r="T7" s="27"/>
      <c r="U7" s="27"/>
      <c r="V7" s="27"/>
      <c r="W7" s="17"/>
      <c r="X7" s="27"/>
      <c r="Y7" s="27"/>
      <c r="Z7" s="27"/>
      <c r="AA7" s="27"/>
      <c r="AB7" s="27"/>
      <c r="AC7" s="27"/>
      <c r="AD7" s="17"/>
      <c r="AE7" s="44">
        <f>+N7</f>
        <v>592545</v>
      </c>
      <c r="AF7" s="44">
        <v>0</v>
      </c>
      <c r="AG7" s="44">
        <v>0</v>
      </c>
      <c r="AH7" s="44">
        <f>SUM(AE7:AG7)</f>
        <v>592545</v>
      </c>
    </row>
    <row r="8" spans="1:36" s="18" customFormat="1" ht="12.75" x14ac:dyDescent="0.2">
      <c r="B8" s="23"/>
      <c r="C8" s="27"/>
      <c r="D8" s="27"/>
      <c r="E8" s="27"/>
      <c r="F8" s="17"/>
      <c r="G8" s="27"/>
      <c r="H8" s="27"/>
      <c r="I8" s="27"/>
      <c r="J8" s="27"/>
      <c r="K8" s="27"/>
      <c r="L8" s="27"/>
      <c r="M8" s="17"/>
      <c r="N8" s="44"/>
      <c r="O8" s="44"/>
      <c r="P8" s="44"/>
      <c r="Q8" s="44"/>
      <c r="R8" s="27"/>
      <c r="S8" s="23"/>
      <c r="T8" s="27"/>
      <c r="U8" s="27"/>
      <c r="V8" s="27"/>
      <c r="W8" s="17"/>
      <c r="X8" s="27"/>
      <c r="Y8" s="27"/>
      <c r="Z8" s="27"/>
      <c r="AA8" s="27"/>
      <c r="AB8" s="27"/>
      <c r="AC8" s="27"/>
      <c r="AD8" s="17"/>
      <c r="AE8" s="44"/>
      <c r="AF8" s="44"/>
      <c r="AG8" s="44"/>
      <c r="AH8" s="44"/>
    </row>
    <row r="9" spans="1:36" s="18" customFormat="1" ht="12.75" x14ac:dyDescent="0.2">
      <c r="B9" s="14" t="s">
        <v>272</v>
      </c>
      <c r="C9" s="27"/>
      <c r="D9" s="27"/>
      <c r="E9" s="27"/>
      <c r="F9" s="17"/>
      <c r="G9" s="27"/>
      <c r="H9" s="27"/>
      <c r="I9" s="27"/>
      <c r="J9" s="27"/>
      <c r="K9" s="27"/>
      <c r="L9" s="27"/>
      <c r="M9" s="17"/>
      <c r="N9" s="44">
        <v>0</v>
      </c>
      <c r="O9" s="40">
        <v>-260635</v>
      </c>
      <c r="P9" s="44">
        <v>0</v>
      </c>
      <c r="Q9" s="40">
        <f>SUM(N9:P9)</f>
        <v>-260635</v>
      </c>
      <c r="R9" s="27"/>
      <c r="S9" s="14" t="s">
        <v>272</v>
      </c>
      <c r="T9" s="27"/>
      <c r="U9" s="27"/>
      <c r="V9" s="27"/>
      <c r="W9" s="17"/>
      <c r="X9" s="27"/>
      <c r="Y9" s="27"/>
      <c r="Z9" s="27"/>
      <c r="AA9" s="27"/>
      <c r="AB9" s="27"/>
      <c r="AC9" s="27"/>
      <c r="AD9" s="17"/>
      <c r="AE9" s="44">
        <v>0</v>
      </c>
      <c r="AF9" s="40">
        <f>+O9</f>
        <v>-260635</v>
      </c>
      <c r="AG9" s="44">
        <v>0</v>
      </c>
      <c r="AH9" s="40">
        <f>SUM(AE9:AG9)</f>
        <v>-260635</v>
      </c>
    </row>
    <row r="10" spans="1:36" s="18" customFormat="1" ht="12.75" x14ac:dyDescent="0.2">
      <c r="B10" s="23"/>
      <c r="C10" s="27"/>
      <c r="D10" s="27"/>
      <c r="E10" s="27"/>
      <c r="F10" s="17"/>
      <c r="G10" s="27"/>
      <c r="H10" s="27"/>
      <c r="I10" s="27"/>
      <c r="J10" s="27"/>
      <c r="K10" s="27"/>
      <c r="L10" s="27"/>
      <c r="M10" s="17"/>
      <c r="N10" s="44"/>
      <c r="O10" s="44"/>
      <c r="P10" s="44"/>
      <c r="Q10" s="44"/>
      <c r="R10" s="27"/>
      <c r="S10" s="23"/>
      <c r="T10" s="27"/>
      <c r="U10" s="27"/>
      <c r="V10" s="27"/>
      <c r="W10" s="17"/>
      <c r="X10" s="27"/>
      <c r="Y10" s="27"/>
      <c r="Z10" s="27"/>
      <c r="AA10" s="27"/>
      <c r="AB10" s="27"/>
      <c r="AC10" s="27"/>
      <c r="AD10" s="17"/>
      <c r="AE10" s="44"/>
      <c r="AF10" s="44"/>
      <c r="AG10" s="44"/>
      <c r="AH10" s="44"/>
    </row>
    <row r="11" spans="1:36" s="18" customFormat="1" ht="12.75" x14ac:dyDescent="0.2">
      <c r="B11" s="18" t="s">
        <v>269</v>
      </c>
      <c r="G11" s="24"/>
      <c r="H11" s="24"/>
      <c r="I11" s="24"/>
      <c r="J11" s="24"/>
      <c r="K11" s="24"/>
      <c r="L11" s="24"/>
      <c r="M11" s="24"/>
      <c r="N11" s="44">
        <v>0</v>
      </c>
      <c r="O11" s="44">
        <f>+Matriz!E78</f>
        <v>10824848</v>
      </c>
      <c r="P11" s="44">
        <v>0</v>
      </c>
      <c r="Q11" s="44">
        <f>SUM(N11:P11)</f>
        <v>10824848</v>
      </c>
      <c r="R11" s="27"/>
      <c r="S11" s="18" t="s">
        <v>269</v>
      </c>
      <c r="X11" s="24"/>
      <c r="Y11" s="24"/>
      <c r="Z11" s="24"/>
      <c r="AA11" s="24"/>
      <c r="AB11" s="24"/>
      <c r="AC11" s="24"/>
      <c r="AD11" s="24"/>
      <c r="AE11" s="44">
        <v>0</v>
      </c>
      <c r="AF11" s="44">
        <f>+O11+O37</f>
        <v>10800969.612056002</v>
      </c>
      <c r="AG11" s="44">
        <v>0</v>
      </c>
      <c r="AH11" s="44">
        <f>SUM(AE11:AG11)</f>
        <v>10800969.612056002</v>
      </c>
      <c r="AJ11" s="185">
        <f>+AH11-Q11</f>
        <v>-23878.387943997979</v>
      </c>
    </row>
    <row r="12" spans="1:36" s="18" customFormat="1" ht="12.75" x14ac:dyDescent="0.2">
      <c r="B12" s="14"/>
      <c r="G12" s="24"/>
      <c r="H12" s="24"/>
      <c r="I12" s="24"/>
      <c r="J12" s="24"/>
      <c r="K12" s="24"/>
      <c r="L12" s="24"/>
      <c r="M12" s="24"/>
      <c r="N12" s="44"/>
      <c r="O12" s="44"/>
      <c r="P12" s="44"/>
      <c r="Q12" s="44"/>
      <c r="R12" s="27"/>
      <c r="S12" s="14"/>
      <c r="X12" s="24"/>
      <c r="Y12" s="24"/>
      <c r="Z12" s="24"/>
      <c r="AA12" s="24"/>
      <c r="AB12" s="24"/>
      <c r="AC12" s="24"/>
      <c r="AD12" s="24"/>
      <c r="AE12" s="44"/>
      <c r="AF12" s="44"/>
      <c r="AG12" s="44"/>
      <c r="AH12" s="44"/>
    </row>
    <row r="13" spans="1:36" s="18" customFormat="1" ht="12.75" x14ac:dyDescent="0.2">
      <c r="B13" s="45" t="s">
        <v>270</v>
      </c>
      <c r="C13" s="46"/>
      <c r="D13" s="46"/>
      <c r="E13" s="46"/>
      <c r="F13" s="46"/>
      <c r="G13" s="47"/>
      <c r="H13" s="47"/>
      <c r="I13" s="47"/>
      <c r="J13" s="47"/>
      <c r="K13" s="47"/>
      <c r="L13" s="47"/>
      <c r="M13" s="47"/>
      <c r="N13" s="48">
        <f>SUM(N5:N12)</f>
        <v>25549337</v>
      </c>
      <c r="O13" s="48">
        <f>SUM(O5:O12)</f>
        <v>80065240</v>
      </c>
      <c r="P13" s="48">
        <f>SUM(P5:P12)</f>
        <v>0</v>
      </c>
      <c r="Q13" s="48">
        <f>SUM(Q5:Q12)</f>
        <v>105614577</v>
      </c>
      <c r="R13" s="27"/>
      <c r="S13" s="45" t="s">
        <v>270</v>
      </c>
      <c r="T13" s="46"/>
      <c r="U13" s="46"/>
      <c r="V13" s="46"/>
      <c r="W13" s="46"/>
      <c r="X13" s="47"/>
      <c r="Y13" s="47"/>
      <c r="Z13" s="47"/>
      <c r="AA13" s="47"/>
      <c r="AB13" s="47"/>
      <c r="AC13" s="47"/>
      <c r="AD13" s="47"/>
      <c r="AE13" s="48">
        <f>SUM(AE5:AE12)</f>
        <v>16549337</v>
      </c>
      <c r="AF13" s="48">
        <f>SUM(AF5:AF12)</f>
        <v>80413096.689528793</v>
      </c>
      <c r="AG13" s="48">
        <f>SUM(AG5:AG12)</f>
        <v>2450000</v>
      </c>
      <c r="AH13" s="48">
        <f>SUM(AH5:AH12)</f>
        <v>99412433.689528793</v>
      </c>
    </row>
    <row r="14" spans="1:36" s="18" customFormat="1" ht="12.75" x14ac:dyDescent="0.2">
      <c r="B14" s="23"/>
      <c r="C14" s="27"/>
      <c r="D14" s="27"/>
      <c r="E14" s="27"/>
      <c r="F14" s="17"/>
      <c r="G14" s="27"/>
      <c r="H14" s="27"/>
      <c r="I14" s="27"/>
      <c r="J14" s="27"/>
      <c r="K14" s="27"/>
      <c r="L14" s="27"/>
      <c r="M14" s="17"/>
      <c r="N14" s="44"/>
      <c r="O14" s="44"/>
      <c r="P14" s="44"/>
      <c r="Q14" s="44"/>
      <c r="R14" s="27"/>
      <c r="S14" s="23"/>
      <c r="T14" s="27"/>
      <c r="U14" s="27"/>
      <c r="V14" s="27"/>
      <c r="W14" s="17"/>
      <c r="X14" s="27"/>
      <c r="Y14" s="27"/>
      <c r="Z14" s="27"/>
      <c r="AA14" s="27"/>
      <c r="AB14" s="27"/>
      <c r="AC14" s="27"/>
      <c r="AD14" s="17"/>
      <c r="AE14" s="44"/>
      <c r="AF14" s="44"/>
      <c r="AG14" s="44"/>
      <c r="AH14" s="44"/>
    </row>
    <row r="15" spans="1:36" s="18" customFormat="1" ht="12.75" x14ac:dyDescent="0.2">
      <c r="B15" s="14" t="s">
        <v>271</v>
      </c>
      <c r="C15" s="27"/>
      <c r="D15" s="27"/>
      <c r="E15" s="27"/>
      <c r="F15" s="17"/>
      <c r="G15" s="27"/>
      <c r="H15" s="27"/>
      <c r="I15" s="27"/>
      <c r="J15" s="27"/>
      <c r="K15" s="27"/>
      <c r="L15" s="27"/>
      <c r="M15" s="17"/>
      <c r="N15" s="44">
        <v>651799</v>
      </c>
      <c r="O15" s="44">
        <v>0</v>
      </c>
      <c r="P15" s="44">
        <v>0</v>
      </c>
      <c r="Q15" s="44">
        <f>SUM(N15:P15)</f>
        <v>651799</v>
      </c>
      <c r="R15" s="27"/>
      <c r="S15" s="14" t="s">
        <v>271</v>
      </c>
      <c r="T15" s="27"/>
      <c r="U15" s="27"/>
      <c r="V15" s="27"/>
      <c r="W15" s="17"/>
      <c r="X15" s="27"/>
      <c r="Y15" s="27"/>
      <c r="Z15" s="27"/>
      <c r="AA15" s="27"/>
      <c r="AB15" s="27"/>
      <c r="AC15" s="27"/>
      <c r="AD15" s="17"/>
      <c r="AE15" s="44">
        <v>651799</v>
      </c>
      <c r="AF15" s="44">
        <v>0</v>
      </c>
      <c r="AG15" s="44">
        <v>0</v>
      </c>
      <c r="AH15" s="44">
        <f>SUM(AE15:AG15)</f>
        <v>651799</v>
      </c>
    </row>
    <row r="16" spans="1:36" s="18" customFormat="1" ht="12.75" x14ac:dyDescent="0.2">
      <c r="B16" s="23"/>
      <c r="C16" s="27"/>
      <c r="D16" s="27"/>
      <c r="E16" s="27"/>
      <c r="F16" s="17"/>
      <c r="G16" s="27"/>
      <c r="H16" s="27"/>
      <c r="I16" s="27"/>
      <c r="J16" s="27"/>
      <c r="K16" s="27"/>
      <c r="L16" s="27"/>
      <c r="M16" s="17"/>
      <c r="N16" s="44"/>
      <c r="O16" s="44"/>
      <c r="P16" s="44"/>
      <c r="Q16" s="44"/>
      <c r="R16" s="27"/>
      <c r="S16" s="23"/>
      <c r="T16" s="27"/>
      <c r="U16" s="27"/>
      <c r="V16" s="27"/>
      <c r="W16" s="17"/>
      <c r="X16" s="27"/>
      <c r="Y16" s="27"/>
      <c r="Z16" s="27"/>
      <c r="AA16" s="27"/>
      <c r="AB16" s="27"/>
      <c r="AC16" s="27"/>
      <c r="AD16" s="17"/>
      <c r="AE16" s="44"/>
      <c r="AF16" s="44"/>
      <c r="AG16" s="44"/>
      <c r="AH16" s="44"/>
    </row>
    <row r="17" spans="2:36" s="18" customFormat="1" ht="12.75" x14ac:dyDescent="0.2">
      <c r="B17" s="14" t="s">
        <v>272</v>
      </c>
      <c r="C17" s="27"/>
      <c r="D17" s="27"/>
      <c r="E17" s="27"/>
      <c r="F17" s="17"/>
      <c r="G17" s="27"/>
      <c r="H17" s="27"/>
      <c r="I17" s="27"/>
      <c r="J17" s="27"/>
      <c r="K17" s="27"/>
      <c r="L17" s="27"/>
      <c r="M17" s="17"/>
      <c r="N17" s="44">
        <v>0</v>
      </c>
      <c r="O17" s="40">
        <v>-1836758</v>
      </c>
      <c r="P17" s="44">
        <v>0</v>
      </c>
      <c r="Q17" s="40">
        <f>SUM(N17:P17)</f>
        <v>-1836758</v>
      </c>
      <c r="R17" s="27"/>
      <c r="S17" s="14" t="s">
        <v>272</v>
      </c>
      <c r="T17" s="27"/>
      <c r="U17" s="27"/>
      <c r="V17" s="27"/>
      <c r="W17" s="17"/>
      <c r="X17" s="27"/>
      <c r="Y17" s="27"/>
      <c r="Z17" s="27"/>
      <c r="AA17" s="27"/>
      <c r="AB17" s="27"/>
      <c r="AC17" s="27"/>
      <c r="AD17" s="17"/>
      <c r="AE17" s="44">
        <v>0</v>
      </c>
      <c r="AF17" s="40">
        <v>-1836758</v>
      </c>
      <c r="AG17" s="44">
        <v>0</v>
      </c>
      <c r="AH17" s="40">
        <f>SUM(AE17:AG17)</f>
        <v>-1836758</v>
      </c>
    </row>
    <row r="18" spans="2:36" s="18" customFormat="1" ht="12.75" x14ac:dyDescent="0.2">
      <c r="B18" s="23"/>
      <c r="C18" s="27"/>
      <c r="D18" s="27"/>
      <c r="E18" s="27"/>
      <c r="F18" s="17"/>
      <c r="G18" s="27"/>
      <c r="H18" s="27"/>
      <c r="I18" s="27"/>
      <c r="J18" s="27"/>
      <c r="K18" s="27"/>
      <c r="L18" s="27"/>
      <c r="M18" s="17"/>
      <c r="N18" s="44"/>
      <c r="O18" s="44"/>
      <c r="P18" s="44"/>
      <c r="Q18" s="44"/>
      <c r="R18" s="27"/>
      <c r="S18" s="23"/>
      <c r="T18" s="27"/>
      <c r="U18" s="27"/>
      <c r="V18" s="27"/>
      <c r="W18" s="17"/>
      <c r="X18" s="27"/>
      <c r="Y18" s="27"/>
      <c r="Z18" s="27"/>
      <c r="AA18" s="27"/>
      <c r="AB18" s="27"/>
      <c r="AC18" s="27"/>
      <c r="AD18" s="17"/>
      <c r="AE18" s="44"/>
      <c r="AF18" s="44"/>
      <c r="AG18" s="44"/>
      <c r="AH18" s="44"/>
    </row>
    <row r="19" spans="2:36" s="18" customFormat="1" ht="12.75" x14ac:dyDescent="0.2">
      <c r="B19" s="17" t="s">
        <v>275</v>
      </c>
      <c r="C19" s="17"/>
      <c r="D19" s="17"/>
      <c r="E19" s="17"/>
      <c r="F19" s="17"/>
      <c r="G19" s="22"/>
      <c r="H19" s="22"/>
      <c r="I19" s="22"/>
      <c r="J19" s="22"/>
      <c r="K19" s="22"/>
      <c r="L19" s="22"/>
      <c r="M19" s="22"/>
      <c r="N19" s="44">
        <v>0</v>
      </c>
      <c r="O19" s="44">
        <f ca="1">+Matriz!L78</f>
        <v>12768568.781596549</v>
      </c>
      <c r="P19" s="44">
        <v>0</v>
      </c>
      <c r="Q19" s="44">
        <f ca="1">SUM(N19:P19)</f>
        <v>12768568.781596549</v>
      </c>
      <c r="R19" s="27"/>
      <c r="S19" s="17" t="s">
        <v>275</v>
      </c>
      <c r="T19" s="17"/>
      <c r="U19" s="17"/>
      <c r="V19" s="17"/>
      <c r="W19" s="17"/>
      <c r="X19" s="22"/>
      <c r="Y19" s="22"/>
      <c r="Z19" s="22"/>
      <c r="AA19" s="22"/>
      <c r="AB19" s="22"/>
      <c r="AC19" s="22"/>
      <c r="AD19" s="22"/>
      <c r="AE19" s="44">
        <v>0</v>
      </c>
      <c r="AF19" s="44">
        <f ca="1">+O19</f>
        <v>12768568.781596549</v>
      </c>
      <c r="AG19" s="44">
        <v>0</v>
      </c>
      <c r="AH19" s="44">
        <f ca="1">SUM(AE19:AG19)</f>
        <v>12768568.781596549</v>
      </c>
    </row>
    <row r="20" spans="2:36" s="18" customFormat="1" ht="12.75" x14ac:dyDescent="0.2">
      <c r="B20" s="17"/>
      <c r="C20" s="17"/>
      <c r="D20" s="17"/>
      <c r="E20" s="17"/>
      <c r="F20" s="17"/>
      <c r="G20" s="22"/>
      <c r="H20" s="22"/>
      <c r="I20" s="22"/>
      <c r="J20" s="22"/>
      <c r="K20" s="22"/>
      <c r="L20" s="22"/>
      <c r="M20" s="22"/>
      <c r="N20" s="44"/>
      <c r="O20" s="44"/>
      <c r="P20" s="44"/>
      <c r="Q20" s="44"/>
      <c r="R20" s="27"/>
      <c r="S20" s="17"/>
      <c r="T20" s="17"/>
      <c r="U20" s="17"/>
      <c r="V20" s="17"/>
      <c r="W20" s="17"/>
      <c r="X20" s="22"/>
      <c r="Y20" s="22"/>
      <c r="Z20" s="22"/>
      <c r="AA20" s="22"/>
      <c r="AB20" s="22"/>
      <c r="AC20" s="22"/>
      <c r="AD20" s="22"/>
      <c r="AE20" s="44"/>
      <c r="AF20" s="44"/>
      <c r="AG20" s="44"/>
      <c r="AH20" s="44"/>
    </row>
    <row r="21" spans="2:36" s="18" customFormat="1" ht="12.75" x14ac:dyDescent="0.2">
      <c r="B21" s="271" t="s">
        <v>274</v>
      </c>
      <c r="C21" s="271"/>
      <c r="D21" s="271"/>
      <c r="E21" s="271"/>
      <c r="F21" s="271"/>
      <c r="G21" s="291"/>
      <c r="H21" s="291"/>
      <c r="I21" s="291"/>
      <c r="J21" s="291"/>
      <c r="K21" s="291"/>
      <c r="L21" s="291"/>
      <c r="M21" s="291"/>
      <c r="N21" s="292"/>
      <c r="O21" s="42">
        <f>+'Reconciliación 1'!C33+'Reconciliación 1'!C55+'Reconciliación 1'!C9+'Reconciliación 1'!C11</f>
        <v>-6202143.3104712032</v>
      </c>
      <c r="P21" s="292"/>
      <c r="Q21" s="42">
        <f>SUM(N21:P21)</f>
        <v>-6202143.3104712032</v>
      </c>
      <c r="R21" s="27"/>
      <c r="S21" s="17"/>
      <c r="T21" s="17"/>
      <c r="U21" s="17"/>
      <c r="V21" s="17"/>
      <c r="W21" s="17"/>
      <c r="X21" s="22"/>
      <c r="Y21" s="22"/>
      <c r="Z21" s="22"/>
      <c r="AA21" s="22"/>
      <c r="AB21" s="22"/>
      <c r="AC21" s="22"/>
      <c r="AD21" s="22"/>
      <c r="AE21" s="44"/>
      <c r="AF21" s="40"/>
      <c r="AG21" s="44"/>
      <c r="AH21" s="40"/>
      <c r="AJ21" s="185">
        <f>+AJ5+AJ11</f>
        <v>-6202143.3104712069</v>
      </c>
    </row>
    <row r="22" spans="2:36" s="18" customFormat="1" ht="12.75" x14ac:dyDescent="0.2">
      <c r="B22" s="17"/>
      <c r="C22" s="17"/>
      <c r="D22" s="17"/>
      <c r="E22" s="17"/>
      <c r="F22" s="17"/>
      <c r="G22" s="22"/>
      <c r="H22" s="22"/>
      <c r="I22" s="22"/>
      <c r="J22" s="22"/>
      <c r="K22" s="22"/>
      <c r="L22" s="22"/>
      <c r="M22" s="22"/>
      <c r="N22" s="44"/>
      <c r="O22" s="44"/>
      <c r="P22" s="44"/>
      <c r="Q22" s="44"/>
      <c r="R22" s="27"/>
      <c r="S22" s="17"/>
      <c r="T22" s="17"/>
      <c r="U22" s="17"/>
      <c r="V22" s="17"/>
      <c r="W22" s="17"/>
      <c r="X22" s="22"/>
      <c r="Y22" s="22"/>
      <c r="Z22" s="22"/>
      <c r="AA22" s="22"/>
      <c r="AB22" s="22"/>
      <c r="AC22" s="22"/>
      <c r="AD22" s="22"/>
      <c r="AE22" s="44"/>
      <c r="AF22" s="44"/>
      <c r="AG22" s="44"/>
      <c r="AH22" s="44"/>
    </row>
    <row r="23" spans="2:36" s="18" customFormat="1" ht="12.75" x14ac:dyDescent="0.2">
      <c r="B23" s="45" t="s">
        <v>329</v>
      </c>
      <c r="C23" s="46"/>
      <c r="D23" s="46"/>
      <c r="E23" s="46"/>
      <c r="F23" s="46"/>
      <c r="G23" s="47"/>
      <c r="H23" s="47"/>
      <c r="I23" s="47"/>
      <c r="J23" s="47"/>
      <c r="K23" s="47"/>
      <c r="L23" s="47"/>
      <c r="M23" s="47"/>
      <c r="N23" s="48">
        <f>SUM(N13:N22)</f>
        <v>26201136</v>
      </c>
      <c r="O23" s="48">
        <f ca="1">SUM(O13:O22)</f>
        <v>84794907.471125335</v>
      </c>
      <c r="P23" s="48">
        <f>SUM(P13:P22)</f>
        <v>0</v>
      </c>
      <c r="Q23" s="48">
        <f ca="1">SUM(Q13:Q22)</f>
        <v>110996043.47112533</v>
      </c>
      <c r="R23" s="27"/>
      <c r="S23" s="45" t="s">
        <v>270</v>
      </c>
      <c r="T23" s="46"/>
      <c r="U23" s="46"/>
      <c r="V23" s="46"/>
      <c r="W23" s="46"/>
      <c r="X23" s="47"/>
      <c r="Y23" s="47"/>
      <c r="Z23" s="47"/>
      <c r="AA23" s="47"/>
      <c r="AB23" s="47"/>
      <c r="AC23" s="47"/>
      <c r="AD23" s="47"/>
      <c r="AE23" s="48">
        <f>SUM(AE13:AE22)</f>
        <v>17201136</v>
      </c>
      <c r="AF23" s="48">
        <f ca="1">SUM(AF13:AF22)</f>
        <v>91344907.471125335</v>
      </c>
      <c r="AG23" s="48">
        <f>SUM(AG13:AG22)</f>
        <v>2450000</v>
      </c>
      <c r="AH23" s="48">
        <f ca="1">SUM(AH13:AH22)</f>
        <v>110996043.47112533</v>
      </c>
    </row>
    <row r="24" spans="2:36" s="18" customFormat="1" ht="12.75" x14ac:dyDescent="0.2">
      <c r="B24" s="17"/>
      <c r="C24" s="17"/>
      <c r="D24" s="17"/>
      <c r="E24" s="17"/>
      <c r="F24" s="17"/>
      <c r="G24" s="22"/>
      <c r="H24" s="22"/>
      <c r="I24" s="22"/>
      <c r="J24" s="22"/>
      <c r="K24" s="22"/>
      <c r="L24" s="22"/>
      <c r="M24" s="22"/>
      <c r="N24" s="17"/>
      <c r="O24" s="17"/>
      <c r="P24" s="293" t="s">
        <v>318</v>
      </c>
      <c r="Q24" s="292">
        <f>+Q5-Matriz!E50</f>
        <v>0</v>
      </c>
      <c r="R24" s="27"/>
      <c r="S24" s="17"/>
      <c r="T24" s="17"/>
      <c r="U24" s="17"/>
      <c r="V24" s="17"/>
      <c r="W24" s="17"/>
      <c r="X24" s="22"/>
      <c r="Y24" s="22"/>
      <c r="Z24" s="22"/>
      <c r="AA24" s="22"/>
      <c r="AB24" s="22"/>
      <c r="AC24" s="22"/>
      <c r="AD24" s="22"/>
      <c r="AE24" s="17"/>
      <c r="AF24" s="17"/>
      <c r="AG24" s="293" t="s">
        <v>318</v>
      </c>
      <c r="AH24" s="292">
        <f ca="1">+AH5-Matriz!N50</f>
        <v>0</v>
      </c>
    </row>
    <row r="25" spans="2:36" s="18" customFormat="1" ht="12.75" x14ac:dyDescent="0.2">
      <c r="B25" s="17"/>
      <c r="C25" s="17"/>
      <c r="D25" s="17"/>
      <c r="E25" s="17"/>
      <c r="F25" s="17"/>
      <c r="G25" s="22"/>
      <c r="H25" s="22"/>
      <c r="I25" s="22"/>
      <c r="J25" s="22"/>
      <c r="K25" s="22"/>
      <c r="L25" s="22"/>
      <c r="M25" s="22"/>
      <c r="N25" s="17"/>
      <c r="O25" s="17"/>
      <c r="P25" s="293" t="s">
        <v>318</v>
      </c>
      <c r="Q25" s="272">
        <f>+Q13-Matriz!D50</f>
        <v>0</v>
      </c>
      <c r="R25" s="27"/>
      <c r="S25" s="17"/>
      <c r="T25" s="17"/>
      <c r="U25" s="17"/>
      <c r="V25" s="17"/>
      <c r="W25" s="17"/>
      <c r="X25" s="22"/>
      <c r="Y25" s="22"/>
      <c r="Z25" s="22"/>
      <c r="AA25" s="22"/>
      <c r="AB25" s="22"/>
      <c r="AC25" s="22"/>
      <c r="AD25" s="22"/>
      <c r="AE25" s="17"/>
      <c r="AF25" s="17"/>
      <c r="AG25" s="293" t="s">
        <v>318</v>
      </c>
      <c r="AH25" s="272">
        <f ca="1">+AH13-Matriz!M50</f>
        <v>0</v>
      </c>
    </row>
    <row r="26" spans="2:36" s="18" customFormat="1" ht="12.75" x14ac:dyDescent="0.2">
      <c r="B26" s="17"/>
      <c r="C26" s="17"/>
      <c r="D26" s="17"/>
      <c r="E26" s="17"/>
      <c r="F26" s="17"/>
      <c r="G26" s="22"/>
      <c r="H26" s="22"/>
      <c r="I26" s="22"/>
      <c r="J26" s="22"/>
      <c r="K26" s="22"/>
      <c r="L26" s="22"/>
      <c r="M26" s="22"/>
      <c r="N26" s="17"/>
      <c r="O26" s="17"/>
      <c r="P26" s="293" t="s">
        <v>318</v>
      </c>
      <c r="Q26" s="272">
        <f ca="1">+Q23-Matriz!L50</f>
        <v>0</v>
      </c>
      <c r="R26" s="27"/>
      <c r="S26" s="17"/>
      <c r="T26" s="17"/>
      <c r="U26" s="17"/>
      <c r="V26" s="17"/>
      <c r="W26" s="17"/>
      <c r="X26" s="22"/>
      <c r="Y26" s="22"/>
      <c r="Z26" s="22"/>
      <c r="AA26" s="22"/>
      <c r="AB26" s="22"/>
      <c r="AC26" s="22"/>
      <c r="AD26" s="22"/>
      <c r="AE26" s="17"/>
      <c r="AF26" s="17"/>
      <c r="AG26" s="293" t="s">
        <v>318</v>
      </c>
      <c r="AH26" s="272">
        <f ca="1">+AH23-Matriz!L50</f>
        <v>0</v>
      </c>
    </row>
    <row r="27" spans="2:36" s="18" customFormat="1" ht="12.75" x14ac:dyDescent="0.2"/>
    <row r="28" spans="2:36" s="18" customFormat="1" ht="12.75" x14ac:dyDescent="0.2">
      <c r="B28" s="54" t="s">
        <v>277</v>
      </c>
      <c r="C28" s="55"/>
      <c r="D28" s="55"/>
      <c r="E28" s="55"/>
      <c r="F28" s="55"/>
      <c r="G28" s="56"/>
      <c r="H28" s="56"/>
      <c r="I28" s="56"/>
      <c r="J28" s="56"/>
      <c r="K28" s="56"/>
      <c r="L28" s="56"/>
      <c r="M28" s="56"/>
      <c r="N28" s="55"/>
      <c r="O28" s="186"/>
      <c r="Q28" s="25"/>
      <c r="X28" s="24"/>
      <c r="Y28" s="24"/>
      <c r="Z28" s="24"/>
      <c r="AA28" s="24"/>
      <c r="AB28" s="24"/>
      <c r="AC28" s="24"/>
      <c r="AD28" s="24"/>
    </row>
    <row r="29" spans="2:36" s="18" customFormat="1" ht="12.75" x14ac:dyDescent="0.2">
      <c r="B29" s="61" t="s">
        <v>278</v>
      </c>
      <c r="C29" s="58"/>
      <c r="D29" s="58"/>
      <c r="E29" s="58"/>
      <c r="F29" s="58"/>
      <c r="G29" s="32"/>
      <c r="H29" s="32"/>
      <c r="I29" s="32"/>
      <c r="J29" s="32"/>
      <c r="K29" s="32"/>
      <c r="L29" s="32"/>
      <c r="M29" s="32"/>
      <c r="N29" s="58"/>
      <c r="O29" s="187"/>
      <c r="X29" s="24"/>
      <c r="Y29" s="24"/>
      <c r="Z29" s="24"/>
      <c r="AA29" s="24"/>
      <c r="AB29" s="24"/>
      <c r="AC29" s="24"/>
      <c r="AD29" s="24"/>
    </row>
    <row r="30" spans="2:36" s="18" customFormat="1" ht="12.75" x14ac:dyDescent="0.2">
      <c r="B30" s="57" t="s">
        <v>289</v>
      </c>
      <c r="C30" s="58"/>
      <c r="D30" s="58"/>
      <c r="E30" s="58"/>
      <c r="F30" s="58"/>
      <c r="G30" s="32"/>
      <c r="H30" s="32"/>
      <c r="I30" s="32"/>
      <c r="J30" s="32"/>
      <c r="K30" s="32"/>
      <c r="L30" s="32"/>
      <c r="M30" s="32"/>
      <c r="N30" s="58"/>
      <c r="O30" s="187">
        <f>+'Reconciliación 1'!D11</f>
        <v>-6000000</v>
      </c>
      <c r="X30" s="24"/>
      <c r="Y30" s="24"/>
      <c r="Z30" s="24"/>
      <c r="AA30" s="24"/>
      <c r="AB30" s="24"/>
      <c r="AC30" s="24"/>
      <c r="AD30" s="24"/>
    </row>
    <row r="31" spans="2:36" s="18" customFormat="1" ht="12.75" x14ac:dyDescent="0.2">
      <c r="B31" s="57" t="s">
        <v>290</v>
      </c>
      <c r="C31" s="58"/>
      <c r="D31" s="58"/>
      <c r="E31" s="58"/>
      <c r="F31" s="58"/>
      <c r="G31" s="32"/>
      <c r="H31" s="32"/>
      <c r="I31" s="32"/>
      <c r="J31" s="32"/>
      <c r="K31" s="32"/>
      <c r="L31" s="32"/>
      <c r="M31" s="32"/>
      <c r="N31" s="58"/>
      <c r="O31" s="187">
        <v>-3000000</v>
      </c>
      <c r="X31" s="24"/>
      <c r="Y31" s="24"/>
      <c r="Z31" s="24"/>
      <c r="AA31" s="24"/>
      <c r="AB31" s="24"/>
      <c r="AC31" s="24"/>
      <c r="AD31" s="24"/>
    </row>
    <row r="32" spans="2:36" s="18" customFormat="1" ht="12.75" x14ac:dyDescent="0.2">
      <c r="B32" s="57" t="s">
        <v>312</v>
      </c>
      <c r="C32" s="58"/>
      <c r="D32" s="58"/>
      <c r="E32" s="58"/>
      <c r="F32" s="58"/>
      <c r="G32" s="32"/>
      <c r="H32" s="32"/>
      <c r="I32" s="32"/>
      <c r="J32" s="32"/>
      <c r="K32" s="32"/>
      <c r="L32" s="32"/>
      <c r="M32" s="32"/>
      <c r="N32" s="58"/>
      <c r="O32" s="187">
        <f>+'Reconciliación 1'!D8</f>
        <v>-1050000</v>
      </c>
      <c r="X32" s="24"/>
      <c r="Y32" s="24"/>
      <c r="Z32" s="24"/>
      <c r="AA32" s="24"/>
      <c r="AB32" s="24"/>
      <c r="AC32" s="24"/>
      <c r="AD32" s="24"/>
    </row>
    <row r="33" spans="2:30" s="18" customFormat="1" ht="12.75" x14ac:dyDescent="0.2">
      <c r="B33" s="57" t="s">
        <v>313</v>
      </c>
      <c r="C33" s="58"/>
      <c r="D33" s="58"/>
      <c r="E33" s="58"/>
      <c r="F33" s="58"/>
      <c r="G33" s="32"/>
      <c r="H33" s="32"/>
      <c r="I33" s="32"/>
      <c r="J33" s="32"/>
      <c r="K33" s="32"/>
      <c r="L33" s="32"/>
      <c r="M33" s="32"/>
      <c r="N33" s="58"/>
      <c r="O33" s="187">
        <f>+'Reconciliación 1'!D7</f>
        <v>500000</v>
      </c>
      <c r="X33" s="24"/>
      <c r="Y33" s="24"/>
      <c r="Z33" s="24"/>
      <c r="AA33" s="24"/>
      <c r="AB33" s="24"/>
      <c r="AC33" s="24"/>
      <c r="AD33" s="24"/>
    </row>
    <row r="34" spans="2:30" s="18" customFormat="1" ht="12.75" x14ac:dyDescent="0.2">
      <c r="B34" s="57" t="s">
        <v>291</v>
      </c>
      <c r="C34" s="58"/>
      <c r="D34" s="58"/>
      <c r="E34" s="58"/>
      <c r="F34" s="58"/>
      <c r="G34" s="32"/>
      <c r="H34" s="32"/>
      <c r="I34" s="32"/>
      <c r="J34" s="32"/>
      <c r="K34" s="32"/>
      <c r="L34" s="32"/>
      <c r="M34" s="32"/>
      <c r="N34" s="58"/>
      <c r="O34" s="187">
        <f>-O31</f>
        <v>3000000</v>
      </c>
      <c r="X34" s="24"/>
      <c r="Y34" s="24"/>
      <c r="Z34" s="24"/>
      <c r="AA34" s="24"/>
      <c r="AB34" s="24"/>
      <c r="AC34" s="24"/>
      <c r="AD34" s="24"/>
    </row>
    <row r="35" spans="2:30" s="18" customFormat="1" ht="12.75" x14ac:dyDescent="0.2">
      <c r="B35" s="57" t="s">
        <v>282</v>
      </c>
      <c r="C35" s="58"/>
      <c r="D35" s="58"/>
      <c r="E35" s="58"/>
      <c r="F35" s="58"/>
      <c r="G35" s="32"/>
      <c r="H35" s="32"/>
      <c r="I35" s="32"/>
      <c r="J35" s="32"/>
      <c r="K35" s="32"/>
      <c r="L35" s="32"/>
      <c r="M35" s="32"/>
      <c r="N35" s="58"/>
      <c r="O35" s="188">
        <f>+SUM('Reconciliación 1'!D13:D32)</f>
        <v>371735.0774727948</v>
      </c>
      <c r="X35" s="24"/>
      <c r="Y35" s="24"/>
      <c r="Z35" s="24"/>
      <c r="AA35" s="24"/>
      <c r="AB35" s="24"/>
      <c r="AC35" s="24"/>
      <c r="AD35" s="24"/>
    </row>
    <row r="36" spans="2:30" s="18" customFormat="1" ht="12.75" x14ac:dyDescent="0.2">
      <c r="B36" s="57"/>
      <c r="C36" s="58"/>
      <c r="D36" s="58"/>
      <c r="E36" s="58"/>
      <c r="F36" s="58"/>
      <c r="G36" s="32"/>
      <c r="H36" s="32"/>
      <c r="I36" s="32"/>
      <c r="J36" s="32"/>
      <c r="K36" s="32"/>
      <c r="L36" s="32"/>
      <c r="M36" s="32"/>
      <c r="N36" s="58"/>
      <c r="O36" s="187">
        <f>SUM(O30:O35)</f>
        <v>-6178264.9225272052</v>
      </c>
      <c r="X36" s="24"/>
      <c r="Y36" s="24"/>
      <c r="Z36" s="24"/>
      <c r="AA36" s="24"/>
      <c r="AB36" s="24"/>
      <c r="AC36" s="24"/>
      <c r="AD36" s="24"/>
    </row>
    <row r="37" spans="2:30" s="18" customFormat="1" ht="12.75" x14ac:dyDescent="0.2">
      <c r="B37" s="57" t="s">
        <v>420</v>
      </c>
      <c r="C37" s="58"/>
      <c r="D37" s="58"/>
      <c r="E37" s="58"/>
      <c r="F37" s="58"/>
      <c r="G37" s="32"/>
      <c r="H37" s="32"/>
      <c r="I37" s="32"/>
      <c r="J37" s="32"/>
      <c r="K37" s="32"/>
      <c r="L37" s="32"/>
      <c r="M37" s="32"/>
      <c r="N37" s="58"/>
      <c r="O37" s="187">
        <f>+'Reconciliación 1'!C55</f>
        <v>-23878.387943998445</v>
      </c>
      <c r="X37" s="24"/>
      <c r="Y37" s="24"/>
      <c r="Z37" s="24"/>
      <c r="AA37" s="24"/>
      <c r="AB37" s="24"/>
      <c r="AC37" s="24"/>
      <c r="AD37" s="24"/>
    </row>
    <row r="38" spans="2:30" s="18" customFormat="1" ht="12.75" x14ac:dyDescent="0.2">
      <c r="B38" s="59"/>
      <c r="C38" s="20"/>
      <c r="D38" s="20"/>
      <c r="E38" s="20"/>
      <c r="F38" s="20"/>
      <c r="G38" s="34"/>
      <c r="H38" s="34"/>
      <c r="I38" s="34"/>
      <c r="J38" s="34"/>
      <c r="K38" s="34"/>
      <c r="L38" s="34"/>
      <c r="M38" s="34"/>
      <c r="N38" s="20"/>
      <c r="O38" s="60">
        <f>+O36+O37</f>
        <v>-6202143.3104712032</v>
      </c>
      <c r="X38" s="24"/>
      <c r="Y38" s="24"/>
      <c r="Z38" s="24"/>
      <c r="AA38" s="24"/>
      <c r="AB38" s="24"/>
      <c r="AC38" s="24"/>
      <c r="AD38" s="24"/>
    </row>
    <row r="39" spans="2:30" s="18" customFormat="1" ht="12.75" x14ac:dyDescent="0.2">
      <c r="X39" s="24"/>
      <c r="Y39" s="24"/>
      <c r="Z39" s="24"/>
      <c r="AA39" s="24"/>
      <c r="AB39" s="24"/>
      <c r="AC39" s="24"/>
      <c r="AD39" s="24"/>
    </row>
    <row r="40" spans="2:30" s="18" customFormat="1" ht="12.75" x14ac:dyDescent="0.2">
      <c r="X40" s="24"/>
      <c r="Y40" s="24"/>
      <c r="Z40" s="24"/>
      <c r="AA40" s="24"/>
      <c r="AB40" s="24"/>
      <c r="AC40" s="24"/>
      <c r="AD40" s="24"/>
    </row>
    <row r="41" spans="2:30" s="18" customFormat="1" ht="12.75" x14ac:dyDescent="0.2">
      <c r="X41" s="24"/>
      <c r="Y41" s="24"/>
      <c r="Z41" s="24"/>
      <c r="AA41" s="24"/>
      <c r="AB41" s="24"/>
      <c r="AC41" s="24"/>
      <c r="AD41" s="24"/>
    </row>
    <row r="42" spans="2:30" s="18" customFormat="1" ht="12.75" x14ac:dyDescent="0.2">
      <c r="X42" s="24"/>
      <c r="Y42" s="24"/>
      <c r="Z42" s="24"/>
      <c r="AA42" s="24"/>
      <c r="AB42" s="24"/>
      <c r="AC42" s="24"/>
      <c r="AD42" s="24"/>
    </row>
    <row r="43" spans="2:30" s="18" customFormat="1" ht="12.75" x14ac:dyDescent="0.2">
      <c r="X43" s="24"/>
      <c r="Y43" s="24"/>
      <c r="Z43" s="24"/>
      <c r="AA43" s="24"/>
      <c r="AB43" s="24"/>
      <c r="AC43" s="24"/>
      <c r="AD43" s="24"/>
    </row>
    <row r="44" spans="2:30" s="18" customFormat="1" ht="12.75" x14ac:dyDescent="0.2">
      <c r="G44" s="24"/>
      <c r="H44" s="24"/>
      <c r="I44" s="24"/>
      <c r="J44" s="24"/>
      <c r="K44" s="24"/>
      <c r="L44" s="24"/>
      <c r="M44" s="24"/>
      <c r="X44" s="24"/>
      <c r="Y44" s="24"/>
      <c r="Z44" s="24"/>
      <c r="AA44" s="24"/>
      <c r="AB44" s="24"/>
      <c r="AC44" s="24"/>
      <c r="AD44" s="24"/>
    </row>
    <row r="45" spans="2:30" s="18" customFormat="1" ht="12.75" x14ac:dyDescent="0.2">
      <c r="G45" s="24"/>
      <c r="H45" s="24"/>
      <c r="I45" s="24"/>
      <c r="J45" s="24"/>
      <c r="K45" s="24"/>
      <c r="L45" s="24"/>
      <c r="M45" s="24"/>
      <c r="X45" s="24"/>
      <c r="Y45" s="24"/>
      <c r="Z45" s="24"/>
      <c r="AA45" s="24"/>
      <c r="AB45" s="24"/>
      <c r="AC45" s="24"/>
      <c r="AD45" s="24"/>
    </row>
    <row r="46" spans="2:30" s="18" customFormat="1" ht="12.75" x14ac:dyDescent="0.2">
      <c r="G46" s="24"/>
      <c r="H46" s="24"/>
      <c r="I46" s="24"/>
      <c r="J46" s="24"/>
      <c r="K46" s="24"/>
      <c r="L46" s="24"/>
      <c r="M46" s="24"/>
      <c r="X46" s="24"/>
      <c r="Y46" s="24"/>
      <c r="Z46" s="24"/>
      <c r="AA46" s="24"/>
      <c r="AB46" s="24"/>
      <c r="AC46" s="24"/>
      <c r="AD46" s="24"/>
    </row>
    <row r="47" spans="2:30" s="18" customFormat="1" ht="12.75" x14ac:dyDescent="0.2">
      <c r="G47" s="24"/>
      <c r="H47" s="24"/>
      <c r="I47" s="24"/>
      <c r="J47" s="24"/>
      <c r="K47" s="24"/>
      <c r="L47" s="24"/>
      <c r="M47" s="24"/>
      <c r="X47" s="24"/>
      <c r="Y47" s="24"/>
      <c r="Z47" s="24"/>
      <c r="AA47" s="24"/>
      <c r="AB47" s="24"/>
      <c r="AC47" s="24"/>
      <c r="AD47" s="24"/>
    </row>
    <row r="48" spans="2:30" s="18" customFormat="1" ht="12.75" x14ac:dyDescent="0.2">
      <c r="G48" s="24"/>
      <c r="H48" s="24"/>
      <c r="I48" s="24"/>
      <c r="J48" s="24"/>
      <c r="K48" s="24"/>
      <c r="L48" s="24"/>
      <c r="M48" s="24"/>
      <c r="X48" s="24"/>
      <c r="Y48" s="24"/>
      <c r="Z48" s="24"/>
      <c r="AA48" s="24"/>
      <c r="AB48" s="24"/>
      <c r="AC48" s="24"/>
      <c r="AD48" s="24"/>
    </row>
    <row r="49" spans="7:30" s="18" customFormat="1" ht="12.75" x14ac:dyDescent="0.2">
      <c r="G49" s="24"/>
      <c r="H49" s="24"/>
      <c r="I49" s="24"/>
      <c r="J49" s="24"/>
      <c r="K49" s="24"/>
      <c r="L49" s="24"/>
      <c r="M49" s="24"/>
      <c r="X49" s="24"/>
      <c r="Y49" s="24"/>
      <c r="Z49" s="24"/>
      <c r="AA49" s="24"/>
      <c r="AB49" s="24"/>
      <c r="AC49" s="24"/>
      <c r="AD49" s="24"/>
    </row>
    <row r="50" spans="7:30" s="18" customFormat="1" ht="12.75" x14ac:dyDescent="0.2">
      <c r="G50" s="24"/>
      <c r="H50" s="24"/>
      <c r="I50" s="24"/>
      <c r="J50" s="24"/>
      <c r="K50" s="24"/>
      <c r="L50" s="24"/>
      <c r="M50" s="24"/>
      <c r="X50" s="24"/>
      <c r="Y50" s="24"/>
      <c r="Z50" s="24"/>
      <c r="AA50" s="24"/>
      <c r="AB50" s="24"/>
      <c r="AC50" s="24"/>
      <c r="AD50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371</v>
      </c>
      <c r="E1" s="1"/>
      <c r="F1" s="1" t="s">
        <v>370</v>
      </c>
      <c r="G1" s="1"/>
      <c r="H1" s="1" t="s">
        <v>369</v>
      </c>
      <c r="K1" s="1" t="s">
        <v>376</v>
      </c>
      <c r="L1" s="1" t="s">
        <v>377</v>
      </c>
      <c r="M1" s="1" t="s">
        <v>344</v>
      </c>
    </row>
    <row r="2" spans="1:14" x14ac:dyDescent="0.25">
      <c r="A2" s="1" t="s">
        <v>372</v>
      </c>
      <c r="B2" s="1">
        <v>10</v>
      </c>
      <c r="C2" s="1" t="s">
        <v>373</v>
      </c>
      <c r="J2" s="1" t="s">
        <v>378</v>
      </c>
      <c r="K2" s="177">
        <v>900000</v>
      </c>
      <c r="L2" s="177">
        <v>300000</v>
      </c>
      <c r="M2" s="177">
        <f>+K2+L2</f>
        <v>1200000</v>
      </c>
      <c r="N2">
        <v>2014</v>
      </c>
    </row>
    <row r="3" spans="1:14" x14ac:dyDescent="0.25">
      <c r="A3" t="s">
        <v>331</v>
      </c>
      <c r="D3" s="174">
        <v>1000000</v>
      </c>
      <c r="F3" s="174">
        <v>1000000</v>
      </c>
      <c r="H3" s="174">
        <v>1000000</v>
      </c>
      <c r="J3" t="s">
        <v>379</v>
      </c>
      <c r="K3">
        <v>0</v>
      </c>
      <c r="L3" s="174">
        <v>400000</v>
      </c>
      <c r="M3" s="174">
        <f>+K3+L3</f>
        <v>400000</v>
      </c>
      <c r="N3">
        <v>2014</v>
      </c>
    </row>
    <row r="4" spans="1:14" x14ac:dyDescent="0.25">
      <c r="A4" t="s">
        <v>332</v>
      </c>
      <c r="D4" s="174">
        <f>-D3*10%*3</f>
        <v>-300000</v>
      </c>
      <c r="E4" s="177">
        <f>+F4-D4</f>
        <v>-100000</v>
      </c>
      <c r="F4" s="174">
        <f>-F3*10%*4</f>
        <v>-400000</v>
      </c>
      <c r="G4" s="177">
        <f>+H4-F4</f>
        <v>-100000</v>
      </c>
      <c r="H4" s="174">
        <f>-H3*10%*5</f>
        <v>-500000</v>
      </c>
      <c r="J4" s="1" t="s">
        <v>381</v>
      </c>
      <c r="K4" s="177">
        <f t="shared" ref="K4" si="0">SUM(K2:K3)</f>
        <v>900000</v>
      </c>
      <c r="L4" s="177">
        <f>SUM(L2:L3)</f>
        <v>700000</v>
      </c>
      <c r="M4" s="177">
        <f t="shared" ref="M4" si="1">SUM(M2:M3)</f>
        <v>1600000</v>
      </c>
      <c r="N4">
        <v>2014</v>
      </c>
    </row>
    <row r="5" spans="1:14" s="1" customFormat="1" x14ac:dyDescent="0.25">
      <c r="A5" s="1" t="s">
        <v>335</v>
      </c>
      <c r="D5" s="177">
        <f>+D3+D4</f>
        <v>700000</v>
      </c>
      <c r="F5" s="177">
        <f>+F3+F4</f>
        <v>600000</v>
      </c>
      <c r="H5" s="177">
        <f>+H3+H4</f>
        <v>500000</v>
      </c>
      <c r="J5" t="s">
        <v>380</v>
      </c>
      <c r="K5" s="183">
        <v>0</v>
      </c>
      <c r="L5" s="229">
        <v>700000</v>
      </c>
      <c r="M5" s="174">
        <f>+K5+L5</f>
        <v>700000</v>
      </c>
      <c r="N5">
        <v>2015</v>
      </c>
    </row>
    <row r="6" spans="1:14" x14ac:dyDescent="0.25">
      <c r="J6" t="s">
        <v>382</v>
      </c>
      <c r="K6" s="183">
        <v>0</v>
      </c>
      <c r="L6" s="229">
        <f>+-G17</f>
        <v>175000</v>
      </c>
      <c r="M6" s="174">
        <f>+K6+L6</f>
        <v>175000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373</v>
      </c>
      <c r="J7" s="1" t="s">
        <v>381</v>
      </c>
      <c r="K7" s="177">
        <f>+K4+K5+K6</f>
        <v>900000</v>
      </c>
      <c r="L7" s="177">
        <f t="shared" ref="L7:M7" si="2">+L4+L5+L6</f>
        <v>1575000</v>
      </c>
      <c r="M7" s="177">
        <f t="shared" si="2"/>
        <v>2475000</v>
      </c>
      <c r="N7">
        <v>2015</v>
      </c>
    </row>
    <row r="8" spans="1:14" x14ac:dyDescent="0.25">
      <c r="A8" t="s">
        <v>331</v>
      </c>
      <c r="D8" s="174">
        <v>900000</v>
      </c>
      <c r="F8" s="174">
        <f>+D8</f>
        <v>900000</v>
      </c>
      <c r="H8" s="174">
        <v>1000000</v>
      </c>
    </row>
    <row r="9" spans="1:14" x14ac:dyDescent="0.25">
      <c r="A9" t="s">
        <v>332</v>
      </c>
      <c r="D9" s="174">
        <f>+-D8/8</f>
        <v>-112500</v>
      </c>
      <c r="E9" s="177">
        <f>+F9-D9</f>
        <v>-112500</v>
      </c>
      <c r="F9" s="174">
        <f>-(F8/8)*2</f>
        <v>-225000</v>
      </c>
      <c r="G9" s="177">
        <f>+H9-F9</f>
        <v>-150000</v>
      </c>
      <c r="H9" s="174">
        <f>-(H8/8)*3</f>
        <v>-375000</v>
      </c>
      <c r="K9" s="1" t="s">
        <v>376</v>
      </c>
      <c r="L9" s="1" t="s">
        <v>377</v>
      </c>
      <c r="M9" s="1" t="s">
        <v>344</v>
      </c>
    </row>
    <row r="10" spans="1:14" s="1" customFormat="1" x14ac:dyDescent="0.25">
      <c r="A10" s="1" t="s">
        <v>335</v>
      </c>
      <c r="D10" s="177">
        <f>+D8+D9</f>
        <v>787500</v>
      </c>
      <c r="F10" s="177">
        <f>+F8+F9</f>
        <v>675000</v>
      </c>
      <c r="H10" s="177">
        <f>+H8+H9</f>
        <v>625000</v>
      </c>
      <c r="J10" s="1" t="s">
        <v>378</v>
      </c>
      <c r="K10" s="177">
        <v>900000</v>
      </c>
      <c r="L10" s="177">
        <f>+L2-C17</f>
        <v>487500</v>
      </c>
      <c r="M10" s="177">
        <f>+K10+L10</f>
        <v>1387500</v>
      </c>
      <c r="N10"/>
    </row>
    <row r="11" spans="1:14" x14ac:dyDescent="0.25">
      <c r="J11" t="s">
        <v>379</v>
      </c>
      <c r="K11">
        <v>0</v>
      </c>
      <c r="L11" s="174">
        <f>+L3-E16</f>
        <v>387500</v>
      </c>
      <c r="M11" s="174">
        <f>+K11+L11</f>
        <v>387500</v>
      </c>
    </row>
    <row r="12" spans="1:14" x14ac:dyDescent="0.25">
      <c r="A12" s="1" t="s">
        <v>337</v>
      </c>
      <c r="D12" s="177">
        <f>+D5-D10</f>
        <v>-87500</v>
      </c>
      <c r="F12" s="177">
        <f>+F5-F10</f>
        <v>-75000</v>
      </c>
      <c r="H12" s="177">
        <f>+H5-H10</f>
        <v>-125000</v>
      </c>
      <c r="J12" s="1" t="s">
        <v>381</v>
      </c>
      <c r="K12" s="177">
        <f t="shared" ref="K12:L12" si="3">+K10+K11</f>
        <v>900000</v>
      </c>
      <c r="L12" s="177">
        <f t="shared" si="3"/>
        <v>875000</v>
      </c>
      <c r="M12" s="177">
        <f>+M10+M11</f>
        <v>1775000</v>
      </c>
    </row>
    <row r="13" spans="1:14" x14ac:dyDescent="0.25">
      <c r="J13" t="s">
        <v>380</v>
      </c>
      <c r="K13" s="183">
        <v>0</v>
      </c>
      <c r="L13" s="229">
        <v>700000</v>
      </c>
      <c r="M13" s="174">
        <f>+K13+L13</f>
        <v>700000</v>
      </c>
    </row>
    <row r="14" spans="1:14" x14ac:dyDescent="0.25">
      <c r="C14" s="230" t="s">
        <v>57</v>
      </c>
      <c r="D14" s="230" t="s">
        <v>58</v>
      </c>
      <c r="E14" s="233" t="s">
        <v>57</v>
      </c>
      <c r="F14" s="233" t="s">
        <v>58</v>
      </c>
      <c r="G14" s="224" t="s">
        <v>57</v>
      </c>
      <c r="H14" s="224" t="s">
        <v>58</v>
      </c>
      <c r="J14" t="s">
        <v>382</v>
      </c>
      <c r="K14" s="183">
        <v>0</v>
      </c>
      <c r="L14" s="229">
        <f>+G25</f>
        <v>0</v>
      </c>
      <c r="M14" s="174">
        <f>+K14+L14</f>
        <v>0</v>
      </c>
    </row>
    <row r="15" spans="1:14" x14ac:dyDescent="0.25">
      <c r="A15" s="1" t="s">
        <v>338</v>
      </c>
      <c r="C15" s="231"/>
      <c r="D15" s="227">
        <f>-D9+D4</f>
        <v>-187500</v>
      </c>
      <c r="E15" s="234"/>
      <c r="F15" s="235">
        <f>-F9+F4</f>
        <v>-175000</v>
      </c>
      <c r="G15" s="225"/>
      <c r="H15" s="226">
        <f>-(H9-H4)</f>
        <v>-125000</v>
      </c>
      <c r="J15" s="1" t="s">
        <v>381</v>
      </c>
      <c r="K15" s="177">
        <f>+K12+K13+K14</f>
        <v>900000</v>
      </c>
      <c r="L15" s="177">
        <f t="shared" ref="L15:M15" si="4">+L12+L13+L14</f>
        <v>1575000</v>
      </c>
      <c r="M15" s="177">
        <f t="shared" si="4"/>
        <v>2475000</v>
      </c>
    </row>
    <row r="16" spans="1:14" x14ac:dyDescent="0.25">
      <c r="A16" s="1" t="s">
        <v>374</v>
      </c>
      <c r="C16" s="231">
        <v>0</v>
      </c>
      <c r="D16" s="231"/>
      <c r="E16" s="236">
        <f>-E9+E4</f>
        <v>12500</v>
      </c>
      <c r="F16" s="234"/>
      <c r="G16" s="226">
        <f>-G9+G4</f>
        <v>50000</v>
      </c>
      <c r="H16" s="225"/>
    </row>
    <row r="17" spans="1:8" x14ac:dyDescent="0.25">
      <c r="A17" s="1" t="s">
        <v>375</v>
      </c>
      <c r="C17" s="232">
        <f>+D15</f>
        <v>-187500</v>
      </c>
      <c r="D17" s="230"/>
      <c r="E17" s="236">
        <f>+F15-E16</f>
        <v>-187500</v>
      </c>
      <c r="F17" s="234"/>
      <c r="G17" s="228">
        <f>+H15-G16</f>
        <v>-175000</v>
      </c>
      <c r="H17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Diagnóstico (2)</vt:lpstr>
      <vt:lpstr>Diagnóstico</vt:lpstr>
      <vt:lpstr>Asientos-1</vt:lpstr>
      <vt:lpstr>EEFF en NIIF</vt:lpstr>
      <vt:lpstr>Matriz</vt:lpstr>
      <vt:lpstr>Reconciliación 1</vt:lpstr>
      <vt:lpstr>Reconciliación 2</vt:lpstr>
      <vt:lpstr>Reconciliación 3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'Asientos-1'!Área_de_impresión</vt:lpstr>
      <vt:lpstr>Diagnóstico!Área_de_impresión</vt:lpstr>
      <vt:lpstr>'Diagnóstico (2)'!Área_de_impresión</vt:lpstr>
      <vt:lpstr>'EEFF en NIIF'!Área_de_impresión</vt:lpstr>
      <vt:lpstr>Matriz!Área_de_impresión</vt:lpstr>
      <vt:lpstr>'Reconciliación 1'!Área_de_impresión</vt:lpstr>
      <vt:lpstr>'Reconciliación 2'!Área_de_impresión</vt:lpstr>
      <vt:lpstr>'Reconciliación 3'!Área_de_impresión</vt:lpstr>
      <vt:lpstr>'Asientos-1'!Títulos_a_imprimir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LENOVO</cp:lastModifiedBy>
  <cp:lastPrinted>2015-10-27T17:09:35Z</cp:lastPrinted>
  <dcterms:created xsi:type="dcterms:W3CDTF">2015-07-26T02:17:13Z</dcterms:created>
  <dcterms:modified xsi:type="dcterms:W3CDTF">2020-02-13T17:22:54Z</dcterms:modified>
</cp:coreProperties>
</file>