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filterPrivacy="1" defaultThemeVersion="124226"/>
  <xr:revisionPtr revIDLastSave="0" documentId="13_ncr:1_{EDA67FE0-DC41-490B-B6D2-2F578B2DE143}" xr6:coauthVersionLast="45" xr6:coauthVersionMax="45" xr10:uidLastSave="{00000000-0000-0000-0000-000000000000}"/>
  <bookViews>
    <workbookView xWindow="-120" yWindow="-120" windowWidth="20730" windowHeight="11160" tabRatio="913" activeTab="16" xr2:uid="{00000000-000D-0000-FFFF-FFFF00000000}"/>
  </bookViews>
  <sheets>
    <sheet name="TAPA" sheetId="31" r:id="rId1"/>
    <sheet name="Secc 6" sheetId="1" r:id="rId2"/>
    <sheet name="Secc 7" sheetId="24" r:id="rId3"/>
    <sheet name="Secc 8.1 -8.10" sheetId="6" r:id="rId4"/>
    <sheet name="Secc 8.11-8.12" sheetId="11" r:id="rId5"/>
    <sheet name="Secc -9.1" sheetId="30" r:id="rId6"/>
    <sheet name="Secc-9.2" sheetId="12" r:id="rId7"/>
    <sheet name="Secc 9.3" sheetId="13" r:id="rId8"/>
    <sheet name="EEFF 01 01 2014 (000)" sheetId="25" state="hidden" r:id="rId9"/>
    <sheet name="EEFF 31 12 2014 (3)" sheetId="28" state="hidden" r:id="rId10"/>
    <sheet name="EEFF 31 12 2014 (000)" sheetId="26" state="hidden" r:id="rId11"/>
    <sheet name="Secc 9.4" sheetId="16" r:id="rId12"/>
    <sheet name="ERI 2014 (2)" sheetId="27" state="hidden" r:id="rId13"/>
    <sheet name="Secc 9.5-9-6" sheetId="17" r:id="rId14"/>
    <sheet name="Secc 10.1-10.3" sheetId="21" r:id="rId15"/>
    <sheet name="Secc 10.4-" sheetId="20" r:id="rId16"/>
    <sheet name="Anexo 3" sheetId="23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19" i="17" l="1"/>
  <c r="H126" i="1" l="1"/>
  <c r="D139" i="1" s="1"/>
  <c r="H127" i="1"/>
  <c r="H128" i="1"/>
  <c r="F140" i="1" s="1"/>
  <c r="H129" i="1"/>
  <c r="F141" i="1" s="1"/>
  <c r="H130" i="1"/>
  <c r="F142" i="1" s="1"/>
  <c r="H131" i="1"/>
  <c r="F143" i="1" s="1"/>
  <c r="D132" i="1"/>
  <c r="E132" i="1"/>
  <c r="F132" i="1"/>
  <c r="G132" i="1"/>
  <c r="K139" i="1"/>
  <c r="K140" i="1" s="1"/>
  <c r="K141" i="1" s="1"/>
  <c r="H91" i="1"/>
  <c r="I91" i="1"/>
  <c r="H92" i="1"/>
  <c r="I92" i="1"/>
  <c r="H93" i="1"/>
  <c r="I93" i="1"/>
  <c r="H94" i="1"/>
  <c r="I94" i="1"/>
  <c r="H95" i="1"/>
  <c r="I95" i="1"/>
  <c r="D96" i="1"/>
  <c r="E96" i="1"/>
  <c r="F96" i="1"/>
  <c r="G96" i="1"/>
  <c r="I96" i="1" s="1"/>
  <c r="H98" i="1"/>
  <c r="I98" i="1"/>
  <c r="H99" i="1"/>
  <c r="I99" i="1"/>
  <c r="H100" i="1"/>
  <c r="I100" i="1"/>
  <c r="D101" i="1"/>
  <c r="E101" i="1"/>
  <c r="F101" i="1"/>
  <c r="G101" i="1"/>
  <c r="H96" i="1" l="1"/>
  <c r="H101" i="1"/>
  <c r="I101" i="1"/>
  <c r="H132" i="1"/>
  <c r="E139" i="1" s="1"/>
  <c r="F139" i="1"/>
  <c r="K142" i="1"/>
  <c r="G102" i="1"/>
  <c r="G104" i="1" s="1"/>
  <c r="E116" i="1" s="1"/>
  <c r="F102" i="1"/>
  <c r="F104" i="1" s="1"/>
  <c r="D116" i="1" s="1"/>
  <c r="D102" i="1"/>
  <c r="E102" i="1"/>
  <c r="B27" i="30"/>
  <c r="D27" i="30"/>
  <c r="B26" i="30"/>
  <c r="D26" i="30"/>
  <c r="B25" i="30"/>
  <c r="D25" i="30"/>
  <c r="B20" i="30"/>
  <c r="D20" i="30"/>
  <c r="B18" i="30"/>
  <c r="D18" i="30"/>
  <c r="B17" i="30"/>
  <c r="D17" i="30"/>
  <c r="B13" i="30"/>
  <c r="D13" i="30"/>
  <c r="B12" i="30"/>
  <c r="D12" i="30"/>
  <c r="B11" i="30"/>
  <c r="D11" i="30"/>
  <c r="B9" i="30"/>
  <c r="D9" i="30"/>
  <c r="B8" i="30"/>
  <c r="D8" i="30"/>
  <c r="B7" i="30"/>
  <c r="D7" i="30"/>
  <c r="B6" i="30"/>
  <c r="D6" i="30"/>
  <c r="T30" i="17"/>
  <c r="U30" i="17"/>
  <c r="V30" i="17"/>
  <c r="B37" i="16"/>
  <c r="M37" i="16" s="1"/>
  <c r="B36" i="16"/>
  <c r="B35" i="16"/>
  <c r="B40" i="16"/>
  <c r="B39" i="16"/>
  <c r="B32" i="16"/>
  <c r="B31" i="16"/>
  <c r="B30" i="16"/>
  <c r="B28" i="16"/>
  <c r="B27" i="16"/>
  <c r="M27" i="16" s="1"/>
  <c r="M35" i="16"/>
  <c r="O35" i="26"/>
  <c r="O35" i="28"/>
  <c r="N35" i="28"/>
  <c r="M35" i="28"/>
  <c r="L35" i="28"/>
  <c r="K35" i="28"/>
  <c r="J35" i="28"/>
  <c r="I35" i="28"/>
  <c r="H35" i="28"/>
  <c r="G35" i="28"/>
  <c r="F35" i="28"/>
  <c r="D35" i="28"/>
  <c r="C35" i="28"/>
  <c r="B32" i="28"/>
  <c r="P28" i="28"/>
  <c r="P27" i="28"/>
  <c r="B24" i="28"/>
  <c r="B21" i="28"/>
  <c r="O19" i="28"/>
  <c r="P19" i="28" s="1"/>
  <c r="P18" i="28"/>
  <c r="B14" i="28"/>
  <c r="N10" i="28"/>
  <c r="B9" i="28"/>
  <c r="P8" i="28"/>
  <c r="P6" i="28"/>
  <c r="P5" i="28"/>
  <c r="O36" i="13"/>
  <c r="N36" i="13"/>
  <c r="M36" i="13"/>
  <c r="L36" i="13"/>
  <c r="K36" i="13"/>
  <c r="J36" i="13"/>
  <c r="I36" i="13"/>
  <c r="H36" i="13"/>
  <c r="G36" i="13"/>
  <c r="F36" i="13"/>
  <c r="D36" i="13"/>
  <c r="C36" i="13"/>
  <c r="H18" i="6"/>
  <c r="D22" i="28" s="1"/>
  <c r="P22" i="28" s="1"/>
  <c r="D13" i="6"/>
  <c r="C17" i="27"/>
  <c r="I18" i="27"/>
  <c r="H18" i="27"/>
  <c r="G18" i="27"/>
  <c r="F18" i="27"/>
  <c r="E18" i="27"/>
  <c r="D18" i="27"/>
  <c r="I17" i="27"/>
  <c r="H17" i="27"/>
  <c r="G17" i="27"/>
  <c r="F17" i="27"/>
  <c r="E17" i="27"/>
  <c r="D17" i="27"/>
  <c r="L18" i="27"/>
  <c r="K18" i="27"/>
  <c r="J18" i="27"/>
  <c r="K17" i="27"/>
  <c r="J17" i="27"/>
  <c r="J15" i="27"/>
  <c r="C14" i="27"/>
  <c r="D15" i="27"/>
  <c r="C15" i="27"/>
  <c r="E15" i="27"/>
  <c r="F15" i="27"/>
  <c r="G15" i="27"/>
  <c r="H15" i="27"/>
  <c r="I15" i="27"/>
  <c r="E14" i="27"/>
  <c r="F14" i="27"/>
  <c r="G14" i="27"/>
  <c r="H14" i="27"/>
  <c r="I14" i="27"/>
  <c r="J13" i="27"/>
  <c r="I13" i="27"/>
  <c r="H13" i="27"/>
  <c r="G13" i="27"/>
  <c r="F13" i="27"/>
  <c r="E13" i="27"/>
  <c r="D13" i="27"/>
  <c r="C13" i="27"/>
  <c r="L15" i="27"/>
  <c r="K15" i="27"/>
  <c r="L14" i="27"/>
  <c r="K14" i="27"/>
  <c r="L13" i="27"/>
  <c r="K13" i="27"/>
  <c r="K9" i="27"/>
  <c r="K8" i="27"/>
  <c r="J10" i="27"/>
  <c r="I10" i="27"/>
  <c r="J9" i="27"/>
  <c r="I9" i="27"/>
  <c r="H9" i="27"/>
  <c r="J8" i="27"/>
  <c r="I8" i="27"/>
  <c r="H8" i="27"/>
  <c r="H10" i="27"/>
  <c r="G10" i="27"/>
  <c r="G9" i="27"/>
  <c r="F10" i="27"/>
  <c r="E10" i="27"/>
  <c r="D10" i="27"/>
  <c r="C10" i="27"/>
  <c r="E9" i="27"/>
  <c r="D9" i="27"/>
  <c r="C9" i="27"/>
  <c r="E8" i="27"/>
  <c r="D8" i="27"/>
  <c r="C8" i="27"/>
  <c r="C6" i="27"/>
  <c r="J6" i="27"/>
  <c r="K6" i="27"/>
  <c r="L5" i="27"/>
  <c r="K5" i="27"/>
  <c r="J5" i="27"/>
  <c r="I5" i="27"/>
  <c r="H5" i="27"/>
  <c r="G5" i="27"/>
  <c r="F5" i="27"/>
  <c r="E5" i="27"/>
  <c r="D5" i="27"/>
  <c r="B18" i="27"/>
  <c r="B17" i="27"/>
  <c r="B15" i="27"/>
  <c r="B14" i="27"/>
  <c r="B13" i="27"/>
  <c r="L10" i="27"/>
  <c r="B10" i="27"/>
  <c r="B9" i="27"/>
  <c r="B8" i="27"/>
  <c r="G6" i="27"/>
  <c r="B6" i="27"/>
  <c r="C5" i="27"/>
  <c r="B5" i="27"/>
  <c r="B7" i="27" s="1"/>
  <c r="O31" i="26"/>
  <c r="J31" i="26"/>
  <c r="I31" i="26"/>
  <c r="H31" i="26"/>
  <c r="B31" i="26"/>
  <c r="O30" i="26"/>
  <c r="J30" i="26"/>
  <c r="I30" i="26"/>
  <c r="B30" i="26"/>
  <c r="O29" i="26"/>
  <c r="N29" i="26"/>
  <c r="M29" i="26"/>
  <c r="L29" i="26"/>
  <c r="K29" i="26"/>
  <c r="I29" i="26"/>
  <c r="H29" i="26"/>
  <c r="G29" i="26"/>
  <c r="F29" i="26"/>
  <c r="E29" i="26"/>
  <c r="D29" i="26"/>
  <c r="C29" i="26"/>
  <c r="B29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B28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B27" i="26"/>
  <c r="O23" i="26"/>
  <c r="N23" i="26"/>
  <c r="L23" i="26"/>
  <c r="K23" i="26"/>
  <c r="J23" i="26"/>
  <c r="I23" i="26"/>
  <c r="H23" i="26"/>
  <c r="G23" i="26"/>
  <c r="F23" i="26"/>
  <c r="E23" i="26"/>
  <c r="D23" i="26"/>
  <c r="C23" i="26"/>
  <c r="B23" i="26"/>
  <c r="O22" i="26"/>
  <c r="N22" i="26"/>
  <c r="M22" i="26"/>
  <c r="L22" i="26"/>
  <c r="K22" i="26"/>
  <c r="J22" i="26"/>
  <c r="I22" i="26"/>
  <c r="H22" i="26"/>
  <c r="G22" i="26"/>
  <c r="F22" i="26"/>
  <c r="E22" i="26"/>
  <c r="C22" i="26"/>
  <c r="B22" i="26"/>
  <c r="B24" i="26" s="1"/>
  <c r="N20" i="26"/>
  <c r="M20" i="26"/>
  <c r="L20" i="26"/>
  <c r="K20" i="26"/>
  <c r="J20" i="26"/>
  <c r="I20" i="26"/>
  <c r="H20" i="26"/>
  <c r="G20" i="26"/>
  <c r="E20" i="26"/>
  <c r="D20" i="26"/>
  <c r="C20" i="26"/>
  <c r="B20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B19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B18" i="26"/>
  <c r="O13" i="26"/>
  <c r="N13" i="26"/>
  <c r="M13" i="26"/>
  <c r="L13" i="26"/>
  <c r="K13" i="26"/>
  <c r="J13" i="26"/>
  <c r="I13" i="26"/>
  <c r="H13" i="26"/>
  <c r="F13" i="26"/>
  <c r="E13" i="26"/>
  <c r="D13" i="26"/>
  <c r="C13" i="26"/>
  <c r="B13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B12" i="26"/>
  <c r="O11" i="26"/>
  <c r="N11" i="26"/>
  <c r="M11" i="26"/>
  <c r="H11" i="26"/>
  <c r="G11" i="26"/>
  <c r="F11" i="26"/>
  <c r="C11" i="26"/>
  <c r="B11" i="26"/>
  <c r="O10" i="26"/>
  <c r="M10" i="26"/>
  <c r="L10" i="26"/>
  <c r="K10" i="26"/>
  <c r="J10" i="26"/>
  <c r="H10" i="26"/>
  <c r="G10" i="26"/>
  <c r="F10" i="26"/>
  <c r="E10" i="26"/>
  <c r="D10" i="26"/>
  <c r="C10" i="26"/>
  <c r="B10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B8" i="26"/>
  <c r="O7" i="26"/>
  <c r="N7" i="26"/>
  <c r="M7" i="26"/>
  <c r="L7" i="26"/>
  <c r="K7" i="26"/>
  <c r="J7" i="26"/>
  <c r="I7" i="26"/>
  <c r="G7" i="26"/>
  <c r="F7" i="26"/>
  <c r="E7" i="26"/>
  <c r="D7" i="26"/>
  <c r="C7" i="26"/>
  <c r="B7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B6" i="26"/>
  <c r="O5" i="26"/>
  <c r="N5" i="26"/>
  <c r="M5" i="26"/>
  <c r="L5" i="26"/>
  <c r="K5" i="26"/>
  <c r="J5" i="26"/>
  <c r="I5" i="26"/>
  <c r="H5" i="26"/>
  <c r="G5" i="26"/>
  <c r="F5" i="26"/>
  <c r="E5" i="26"/>
  <c r="D5" i="26"/>
  <c r="C5" i="26"/>
  <c r="B5" i="26"/>
  <c r="N30" i="25"/>
  <c r="I30" i="25"/>
  <c r="H30" i="25"/>
  <c r="B30" i="25"/>
  <c r="N29" i="25"/>
  <c r="M29" i="25"/>
  <c r="L29" i="25"/>
  <c r="K29" i="25"/>
  <c r="J29" i="25"/>
  <c r="H29" i="25"/>
  <c r="G29" i="25"/>
  <c r="F29" i="25"/>
  <c r="E29" i="25"/>
  <c r="D29" i="25"/>
  <c r="C29" i="25"/>
  <c r="B29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B28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B27" i="25"/>
  <c r="N23" i="25"/>
  <c r="M23" i="25"/>
  <c r="K23" i="25"/>
  <c r="J23" i="25"/>
  <c r="I23" i="25"/>
  <c r="H23" i="25"/>
  <c r="G23" i="25"/>
  <c r="F23" i="25"/>
  <c r="E23" i="25"/>
  <c r="D23" i="25"/>
  <c r="C23" i="25"/>
  <c r="B23" i="25"/>
  <c r="N22" i="25"/>
  <c r="M22" i="25"/>
  <c r="L22" i="25"/>
  <c r="K22" i="25"/>
  <c r="J22" i="25"/>
  <c r="I22" i="25"/>
  <c r="H22" i="25"/>
  <c r="G22" i="25"/>
  <c r="F22" i="25"/>
  <c r="E22" i="25"/>
  <c r="C22" i="25"/>
  <c r="B22" i="25"/>
  <c r="M20" i="25"/>
  <c r="L20" i="25"/>
  <c r="K20" i="25"/>
  <c r="J20" i="25"/>
  <c r="I20" i="25"/>
  <c r="H20" i="25"/>
  <c r="G20" i="25"/>
  <c r="E20" i="25"/>
  <c r="D20" i="25"/>
  <c r="C20" i="25"/>
  <c r="B20" i="25"/>
  <c r="M19" i="25"/>
  <c r="L19" i="25"/>
  <c r="K19" i="25"/>
  <c r="J19" i="25"/>
  <c r="I19" i="25"/>
  <c r="H19" i="25"/>
  <c r="G19" i="25"/>
  <c r="F19" i="25"/>
  <c r="E19" i="25"/>
  <c r="D19" i="25"/>
  <c r="C19" i="25"/>
  <c r="B19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B18" i="25"/>
  <c r="N13" i="25"/>
  <c r="M13" i="25"/>
  <c r="L13" i="25"/>
  <c r="K13" i="25"/>
  <c r="J13" i="25"/>
  <c r="I13" i="25"/>
  <c r="H13" i="25"/>
  <c r="F13" i="25"/>
  <c r="E13" i="25"/>
  <c r="D13" i="25"/>
  <c r="C13" i="25"/>
  <c r="B13" i="25"/>
  <c r="N12" i="25"/>
  <c r="M12" i="25"/>
  <c r="L12" i="25"/>
  <c r="K12" i="25"/>
  <c r="J12" i="25"/>
  <c r="I12" i="25"/>
  <c r="H12" i="25"/>
  <c r="G12" i="25"/>
  <c r="F12" i="25"/>
  <c r="E12" i="25"/>
  <c r="D12" i="25"/>
  <c r="B12" i="25"/>
  <c r="N11" i="25"/>
  <c r="M11" i="25"/>
  <c r="L11" i="25"/>
  <c r="G11" i="25"/>
  <c r="F11" i="25"/>
  <c r="C11" i="25"/>
  <c r="B11" i="25"/>
  <c r="N10" i="25"/>
  <c r="L10" i="25"/>
  <c r="K10" i="25"/>
  <c r="J10" i="25"/>
  <c r="I10" i="25"/>
  <c r="G10" i="25"/>
  <c r="F10" i="25"/>
  <c r="E10" i="25"/>
  <c r="D10" i="25"/>
  <c r="C10" i="25"/>
  <c r="B10" i="25"/>
  <c r="N8" i="25"/>
  <c r="M8" i="25"/>
  <c r="L8" i="25"/>
  <c r="K8" i="25"/>
  <c r="J8" i="25"/>
  <c r="I8" i="25"/>
  <c r="H8" i="25"/>
  <c r="G8" i="25"/>
  <c r="F8" i="25"/>
  <c r="E8" i="25"/>
  <c r="D8" i="25"/>
  <c r="C8" i="25"/>
  <c r="B8" i="25"/>
  <c r="N7" i="25"/>
  <c r="M7" i="25"/>
  <c r="L7" i="25"/>
  <c r="K7" i="25"/>
  <c r="J7" i="25"/>
  <c r="I7" i="25"/>
  <c r="H7" i="25"/>
  <c r="G7" i="25"/>
  <c r="F7" i="25"/>
  <c r="E7" i="25"/>
  <c r="D7" i="25"/>
  <c r="C7" i="25"/>
  <c r="B7" i="25"/>
  <c r="N6" i="25"/>
  <c r="M6" i="25"/>
  <c r="L6" i="25"/>
  <c r="K6" i="25"/>
  <c r="J6" i="25"/>
  <c r="I6" i="25"/>
  <c r="H6" i="25"/>
  <c r="G6" i="25"/>
  <c r="F6" i="25"/>
  <c r="E6" i="25"/>
  <c r="D6" i="25"/>
  <c r="C6" i="25"/>
  <c r="B6" i="25"/>
  <c r="N5" i="25"/>
  <c r="M5" i="25"/>
  <c r="L5" i="25"/>
  <c r="K5" i="25"/>
  <c r="J5" i="25"/>
  <c r="I5" i="25"/>
  <c r="H5" i="25"/>
  <c r="G5" i="25"/>
  <c r="F5" i="25"/>
  <c r="E5" i="25"/>
  <c r="D5" i="25"/>
  <c r="C5" i="25"/>
  <c r="B5" i="25"/>
  <c r="B31" i="25"/>
  <c r="N15" i="24"/>
  <c r="P20" i="24" s="1"/>
  <c r="N10" i="24"/>
  <c r="L15" i="24"/>
  <c r="L10" i="24"/>
  <c r="P15" i="24"/>
  <c r="N18" i="24" s="1"/>
  <c r="P10" i="24"/>
  <c r="G15" i="24"/>
  <c r="E15" i="24"/>
  <c r="G10" i="24"/>
  <c r="E10" i="24"/>
  <c r="S3" i="23"/>
  <c r="S4" i="23" s="1"/>
  <c r="S5" i="23" s="1"/>
  <c r="S6" i="23" s="1"/>
  <c r="S7" i="23" s="1"/>
  <c r="S8" i="23" s="1"/>
  <c r="S9" i="23" s="1"/>
  <c r="S10" i="23" s="1"/>
  <c r="S12" i="23" s="1"/>
  <c r="S13" i="23" s="1"/>
  <c r="S14" i="23" s="1"/>
  <c r="S15" i="23" s="1"/>
  <c r="S16" i="23" s="1"/>
  <c r="S17" i="23" s="1"/>
  <c r="S18" i="23" s="1"/>
  <c r="A3" i="23"/>
  <c r="A4" i="23" s="1"/>
  <c r="A5" i="23" s="1"/>
  <c r="A6" i="23" s="1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Z17" i="23"/>
  <c r="AA17" i="23" s="1"/>
  <c r="W14" i="23"/>
  <c r="I14" i="23"/>
  <c r="G14" i="23"/>
  <c r="E14" i="23"/>
  <c r="J13" i="23"/>
  <c r="J14" i="23" s="1"/>
  <c r="H13" i="23"/>
  <c r="H14" i="23" s="1"/>
  <c r="F13" i="23"/>
  <c r="Z7" i="23"/>
  <c r="AA7" i="23" s="1"/>
  <c r="I7" i="23"/>
  <c r="G7" i="23"/>
  <c r="E7" i="23"/>
  <c r="Y6" i="23"/>
  <c r="W6" i="23"/>
  <c r="J6" i="23"/>
  <c r="H6" i="23"/>
  <c r="H7" i="23" s="1"/>
  <c r="F6" i="23"/>
  <c r="F7" i="23" s="1"/>
  <c r="Z5" i="23"/>
  <c r="AA5" i="23" s="1"/>
  <c r="Z4" i="23"/>
  <c r="AA4" i="23" s="1"/>
  <c r="I32" i="20"/>
  <c r="I31" i="20"/>
  <c r="I30" i="20"/>
  <c r="I29" i="20"/>
  <c r="I24" i="20"/>
  <c r="I23" i="20"/>
  <c r="I20" i="20"/>
  <c r="I21" i="20"/>
  <c r="I19" i="20"/>
  <c r="I15" i="20"/>
  <c r="I14" i="20"/>
  <c r="I13" i="20"/>
  <c r="I12" i="20"/>
  <c r="I8" i="20"/>
  <c r="I9" i="20"/>
  <c r="I10" i="20"/>
  <c r="I7" i="20"/>
  <c r="C32" i="20"/>
  <c r="C31" i="20"/>
  <c r="C30" i="20"/>
  <c r="C29" i="20"/>
  <c r="C24" i="20"/>
  <c r="C23" i="20"/>
  <c r="C20" i="20"/>
  <c r="C21" i="20"/>
  <c r="C19" i="20"/>
  <c r="C13" i="20"/>
  <c r="C14" i="20"/>
  <c r="C15" i="20"/>
  <c r="C12" i="20"/>
  <c r="C10" i="20"/>
  <c r="C9" i="20"/>
  <c r="C8" i="20"/>
  <c r="C7" i="20"/>
  <c r="C44" i="21"/>
  <c r="C49" i="21" s="1"/>
  <c r="C54" i="21" s="1"/>
  <c r="C56" i="21" s="1"/>
  <c r="C26" i="21"/>
  <c r="C23" i="21"/>
  <c r="C16" i="21"/>
  <c r="C12" i="21"/>
  <c r="W31" i="17"/>
  <c r="V31" i="17"/>
  <c r="T31" i="17"/>
  <c r="V29" i="17"/>
  <c r="U29" i="17"/>
  <c r="T29" i="17"/>
  <c r="U27" i="17"/>
  <c r="T27" i="17"/>
  <c r="U11" i="17"/>
  <c r="W10" i="17"/>
  <c r="X10" i="17" s="1"/>
  <c r="X8" i="17"/>
  <c r="L11" i="17"/>
  <c r="K11" i="17"/>
  <c r="J11" i="17"/>
  <c r="M10" i="17"/>
  <c r="M9" i="17"/>
  <c r="M8" i="17"/>
  <c r="O8" i="25" l="1"/>
  <c r="O18" i="25"/>
  <c r="O28" i="25"/>
  <c r="W16" i="23"/>
  <c r="N25" i="24"/>
  <c r="B24" i="25"/>
  <c r="B25" i="25" s="1"/>
  <c r="B32" i="25" s="1"/>
  <c r="B21" i="25"/>
  <c r="W9" i="23"/>
  <c r="P6" i="26"/>
  <c r="B14" i="26"/>
  <c r="B15" i="28"/>
  <c r="X11" i="17"/>
  <c r="X31" i="17" s="1"/>
  <c r="U19" i="17"/>
  <c r="P18" i="26"/>
  <c r="B21" i="26"/>
  <c r="B25" i="26" s="1"/>
  <c r="C33" i="20"/>
  <c r="B25" i="28"/>
  <c r="B33" i="28" s="1"/>
  <c r="G139" i="1"/>
  <c r="D140" i="1" s="1"/>
  <c r="E140" i="1" s="1"/>
  <c r="G140" i="1" s="1"/>
  <c r="I16" i="23"/>
  <c r="I21" i="23" s="1"/>
  <c r="J25" i="23" s="1"/>
  <c r="Y8" i="23" s="1"/>
  <c r="Y9" i="23" s="1"/>
  <c r="C22" i="20"/>
  <c r="Z6" i="23"/>
  <c r="J23" i="23"/>
  <c r="B35" i="28"/>
  <c r="F105" i="1"/>
  <c r="F106" i="1" s="1"/>
  <c r="D117" i="1"/>
  <c r="G105" i="1"/>
  <c r="G106" i="1" s="1"/>
  <c r="E117" i="1"/>
  <c r="D23" i="13"/>
  <c r="B21" i="30"/>
  <c r="B28" i="30"/>
  <c r="D21" i="30"/>
  <c r="D10" i="30"/>
  <c r="D14" i="30"/>
  <c r="D19" i="30"/>
  <c r="D28" i="30"/>
  <c r="B10" i="30"/>
  <c r="B14" i="30"/>
  <c r="B19" i="30"/>
  <c r="M13" i="27"/>
  <c r="M5" i="27"/>
  <c r="B32" i="26"/>
  <c r="P27" i="26"/>
  <c r="P5" i="26"/>
  <c r="P8" i="26"/>
  <c r="O6" i="25"/>
  <c r="B29" i="16"/>
  <c r="B33" i="16" s="1"/>
  <c r="B38" i="16" s="1"/>
  <c r="B41" i="16" s="1"/>
  <c r="P28" i="26"/>
  <c r="M15" i="27"/>
  <c r="B11" i="27"/>
  <c r="B16" i="27" s="1"/>
  <c r="B19" i="27" s="1"/>
  <c r="B9" i="26"/>
  <c r="B15" i="26" s="1"/>
  <c r="B14" i="25"/>
  <c r="O5" i="25"/>
  <c r="O7" i="25"/>
  <c r="O27" i="25"/>
  <c r="B9" i="25"/>
  <c r="E18" i="24"/>
  <c r="G19" i="24" s="1"/>
  <c r="E22" i="24"/>
  <c r="G23" i="24" s="1"/>
  <c r="N22" i="24"/>
  <c r="P23" i="24" s="1"/>
  <c r="P19" i="24"/>
  <c r="P27" i="24"/>
  <c r="G27" i="24"/>
  <c r="E25" i="24"/>
  <c r="H23" i="23"/>
  <c r="X15" i="23" s="1"/>
  <c r="G16" i="23"/>
  <c r="G21" i="23" s="1"/>
  <c r="H25" i="23" s="1"/>
  <c r="Q7" i="23" s="1"/>
  <c r="E16" i="23"/>
  <c r="E21" i="23" s="1"/>
  <c r="F25" i="23" s="1"/>
  <c r="O7" i="23" s="1"/>
  <c r="Y14" i="23" s="1"/>
  <c r="Y16" i="23" s="1"/>
  <c r="Y18" i="23" s="1"/>
  <c r="H16" i="23"/>
  <c r="G22" i="23" s="1"/>
  <c r="X6" i="23"/>
  <c r="AA6" i="23" s="1"/>
  <c r="J7" i="23"/>
  <c r="J16" i="23" s="1"/>
  <c r="I22" i="23" s="1"/>
  <c r="F14" i="23"/>
  <c r="F16" i="23" s="1"/>
  <c r="E22" i="23" s="1"/>
  <c r="F24" i="23" s="1"/>
  <c r="I25" i="20"/>
  <c r="C16" i="20"/>
  <c r="C25" i="20"/>
  <c r="C11" i="20"/>
  <c r="U31" i="17"/>
  <c r="U33" i="17" s="1"/>
  <c r="C17" i="21"/>
  <c r="C27" i="21"/>
  <c r="C33" i="21"/>
  <c r="I33" i="20"/>
  <c r="I11" i="20"/>
  <c r="I16" i="20"/>
  <c r="I22" i="20"/>
  <c r="T33" i="17"/>
  <c r="M11" i="17"/>
  <c r="Z15" i="23" l="1"/>
  <c r="AA15" i="23" s="1"/>
  <c r="W18" i="23"/>
  <c r="P26" i="24"/>
  <c r="H139" i="1"/>
  <c r="C26" i="20"/>
  <c r="C34" i="20" s="1"/>
  <c r="D141" i="1"/>
  <c r="H140" i="1"/>
  <c r="B22" i="30"/>
  <c r="B29" i="30" s="1"/>
  <c r="D22" i="30"/>
  <c r="D29" i="30" s="1"/>
  <c r="D15" i="30"/>
  <c r="B15" i="30"/>
  <c r="B33" i="26"/>
  <c r="B35" i="26" s="1"/>
  <c r="B15" i="25"/>
  <c r="B34" i="25" s="1"/>
  <c r="O9" i="25"/>
  <c r="G26" i="24"/>
  <c r="O6" i="23"/>
  <c r="O8" i="23" s="1"/>
  <c r="H24" i="23"/>
  <c r="I26" i="20"/>
  <c r="I34" i="20" s="1"/>
  <c r="C17" i="20"/>
  <c r="C34" i="21"/>
  <c r="J3" i="21" s="1"/>
  <c r="I17" i="20"/>
  <c r="C39" i="20" l="1"/>
  <c r="E141" i="1"/>
  <c r="G141" i="1" s="1"/>
  <c r="B34" i="30"/>
  <c r="D34" i="30"/>
  <c r="Q6" i="23"/>
  <c r="Q8" i="23" s="1"/>
  <c r="J24" i="23"/>
  <c r="X8" i="23" s="1"/>
  <c r="X14" i="23"/>
  <c r="I39" i="20"/>
  <c r="D142" i="1" l="1"/>
  <c r="H141" i="1"/>
  <c r="Z8" i="23"/>
  <c r="Z9" i="23" s="1"/>
  <c r="X9" i="23"/>
  <c r="Z14" i="23"/>
  <c r="Z16" i="23" s="1"/>
  <c r="Z18" i="23" s="1"/>
  <c r="X16" i="23"/>
  <c r="X18" i="23" l="1"/>
  <c r="AA18" i="23" s="1"/>
  <c r="AA16" i="23"/>
  <c r="AA9" i="23"/>
  <c r="AA8" i="23"/>
  <c r="AA14" i="23"/>
  <c r="E142" i="1"/>
  <c r="G142" i="1" s="1"/>
  <c r="E153" i="1"/>
  <c r="E82" i="1"/>
  <c r="D82" i="1"/>
  <c r="D66" i="1"/>
  <c r="E47" i="1"/>
  <c r="E48" i="1" s="1"/>
  <c r="F47" i="1"/>
  <c r="G47" i="1"/>
  <c r="E14" i="6" s="1"/>
  <c r="H47" i="1"/>
  <c r="D48" i="1"/>
  <c r="F48" i="1"/>
  <c r="F35" i="1"/>
  <c r="F36" i="1"/>
  <c r="F37" i="1"/>
  <c r="F38" i="1"/>
  <c r="G16" i="6" s="1"/>
  <c r="D32" i="17"/>
  <c r="D29" i="17"/>
  <c r="M6" i="16"/>
  <c r="E42" i="21" s="1"/>
  <c r="L10" i="16"/>
  <c r="L9" i="16"/>
  <c r="L7" i="16"/>
  <c r="M14" i="16"/>
  <c r="E51" i="21" s="1"/>
  <c r="M16" i="16"/>
  <c r="E53" i="21" s="1"/>
  <c r="B8" i="16"/>
  <c r="B12" i="16" s="1"/>
  <c r="B17" i="16" s="1"/>
  <c r="B20" i="16" s="1"/>
  <c r="O20" i="13"/>
  <c r="N11" i="13"/>
  <c r="N10" i="26" s="1"/>
  <c r="B33" i="13"/>
  <c r="E7" i="17" s="1"/>
  <c r="G65" i="21" s="1"/>
  <c r="P29" i="13"/>
  <c r="P28" i="13"/>
  <c r="B25" i="13"/>
  <c r="B22" i="13"/>
  <c r="B26" i="13" s="1"/>
  <c r="B34" i="13" s="1"/>
  <c r="P19" i="13"/>
  <c r="B15" i="13"/>
  <c r="B10" i="13"/>
  <c r="B16" i="13" s="1"/>
  <c r="P9" i="13"/>
  <c r="P7" i="13"/>
  <c r="P6" i="13"/>
  <c r="N21" i="12"/>
  <c r="M12" i="12"/>
  <c r="M10" i="25" s="1"/>
  <c r="D24" i="12"/>
  <c r="D22" i="25" s="1"/>
  <c r="B33" i="12"/>
  <c r="D7" i="17" s="1"/>
  <c r="E65" i="21" s="1"/>
  <c r="O30" i="12"/>
  <c r="O29" i="12"/>
  <c r="B26" i="12"/>
  <c r="B23" i="12"/>
  <c r="O20" i="12"/>
  <c r="B16" i="12"/>
  <c r="B11" i="12"/>
  <c r="O10" i="12"/>
  <c r="O9" i="12"/>
  <c r="O8" i="12"/>
  <c r="O7" i="12"/>
  <c r="E8" i="20" l="1"/>
  <c r="D8" i="20" s="1"/>
  <c r="G9" i="21"/>
  <c r="E29" i="20"/>
  <c r="D29" i="20" s="1"/>
  <c r="G29" i="21"/>
  <c r="E9" i="20"/>
  <c r="D9" i="20" s="1"/>
  <c r="G10" i="21"/>
  <c r="E19" i="20"/>
  <c r="D19" i="20" s="1"/>
  <c r="G20" i="21"/>
  <c r="E30" i="20"/>
  <c r="D30" i="20" s="1"/>
  <c r="G30" i="21"/>
  <c r="B36" i="13"/>
  <c r="G11" i="21"/>
  <c r="E10" i="20"/>
  <c r="D10" i="20" s="1"/>
  <c r="E7" i="20"/>
  <c r="G8" i="21"/>
  <c r="L8" i="27"/>
  <c r="L30" i="16"/>
  <c r="L6" i="27"/>
  <c r="L28" i="16"/>
  <c r="L9" i="27"/>
  <c r="L31" i="16"/>
  <c r="D143" i="1"/>
  <c r="H142" i="1"/>
  <c r="D13" i="12"/>
  <c r="D11" i="25" s="1"/>
  <c r="D15" i="6"/>
  <c r="H48" i="1"/>
  <c r="H14" i="6"/>
  <c r="G17" i="6"/>
  <c r="D32" i="13" s="1"/>
  <c r="E21" i="17"/>
  <c r="D31" i="28"/>
  <c r="O22" i="25"/>
  <c r="E11" i="21"/>
  <c r="K10" i="20"/>
  <c r="J10" i="20" s="1"/>
  <c r="E9" i="21"/>
  <c r="K8" i="20"/>
  <c r="J8" i="20" s="1"/>
  <c r="E20" i="21"/>
  <c r="K19" i="20"/>
  <c r="J19" i="20" s="1"/>
  <c r="E30" i="21"/>
  <c r="K30" i="20"/>
  <c r="J30" i="20" s="1"/>
  <c r="K7" i="20"/>
  <c r="J7" i="20" s="1"/>
  <c r="E8" i="21"/>
  <c r="K29" i="20"/>
  <c r="J29" i="20" s="1"/>
  <c r="E29" i="21"/>
  <c r="P20" i="13"/>
  <c r="E21" i="21" s="1"/>
  <c r="O19" i="26"/>
  <c r="P19" i="26" s="1"/>
  <c r="O21" i="12"/>
  <c r="E20" i="20" s="1"/>
  <c r="N19" i="25"/>
  <c r="P23" i="13"/>
  <c r="K23" i="20" s="1"/>
  <c r="D22" i="26"/>
  <c r="B27" i="12"/>
  <c r="B34" i="12" s="1"/>
  <c r="H51" i="1"/>
  <c r="G48" i="1"/>
  <c r="O11" i="12"/>
  <c r="B17" i="12"/>
  <c r="B36" i="12" s="1"/>
  <c r="O24" i="12"/>
  <c r="G21" i="21" l="1"/>
  <c r="G12" i="21"/>
  <c r="E11" i="20"/>
  <c r="D7" i="20"/>
  <c r="E143" i="1"/>
  <c r="E144" i="1" s="1"/>
  <c r="E22" i="17"/>
  <c r="D7" i="16"/>
  <c r="D10" i="17"/>
  <c r="E67" i="21" s="1"/>
  <c r="G15" i="6"/>
  <c r="D32" i="12"/>
  <c r="P22" i="26"/>
  <c r="O19" i="25"/>
  <c r="K20" i="20"/>
  <c r="J20" i="20" s="1"/>
  <c r="E24" i="21"/>
  <c r="G24" i="21"/>
  <c r="E23" i="20"/>
  <c r="D20" i="20"/>
  <c r="J23" i="20"/>
  <c r="H104" i="6"/>
  <c r="E104" i="6"/>
  <c r="E96" i="6"/>
  <c r="N22" i="12" s="1"/>
  <c r="H96" i="6"/>
  <c r="O20" i="28" s="1"/>
  <c r="E90" i="6"/>
  <c r="N20" i="25" l="1"/>
  <c r="N34" i="25" s="1"/>
  <c r="N36" i="12"/>
  <c r="G143" i="1"/>
  <c r="D31" i="13"/>
  <c r="E10" i="17"/>
  <c r="G67" i="21" s="1"/>
  <c r="D36" i="12"/>
  <c r="D30" i="25"/>
  <c r="D34" i="25" s="1"/>
  <c r="D28" i="16"/>
  <c r="D6" i="27"/>
  <c r="H90" i="6"/>
  <c r="N30" i="28" s="1"/>
  <c r="D17" i="17"/>
  <c r="E74" i="21" s="1"/>
  <c r="M32" i="12"/>
  <c r="L18" i="16"/>
  <c r="L39" i="16" s="1"/>
  <c r="M39" i="16" s="1"/>
  <c r="D23" i="20"/>
  <c r="O21" i="13"/>
  <c r="O20" i="26" s="1"/>
  <c r="M30" i="25" l="1"/>
  <c r="M34" i="25" s="1"/>
  <c r="M36" i="12"/>
  <c r="M18" i="16"/>
  <c r="L17" i="27"/>
  <c r="M17" i="27" s="1"/>
  <c r="H89" i="6"/>
  <c r="N31" i="28" s="1"/>
  <c r="E17" i="17"/>
  <c r="N31" i="13"/>
  <c r="N30" i="26" s="1"/>
  <c r="G49" i="6"/>
  <c r="H30" i="28" s="1"/>
  <c r="E118" i="1"/>
  <c r="G69" i="6"/>
  <c r="D55" i="6"/>
  <c r="D61" i="6"/>
  <c r="G42" i="6"/>
  <c r="D42" i="6"/>
  <c r="H44" i="6"/>
  <c r="E44" i="6"/>
  <c r="D41" i="6"/>
  <c r="H7" i="6"/>
  <c r="C31" i="28" s="1"/>
  <c r="H36" i="6"/>
  <c r="F20" i="28" s="1"/>
  <c r="P20" i="28" s="1"/>
  <c r="P21" i="28" s="1"/>
  <c r="E36" i="6"/>
  <c r="F22" i="12" s="1"/>
  <c r="G35" i="6"/>
  <c r="G34" i="6"/>
  <c r="G33" i="6"/>
  <c r="G31" i="6"/>
  <c r="F30" i="28" s="1"/>
  <c r="D31" i="6"/>
  <c r="G13" i="6"/>
  <c r="F10" i="1"/>
  <c r="E10" i="1"/>
  <c r="F16" i="1"/>
  <c r="E16" i="1"/>
  <c r="K12" i="13" l="1"/>
  <c r="K11" i="26" s="1"/>
  <c r="K11" i="28"/>
  <c r="G13" i="28"/>
  <c r="P13" i="28" s="1"/>
  <c r="D30" i="28"/>
  <c r="D12" i="13"/>
  <c r="D11" i="26" s="1"/>
  <c r="F31" i="28"/>
  <c r="O22" i="12"/>
  <c r="E21" i="20" s="1"/>
  <c r="F20" i="25"/>
  <c r="K11" i="16"/>
  <c r="K32" i="16" s="1"/>
  <c r="M32" i="16" s="1"/>
  <c r="N32" i="13"/>
  <c r="N31" i="26" s="1"/>
  <c r="N35" i="26" s="1"/>
  <c r="E28" i="17"/>
  <c r="G74" i="21" s="1"/>
  <c r="D30" i="26"/>
  <c r="D118" i="1"/>
  <c r="E62" i="6"/>
  <c r="I13" i="12"/>
  <c r="I11" i="25" s="1"/>
  <c r="E56" i="6"/>
  <c r="H13" i="12" s="1"/>
  <c r="H11" i="25" s="1"/>
  <c r="H12" i="12"/>
  <c r="H50" i="6"/>
  <c r="H7" i="28" s="1"/>
  <c r="P7" i="28" s="1"/>
  <c r="P9" i="28" s="1"/>
  <c r="H31" i="13"/>
  <c r="H30" i="26" s="1"/>
  <c r="E31" i="17"/>
  <c r="G76" i="21" s="1"/>
  <c r="G15" i="12"/>
  <c r="G41" i="6"/>
  <c r="G30" i="28" s="1"/>
  <c r="G32" i="12"/>
  <c r="D12" i="17"/>
  <c r="E69" i="21" s="1"/>
  <c r="G14" i="13"/>
  <c r="F32" i="12"/>
  <c r="F30" i="25" s="1"/>
  <c r="D11" i="17"/>
  <c r="E68" i="21" s="1"/>
  <c r="F10" i="16"/>
  <c r="F31" i="16" s="1"/>
  <c r="M31" i="16" s="1"/>
  <c r="E23" i="17"/>
  <c r="F7" i="16"/>
  <c r="F32" i="13"/>
  <c r="F31" i="26" s="1"/>
  <c r="F21" i="13"/>
  <c r="E11" i="17"/>
  <c r="F31" i="13"/>
  <c r="F30" i="26" s="1"/>
  <c r="F9" i="16"/>
  <c r="E11" i="26"/>
  <c r="E11" i="25"/>
  <c r="E20" i="17"/>
  <c r="C32" i="13"/>
  <c r="C31" i="26" s="1"/>
  <c r="C19" i="16"/>
  <c r="C40" i="16" s="1"/>
  <c r="M40" i="16" s="1"/>
  <c r="D69" i="6"/>
  <c r="J13" i="12" s="1"/>
  <c r="J11" i="25" s="1"/>
  <c r="E67" i="6"/>
  <c r="G55" i="6"/>
  <c r="G61" i="6"/>
  <c r="D76" i="6"/>
  <c r="G76" i="6"/>
  <c r="E20" i="1"/>
  <c r="E21" i="1" s="1"/>
  <c r="F20" i="1"/>
  <c r="F21" i="1" s="1"/>
  <c r="E12" i="1"/>
  <c r="E13" i="1" s="1"/>
  <c r="F12" i="1"/>
  <c r="F13" i="1" s="1"/>
  <c r="G68" i="21" l="1"/>
  <c r="G22" i="21"/>
  <c r="G23" i="21" s="1"/>
  <c r="L12" i="13"/>
  <c r="L11" i="26" s="1"/>
  <c r="L11" i="28"/>
  <c r="H36" i="12"/>
  <c r="J12" i="13"/>
  <c r="J11" i="26" s="1"/>
  <c r="J11" i="28"/>
  <c r="I11" i="13"/>
  <c r="P11" i="13" s="1"/>
  <c r="I10" i="28"/>
  <c r="P10" i="28" s="1"/>
  <c r="F8" i="27"/>
  <c r="F30" i="16"/>
  <c r="F36" i="12"/>
  <c r="G30" i="25"/>
  <c r="G36" i="12"/>
  <c r="F6" i="27"/>
  <c r="F28" i="16"/>
  <c r="O20" i="25"/>
  <c r="O21" i="25" s="1"/>
  <c r="F34" i="25"/>
  <c r="M19" i="16"/>
  <c r="E55" i="21" s="1"/>
  <c r="C18" i="27"/>
  <c r="M18" i="27" s="1"/>
  <c r="P21" i="13"/>
  <c r="K21" i="20" s="1"/>
  <c r="F20" i="26"/>
  <c r="M10" i="16"/>
  <c r="E47" i="21" s="1"/>
  <c r="F9" i="27"/>
  <c r="M9" i="27" s="1"/>
  <c r="P14" i="13"/>
  <c r="K15" i="20" s="1"/>
  <c r="J15" i="20" s="1"/>
  <c r="G13" i="26"/>
  <c r="P13" i="26" s="1"/>
  <c r="O23" i="12"/>
  <c r="O15" i="12"/>
  <c r="E15" i="20" s="1"/>
  <c r="D15" i="20" s="1"/>
  <c r="G13" i="25"/>
  <c r="O13" i="25" s="1"/>
  <c r="O12" i="12"/>
  <c r="G13" i="21" s="1"/>
  <c r="H10" i="25"/>
  <c r="M11" i="16"/>
  <c r="E48" i="21" s="1"/>
  <c r="K10" i="27"/>
  <c r="M10" i="27" s="1"/>
  <c r="D15" i="16"/>
  <c r="D31" i="26"/>
  <c r="D35" i="26" s="1"/>
  <c r="D21" i="20"/>
  <c r="E22" i="20"/>
  <c r="E32" i="17"/>
  <c r="W17" i="17" s="1"/>
  <c r="W30" i="17" s="1"/>
  <c r="E74" i="6"/>
  <c r="K13" i="12"/>
  <c r="D13" i="17"/>
  <c r="E75" i="21" s="1"/>
  <c r="I31" i="12"/>
  <c r="I36" i="12" s="1"/>
  <c r="H67" i="6"/>
  <c r="K30" i="28" s="1"/>
  <c r="D14" i="17"/>
  <c r="E71" i="21" s="1"/>
  <c r="J32" i="12"/>
  <c r="H8" i="13"/>
  <c r="H43" i="6"/>
  <c r="G31" i="28" s="1"/>
  <c r="E12" i="17"/>
  <c r="G31" i="13"/>
  <c r="G30" i="26" s="1"/>
  <c r="E7" i="16"/>
  <c r="E31" i="26"/>
  <c r="E32" i="12"/>
  <c r="H62" i="6"/>
  <c r="J29" i="28" s="1"/>
  <c r="P29" i="28" s="1"/>
  <c r="H56" i="6"/>
  <c r="I11" i="28" s="1"/>
  <c r="E23" i="1"/>
  <c r="F23" i="1"/>
  <c r="E30" i="25" l="1"/>
  <c r="E34" i="25" s="1"/>
  <c r="E36" i="12"/>
  <c r="E6" i="27"/>
  <c r="E28" i="16"/>
  <c r="E12" i="20"/>
  <c r="D12" i="20" s="1"/>
  <c r="I10" i="26"/>
  <c r="P10" i="26" s="1"/>
  <c r="E22" i="21"/>
  <c r="E23" i="21" s="1"/>
  <c r="P11" i="28"/>
  <c r="E13" i="21"/>
  <c r="K12" i="20"/>
  <c r="J12" i="20" s="1"/>
  <c r="J30" i="25"/>
  <c r="J34" i="25" s="1"/>
  <c r="J36" i="12"/>
  <c r="D14" i="27"/>
  <c r="D36" i="16"/>
  <c r="P20" i="26"/>
  <c r="P21" i="26" s="1"/>
  <c r="F35" i="26"/>
  <c r="O10" i="25"/>
  <c r="H34" i="25"/>
  <c r="G34" i="25"/>
  <c r="P22" i="13"/>
  <c r="P8" i="13"/>
  <c r="E10" i="21" s="1"/>
  <c r="E12" i="21" s="1"/>
  <c r="H7" i="26"/>
  <c r="O31" i="12"/>
  <c r="E31" i="20" s="1"/>
  <c r="I29" i="25"/>
  <c r="O13" i="12"/>
  <c r="G14" i="21" s="1"/>
  <c r="K11" i="25"/>
  <c r="O11" i="25" s="1"/>
  <c r="J21" i="20"/>
  <c r="K22" i="20"/>
  <c r="P10" i="13"/>
  <c r="V14" i="17"/>
  <c r="V19" i="17" s="1"/>
  <c r="X17" i="17"/>
  <c r="X30" i="17" s="1"/>
  <c r="H74" i="6"/>
  <c r="L30" i="28" s="1"/>
  <c r="D15" i="17"/>
  <c r="E72" i="21" s="1"/>
  <c r="K32" i="12"/>
  <c r="H68" i="6"/>
  <c r="K31" i="28" s="1"/>
  <c r="E14" i="17"/>
  <c r="K31" i="13"/>
  <c r="K30" i="26" s="1"/>
  <c r="J30" i="13"/>
  <c r="E13" i="17"/>
  <c r="G75" i="21" s="1"/>
  <c r="I12" i="13"/>
  <c r="E24" i="17"/>
  <c r="G69" i="21" s="1"/>
  <c r="G32" i="13"/>
  <c r="G31" i="26" s="1"/>
  <c r="G35" i="26" s="1"/>
  <c r="G9" i="16"/>
  <c r="G30" i="16" s="1"/>
  <c r="M30" i="16" s="1"/>
  <c r="E30" i="26"/>
  <c r="E35" i="26" s="1"/>
  <c r="D6" i="6"/>
  <c r="G6" i="6"/>
  <c r="C12" i="28" s="1"/>
  <c r="P12" i="28" s="1"/>
  <c r="H11" i="11" l="1"/>
  <c r="H46" i="11" s="1"/>
  <c r="H32" i="11"/>
  <c r="H22" i="11"/>
  <c r="H18" i="11"/>
  <c r="H53" i="11" s="1"/>
  <c r="H12" i="11"/>
  <c r="H47" i="11" s="1"/>
  <c r="H7" i="11"/>
  <c r="H42" i="11" s="1"/>
  <c r="P14" i="28"/>
  <c r="P15" i="28" s="1"/>
  <c r="K30" i="25"/>
  <c r="K34" i="25" s="1"/>
  <c r="K36" i="12"/>
  <c r="G31" i="21"/>
  <c r="C14" i="12"/>
  <c r="C12" i="25" s="1"/>
  <c r="O12" i="25" s="1"/>
  <c r="O14" i="25" s="1"/>
  <c r="O15" i="25" s="1"/>
  <c r="P7" i="26"/>
  <c r="P9" i="26" s="1"/>
  <c r="H35" i="26"/>
  <c r="O29" i="25"/>
  <c r="I34" i="25"/>
  <c r="K9" i="20"/>
  <c r="K11" i="20" s="1"/>
  <c r="E13" i="20"/>
  <c r="D13" i="20" s="1"/>
  <c r="P30" i="13"/>
  <c r="E31" i="21" s="1"/>
  <c r="J29" i="26"/>
  <c r="M9" i="16"/>
  <c r="E46" i="21" s="1"/>
  <c r="G8" i="27"/>
  <c r="M8" i="27" s="1"/>
  <c r="P12" i="13"/>
  <c r="E14" i="21" s="1"/>
  <c r="I11" i="26"/>
  <c r="D31" i="20"/>
  <c r="V27" i="17"/>
  <c r="V33" i="17" s="1"/>
  <c r="L31" i="13"/>
  <c r="L30" i="26" s="1"/>
  <c r="E15" i="17"/>
  <c r="H75" i="6"/>
  <c r="L31" i="28" s="1"/>
  <c r="H7" i="16"/>
  <c r="E25" i="17"/>
  <c r="G71" i="21" s="1"/>
  <c r="K32" i="13"/>
  <c r="K31" i="26" s="1"/>
  <c r="K35" i="26" s="1"/>
  <c r="H29" i="11"/>
  <c r="C13" i="13"/>
  <c r="C12" i="26" s="1"/>
  <c r="D81" i="6"/>
  <c r="E8" i="6"/>
  <c r="H9" i="11" l="1"/>
  <c r="H44" i="11" s="1"/>
  <c r="H28" i="11"/>
  <c r="H21" i="11"/>
  <c r="H56" i="11" s="1"/>
  <c r="H19" i="11"/>
  <c r="H54" i="11" s="1"/>
  <c r="H25" i="11"/>
  <c r="H27" i="11"/>
  <c r="H13" i="11"/>
  <c r="H48" i="11" s="1"/>
  <c r="H17" i="11"/>
  <c r="H52" i="11" s="1"/>
  <c r="H24" i="11"/>
  <c r="H30" i="11"/>
  <c r="H10" i="11"/>
  <c r="H45" i="11" s="1"/>
  <c r="H16" i="11"/>
  <c r="H51" i="11" s="1"/>
  <c r="H23" i="11"/>
  <c r="H15" i="11"/>
  <c r="H50" i="11" s="1"/>
  <c r="H8" i="11"/>
  <c r="H43" i="11" s="1"/>
  <c r="H26" i="11"/>
  <c r="H20" i="11"/>
  <c r="H55" i="11" s="1"/>
  <c r="H31" i="11"/>
  <c r="H14" i="11"/>
  <c r="H49" i="11" s="1"/>
  <c r="G19" i="11"/>
  <c r="G54" i="11" s="1"/>
  <c r="G26" i="11"/>
  <c r="G13" i="11"/>
  <c r="G48" i="11" s="1"/>
  <c r="G27" i="11"/>
  <c r="G21" i="11"/>
  <c r="G56" i="11" s="1"/>
  <c r="G28" i="11"/>
  <c r="C32" i="12"/>
  <c r="C36" i="12" s="1"/>
  <c r="H6" i="27"/>
  <c r="H28" i="16"/>
  <c r="O14" i="12"/>
  <c r="E14" i="20" s="1"/>
  <c r="E16" i="20" s="1"/>
  <c r="E17" i="20" s="1"/>
  <c r="J9" i="20"/>
  <c r="P11" i="26"/>
  <c r="I35" i="26"/>
  <c r="P29" i="26"/>
  <c r="J35" i="26"/>
  <c r="K31" i="20"/>
  <c r="J31" i="20" s="1"/>
  <c r="K13" i="20"/>
  <c r="J13" i="20" s="1"/>
  <c r="P13" i="13"/>
  <c r="P15" i="13" s="1"/>
  <c r="P16" i="13" s="1"/>
  <c r="P12" i="26"/>
  <c r="E83" i="6"/>
  <c r="G25" i="11" s="1"/>
  <c r="L25" i="12"/>
  <c r="I7" i="16"/>
  <c r="I28" i="16" s="1"/>
  <c r="E26" i="17"/>
  <c r="G72" i="21" s="1"/>
  <c r="L32" i="13"/>
  <c r="L31" i="26" s="1"/>
  <c r="L35" i="26" s="1"/>
  <c r="H8" i="6"/>
  <c r="C30" i="28" s="1"/>
  <c r="D9" i="17"/>
  <c r="E66" i="21" s="1"/>
  <c r="G81" i="6"/>
  <c r="M23" i="28" s="1"/>
  <c r="P23" i="28" s="1"/>
  <c r="P24" i="28" s="1"/>
  <c r="P25" i="28" s="1"/>
  <c r="G17" i="11" l="1"/>
  <c r="G52" i="11" s="1"/>
  <c r="G7" i="11"/>
  <c r="G42" i="11" s="1"/>
  <c r="G8" i="11"/>
  <c r="G43" i="11" s="1"/>
  <c r="G22" i="11"/>
  <c r="G33" i="11"/>
  <c r="G15" i="11"/>
  <c r="G50" i="11" s="1"/>
  <c r="G18" i="11"/>
  <c r="G53" i="11" s="1"/>
  <c r="G9" i="11"/>
  <c r="G44" i="11" s="1"/>
  <c r="G24" i="11"/>
  <c r="G31" i="11"/>
  <c r="G12" i="11"/>
  <c r="G47" i="11" s="1"/>
  <c r="G32" i="11"/>
  <c r="G23" i="11"/>
  <c r="G29" i="11"/>
  <c r="G10" i="11"/>
  <c r="G45" i="11" s="1"/>
  <c r="G20" i="11"/>
  <c r="G55" i="11" s="1"/>
  <c r="G14" i="11"/>
  <c r="G49" i="11" s="1"/>
  <c r="G11" i="11"/>
  <c r="G46" i="11" s="1"/>
  <c r="D14" i="20"/>
  <c r="C30" i="25"/>
  <c r="C34" i="25" s="1"/>
  <c r="M28" i="16"/>
  <c r="M29" i="16" s="1"/>
  <c r="M33" i="16" s="1"/>
  <c r="O16" i="12"/>
  <c r="O17" i="12" s="1"/>
  <c r="G15" i="21"/>
  <c r="G16" i="21" s="1"/>
  <c r="G17" i="21" s="1"/>
  <c r="P14" i="26"/>
  <c r="P15" i="26" s="1"/>
  <c r="K14" i="20"/>
  <c r="J14" i="20" s="1"/>
  <c r="E15" i="21"/>
  <c r="E16" i="21" s="1"/>
  <c r="E17" i="21" s="1"/>
  <c r="O25" i="12"/>
  <c r="G25" i="21" s="1"/>
  <c r="G26" i="21" s="1"/>
  <c r="G27" i="21" s="1"/>
  <c r="L23" i="25"/>
  <c r="M7" i="16"/>
  <c r="E43" i="21" s="1"/>
  <c r="E44" i="21" s="1"/>
  <c r="E49" i="21" s="1"/>
  <c r="I6" i="27"/>
  <c r="M6" i="27" s="1"/>
  <c r="M7" i="27" s="1"/>
  <c r="M11" i="27" s="1"/>
  <c r="H83" i="6"/>
  <c r="M30" i="28" s="1"/>
  <c r="P30" i="28" s="1"/>
  <c r="D16" i="17"/>
  <c r="L32" i="12"/>
  <c r="L36" i="12" s="1"/>
  <c r="E30" i="11"/>
  <c r="E33" i="11"/>
  <c r="E28" i="11"/>
  <c r="E12" i="11"/>
  <c r="E20" i="11"/>
  <c r="E27" i="11"/>
  <c r="G16" i="11"/>
  <c r="G51" i="11" s="1"/>
  <c r="M24" i="13"/>
  <c r="M23" i="26" s="1"/>
  <c r="H33" i="11"/>
  <c r="C31" i="13"/>
  <c r="C30" i="26" s="1"/>
  <c r="C35" i="26" s="1"/>
  <c r="E9" i="17"/>
  <c r="G66" i="21" s="1"/>
  <c r="G82" i="6"/>
  <c r="M31" i="28" s="1"/>
  <c r="P31" i="28" s="1"/>
  <c r="E13" i="11" l="1"/>
  <c r="E31" i="11"/>
  <c r="E25" i="11"/>
  <c r="E29" i="11"/>
  <c r="E23" i="11"/>
  <c r="E18" i="11"/>
  <c r="E16" i="11"/>
  <c r="E10" i="11"/>
  <c r="E14" i="11"/>
  <c r="E8" i="11"/>
  <c r="E26" i="11"/>
  <c r="E7" i="11"/>
  <c r="E32" i="11"/>
  <c r="E19" i="11"/>
  <c r="E24" i="11"/>
  <c r="E11" i="11"/>
  <c r="E22" i="11"/>
  <c r="E17" i="11"/>
  <c r="E21" i="11"/>
  <c r="E15" i="11"/>
  <c r="E9" i="11"/>
  <c r="D18" i="17"/>
  <c r="D33" i="17" s="1"/>
  <c r="D34" i="17" s="1"/>
  <c r="E73" i="21"/>
  <c r="E77" i="21" s="1"/>
  <c r="W14" i="17"/>
  <c r="D25" i="11"/>
  <c r="D18" i="11"/>
  <c r="P32" i="28"/>
  <c r="P33" i="28" s="1"/>
  <c r="P35" i="28" s="1"/>
  <c r="D30" i="11"/>
  <c r="D31" i="11"/>
  <c r="D22" i="11"/>
  <c r="D14" i="11"/>
  <c r="D23" i="11"/>
  <c r="D11" i="11"/>
  <c r="D13" i="11"/>
  <c r="D12" i="11"/>
  <c r="D32" i="11"/>
  <c r="D33" i="11"/>
  <c r="D9" i="11"/>
  <c r="D19" i="11"/>
  <c r="D21" i="11"/>
  <c r="D20" i="11"/>
  <c r="D29" i="11"/>
  <c r="D17" i="11"/>
  <c r="D8" i="11"/>
  <c r="D26" i="11"/>
  <c r="D10" i="11"/>
  <c r="D28" i="11"/>
  <c r="D27" i="11"/>
  <c r="D15" i="11"/>
  <c r="D24" i="11"/>
  <c r="D16" i="11"/>
  <c r="D7" i="11"/>
  <c r="O23" i="25"/>
  <c r="O24" i="25" s="1"/>
  <c r="O25" i="25" s="1"/>
  <c r="M8" i="16"/>
  <c r="M12" i="16" s="1"/>
  <c r="K16" i="20"/>
  <c r="K17" i="20" s="1"/>
  <c r="O26" i="12"/>
  <c r="O27" i="12" s="1"/>
  <c r="E24" i="20"/>
  <c r="E25" i="20" s="1"/>
  <c r="E26" i="20" s="1"/>
  <c r="O32" i="12"/>
  <c r="O33" i="12" s="1"/>
  <c r="L30" i="25"/>
  <c r="O30" i="25" s="1"/>
  <c r="O31" i="25" s="1"/>
  <c r="P24" i="13"/>
  <c r="P25" i="13" s="1"/>
  <c r="P26" i="13" s="1"/>
  <c r="P23" i="26"/>
  <c r="P24" i="26" s="1"/>
  <c r="P25" i="26" s="1"/>
  <c r="W27" i="17"/>
  <c r="G30" i="11"/>
  <c r="G57" i="11" s="1"/>
  <c r="G58" i="11" s="1"/>
  <c r="J15" i="16"/>
  <c r="J36" i="16" s="1"/>
  <c r="M36" i="16" s="1"/>
  <c r="M38" i="16" s="1"/>
  <c r="M41" i="16" s="1"/>
  <c r="M42" i="16" s="1"/>
  <c r="E27" i="17"/>
  <c r="E29" i="17" s="1"/>
  <c r="W15" i="17" s="1"/>
  <c r="M32" i="13"/>
  <c r="E16" i="17"/>
  <c r="G73" i="21" s="1"/>
  <c r="G77" i="21" s="1"/>
  <c r="M31" i="13"/>
  <c r="E34" i="11"/>
  <c r="H57" i="11"/>
  <c r="H58" i="11" s="1"/>
  <c r="H34" i="11"/>
  <c r="W19" i="17" l="1"/>
  <c r="D34" i="11"/>
  <c r="N34" i="11" s="1"/>
  <c r="K24" i="20"/>
  <c r="K25" i="20" s="1"/>
  <c r="K26" i="20" s="1"/>
  <c r="E25" i="21"/>
  <c r="E26" i="21" s="1"/>
  <c r="E27" i="21" s="1"/>
  <c r="L34" i="25"/>
  <c r="D24" i="20"/>
  <c r="O32" i="25"/>
  <c r="O34" i="25" s="1"/>
  <c r="E32" i="20"/>
  <c r="E33" i="20" s="1"/>
  <c r="E34" i="20" s="1"/>
  <c r="E39" i="20" s="1"/>
  <c r="G32" i="21"/>
  <c r="G33" i="21" s="1"/>
  <c r="G34" i="21" s="1"/>
  <c r="L3" i="21" s="1"/>
  <c r="O34" i="12"/>
  <c r="O36" i="12" s="1"/>
  <c r="P32" i="13"/>
  <c r="M31" i="26"/>
  <c r="P31" i="26" s="1"/>
  <c r="P31" i="13"/>
  <c r="M30" i="26"/>
  <c r="M15" i="16"/>
  <c r="E52" i="21" s="1"/>
  <c r="E54" i="21" s="1"/>
  <c r="E56" i="21" s="1"/>
  <c r="J14" i="27"/>
  <c r="M14" i="27" s="1"/>
  <c r="M16" i="27" s="1"/>
  <c r="M19" i="27" s="1"/>
  <c r="M20" i="27" s="1"/>
  <c r="D36" i="17"/>
  <c r="X14" i="17"/>
  <c r="E18" i="17"/>
  <c r="E33" i="17" s="1"/>
  <c r="E34" i="17" s="1"/>
  <c r="X15" i="17"/>
  <c r="X29" i="17" s="1"/>
  <c r="W29" i="17"/>
  <c r="W33" i="17" s="1"/>
  <c r="G34" i="11"/>
  <c r="I34" i="11" s="1"/>
  <c r="X27" i="17" l="1"/>
  <c r="X33" i="17" s="1"/>
  <c r="X19" i="17"/>
  <c r="D32" i="20"/>
  <c r="J24" i="20"/>
  <c r="P30" i="26"/>
  <c r="P32" i="26" s="1"/>
  <c r="P33" i="26" s="1"/>
  <c r="P35" i="26" s="1"/>
  <c r="M35" i="26"/>
  <c r="P33" i="13"/>
  <c r="P34" i="13" s="1"/>
  <c r="P36" i="13" s="1"/>
  <c r="E32" i="21"/>
  <c r="E33" i="21" s="1"/>
  <c r="E34" i="21" s="1"/>
  <c r="K3" i="21" s="1"/>
  <c r="K32" i="20"/>
  <c r="J32" i="20" s="1"/>
  <c r="M17" i="16"/>
  <c r="M20" i="16" s="1"/>
  <c r="M21" i="16" s="1"/>
  <c r="M21" i="27" s="1"/>
  <c r="E36" i="17" l="1"/>
  <c r="K33" i="20"/>
  <c r="K34" i="20" s="1"/>
  <c r="K39" i="20" s="1"/>
</calcChain>
</file>

<file path=xl/sharedStrings.xml><?xml version="1.0" encoding="utf-8"?>
<sst xmlns="http://schemas.openxmlformats.org/spreadsheetml/2006/main" count="1348" uniqueCount="390">
  <si>
    <t>Al 01/01/2014</t>
  </si>
  <si>
    <t>Al 31/12/2014</t>
  </si>
  <si>
    <t>Diferencia temporaria deducible</t>
  </si>
  <si>
    <t>Provisión por retiro de activos fijos</t>
  </si>
  <si>
    <t>Vacaciones pendientes de pago</t>
  </si>
  <si>
    <t>Gastos Pre Operativos</t>
  </si>
  <si>
    <t>Total diferencia temporaria deducible</t>
  </si>
  <si>
    <t>[a]</t>
  </si>
  <si>
    <t xml:space="preserve">Activo diferido por impuesto a la renta </t>
  </si>
  <si>
    <t>Diferencia temporaria gravable</t>
  </si>
  <si>
    <t>Costo neto de retiro de activos fijos</t>
  </si>
  <si>
    <t>Propiedad, planta y equipo</t>
  </si>
  <si>
    <t>Costo de transacción por emisión de Bonos</t>
  </si>
  <si>
    <t>Mayor valor de inversión inmobiliaria</t>
  </si>
  <si>
    <t>Total diferencia temporaria imponible</t>
  </si>
  <si>
    <t>[c]</t>
  </si>
  <si>
    <t>Pasivo diferido por impuesto a la renta</t>
  </si>
  <si>
    <t>Activo neto (Asiento 8.1)</t>
  </si>
  <si>
    <t xml:space="preserve">Ajuste a resultados 2014 (Asiento 8.1) </t>
  </si>
  <si>
    <t>[b]</t>
  </si>
  <si>
    <t>[b] - [d]</t>
  </si>
  <si>
    <t>[m] - [n]</t>
  </si>
  <si>
    <t>Ver datos en 6.1</t>
  </si>
  <si>
    <t>Debe</t>
  </si>
  <si>
    <t>Haber</t>
  </si>
  <si>
    <t>S/</t>
  </si>
  <si>
    <t xml:space="preserve">(ESF) Activo diferido por Impto. a la renta </t>
  </si>
  <si>
    <t>(ERI)  Ingreso por impuesto a la renta</t>
  </si>
  <si>
    <t>(ESF) Resultados acumulados</t>
  </si>
  <si>
    <t>[d] = [c]x30%</t>
  </si>
  <si>
    <t>[b] = [a]x30%</t>
  </si>
  <si>
    <t>[x]</t>
  </si>
  <si>
    <t>[y]</t>
  </si>
  <si>
    <t>[z]</t>
  </si>
  <si>
    <t>Saldo</t>
  </si>
  <si>
    <t>6.1.</t>
  </si>
  <si>
    <t>Ref.</t>
  </si>
  <si>
    <t>Año 2011</t>
  </si>
  <si>
    <t>Año 2012</t>
  </si>
  <si>
    <t>Año 2013</t>
  </si>
  <si>
    <t>Año 2014</t>
  </si>
  <si>
    <t>[d]</t>
  </si>
  <si>
    <t>[e]</t>
  </si>
  <si>
    <t>[b-a]</t>
  </si>
  <si>
    <t>[c-b]</t>
  </si>
  <si>
    <t>[d-c]</t>
  </si>
  <si>
    <t>[e-d]</t>
  </si>
  <si>
    <t>Año 2010</t>
  </si>
  <si>
    <t>Gastos financieros</t>
  </si>
  <si>
    <t>Costo</t>
  </si>
  <si>
    <t>Depreciación acumulada</t>
  </si>
  <si>
    <t>Valor en libros</t>
  </si>
  <si>
    <t>6.1</t>
  </si>
  <si>
    <t>Ver datos en 6.2</t>
  </si>
  <si>
    <t>(ESF) Provisión -retiro de activos</t>
  </si>
  <si>
    <t>(ERI)  Gasto financiero</t>
  </si>
  <si>
    <t>(ESF) Activo fijo - costo</t>
  </si>
  <si>
    <t>(ESF) Activo fijo - depreciación acumulada</t>
  </si>
  <si>
    <t>(ERI)  Gasto por depreciación</t>
  </si>
  <si>
    <t>Gasto por depreciación del año 2014 [S/2,400,000 - S/1,920,000]</t>
  </si>
  <si>
    <t>Saldo al 1 de enero</t>
  </si>
  <si>
    <t>Vacaciones devengadas durante el año</t>
  </si>
  <si>
    <t xml:space="preserve">Saldo al 31 de diciembre </t>
  </si>
  <si>
    <t>Gasto por naturaleza</t>
  </si>
  <si>
    <t>Costo de ventas</t>
  </si>
  <si>
    <t>Gastos de administración</t>
  </si>
  <si>
    <t>Gastos de ventas</t>
  </si>
  <si>
    <t>Total</t>
  </si>
  <si>
    <t>Ver datos en 6.3</t>
  </si>
  <si>
    <t>(ERI)  Gasto por vacaciones</t>
  </si>
  <si>
    <t>Gasto de administración</t>
  </si>
  <si>
    <t>Gasto de ventas</t>
  </si>
  <si>
    <t>(ESF) Vacaciones por pagar</t>
  </si>
  <si>
    <t>Amortización acumulada</t>
  </si>
  <si>
    <t>Ver datos en 6.4</t>
  </si>
  <si>
    <t xml:space="preserve">(ERI) Gasto por amortización </t>
  </si>
  <si>
    <t>(ESF) Amortización acumulada</t>
  </si>
  <si>
    <t>(ESF) Activo intangible-costo</t>
  </si>
  <si>
    <t>Cuentas por cobrar a accionistas</t>
  </si>
  <si>
    <t>Ver datos en 6.5</t>
  </si>
  <si>
    <t>(ESF) Cta. por cobrar a accionistas</t>
  </si>
  <si>
    <t>Terreno</t>
  </si>
  <si>
    <t>Edificación</t>
  </si>
  <si>
    <t>Maquinaria</t>
  </si>
  <si>
    <t>Muebles y enseres</t>
  </si>
  <si>
    <t>Neto</t>
  </si>
  <si>
    <t>Edificaciones (ver ajuste en 8.6.3)</t>
  </si>
  <si>
    <t>Maquinarias (ver ajuste en 8.6.4)</t>
  </si>
  <si>
    <t xml:space="preserve">Ajuste de la depreciación acumulada de </t>
  </si>
  <si>
    <t>Edificaciones y Maquinaria</t>
  </si>
  <si>
    <t>Diferencia temporaria</t>
  </si>
  <si>
    <t>Base contable</t>
  </si>
  <si>
    <t>Base tributaria (base contable Perú GAAP)</t>
  </si>
  <si>
    <t>Ver datos en 6.6</t>
  </si>
  <si>
    <t>(ESF) Inversión inmobiliaria</t>
  </si>
  <si>
    <t>(ESF) Propiedad, planta y equipo</t>
  </si>
  <si>
    <t>(ESF) Excedente de revaluaciòn</t>
  </si>
  <si>
    <t>(ERI) Gasto por depreciación</t>
  </si>
  <si>
    <t>(ESF) Depreciación acumulada</t>
  </si>
  <si>
    <t xml:space="preserve">En Desuso </t>
  </si>
  <si>
    <t>NIIF</t>
  </si>
  <si>
    <t>Base Contable</t>
  </si>
  <si>
    <t>Base Tributaria</t>
  </si>
  <si>
    <t xml:space="preserve">En Uso </t>
  </si>
  <si>
    <t>Año</t>
  </si>
  <si>
    <t>Efectivo recibido</t>
  </si>
  <si>
    <t>Costo de transacción</t>
  </si>
  <si>
    <t>Pago del nominal</t>
  </si>
  <si>
    <t>Flujo         Total</t>
  </si>
  <si>
    <t>Gasto por Intereses</t>
  </si>
  <si>
    <t>Inicial</t>
  </si>
  <si>
    <t>(+) Costos</t>
  </si>
  <si>
    <t>Financieros</t>
  </si>
  <si>
    <t>(-) Pagos</t>
  </si>
  <si>
    <t>Final</t>
  </si>
  <si>
    <t xml:space="preserve">Base </t>
  </si>
  <si>
    <t>Tributaria</t>
  </si>
  <si>
    <t>8.6.1</t>
  </si>
  <si>
    <t>8.6.2</t>
  </si>
  <si>
    <t>8.6.3</t>
  </si>
  <si>
    <t>8.6.4</t>
  </si>
  <si>
    <t>NIIF  Al</t>
  </si>
  <si>
    <t>Ajuste NIIF Al</t>
  </si>
  <si>
    <t>Perù GAAP  Al</t>
  </si>
  <si>
    <t xml:space="preserve">Total </t>
  </si>
  <si>
    <t>(-) Depreciación acumulada</t>
  </si>
  <si>
    <t>[Saldos NIIF ]</t>
  </si>
  <si>
    <t>[Saldos Perú GAAP]</t>
  </si>
  <si>
    <t>Ref</t>
  </si>
  <si>
    <t>(ERI) Gasto por intereses</t>
  </si>
  <si>
    <t>(ESF) Préstamo por pagar</t>
  </si>
  <si>
    <t>8.7.</t>
  </si>
  <si>
    <t>Ajuste</t>
  </si>
  <si>
    <t>Ver datos en 6.8</t>
  </si>
  <si>
    <t>(ERI) Ingreso por valor razonable</t>
  </si>
  <si>
    <t>Ver datos en 6.9</t>
  </si>
  <si>
    <t>(ESF) Cuentas por pagar diversas</t>
  </si>
  <si>
    <t>(ESF) Pasivo por impuesto a la renta</t>
  </si>
  <si>
    <t>Ver datos en 6.10</t>
  </si>
  <si>
    <t>(ERI) Costo de ventas</t>
  </si>
  <si>
    <t>(ERI) Gasto de administración</t>
  </si>
  <si>
    <t>(ERI) Gasto de ventas</t>
  </si>
  <si>
    <t>(ERI) Participación de trabajadores</t>
  </si>
  <si>
    <t>Asientos contables para reestructurar estados financieros al 01.01.2014 y 31.12.2014</t>
  </si>
  <si>
    <t>DIVIDENDO PAGADO POR ANTICIPADO A ACCIONISTAS</t>
  </si>
  <si>
    <t>GASTO PRE OPERATIVO RECONOCIDO COMO INTANGIBLE</t>
  </si>
  <si>
    <t>VACACIONES DEVENGADAS</t>
  </si>
  <si>
    <t>COSTO DE RETIRO DE ACTIVO FIJO</t>
  </si>
  <si>
    <t>PROVISION POR RETIRO DE ACTIVO FIJO</t>
  </si>
  <si>
    <t xml:space="preserve">Saldos al </t>
  </si>
  <si>
    <t xml:space="preserve">Perú </t>
  </si>
  <si>
    <t>Asiento</t>
  </si>
  <si>
    <t>1 de enero de 2014</t>
  </si>
  <si>
    <t>GAAP</t>
  </si>
  <si>
    <t>PLENAS</t>
  </si>
  <si>
    <t>Activo</t>
  </si>
  <si>
    <t>Efectivo y equivalente de efectivo</t>
  </si>
  <si>
    <t>Cuentas por cobrar comerciales</t>
  </si>
  <si>
    <t>Otras cuentas por cobrar</t>
  </si>
  <si>
    <t>Existencias</t>
  </si>
  <si>
    <t>Total activo corriente</t>
  </si>
  <si>
    <t>Inversiones Inmobiliarias</t>
  </si>
  <si>
    <t>Propiedades Planta y Equipo</t>
  </si>
  <si>
    <t>Activo por imp. a la renta diferido</t>
  </si>
  <si>
    <t>Gasto pre operativo</t>
  </si>
  <si>
    <t>Total activo no corriente</t>
  </si>
  <si>
    <t>Total activo</t>
  </si>
  <si>
    <t>Pasivo y patrimonio</t>
  </si>
  <si>
    <t>Cuentas por pagar comerciales</t>
  </si>
  <si>
    <t>Impuesto a la renta corriente</t>
  </si>
  <si>
    <t>Otras cuentas por pagar</t>
  </si>
  <si>
    <t>Total pasivo corriente</t>
  </si>
  <si>
    <t>Provisión por retiro de activos</t>
  </si>
  <si>
    <t>Bonos por pagar</t>
  </si>
  <si>
    <t>Total pasivo no corriente</t>
  </si>
  <si>
    <t xml:space="preserve">Total pasivo </t>
  </si>
  <si>
    <t>Capital</t>
  </si>
  <si>
    <t xml:space="preserve">Capital adicional </t>
  </si>
  <si>
    <t>Excedente de revaluación</t>
  </si>
  <si>
    <t>Resultados acumulados</t>
  </si>
  <si>
    <t>Total patrimonio</t>
  </si>
  <si>
    <t>Total pasivo y patrimonio</t>
  </si>
  <si>
    <t>8.2.1</t>
  </si>
  <si>
    <t>8.2.2</t>
  </si>
  <si>
    <t>Resultado del ejericio</t>
  </si>
  <si>
    <t>Sección 9.2</t>
  </si>
  <si>
    <t>Ventas netas</t>
  </si>
  <si>
    <t>Utilidad bruta</t>
  </si>
  <si>
    <t xml:space="preserve">Gastos de administración </t>
  </si>
  <si>
    <t>Gastos de de venta</t>
  </si>
  <si>
    <t>Valor razonable de inversión inmobiliaria</t>
  </si>
  <si>
    <t>Utilidad operativa</t>
  </si>
  <si>
    <t>Ingresos financieros</t>
  </si>
  <si>
    <t>Efecto neto de la diferencia en cambio</t>
  </si>
  <si>
    <t>Utilidad antes de imp.</t>
  </si>
  <si>
    <t>Participación de trabajadores</t>
  </si>
  <si>
    <t>Impuesto a la renta</t>
  </si>
  <si>
    <t>Utilidad neta</t>
  </si>
  <si>
    <t>01.01.14</t>
  </si>
  <si>
    <t>31.12.2014</t>
  </si>
  <si>
    <t>Patrimonio según Perú GAAP</t>
  </si>
  <si>
    <t>Impuesto a la renta diferido</t>
  </si>
  <si>
    <t>Pasivos laborales devengados</t>
  </si>
  <si>
    <t>Baja de gastos pre-operativos reconocidos como intangibles</t>
  </si>
  <si>
    <t>Incremento de valor razonable de activos fijos (terrenos)</t>
  </si>
  <si>
    <t>Medición del pasivo financiero a costo amortizado</t>
  </si>
  <si>
    <t>Incremento de valor razonable de inversión inmobiliaria</t>
  </si>
  <si>
    <t>Total de ajustes NIIF al Patrimonio</t>
  </si>
  <si>
    <t>Patrimonio según NIIF</t>
  </si>
  <si>
    <t>Ajuste de la depreciación acumulada - Edificaciones</t>
  </si>
  <si>
    <t>Ajuste de la depreciación acumulada - Maquinarias</t>
  </si>
  <si>
    <t>Ajustes NIIF: Efecto en Resultados del Ejercicio 2014</t>
  </si>
  <si>
    <t>Ajustes NIIF: Efecto en Resultados acumulados al 31.12.2014</t>
  </si>
  <si>
    <t>[a+b+c+d]</t>
  </si>
  <si>
    <t>[b+c+d]</t>
  </si>
  <si>
    <t>Efecto NIIF en Resultados---&gt;</t>
  </si>
  <si>
    <t>Movimiento patrimonial del año 2014 sin NIIF:</t>
  </si>
  <si>
    <t>Cifras en S/</t>
  </si>
  <si>
    <t>Capital         social</t>
  </si>
  <si>
    <t>Capital adicional</t>
  </si>
  <si>
    <t>Utilidad del año 2014 (Perú GAAP)</t>
  </si>
  <si>
    <t>Aporte de capital adicional</t>
  </si>
  <si>
    <t>Movimiento patrimonial del año 2014 incorporando ajustes NIIF retroactivamente :</t>
  </si>
  <si>
    <t>Distribución de dividendos en NIIF</t>
  </si>
  <si>
    <t>[v]</t>
  </si>
  <si>
    <t>Utilidad del año 2014 (NIIF)</t>
  </si>
  <si>
    <t>[x+y]</t>
  </si>
  <si>
    <t>[o]</t>
  </si>
  <si>
    <t>[o+v]</t>
  </si>
  <si>
    <t>Exc. de   Reval.</t>
  </si>
  <si>
    <t>Al 31 de Dic de 2014 - Perú GAAP</t>
  </si>
  <si>
    <t>Ajustes</t>
  </si>
  <si>
    <t>(a)</t>
  </si>
  <si>
    <t>(b)</t>
  </si>
  <si>
    <t>(c)</t>
  </si>
  <si>
    <t>(d)</t>
  </si>
  <si>
    <t>(e)</t>
  </si>
  <si>
    <t>(f)</t>
  </si>
  <si>
    <t>(g)</t>
  </si>
  <si>
    <t>2015</t>
  </si>
  <si>
    <t>2014</t>
  </si>
  <si>
    <t>Cuentas por cobrar comerciales, neto</t>
  </si>
  <si>
    <t>Existencias, neto</t>
  </si>
  <si>
    <t>Propiedades Planta y Equipo, neto</t>
  </si>
  <si>
    <t>Ventas</t>
  </si>
  <si>
    <t>Valor razonable de inversiones inmobiliarias</t>
  </si>
  <si>
    <t>Utilidad antes de impuestos</t>
  </si>
  <si>
    <t>Ver 9.2</t>
  </si>
  <si>
    <t>Ver 9.3</t>
  </si>
  <si>
    <t>Patrimonio neto</t>
  </si>
  <si>
    <t>ESTADO FINANCIERO AL 1 DE ENERO DE 2014</t>
  </si>
  <si>
    <t>ESTADO FINANCIERO AL 31 DE DICIEMBRE DE 2014</t>
  </si>
  <si>
    <t>Cifras según Perú GAAP</t>
  </si>
  <si>
    <t>Movimiento patrimonial (Sin NIIF)</t>
  </si>
  <si>
    <t>Resultados</t>
  </si>
  <si>
    <t>Excedente</t>
  </si>
  <si>
    <t>01.01.2013</t>
  </si>
  <si>
    <t>31.12.2013</t>
  </si>
  <si>
    <t>Acumulados</t>
  </si>
  <si>
    <t>de Revaluac.</t>
  </si>
  <si>
    <t>Saldo al 1 de enero 2013</t>
  </si>
  <si>
    <t>Saldo según Perú GAAP</t>
  </si>
  <si>
    <t>Correción de la depreciacion de maquinarias</t>
  </si>
  <si>
    <t>Saldo al 31 de diciembre 2013</t>
  </si>
  <si>
    <t>Excedente de revaluación de terrenos</t>
  </si>
  <si>
    <t>Saldo según NIIF</t>
  </si>
  <si>
    <t>Ajuste NIIF</t>
  </si>
  <si>
    <t>Cifras según NIIF</t>
  </si>
  <si>
    <t>Saldo al 31 de diciembre 2014</t>
  </si>
  <si>
    <t>Costo (o costo atribuido)</t>
  </si>
  <si>
    <t>Movimiento patrimonial (con NIIF)</t>
  </si>
  <si>
    <t>Asientos contables</t>
  </si>
  <si>
    <t xml:space="preserve">Propiedad, planta y equipo </t>
  </si>
  <si>
    <t>Gasto por depreciaciòn</t>
  </si>
  <si>
    <t>Excedente de revaluaciòn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</si>
  <si>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</si>
  <si>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</si>
  <si>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</si>
  <si>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</si>
  <si>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</si>
  <si>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</si>
  <si>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</si>
  <si>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</si>
  <si>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</si>
  <si>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S</t>
  </si>
  <si>
    <t>T</t>
  </si>
  <si>
    <t>U</t>
  </si>
  <si>
    <t>V</t>
  </si>
  <si>
    <t>W</t>
  </si>
  <si>
    <t>X</t>
  </si>
  <si>
    <t>Y</t>
  </si>
  <si>
    <t>Tratamiento Perú GAAP</t>
  </si>
  <si>
    <t>Tratamiento NIIF</t>
  </si>
  <si>
    <t>[f]</t>
  </si>
  <si>
    <t>Depreciaciòn acumulada</t>
  </si>
  <si>
    <t xml:space="preserve">Saldo de </t>
  </si>
  <si>
    <t>Provisión</t>
  </si>
  <si>
    <t>Financ.</t>
  </si>
  <si>
    <t>Gastos</t>
  </si>
  <si>
    <t>(ESF) Activo diferido por Impto. Renta</t>
  </si>
  <si>
    <t>01.01.2014</t>
  </si>
  <si>
    <t>31.03.2015</t>
  </si>
  <si>
    <t>S/(000)</t>
  </si>
  <si>
    <t>Efecto NIIF en Resultados en S/(000)---&gt;</t>
  </si>
  <si>
    <t>Efecto NIIF en Resultados en S/---&gt;</t>
  </si>
  <si>
    <t>Al</t>
  </si>
  <si>
    <t>01 Ene 2014</t>
  </si>
  <si>
    <t>31 Dic 2014</t>
  </si>
  <si>
    <t>31 Dic 2015</t>
  </si>
  <si>
    <t>[f-c] al 31.12.14</t>
  </si>
  <si>
    <t>[f-c] al 01.01.14</t>
  </si>
  <si>
    <t>[f-c] al 31.03.15</t>
  </si>
  <si>
    <t>Ver datos en 6.7.2</t>
  </si>
  <si>
    <t xml:space="preserve">[a] 9.1 </t>
  </si>
  <si>
    <t>Pasivos laborales devengados (250,000+100,000+50,000)</t>
  </si>
  <si>
    <t>Dividendos considerados como cuenta por cobrar</t>
  </si>
  <si>
    <t>Al saldo de apertura</t>
  </si>
  <si>
    <t>Ajustes de adopciòn NIIF:</t>
  </si>
  <si>
    <t>A la utilidad 2014</t>
  </si>
  <si>
    <t>Ver 9.4</t>
  </si>
  <si>
    <t>Gasto de venta</t>
  </si>
  <si>
    <t>Ajustes al 31/12/2014</t>
  </si>
  <si>
    <t>8.2.</t>
  </si>
  <si>
    <t>Sección 9.3</t>
  </si>
  <si>
    <t>Actualización de provisión por retiro de activos fijos</t>
  </si>
  <si>
    <t>Depreciaciòn del activo relacionado a provisiòn por retiro</t>
  </si>
  <si>
    <t>31 de diciembre de 2014</t>
  </si>
  <si>
    <t>Al 1 de enero de 2014 - Perú GAAP</t>
  </si>
  <si>
    <t xml:space="preserve">Al 1 -Ene -2014 - Perú GAAP  </t>
  </si>
  <si>
    <t>Al 1 de Ene de 2014 - NIIF</t>
  </si>
  <si>
    <t>Al 31 de Dic de 2014 - NIIF</t>
  </si>
  <si>
    <t>Patrimonio neto según Perú GAAP (Ver 9.1)</t>
  </si>
  <si>
    <t>Propiedad, planta y equipo, neto</t>
  </si>
  <si>
    <t>01.Ene.2014</t>
  </si>
  <si>
    <t>31.Dic.2014</t>
  </si>
  <si>
    <t>Perú GAAP</t>
  </si>
  <si>
    <t>Secciòn 6.1</t>
  </si>
  <si>
    <t>IMPUESTO A LA RENTA DIFERIDO</t>
  </si>
  <si>
    <t>Secciòn 6.2</t>
  </si>
  <si>
    <t>Secciòn 6.3</t>
  </si>
  <si>
    <t>Secciòn 6.4</t>
  </si>
  <si>
    <t>Secciòn 6.5</t>
  </si>
  <si>
    <t>Secciòn 6.10</t>
  </si>
  <si>
    <t>GASTO POR PARTICIPACION DE LOS TRABAJADORES</t>
  </si>
  <si>
    <t>Participación de trabajadores en las utilidades</t>
  </si>
  <si>
    <t>Sección 6.6</t>
  </si>
  <si>
    <t>Sección 6.7</t>
  </si>
  <si>
    <t>Meidición de Bonos emitidos al costo amortizado</t>
  </si>
  <si>
    <t>1. Determinación de la tasa efectiva</t>
  </si>
  <si>
    <t>2. Medición del costo amortizado</t>
  </si>
  <si>
    <t>6.7.2</t>
  </si>
  <si>
    <t>Movimiento del pasivo</t>
  </si>
  <si>
    <t>Intangible: gasto pre-operativo</t>
  </si>
  <si>
    <t>Dividendo pagado por anticipado</t>
  </si>
  <si>
    <t>Ajustes NIIF : Efecto en Patrimonio al 01.01.2014</t>
  </si>
  <si>
    <t>Al 31- Dic - 2014 - NIIF</t>
  </si>
  <si>
    <t>Result. Acumul.</t>
  </si>
  <si>
    <t>Utilidad 2014 Perù GAAP</t>
  </si>
  <si>
    <t xml:space="preserve">Baja de gastos pre-operativos </t>
  </si>
  <si>
    <t xml:space="preserve">   Edificaciones</t>
  </si>
  <si>
    <t xml:space="preserve">   Maquinarias</t>
  </si>
  <si>
    <t>Ajuste de la depreciación acumulada</t>
  </si>
  <si>
    <t>Ajuste al valor razonable de inversión inmobiliaria</t>
  </si>
  <si>
    <t>Ajuste al valor razonable de activos fijos (terrenos)</t>
  </si>
  <si>
    <t>Baja de cuenta por cobrar por dividendos anticipados</t>
  </si>
  <si>
    <t>Patrimonio neto según NIIF (Ver secciones 9.2 y 9.3 )</t>
  </si>
  <si>
    <t>SECCION 6: CUANTIFICACION DE LOS AJUSTES</t>
  </si>
  <si>
    <t>SECCION 7: TECNICA PARA REGISTRAR LOS AJUSTES DE ADOPCION</t>
  </si>
  <si>
    <t>Asiento a ser ingresado en la contabilidad el 2 de enero de 2015</t>
  </si>
  <si>
    <t>ESTADO FINANCIERO AL                        1 DE ENERO DE 2014</t>
  </si>
  <si>
    <t>9.2 Re-expresión del Estado de Situación Financiera al 1 de enero de 2014</t>
  </si>
  <si>
    <t>9.3 Re-expresión del Estado de Situación Financiera al 31 de diciembre de 2014</t>
  </si>
  <si>
    <t>9.4 Re-expresión del Estado de resultados del 2014</t>
  </si>
  <si>
    <t xml:space="preserve"> 9.5 Reconciliación de los Patrimonios</t>
  </si>
  <si>
    <t>9.6 Reconstrucción del Movimiento Patrimonial</t>
  </si>
  <si>
    <t xml:space="preserve">Movimiento patrimonial del año 2014 incorporando </t>
  </si>
  <si>
    <t>ajustes NIIF retroactivamente :</t>
  </si>
  <si>
    <t>9.5.c</t>
  </si>
  <si>
    <t>Movimiento del 2014 (Dividendos anticipados)</t>
  </si>
  <si>
    <t>9.5.d</t>
  </si>
  <si>
    <t>9.2 NIIF</t>
  </si>
  <si>
    <t>9.4 NIIF</t>
  </si>
  <si>
    <t>9.3 NIIF</t>
  </si>
  <si>
    <t>ESTADO DE SITUACION FINANCIERA EN NIIF</t>
  </si>
  <si>
    <t>Secciòn 10.1</t>
  </si>
  <si>
    <t>Secciòn 10.2</t>
  </si>
  <si>
    <t>Secciòn 10.3</t>
  </si>
  <si>
    <t>Reconciliación del Patrimonio</t>
  </si>
  <si>
    <t>10.5  Conciliación del Estado de Situación Financiera Comparativo</t>
  </si>
  <si>
    <t xml:space="preserve">10.4 Conciliación del Estado de Situación Financiera de apertura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</si>
</sst>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#,#00;\(#,#00\)"/>
    <numFmt numFmtId="166" formatCode="_ * #,##0_ ;_ * \-#,##0_ ;_ * &quot;-&quot;??_ ;_ @_ "/>
    <numFmt numFmtId="167" formatCode="0.000%"/>
    <numFmt numFmtId="168" formatCode="_ * #,##0.0_ ;_ * \-#,##0.0_ ;_ * &quot;-&quot;??_ ;_ @_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2"/>
      <color theme="0"/>
      <name val="Calibri"/>
      <family val="2"/>
      <scheme val="minor"/>
    </font>
    <font>
      <b/>
      <sz val="20"/>
      <color theme="0"/>
      <name val="Arial"/>
      <family val="2"/>
    </font>
    <font>
      <b/>
      <sz val="2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5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rgb="FF000000"/>
      </left>
      <right/>
      <top style="dotted">
        <color rgb="FF000000"/>
      </top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59996337778862885"/>
      </left>
      <right/>
      <top style="thin">
        <color theme="4" tint="0.59996337778862885"/>
      </top>
      <bottom style="thin">
        <color theme="4" tint="0.59996337778862885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 style="dotted">
        <color rgb="FF000000"/>
      </top>
      <bottom style="dotted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6">
    <xf numFmtId="0" fontId="0" fillId="0" borderId="0" xfId="0"/>
    <xf numFmtId="0" fontId="0" fillId="0" borderId="0" xfId="0" applyAlignment="1">
      <alignment vertical="center"/>
    </xf>
    <xf numFmtId="0" fontId="0" fillId="7" borderId="0" xfId="0" applyFill="1"/>
    <xf numFmtId="0" fontId="4" fillId="0" borderId="0" xfId="0" applyFont="1"/>
    <xf numFmtId="0" fontId="4" fillId="0" borderId="0" xfId="0" applyFont="1" applyAlignment="1">
      <alignment vertical="center"/>
    </xf>
    <xf numFmtId="0" fontId="2" fillId="3" borderId="1" xfId="0" applyFont="1" applyFill="1" applyBorder="1" applyAlignment="1">
      <alignment vertical="center"/>
    </xf>
    <xf numFmtId="0" fontId="4" fillId="7" borderId="0" xfId="0" applyFont="1" applyFill="1" applyAlignment="1">
      <alignment vertical="center"/>
    </xf>
    <xf numFmtId="0" fontId="4" fillId="7" borderId="0" xfId="0" applyFont="1" applyFill="1"/>
    <xf numFmtId="0" fontId="3" fillId="4" borderId="5" xfId="0" applyFont="1" applyFill="1" applyBorder="1" applyAlignment="1">
      <alignment horizontal="center" vertical="top" wrapText="1"/>
    </xf>
    <xf numFmtId="0" fontId="3" fillId="4" borderId="6" xfId="0" applyFont="1" applyFill="1" applyBorder="1" applyAlignment="1">
      <alignment horizontal="center" vertical="top" wrapText="1"/>
    </xf>
    <xf numFmtId="0" fontId="2" fillId="0" borderId="0" xfId="0" applyFont="1"/>
    <xf numFmtId="0" fontId="5" fillId="7" borderId="0" xfId="0" applyFont="1" applyFill="1"/>
    <xf numFmtId="0" fontId="5" fillId="0" borderId="0" xfId="0" applyFont="1"/>
    <xf numFmtId="0" fontId="2" fillId="7" borderId="0" xfId="0" applyFont="1" applyFill="1" applyAlignment="1">
      <alignment horizontal="center"/>
    </xf>
    <xf numFmtId="166" fontId="0" fillId="0" borderId="0" xfId="1" applyNumberFormat="1" applyFont="1"/>
    <xf numFmtId="0" fontId="2" fillId="8" borderId="5" xfId="0" applyFont="1" applyFill="1" applyBorder="1" applyAlignment="1">
      <alignment vertical="center"/>
    </xf>
    <xf numFmtId="0" fontId="4" fillId="8" borderId="5" xfId="0" applyFont="1" applyFill="1" applyBorder="1" applyAlignment="1">
      <alignment horizontal="center" vertical="top" wrapText="1"/>
    </xf>
    <xf numFmtId="0" fontId="2" fillId="8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horizontal="center" vertical="top" wrapText="1"/>
    </xf>
    <xf numFmtId="0" fontId="2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top" wrapText="1"/>
    </xf>
    <xf numFmtId="0" fontId="4" fillId="0" borderId="16" xfId="0" applyFont="1" applyBorder="1" applyAlignment="1">
      <alignment vertical="center"/>
    </xf>
    <xf numFmtId="165" fontId="4" fillId="0" borderId="16" xfId="0" applyNumberFormat="1" applyFont="1" applyBorder="1" applyAlignment="1">
      <alignment horizontal="right" vertical="top" wrapText="1"/>
    </xf>
    <xf numFmtId="0" fontId="4" fillId="0" borderId="6" xfId="0" applyFont="1" applyBorder="1" applyAlignment="1">
      <alignment vertical="center"/>
    </xf>
    <xf numFmtId="165" fontId="4" fillId="0" borderId="6" xfId="0" applyNumberFormat="1" applyFont="1" applyBorder="1" applyAlignment="1">
      <alignment horizontal="right" vertical="top" wrapText="1"/>
    </xf>
    <xf numFmtId="165" fontId="2" fillId="3" borderId="1" xfId="0" applyNumberFormat="1" applyFont="1" applyFill="1" applyBorder="1" applyAlignment="1">
      <alignment horizontal="right" vertical="top" wrapText="1"/>
    </xf>
    <xf numFmtId="0" fontId="4" fillId="3" borderId="1" xfId="0" applyFont="1" applyFill="1" applyBorder="1" applyAlignment="1">
      <alignment vertical="center"/>
    </xf>
    <xf numFmtId="165" fontId="4" fillId="3" borderId="1" xfId="0" applyNumberFormat="1" applyFont="1" applyFill="1" applyBorder="1" applyAlignment="1">
      <alignment horizontal="right" vertical="top" wrapText="1"/>
    </xf>
    <xf numFmtId="0" fontId="2" fillId="0" borderId="16" xfId="0" applyFont="1" applyBorder="1" applyAlignment="1">
      <alignment vertical="center"/>
    </xf>
    <xf numFmtId="0" fontId="2" fillId="0" borderId="0" xfId="0" applyFont="1" applyAlignment="1">
      <alignment vertical="center"/>
    </xf>
    <xf numFmtId="164" fontId="4" fillId="0" borderId="6" xfId="1" applyFont="1" applyBorder="1" applyAlignment="1">
      <alignment horizontal="right" vertical="top" wrapText="1"/>
    </xf>
    <xf numFmtId="164" fontId="4" fillId="0" borderId="16" xfId="1" applyFont="1" applyBorder="1" applyAlignment="1">
      <alignment horizontal="right" vertical="top" wrapText="1"/>
    </xf>
    <xf numFmtId="0" fontId="4" fillId="0" borderId="17" xfId="0" applyFont="1" applyBorder="1" applyAlignment="1">
      <alignment vertical="center"/>
    </xf>
    <xf numFmtId="3" fontId="4" fillId="0" borderId="18" xfId="0" applyNumberFormat="1" applyFont="1" applyBorder="1" applyAlignment="1">
      <alignment horizontal="right" vertical="top" wrapText="1"/>
    </xf>
    <xf numFmtId="0" fontId="2" fillId="3" borderId="1" xfId="0" applyFont="1" applyFill="1" applyBorder="1" applyAlignment="1">
      <alignment horizontal="justify" vertical="top" wrapText="1"/>
    </xf>
    <xf numFmtId="3" fontId="2" fillId="3" borderId="1" xfId="0" applyNumberFormat="1" applyFont="1" applyFill="1" applyBorder="1" applyAlignment="1">
      <alignment horizontal="right" vertical="top" wrapText="1"/>
    </xf>
    <xf numFmtId="0" fontId="2" fillId="3" borderId="1" xfId="0" applyFont="1" applyFill="1" applyBorder="1" applyAlignment="1">
      <alignment horizontal="right" vertical="top" wrapText="1"/>
    </xf>
    <xf numFmtId="0" fontId="2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right" vertical="top" wrapText="1"/>
    </xf>
    <xf numFmtId="2" fontId="4" fillId="8" borderId="6" xfId="0" applyNumberFormat="1" applyFont="1" applyFill="1" applyBorder="1" applyAlignment="1">
      <alignment horizontal="center" vertical="top" wrapText="1"/>
    </xf>
    <xf numFmtId="165" fontId="2" fillId="6" borderId="1" xfId="0" applyNumberFormat="1" applyFont="1" applyFill="1" applyBorder="1" applyAlignment="1">
      <alignment horizontal="right" vertical="top" wrapText="1"/>
    </xf>
    <xf numFmtId="0" fontId="4" fillId="7" borderId="9" xfId="0" applyFont="1" applyFill="1" applyBorder="1"/>
    <xf numFmtId="0" fontId="4" fillId="7" borderId="4" xfId="0" applyFont="1" applyFill="1" applyBorder="1"/>
    <xf numFmtId="0" fontId="2" fillId="7" borderId="2" xfId="0" applyFont="1" applyFill="1" applyBorder="1" applyAlignment="1">
      <alignment horizontal="right" vertical="center"/>
    </xf>
    <xf numFmtId="0" fontId="5" fillId="6" borderId="0" xfId="0" applyFont="1" applyFill="1"/>
    <xf numFmtId="0" fontId="0" fillId="6" borderId="0" xfId="0" applyFill="1"/>
    <xf numFmtId="0" fontId="0" fillId="0" borderId="0" xfId="0" applyFont="1"/>
    <xf numFmtId="166" fontId="2" fillId="3" borderId="20" xfId="1" applyNumberFormat="1" applyFont="1" applyFill="1" applyBorder="1" applyAlignment="1">
      <alignment horizontal="right" vertical="top" wrapText="1"/>
    </xf>
    <xf numFmtId="0" fontId="0" fillId="5" borderId="0" xfId="0" applyFill="1" applyAlignment="1">
      <alignment vertical="center"/>
    </xf>
    <xf numFmtId="166" fontId="4" fillId="0" borderId="16" xfId="1" applyNumberFormat="1" applyFont="1" applyBorder="1" applyAlignment="1">
      <alignment horizontal="right" vertical="top" wrapText="1"/>
    </xf>
    <xf numFmtId="166" fontId="4" fillId="0" borderId="0" xfId="1" applyNumberFormat="1" applyFont="1"/>
    <xf numFmtId="166" fontId="3" fillId="4" borderId="5" xfId="1" applyNumberFormat="1" applyFont="1" applyFill="1" applyBorder="1" applyAlignment="1">
      <alignment horizontal="center" vertical="top" wrapText="1"/>
    </xf>
    <xf numFmtId="166" fontId="3" fillId="4" borderId="6" xfId="1" applyNumberFormat="1" applyFont="1" applyFill="1" applyBorder="1" applyAlignment="1">
      <alignment horizontal="center" vertical="top" wrapText="1"/>
    </xf>
    <xf numFmtId="166" fontId="4" fillId="0" borderId="6" xfId="1" applyNumberFormat="1" applyFont="1" applyBorder="1" applyAlignment="1">
      <alignment horizontal="right" vertical="top" wrapText="1"/>
    </xf>
    <xf numFmtId="166" fontId="2" fillId="3" borderId="1" xfId="1" applyNumberFormat="1" applyFont="1" applyFill="1" applyBorder="1" applyAlignment="1">
      <alignment horizontal="right" vertical="top" wrapText="1"/>
    </xf>
    <xf numFmtId="0" fontId="5" fillId="5" borderId="0" xfId="0" applyFont="1" applyFill="1" applyAlignment="1">
      <alignment vertical="center"/>
    </xf>
    <xf numFmtId="0" fontId="6" fillId="4" borderId="9" xfId="0" applyFont="1" applyFill="1" applyBorder="1" applyAlignment="1">
      <alignment vertical="center"/>
    </xf>
    <xf numFmtId="0" fontId="8" fillId="0" borderId="0" xfId="0" applyFont="1"/>
    <xf numFmtId="0" fontId="8" fillId="7" borderId="0" xfId="0" applyFont="1" applyFill="1"/>
    <xf numFmtId="0" fontId="8" fillId="7" borderId="0" xfId="0" applyFont="1" applyFill="1" applyAlignment="1">
      <alignment vertical="center"/>
    </xf>
    <xf numFmtId="0" fontId="7" fillId="7" borderId="0" xfId="0" applyFont="1" applyFill="1"/>
    <xf numFmtId="0" fontId="8" fillId="7" borderId="1" xfId="0" applyFont="1" applyFill="1" applyBorder="1" applyAlignment="1">
      <alignment vertical="center"/>
    </xf>
    <xf numFmtId="164" fontId="8" fillId="7" borderId="1" xfId="1" applyFont="1" applyFill="1" applyBorder="1" applyAlignment="1">
      <alignment horizontal="right" wrapText="1"/>
    </xf>
    <xf numFmtId="165" fontId="7" fillId="6" borderId="1" xfId="0" applyNumberFormat="1" applyFont="1" applyFill="1" applyBorder="1" applyAlignment="1">
      <alignment horizontal="right" wrapText="1"/>
    </xf>
    <xf numFmtId="0" fontId="6" fillId="4" borderId="1" xfId="0" applyFont="1" applyFill="1" applyBorder="1" applyAlignment="1">
      <alignment vertical="top"/>
    </xf>
    <xf numFmtId="0" fontId="0" fillId="7" borderId="0" xfId="0" applyFont="1" applyFill="1"/>
    <xf numFmtId="0" fontId="8" fillId="0" borderId="1" xfId="0" applyFont="1" applyBorder="1" applyAlignment="1">
      <alignment vertical="top"/>
    </xf>
    <xf numFmtId="0" fontId="7" fillId="0" borderId="0" xfId="0" applyFont="1"/>
    <xf numFmtId="0" fontId="6" fillId="4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8" fillId="0" borderId="0" xfId="0" applyFont="1" applyAlignment="1">
      <alignment horizontal="left"/>
    </xf>
    <xf numFmtId="0" fontId="7" fillId="5" borderId="0" xfId="0" applyFont="1" applyFill="1"/>
    <xf numFmtId="0" fontId="8" fillId="5" borderId="0" xfId="0" applyFont="1" applyFill="1"/>
    <xf numFmtId="0" fontId="7" fillId="6" borderId="1" xfId="0" applyFont="1" applyFill="1" applyBorder="1" applyAlignment="1">
      <alignment horizontal="center" vertical="top"/>
    </xf>
    <xf numFmtId="3" fontId="8" fillId="0" borderId="1" xfId="0" applyNumberFormat="1" applyFont="1" applyBorder="1" applyAlignment="1">
      <alignment vertical="top"/>
    </xf>
    <xf numFmtId="0" fontId="8" fillId="6" borderId="1" xfId="0" applyFont="1" applyFill="1" applyBorder="1" applyAlignment="1">
      <alignment horizontal="center" vertical="top"/>
    </xf>
    <xf numFmtId="164" fontId="8" fillId="0" borderId="1" xfId="1" applyFont="1" applyBorder="1" applyAlignment="1">
      <alignment vertical="top"/>
    </xf>
    <xf numFmtId="0" fontId="8" fillId="0" borderId="1" xfId="0" applyFont="1" applyBorder="1" applyAlignment="1">
      <alignment horizontal="left" vertical="top" indent="2"/>
    </xf>
    <xf numFmtId="166" fontId="8" fillId="0" borderId="1" xfId="1" applyNumberFormat="1" applyFont="1" applyBorder="1" applyAlignment="1">
      <alignment vertical="top"/>
    </xf>
    <xf numFmtId="166" fontId="8" fillId="0" borderId="1" xfId="0" applyNumberFormat="1" applyFont="1" applyBorder="1" applyAlignment="1">
      <alignment vertical="top"/>
    </xf>
    <xf numFmtId="166" fontId="7" fillId="6" borderId="1" xfId="0" applyNumberFormat="1" applyFont="1" applyFill="1" applyBorder="1" applyAlignment="1">
      <alignment horizontal="center" vertical="top"/>
    </xf>
    <xf numFmtId="166" fontId="8" fillId="7" borderId="0" xfId="0" applyNumberFormat="1" applyFont="1" applyFill="1"/>
    <xf numFmtId="3" fontId="8" fillId="7" borderId="0" xfId="0" applyNumberFormat="1" applyFont="1" applyFill="1"/>
    <xf numFmtId="165" fontId="8" fillId="7" borderId="8" xfId="0" applyNumberFormat="1" applyFont="1" applyFill="1" applyBorder="1" applyAlignment="1">
      <alignment horizontal="right" wrapText="1"/>
    </xf>
    <xf numFmtId="3" fontId="7" fillId="7" borderId="4" xfId="0" applyNumberFormat="1" applyFont="1" applyFill="1" applyBorder="1"/>
    <xf numFmtId="0" fontId="9" fillId="4" borderId="0" xfId="0" applyFont="1" applyFill="1"/>
    <xf numFmtId="3" fontId="6" fillId="4" borderId="0" xfId="0" applyNumberFormat="1" applyFont="1" applyFill="1" applyAlignment="1">
      <alignment horizontal="center"/>
    </xf>
    <xf numFmtId="0" fontId="10" fillId="0" borderId="0" xfId="0" applyFont="1"/>
    <xf numFmtId="0" fontId="11" fillId="0" borderId="0" xfId="0" applyFont="1"/>
    <xf numFmtId="166" fontId="7" fillId="7" borderId="0" xfId="1" applyNumberFormat="1" applyFont="1" applyFill="1"/>
    <xf numFmtId="0" fontId="2" fillId="0" borderId="5" xfId="0" applyFont="1" applyBorder="1" applyAlignment="1">
      <alignment horizontal="center" vertical="top" wrapText="1"/>
    </xf>
    <xf numFmtId="166" fontId="2" fillId="0" borderId="5" xfId="1" applyNumberFormat="1" applyFont="1" applyBorder="1" applyAlignment="1">
      <alignment horizontal="center" vertical="top" wrapText="1"/>
    </xf>
    <xf numFmtId="166" fontId="4" fillId="0" borderId="18" xfId="1" applyNumberFormat="1" applyFont="1" applyBorder="1" applyAlignment="1">
      <alignment horizontal="right" vertical="top" wrapText="1"/>
    </xf>
    <xf numFmtId="0" fontId="7" fillId="8" borderId="19" xfId="0" applyFont="1" applyFill="1" applyBorder="1" applyAlignment="1">
      <alignment vertical="center"/>
    </xf>
    <xf numFmtId="0" fontId="7" fillId="8" borderId="5" xfId="0" applyFont="1" applyFill="1" applyBorder="1" applyAlignment="1">
      <alignment horizontal="center" vertical="top" wrapText="1"/>
    </xf>
    <xf numFmtId="0" fontId="7" fillId="8" borderId="12" xfId="0" applyFont="1" applyFill="1" applyBorder="1" applyAlignment="1">
      <alignment vertical="center"/>
    </xf>
    <xf numFmtId="0" fontId="7" fillId="8" borderId="6" xfId="0" applyFont="1" applyFill="1" applyBorder="1" applyAlignment="1">
      <alignment horizontal="center" vertical="top" wrapText="1"/>
    </xf>
    <xf numFmtId="0" fontId="7" fillId="9" borderId="19" xfId="0" applyFont="1" applyFill="1" applyBorder="1" applyAlignment="1">
      <alignment vertical="center"/>
    </xf>
    <xf numFmtId="3" fontId="7" fillId="9" borderId="5" xfId="0" applyNumberFormat="1" applyFont="1" applyFill="1" applyBorder="1" applyAlignment="1">
      <alignment horizontal="right" vertical="center" wrapText="1"/>
    </xf>
    <xf numFmtId="0" fontId="8" fillId="7" borderId="13" xfId="0" applyFont="1" applyFill="1" applyBorder="1" applyAlignment="1">
      <alignment vertical="center"/>
    </xf>
    <xf numFmtId="0" fontId="8" fillId="7" borderId="0" xfId="0" applyFont="1" applyFill="1" applyBorder="1" applyAlignment="1">
      <alignment vertical="center"/>
    </xf>
    <xf numFmtId="3" fontId="7" fillId="9" borderId="1" xfId="0" applyNumberFormat="1" applyFont="1" applyFill="1" applyBorder="1" applyAlignment="1">
      <alignment horizontal="right" vertical="top" wrapText="1"/>
    </xf>
    <xf numFmtId="164" fontId="7" fillId="7" borderId="15" xfId="1" applyFont="1" applyFill="1" applyBorder="1" applyAlignment="1">
      <alignment horizontal="right" vertical="top" wrapText="1"/>
    </xf>
    <xf numFmtId="0" fontId="9" fillId="4" borderId="4" xfId="0" applyFont="1" applyFill="1" applyBorder="1" applyAlignment="1">
      <alignment vertical="center"/>
    </xf>
    <xf numFmtId="0" fontId="9" fillId="4" borderId="2" xfId="0" applyFont="1" applyFill="1" applyBorder="1" applyAlignment="1">
      <alignment vertical="center"/>
    </xf>
    <xf numFmtId="165" fontId="8" fillId="7" borderId="1" xfId="0" applyNumberFormat="1" applyFont="1" applyFill="1" applyBorder="1" applyAlignment="1">
      <alignment horizontal="right" vertical="top" wrapText="1"/>
    </xf>
    <xf numFmtId="165" fontId="8" fillId="4" borderId="1" xfId="0" applyNumberFormat="1" applyFont="1" applyFill="1" applyBorder="1" applyAlignment="1">
      <alignment horizontal="right" vertical="top" wrapText="1"/>
    </xf>
    <xf numFmtId="165" fontId="7" fillId="7" borderId="15" xfId="0" applyNumberFormat="1" applyFont="1" applyFill="1" applyBorder="1" applyAlignment="1">
      <alignment horizontal="right" vertical="top" wrapText="1"/>
    </xf>
    <xf numFmtId="0" fontId="8" fillId="7" borderId="9" xfId="0" applyFont="1" applyFill="1" applyBorder="1" applyAlignment="1">
      <alignment vertical="center"/>
    </xf>
    <xf numFmtId="164" fontId="8" fillId="7" borderId="1" xfId="1" applyFont="1" applyFill="1" applyBorder="1" applyAlignment="1">
      <alignment horizontal="right" vertical="top" wrapText="1"/>
    </xf>
    <xf numFmtId="0" fontId="8" fillId="7" borderId="4" xfId="0" applyFont="1" applyFill="1" applyBorder="1" applyAlignment="1">
      <alignment vertical="center"/>
    </xf>
    <xf numFmtId="0" fontId="6" fillId="4" borderId="28" xfId="0" applyFont="1" applyFill="1" applyBorder="1" applyAlignment="1">
      <alignment vertical="center"/>
    </xf>
    <xf numFmtId="165" fontId="8" fillId="4" borderId="5" xfId="0" applyNumberFormat="1" applyFont="1" applyFill="1" applyBorder="1" applyAlignment="1">
      <alignment horizontal="right" vertical="top" wrapText="1"/>
    </xf>
    <xf numFmtId="166" fontId="8" fillId="7" borderId="1" xfId="1" applyNumberFormat="1" applyFont="1" applyFill="1" applyBorder="1" applyAlignment="1">
      <alignment horizontal="right" vertical="top" wrapText="1"/>
    </xf>
    <xf numFmtId="0" fontId="0" fillId="0" borderId="0" xfId="0" applyAlignment="1">
      <alignment horizontal="left"/>
    </xf>
    <xf numFmtId="0" fontId="7" fillId="8" borderId="5" xfId="0" applyFont="1" applyFill="1" applyBorder="1" applyAlignment="1">
      <alignment horizontal="left" vertical="top" wrapText="1"/>
    </xf>
    <xf numFmtId="165" fontId="8" fillId="4" borderId="5" xfId="0" applyNumberFormat="1" applyFont="1" applyFill="1" applyBorder="1" applyAlignment="1">
      <alignment horizontal="left" vertical="top" wrapText="1"/>
    </xf>
    <xf numFmtId="0" fontId="8" fillId="7" borderId="1" xfId="0" applyFont="1" applyFill="1" applyBorder="1" applyAlignment="1">
      <alignment horizontal="left" vertical="top" wrapText="1"/>
    </xf>
    <xf numFmtId="165" fontId="8" fillId="4" borderId="1" xfId="0" applyNumberFormat="1" applyFont="1" applyFill="1" applyBorder="1" applyAlignment="1">
      <alignment horizontal="left" vertical="top" wrapText="1"/>
    </xf>
    <xf numFmtId="0" fontId="9" fillId="4" borderId="4" xfId="0" applyFont="1" applyFill="1" applyBorder="1" applyAlignment="1">
      <alignment horizontal="left" vertical="center"/>
    </xf>
    <xf numFmtId="0" fontId="0" fillId="7" borderId="0" xfId="0" applyFill="1" applyAlignment="1">
      <alignment horizontal="left"/>
    </xf>
    <xf numFmtId="0" fontId="7" fillId="7" borderId="0" xfId="0" applyFont="1" applyFill="1" applyAlignment="1">
      <alignment horizontal="right"/>
    </xf>
    <xf numFmtId="0" fontId="7" fillId="8" borderId="9" xfId="0" applyFont="1" applyFill="1" applyBorder="1" applyAlignment="1">
      <alignment vertical="center"/>
    </xf>
    <xf numFmtId="0" fontId="7" fillId="8" borderId="2" xfId="0" applyFont="1" applyFill="1" applyBorder="1" applyAlignment="1">
      <alignment horizontal="right"/>
    </xf>
    <xf numFmtId="0" fontId="7" fillId="8" borderId="0" xfId="0" applyFont="1" applyFill="1" applyAlignment="1">
      <alignment horizontal="right"/>
    </xf>
    <xf numFmtId="0" fontId="9" fillId="4" borderId="9" xfId="0" applyFont="1" applyFill="1" applyBorder="1" applyAlignment="1">
      <alignment vertical="center"/>
    </xf>
    <xf numFmtId="0" fontId="7" fillId="6" borderId="9" xfId="0" applyFont="1" applyFill="1" applyBorder="1" applyAlignment="1">
      <alignment vertical="center"/>
    </xf>
    <xf numFmtId="0" fontId="7" fillId="6" borderId="4" xfId="0" applyFont="1" applyFill="1" applyBorder="1" applyAlignment="1">
      <alignment vertical="center"/>
    </xf>
    <xf numFmtId="3" fontId="7" fillId="6" borderId="1" xfId="0" applyNumberFormat="1" applyFont="1" applyFill="1" applyBorder="1" applyAlignment="1">
      <alignment horizontal="right" wrapText="1"/>
    </xf>
    <xf numFmtId="0" fontId="7" fillId="6" borderId="1" xfId="0" applyFont="1" applyFill="1" applyBorder="1" applyAlignment="1">
      <alignment horizontal="center"/>
    </xf>
    <xf numFmtId="0" fontId="8" fillId="0" borderId="9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166" fontId="8" fillId="0" borderId="1" xfId="1" applyNumberFormat="1" applyFont="1" applyBorder="1" applyAlignment="1">
      <alignment horizontal="right" wrapText="1"/>
    </xf>
    <xf numFmtId="0" fontId="7" fillId="0" borderId="1" xfId="0" applyFont="1" applyBorder="1" applyAlignment="1">
      <alignment horizontal="center"/>
    </xf>
    <xf numFmtId="0" fontId="12" fillId="7" borderId="1" xfId="0" applyFont="1" applyFill="1" applyBorder="1" applyAlignment="1">
      <alignment horizontal="center"/>
    </xf>
    <xf numFmtId="0" fontId="14" fillId="0" borderId="0" xfId="0" applyFont="1"/>
    <xf numFmtId="0" fontId="9" fillId="4" borderId="10" xfId="0" applyFont="1" applyFill="1" applyBorder="1" applyAlignment="1">
      <alignment vertical="center"/>
    </xf>
    <xf numFmtId="0" fontId="9" fillId="4" borderId="8" xfId="0" applyFont="1" applyFill="1" applyBorder="1" applyAlignment="1">
      <alignment vertical="center"/>
    </xf>
    <xf numFmtId="0" fontId="8" fillId="6" borderId="1" xfId="0" applyFont="1" applyFill="1" applyBorder="1" applyAlignment="1">
      <alignment horizontal="center" vertical="center"/>
    </xf>
    <xf numFmtId="164" fontId="7" fillId="6" borderId="1" xfId="1" applyFont="1" applyFill="1" applyBorder="1" applyAlignment="1">
      <alignment horizontal="right" wrapText="1"/>
    </xf>
    <xf numFmtId="0" fontId="8" fillId="7" borderId="4" xfId="0" applyFont="1" applyFill="1" applyBorder="1" applyAlignment="1">
      <alignment horizontal="right" vertical="center"/>
    </xf>
    <xf numFmtId="0" fontId="8" fillId="7" borderId="1" xfId="0" applyFont="1" applyFill="1" applyBorder="1" applyAlignment="1">
      <alignment horizontal="center" vertical="center"/>
    </xf>
    <xf numFmtId="165" fontId="8" fillId="7" borderId="1" xfId="0" applyNumberFormat="1" applyFont="1" applyFill="1" applyBorder="1" applyAlignment="1">
      <alignment horizontal="right" wrapText="1"/>
    </xf>
    <xf numFmtId="0" fontId="9" fillId="4" borderId="10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7" fillId="7" borderId="0" xfId="0" applyFont="1" applyFill="1" applyAlignment="1">
      <alignment vertical="center"/>
    </xf>
    <xf numFmtId="0" fontId="7" fillId="7" borderId="0" xfId="0" quotePrefix="1" applyFont="1" applyFill="1" applyAlignment="1">
      <alignment horizontal="center"/>
    </xf>
    <xf numFmtId="0" fontId="7" fillId="7" borderId="0" xfId="0" applyFont="1" applyFill="1" applyBorder="1" applyAlignment="1">
      <alignment vertical="center"/>
    </xf>
    <xf numFmtId="3" fontId="8" fillId="7" borderId="0" xfId="0" applyNumberFormat="1" applyFont="1" applyFill="1" applyBorder="1" applyAlignment="1">
      <alignment horizontal="right" vertical="top" wrapText="1"/>
    </xf>
    <xf numFmtId="164" fontId="8" fillId="7" borderId="0" xfId="1" applyFont="1" applyFill="1" applyBorder="1" applyAlignment="1">
      <alignment horizontal="right" vertical="top" wrapText="1"/>
    </xf>
    <xf numFmtId="164" fontId="8" fillId="7" borderId="8" xfId="1" applyFont="1" applyFill="1" applyBorder="1" applyAlignment="1">
      <alignment horizontal="right" vertical="top" wrapText="1"/>
    </xf>
    <xf numFmtId="3" fontId="8" fillId="7" borderId="8" xfId="0" applyNumberFormat="1" applyFont="1" applyFill="1" applyBorder="1" applyAlignment="1">
      <alignment horizontal="right" vertical="top" wrapText="1"/>
    </xf>
    <xf numFmtId="164" fontId="7" fillId="7" borderId="0" xfId="1" applyFont="1" applyFill="1" applyBorder="1" applyAlignment="1">
      <alignment horizontal="right" vertical="top" wrapText="1"/>
    </xf>
    <xf numFmtId="3" fontId="7" fillId="7" borderId="0" xfId="0" applyNumberFormat="1" applyFont="1" applyFill="1" applyBorder="1" applyAlignment="1">
      <alignment horizontal="right" vertical="top" wrapText="1"/>
    </xf>
    <xf numFmtId="164" fontId="7" fillId="7" borderId="4" xfId="1" applyFont="1" applyFill="1" applyBorder="1" applyAlignment="1">
      <alignment horizontal="right" vertical="top" wrapText="1"/>
    </xf>
    <xf numFmtId="3" fontId="7" fillId="7" borderId="4" xfId="0" applyNumberFormat="1" applyFont="1" applyFill="1" applyBorder="1" applyAlignment="1">
      <alignment horizontal="right" vertical="top" wrapText="1"/>
    </xf>
    <xf numFmtId="164" fontId="8" fillId="0" borderId="0" xfId="1" applyFont="1" applyBorder="1" applyAlignment="1">
      <alignment horizontal="right" vertical="top" wrapText="1"/>
    </xf>
    <xf numFmtId="165" fontId="8" fillId="7" borderId="8" xfId="0" applyNumberFormat="1" applyFont="1" applyFill="1" applyBorder="1" applyAlignment="1">
      <alignment horizontal="right" vertical="top" wrapText="1"/>
    </xf>
    <xf numFmtId="164" fontId="7" fillId="7" borderId="8" xfId="1" applyFont="1" applyFill="1" applyBorder="1" applyAlignment="1">
      <alignment horizontal="right" vertical="top" wrapText="1"/>
    </xf>
    <xf numFmtId="3" fontId="7" fillId="7" borderId="8" xfId="0" applyNumberFormat="1" applyFont="1" applyFill="1" applyBorder="1" applyAlignment="1">
      <alignment horizontal="right" vertical="top" wrapText="1"/>
    </xf>
    <xf numFmtId="0" fontId="8" fillId="7" borderId="0" xfId="0" applyFont="1" applyFill="1" applyAlignment="1">
      <alignment horizontal="center"/>
    </xf>
    <xf numFmtId="165" fontId="8" fillId="7" borderId="0" xfId="0" applyNumberFormat="1" applyFont="1" applyFill="1" applyBorder="1" applyAlignment="1">
      <alignment horizontal="right" vertical="top" wrapText="1"/>
    </xf>
    <xf numFmtId="164" fontId="8" fillId="7" borderId="4" xfId="1" applyFont="1" applyFill="1" applyBorder="1" applyAlignment="1">
      <alignment horizontal="right" vertical="top" wrapText="1"/>
    </xf>
    <xf numFmtId="165" fontId="8" fillId="7" borderId="4" xfId="0" applyNumberFormat="1" applyFont="1" applyFill="1" applyBorder="1" applyAlignment="1">
      <alignment horizontal="right" vertical="top" wrapText="1"/>
    </xf>
    <xf numFmtId="164" fontId="8" fillId="7" borderId="0" xfId="1" applyFont="1" applyFill="1"/>
    <xf numFmtId="0" fontId="14" fillId="7" borderId="0" xfId="0" applyFont="1" applyFill="1"/>
    <xf numFmtId="0" fontId="14" fillId="7" borderId="0" xfId="0" applyFont="1" applyFill="1" applyAlignment="1">
      <alignment horizontal="left"/>
    </xf>
    <xf numFmtId="168" fontId="12" fillId="9" borderId="1" xfId="1" applyNumberFormat="1" applyFont="1" applyFill="1" applyBorder="1" applyAlignment="1">
      <alignment horizontal="right" vertical="top" wrapText="1"/>
    </xf>
    <xf numFmtId="0" fontId="13" fillId="7" borderId="0" xfId="0" applyFont="1" applyFill="1"/>
    <xf numFmtId="0" fontId="13" fillId="0" borderId="0" xfId="0" applyFont="1"/>
    <xf numFmtId="0" fontId="8" fillId="7" borderId="0" xfId="0" applyFont="1" applyFill="1" applyBorder="1" applyAlignment="1">
      <alignment horizontal="left" vertical="top" wrapText="1"/>
    </xf>
    <xf numFmtId="166" fontId="7" fillId="7" borderId="0" xfId="1" applyNumberFormat="1" applyFont="1" applyFill="1" applyBorder="1" applyAlignment="1">
      <alignment horizontal="center" vertical="top" wrapText="1"/>
    </xf>
    <xf numFmtId="166" fontId="8" fillId="7" borderId="0" xfId="1" applyNumberFormat="1" applyFont="1" applyFill="1" applyBorder="1" applyAlignment="1">
      <alignment horizontal="right" vertical="top" wrapText="1"/>
    </xf>
    <xf numFmtId="166" fontId="8" fillId="7" borderId="8" xfId="1" applyNumberFormat="1" applyFont="1" applyFill="1" applyBorder="1" applyAlignment="1">
      <alignment horizontal="right" vertical="top" wrapText="1"/>
    </xf>
    <xf numFmtId="166" fontId="7" fillId="7" borderId="0" xfId="1" applyNumberFormat="1" applyFont="1" applyFill="1" applyBorder="1" applyAlignment="1">
      <alignment horizontal="right" vertical="top" wrapText="1"/>
    </xf>
    <xf numFmtId="166" fontId="7" fillId="7" borderId="4" xfId="1" applyNumberFormat="1" applyFont="1" applyFill="1" applyBorder="1" applyAlignment="1">
      <alignment horizontal="right" vertical="top" wrapText="1"/>
    </xf>
    <xf numFmtId="166" fontId="7" fillId="7" borderId="8" xfId="1" applyNumberFormat="1" applyFont="1" applyFill="1" applyBorder="1" applyAlignment="1">
      <alignment horizontal="right" vertical="top" wrapText="1"/>
    </xf>
    <xf numFmtId="0" fontId="13" fillId="10" borderId="0" xfId="0" applyFont="1" applyFill="1"/>
    <xf numFmtId="0" fontId="13" fillId="10" borderId="25" xfId="0" applyFont="1" applyFill="1" applyBorder="1" applyAlignment="1">
      <alignment horizontal="center"/>
    </xf>
    <xf numFmtId="0" fontId="13" fillId="10" borderId="24" xfId="0" applyFont="1" applyFill="1" applyBorder="1" applyAlignment="1">
      <alignment horizontal="center"/>
    </xf>
    <xf numFmtId="0" fontId="12" fillId="7" borderId="19" xfId="0" applyFont="1" applyFill="1" applyBorder="1"/>
    <xf numFmtId="0" fontId="13" fillId="7" borderId="10" xfId="0" applyFont="1" applyFill="1" applyBorder="1"/>
    <xf numFmtId="0" fontId="13" fillId="7" borderId="11" xfId="0" applyFont="1" applyFill="1" applyBorder="1"/>
    <xf numFmtId="0" fontId="12" fillId="7" borderId="13" xfId="0" applyFont="1" applyFill="1" applyBorder="1"/>
    <xf numFmtId="0" fontId="13" fillId="7" borderId="0" xfId="0" applyFont="1" applyFill="1" applyBorder="1"/>
    <xf numFmtId="0" fontId="13" fillId="7" borderId="13" xfId="0" applyFont="1" applyFill="1" applyBorder="1"/>
    <xf numFmtId="0" fontId="13" fillId="7" borderId="8" xfId="0" applyFont="1" applyFill="1" applyBorder="1"/>
    <xf numFmtId="166" fontId="13" fillId="7" borderId="0" xfId="1" applyNumberFormat="1" applyFont="1" applyFill="1" applyBorder="1"/>
    <xf numFmtId="166" fontId="13" fillId="7" borderId="14" xfId="1" applyNumberFormat="1" applyFont="1" applyFill="1" applyBorder="1"/>
    <xf numFmtId="0" fontId="13" fillId="7" borderId="12" xfId="0" applyFont="1" applyFill="1" applyBorder="1"/>
    <xf numFmtId="166" fontId="13" fillId="7" borderId="8" xfId="1" applyNumberFormat="1" applyFont="1" applyFill="1" applyBorder="1"/>
    <xf numFmtId="166" fontId="13" fillId="7" borderId="7" xfId="1" applyNumberFormat="1" applyFont="1" applyFill="1" applyBorder="1"/>
    <xf numFmtId="0" fontId="12" fillId="7" borderId="0" xfId="0" applyFont="1" applyFill="1" applyAlignment="1">
      <alignment horizontal="center"/>
    </xf>
    <xf numFmtId="0" fontId="12" fillId="7" borderId="0" xfId="0" applyFont="1" applyFill="1" applyAlignment="1">
      <alignment horizontal="left"/>
    </xf>
    <xf numFmtId="3" fontId="12" fillId="7" borderId="0" xfId="0" applyNumberFormat="1" applyFont="1" applyFill="1"/>
    <xf numFmtId="166" fontId="13" fillId="7" borderId="0" xfId="0" applyNumberFormat="1" applyFont="1" applyFill="1"/>
    <xf numFmtId="166" fontId="13" fillId="7" borderId="8" xfId="0" applyNumberFormat="1" applyFont="1" applyFill="1" applyBorder="1"/>
    <xf numFmtId="0" fontId="13" fillId="10" borderId="23" xfId="0" applyFont="1" applyFill="1" applyBorder="1" applyAlignment="1">
      <alignment horizontal="center"/>
    </xf>
    <xf numFmtId="0" fontId="12" fillId="6" borderId="0" xfId="0" applyFont="1" applyFill="1"/>
    <xf numFmtId="0" fontId="13" fillId="6" borderId="0" xfId="0" applyFont="1" applyFill="1"/>
    <xf numFmtId="0" fontId="12" fillId="6" borderId="0" xfId="0" applyFont="1" applyFill="1" applyAlignment="1">
      <alignment horizontal="center"/>
    </xf>
    <xf numFmtId="0" fontId="12" fillId="7" borderId="0" xfId="0" applyFont="1" applyFill="1"/>
    <xf numFmtId="166" fontId="12" fillId="7" borderId="0" xfId="1" applyNumberFormat="1" applyFont="1" applyFill="1" applyAlignment="1">
      <alignment horizontal="center"/>
    </xf>
    <xf numFmtId="0" fontId="13" fillId="7" borderId="0" xfId="0" applyFont="1" applyFill="1" applyAlignment="1">
      <alignment horizontal="left"/>
    </xf>
    <xf numFmtId="166" fontId="13" fillId="7" borderId="8" xfId="1" applyNumberFormat="1" applyFont="1" applyFill="1" applyBorder="1" applyAlignment="1">
      <alignment horizontal="center"/>
    </xf>
    <xf numFmtId="166" fontId="12" fillId="7" borderId="8" xfId="1" applyNumberFormat="1" applyFont="1" applyFill="1" applyBorder="1"/>
    <xf numFmtId="166" fontId="13" fillId="7" borderId="0" xfId="1" applyNumberFormat="1" applyFont="1" applyFill="1" applyBorder="1" applyAlignment="1">
      <alignment horizontal="center"/>
    </xf>
    <xf numFmtId="166" fontId="13" fillId="7" borderId="4" xfId="1" applyNumberFormat="1" applyFont="1" applyFill="1" applyBorder="1"/>
    <xf numFmtId="166" fontId="13" fillId="7" borderId="4" xfId="1" applyNumberFormat="1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top"/>
    </xf>
    <xf numFmtId="0" fontId="6" fillId="4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right" wrapText="1"/>
    </xf>
    <xf numFmtId="164" fontId="7" fillId="0" borderId="1" xfId="1" applyFont="1" applyFill="1" applyBorder="1" applyAlignment="1">
      <alignment horizontal="right" wrapText="1"/>
    </xf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horizontal="left"/>
    </xf>
    <xf numFmtId="165" fontId="8" fillId="0" borderId="0" xfId="0" applyNumberFormat="1" applyFont="1"/>
    <xf numFmtId="168" fontId="0" fillId="0" borderId="0" xfId="1" applyNumberFormat="1" applyFont="1"/>
    <xf numFmtId="0" fontId="4" fillId="0" borderId="29" xfId="0" applyFont="1" applyBorder="1" applyAlignment="1">
      <alignment vertical="center"/>
    </xf>
    <xf numFmtId="0" fontId="8" fillId="7" borderId="19" xfId="0" applyFont="1" applyFill="1" applyBorder="1" applyAlignment="1">
      <alignment vertical="center"/>
    </xf>
    <xf numFmtId="0" fontId="7" fillId="7" borderId="11" xfId="0" applyFont="1" applyFill="1" applyBorder="1" applyAlignment="1">
      <alignment horizontal="right"/>
    </xf>
    <xf numFmtId="165" fontId="7" fillId="8" borderId="1" xfId="0" applyNumberFormat="1" applyFont="1" applyFill="1" applyBorder="1" applyAlignment="1">
      <alignment horizontal="right" vertical="top" wrapText="1"/>
    </xf>
    <xf numFmtId="0" fontId="13" fillId="8" borderId="0" xfId="0" applyFont="1" applyFill="1"/>
    <xf numFmtId="0" fontId="12" fillId="8" borderId="0" xfId="0" applyFont="1" applyFill="1" applyAlignment="1">
      <alignment horizontal="center"/>
    </xf>
    <xf numFmtId="0" fontId="12" fillId="8" borderId="0" xfId="0" applyFont="1" applyFill="1" applyAlignment="1">
      <alignment horizontal="left"/>
    </xf>
    <xf numFmtId="166" fontId="12" fillId="8" borderId="8" xfId="0" applyNumberFormat="1" applyFont="1" applyFill="1" applyBorder="1"/>
    <xf numFmtId="166" fontId="13" fillId="8" borderId="8" xfId="0" applyNumberFormat="1" applyFont="1" applyFill="1" applyBorder="1"/>
    <xf numFmtId="166" fontId="7" fillId="7" borderId="4" xfId="1" applyNumberFormat="1" applyFont="1" applyFill="1" applyBorder="1" applyAlignment="1">
      <alignment horizontal="center" vertical="top" wrapText="1"/>
    </xf>
    <xf numFmtId="166" fontId="2" fillId="3" borderId="30" xfId="1" applyNumberFormat="1" applyFont="1" applyFill="1" applyBorder="1" applyAlignment="1">
      <alignment horizontal="right" vertical="top" wrapText="1"/>
    </xf>
    <xf numFmtId="0" fontId="0" fillId="7" borderId="2" xfId="0" applyFill="1" applyBorder="1"/>
    <xf numFmtId="0" fontId="8" fillId="7" borderId="9" xfId="0" applyFont="1" applyFill="1" applyBorder="1" applyAlignment="1">
      <alignment horizontal="left" vertical="center"/>
    </xf>
    <xf numFmtId="166" fontId="12" fillId="0" borderId="8" xfId="1" applyNumberFormat="1" applyFont="1" applyBorder="1"/>
    <xf numFmtId="166" fontId="12" fillId="0" borderId="7" xfId="1" applyNumberFormat="1" applyFont="1" applyBorder="1"/>
    <xf numFmtId="166" fontId="12" fillId="0" borderId="9" xfId="1" applyNumberFormat="1" applyFont="1" applyBorder="1" applyAlignment="1">
      <alignment horizontal="center"/>
    </xf>
    <xf numFmtId="166" fontId="12" fillId="0" borderId="1" xfId="1" applyNumberFormat="1" applyFont="1" applyBorder="1" applyAlignment="1">
      <alignment horizontal="center"/>
    </xf>
    <xf numFmtId="166" fontId="12" fillId="0" borderId="4" xfId="1" applyNumberFormat="1" applyFont="1" applyBorder="1" applyAlignment="1">
      <alignment horizontal="center"/>
    </xf>
    <xf numFmtId="166" fontId="12" fillId="8" borderId="1" xfId="1" applyNumberFormat="1" applyFont="1" applyFill="1" applyBorder="1" applyAlignment="1">
      <alignment horizontal="center"/>
    </xf>
    <xf numFmtId="166" fontId="12" fillId="7" borderId="1" xfId="1" applyNumberFormat="1" applyFont="1" applyFill="1" applyBorder="1" applyAlignment="1">
      <alignment horizontal="center"/>
    </xf>
    <xf numFmtId="0" fontId="13" fillId="0" borderId="0" xfId="0" applyFont="1" applyFill="1"/>
    <xf numFmtId="0" fontId="18" fillId="4" borderId="9" xfId="0" applyFont="1" applyFill="1" applyBorder="1" applyAlignment="1">
      <alignment vertical="center"/>
    </xf>
    <xf numFmtId="0" fontId="18" fillId="4" borderId="3" xfId="0" applyFont="1" applyFill="1" applyBorder="1" applyAlignment="1">
      <alignment horizontal="center" wrapText="1"/>
    </xf>
    <xf numFmtId="0" fontId="18" fillId="4" borderId="2" xfId="0" applyFont="1" applyFill="1" applyBorder="1" applyAlignment="1">
      <alignment horizontal="center" wrapText="1"/>
    </xf>
    <xf numFmtId="0" fontId="12" fillId="0" borderId="1" xfId="0" applyFont="1" applyBorder="1" applyAlignment="1">
      <alignment vertical="center"/>
    </xf>
    <xf numFmtId="0" fontId="13" fillId="0" borderId="2" xfId="0" applyFont="1" applyBorder="1" applyAlignment="1">
      <alignment horizontal="right" vertical="top" wrapText="1"/>
    </xf>
    <xf numFmtId="0" fontId="13" fillId="2" borderId="1" xfId="0" applyFont="1" applyFill="1" applyBorder="1" applyAlignment="1">
      <alignment horizontal="right" wrapText="1"/>
    </xf>
    <xf numFmtId="0" fontId="13" fillId="0" borderId="1" xfId="0" applyFont="1" applyBorder="1" applyAlignment="1">
      <alignment horizontal="right" wrapText="1"/>
    </xf>
    <xf numFmtId="0" fontId="13" fillId="0" borderId="1" xfId="0" applyFont="1" applyBorder="1" applyAlignment="1">
      <alignment vertical="center"/>
    </xf>
    <xf numFmtId="0" fontId="12" fillId="0" borderId="2" xfId="0" applyFont="1" applyBorder="1" applyAlignment="1">
      <alignment horizontal="left" vertical="top" wrapText="1"/>
    </xf>
    <xf numFmtId="3" fontId="13" fillId="0" borderId="1" xfId="0" applyNumberFormat="1" applyFont="1" applyBorder="1" applyAlignment="1">
      <alignment horizontal="right" wrapText="1"/>
    </xf>
    <xf numFmtId="0" fontId="12" fillId="12" borderId="1" xfId="0" applyFont="1" applyFill="1" applyBorder="1" applyAlignment="1">
      <alignment vertical="center"/>
    </xf>
    <xf numFmtId="0" fontId="12" fillId="12" borderId="2" xfId="0" applyFont="1" applyFill="1" applyBorder="1" applyAlignment="1">
      <alignment horizontal="left" vertical="top" wrapText="1"/>
    </xf>
    <xf numFmtId="0" fontId="12" fillId="12" borderId="1" xfId="0" applyFont="1" applyFill="1" applyBorder="1" applyAlignment="1">
      <alignment horizontal="left" wrapText="1"/>
    </xf>
    <xf numFmtId="3" fontId="12" fillId="12" borderId="1" xfId="0" applyNumberFormat="1" applyFont="1" applyFill="1" applyBorder="1" applyAlignment="1">
      <alignment horizontal="right" wrapText="1"/>
    </xf>
    <xf numFmtId="0" fontId="12" fillId="12" borderId="1" xfId="0" applyFont="1" applyFill="1" applyBorder="1" applyAlignment="1">
      <alignment wrapText="1"/>
    </xf>
    <xf numFmtId="0" fontId="12" fillId="2" borderId="1" xfId="0" applyFont="1" applyFill="1" applyBorder="1" applyAlignment="1">
      <alignment horizontal="right" wrapText="1"/>
    </xf>
    <xf numFmtId="0" fontId="12" fillId="0" borderId="1" xfId="0" applyFont="1" applyBorder="1" applyAlignment="1">
      <alignment horizontal="right" wrapText="1"/>
    </xf>
    <xf numFmtId="0" fontId="12" fillId="12" borderId="2" xfId="0" applyFont="1" applyFill="1" applyBorder="1" applyAlignment="1">
      <alignment horizontal="right" vertical="top" wrapText="1"/>
    </xf>
    <xf numFmtId="0" fontId="12" fillId="2" borderId="1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2" borderId="1" xfId="0" applyFont="1" applyFill="1" applyBorder="1" applyAlignment="1">
      <alignment horizontal="center" wrapText="1"/>
    </xf>
    <xf numFmtId="0" fontId="12" fillId="12" borderId="2" xfId="0" applyFont="1" applyFill="1" applyBorder="1" applyAlignment="1">
      <alignment vertical="top" wrapText="1"/>
    </xf>
    <xf numFmtId="0" fontId="12" fillId="12" borderId="1" xfId="0" applyFont="1" applyFill="1" applyBorder="1" applyAlignment="1">
      <alignment vertical="top" wrapText="1"/>
    </xf>
    <xf numFmtId="0" fontId="13" fillId="0" borderId="2" xfId="0" applyFont="1" applyBorder="1"/>
    <xf numFmtId="0" fontId="13" fillId="0" borderId="1" xfId="0" applyFont="1" applyBorder="1"/>
    <xf numFmtId="0" fontId="13" fillId="0" borderId="0" xfId="0" applyFont="1" applyAlignment="1">
      <alignment vertical="center"/>
    </xf>
    <xf numFmtId="3" fontId="12" fillId="7" borderId="5" xfId="0" applyNumberFormat="1" applyFont="1" applyFill="1" applyBorder="1" applyAlignment="1">
      <alignment horizontal="center" wrapText="1"/>
    </xf>
    <xf numFmtId="0" fontId="13" fillId="0" borderId="0" xfId="0" applyFont="1" applyFill="1" applyAlignment="1">
      <alignment vertical="center"/>
    </xf>
    <xf numFmtId="3" fontId="12" fillId="7" borderId="15" xfId="0" applyNumberFormat="1" applyFont="1" applyFill="1" applyBorder="1" applyAlignment="1">
      <alignment horizontal="center" wrapText="1"/>
    </xf>
    <xf numFmtId="3" fontId="12" fillId="7" borderId="6" xfId="0" applyNumberFormat="1" applyFont="1" applyFill="1" applyBorder="1" applyAlignment="1">
      <alignment horizontal="center" wrapText="1"/>
    </xf>
    <xf numFmtId="0" fontId="13" fillId="7" borderId="1" xfId="0" applyFont="1" applyFill="1" applyBorder="1" applyAlignment="1">
      <alignment vertical="center"/>
    </xf>
    <xf numFmtId="0" fontId="13" fillId="7" borderId="1" xfId="0" applyFont="1" applyFill="1" applyBorder="1" applyAlignment="1"/>
    <xf numFmtId="0" fontId="13" fillId="7" borderId="2" xfId="0" applyFont="1" applyFill="1" applyBorder="1" applyAlignment="1">
      <alignment vertical="center"/>
    </xf>
    <xf numFmtId="3" fontId="13" fillId="7" borderId="1" xfId="0" applyNumberFormat="1" applyFont="1" applyFill="1" applyBorder="1" applyAlignment="1">
      <alignment horizontal="right" wrapText="1"/>
    </xf>
    <xf numFmtId="164" fontId="13" fillId="7" borderId="1" xfId="1" applyFont="1" applyFill="1" applyBorder="1" applyAlignment="1">
      <alignment horizontal="right" wrapText="1"/>
    </xf>
    <xf numFmtId="0" fontId="13" fillId="11" borderId="1" xfId="0" applyFont="1" applyFill="1" applyBorder="1" applyAlignment="1">
      <alignment vertical="center"/>
    </xf>
    <xf numFmtId="0" fontId="12" fillId="7" borderId="2" xfId="0" applyFont="1" applyFill="1" applyBorder="1" applyAlignment="1">
      <alignment horizontal="center" vertical="top" wrapText="1"/>
    </xf>
    <xf numFmtId="3" fontId="13" fillId="11" borderId="1" xfId="0" applyNumberFormat="1" applyFont="1" applyFill="1" applyBorder="1" applyAlignment="1">
      <alignment horizontal="right" wrapText="1"/>
    </xf>
    <xf numFmtId="0" fontId="18" fillId="4" borderId="5" xfId="0" applyNumberFormat="1" applyFont="1" applyFill="1" applyBorder="1" applyAlignment="1">
      <alignment horizontal="center" wrapText="1"/>
    </xf>
    <xf numFmtId="3" fontId="18" fillId="4" borderId="6" xfId="0" applyNumberFormat="1" applyFont="1" applyFill="1" applyBorder="1" applyAlignment="1">
      <alignment horizontal="center" wrapText="1"/>
    </xf>
    <xf numFmtId="165" fontId="13" fillId="0" borderId="1" xfId="0" applyNumberFormat="1" applyFont="1" applyBorder="1" applyAlignment="1">
      <alignment horizontal="right" wrapText="1"/>
    </xf>
    <xf numFmtId="165" fontId="13" fillId="11" borderId="1" xfId="0" applyNumberFormat="1" applyFont="1" applyFill="1" applyBorder="1" applyAlignment="1">
      <alignment horizontal="right" wrapText="1"/>
    </xf>
    <xf numFmtId="0" fontId="12" fillId="6" borderId="1" xfId="0" applyFont="1" applyFill="1" applyBorder="1" applyAlignment="1">
      <alignment vertical="center"/>
    </xf>
    <xf numFmtId="165" fontId="12" fillId="6" borderId="1" xfId="0" applyNumberFormat="1" applyFont="1" applyFill="1" applyBorder="1" applyAlignment="1">
      <alignment horizontal="right" wrapText="1"/>
    </xf>
    <xf numFmtId="165" fontId="12" fillId="11" borderId="1" xfId="0" applyNumberFormat="1" applyFont="1" applyFill="1" applyBorder="1" applyAlignment="1">
      <alignment horizontal="right" wrapText="1"/>
    </xf>
    <xf numFmtId="165" fontId="12" fillId="0" borderId="1" xfId="0" quotePrefix="1" applyNumberFormat="1" applyFont="1" applyBorder="1" applyAlignment="1">
      <alignment horizontal="center" wrapText="1"/>
    </xf>
    <xf numFmtId="0" fontId="12" fillId="7" borderId="1" xfId="0" applyFont="1" applyFill="1" applyBorder="1" applyAlignment="1">
      <alignment vertical="center"/>
    </xf>
    <xf numFmtId="0" fontId="13" fillId="0" borderId="4" xfId="0" applyFont="1" applyBorder="1"/>
    <xf numFmtId="0" fontId="13" fillId="7" borderId="4" xfId="0" applyFont="1" applyFill="1" applyBorder="1"/>
    <xf numFmtId="0" fontId="13" fillId="7" borderId="2" xfId="0" applyFont="1" applyFill="1" applyBorder="1"/>
    <xf numFmtId="165" fontId="12" fillId="0" borderId="1" xfId="0" applyNumberFormat="1" applyFont="1" applyBorder="1" applyAlignment="1">
      <alignment horizontal="right" wrapText="1"/>
    </xf>
    <xf numFmtId="0" fontId="18" fillId="4" borderId="1" xfId="0" applyFont="1" applyFill="1" applyBorder="1" applyAlignment="1">
      <alignment vertical="center"/>
    </xf>
    <xf numFmtId="0" fontId="18" fillId="4" borderId="5" xfId="0" applyFont="1" applyFill="1" applyBorder="1" applyAlignment="1">
      <alignment horizontal="center" vertical="top" wrapText="1"/>
    </xf>
    <xf numFmtId="0" fontId="18" fillId="4" borderId="6" xfId="0" applyFont="1" applyFill="1" applyBorder="1" applyAlignment="1">
      <alignment horizontal="center" vertical="top" wrapText="1"/>
    </xf>
    <xf numFmtId="3" fontId="12" fillId="6" borderId="1" xfId="0" applyNumberFormat="1" applyFont="1" applyFill="1" applyBorder="1" applyAlignment="1">
      <alignment horizontal="right" vertical="top" wrapText="1"/>
    </xf>
    <xf numFmtId="0" fontId="13" fillId="7" borderId="1" xfId="0" applyFont="1" applyFill="1" applyBorder="1" applyAlignment="1">
      <alignment horizontal="center"/>
    </xf>
    <xf numFmtId="3" fontId="13" fillId="7" borderId="1" xfId="0" applyNumberFormat="1" applyFont="1" applyFill="1" applyBorder="1" applyAlignment="1">
      <alignment horizontal="right" vertical="top" wrapText="1"/>
    </xf>
    <xf numFmtId="0" fontId="19" fillId="4" borderId="1" xfId="0" applyFont="1" applyFill="1" applyBorder="1" applyAlignment="1">
      <alignment vertical="center"/>
    </xf>
    <xf numFmtId="14" fontId="18" fillId="4" borderId="1" xfId="0" applyNumberFormat="1" applyFont="1" applyFill="1" applyBorder="1" applyAlignment="1">
      <alignment horizontal="center" vertical="top" wrapText="1"/>
    </xf>
    <xf numFmtId="0" fontId="18" fillId="4" borderId="1" xfId="0" applyFont="1" applyFill="1" applyBorder="1" applyAlignment="1">
      <alignment horizontal="left" vertical="top" wrapText="1"/>
    </xf>
    <xf numFmtId="0" fontId="18" fillId="4" borderId="1" xfId="0" applyFont="1" applyFill="1" applyBorder="1" applyAlignment="1">
      <alignment horizontal="center" vertical="top" wrapText="1"/>
    </xf>
    <xf numFmtId="0" fontId="13" fillId="7" borderId="1" xfId="0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horizontal="right" vertical="center"/>
    </xf>
    <xf numFmtId="165" fontId="13" fillId="7" borderId="1" xfId="0" applyNumberFormat="1" applyFont="1" applyFill="1" applyBorder="1" applyAlignment="1">
      <alignment horizontal="right" vertical="center"/>
    </xf>
    <xf numFmtId="0" fontId="12" fillId="6" borderId="1" xfId="0" applyFont="1" applyFill="1" applyBorder="1" applyAlignment="1">
      <alignment vertical="center" wrapText="1"/>
    </xf>
    <xf numFmtId="3" fontId="12" fillId="6" borderId="1" xfId="0" applyNumberFormat="1" applyFont="1" applyFill="1" applyBorder="1" applyAlignment="1">
      <alignment horizontal="right" vertical="center"/>
    </xf>
    <xf numFmtId="164" fontId="13" fillId="7" borderId="1" xfId="1" applyFont="1" applyFill="1" applyBorder="1" applyAlignment="1">
      <alignment horizontal="right" vertical="center"/>
    </xf>
    <xf numFmtId="164" fontId="12" fillId="6" borderId="1" xfId="1" applyFont="1" applyFill="1" applyBorder="1" applyAlignment="1">
      <alignment horizontal="right" vertical="center"/>
    </xf>
    <xf numFmtId="0" fontId="12" fillId="0" borderId="0" xfId="0" applyFont="1" applyFill="1"/>
    <xf numFmtId="0" fontId="12" fillId="0" borderId="0" xfId="0" applyFont="1"/>
    <xf numFmtId="0" fontId="18" fillId="4" borderId="1" xfId="0" applyFont="1" applyFill="1" applyBorder="1" applyAlignment="1">
      <alignment vertical="top"/>
    </xf>
    <xf numFmtId="14" fontId="18" fillId="4" borderId="6" xfId="0" applyNumberFormat="1" applyFont="1" applyFill="1" applyBorder="1" applyAlignment="1">
      <alignment horizontal="center" vertical="top"/>
    </xf>
    <xf numFmtId="0" fontId="18" fillId="4" borderId="1" xfId="0" applyFont="1" applyFill="1" applyBorder="1" applyAlignment="1">
      <alignment horizontal="center" vertical="top"/>
    </xf>
    <xf numFmtId="0" fontId="12" fillId="0" borderId="13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3" fillId="0" borderId="1" xfId="0" applyFont="1" applyBorder="1" applyAlignment="1"/>
    <xf numFmtId="0" fontId="13" fillId="0" borderId="1" xfId="0" applyFont="1" applyBorder="1" applyAlignment="1">
      <alignment vertical="top"/>
    </xf>
    <xf numFmtId="0" fontId="12" fillId="7" borderId="15" xfId="0" applyFont="1" applyFill="1" applyBorder="1"/>
    <xf numFmtId="0" fontId="13" fillId="0" borderId="1" xfId="0" applyFont="1" applyBorder="1" applyAlignment="1">
      <alignment horizontal="left" indent="2"/>
    </xf>
    <xf numFmtId="3" fontId="13" fillId="0" borderId="1" xfId="0" applyNumberFormat="1" applyFont="1" applyBorder="1" applyAlignment="1"/>
    <xf numFmtId="166" fontId="13" fillId="0" borderId="1" xfId="1" applyNumberFormat="1" applyFont="1" applyBorder="1" applyAlignment="1"/>
    <xf numFmtId="166" fontId="13" fillId="7" borderId="1" xfId="1" applyNumberFormat="1" applyFont="1" applyFill="1" applyBorder="1" applyAlignment="1">
      <alignment horizontal="right" vertical="center"/>
    </xf>
    <xf numFmtId="0" fontId="12" fillId="12" borderId="1" xfId="0" applyFont="1" applyFill="1" applyBorder="1" applyAlignment="1"/>
    <xf numFmtId="0" fontId="13" fillId="12" borderId="0" xfId="0" applyFont="1" applyFill="1"/>
    <xf numFmtId="3" fontId="12" fillId="12" borderId="1" xfId="0" applyNumberFormat="1" applyFont="1" applyFill="1" applyBorder="1" applyAlignment="1"/>
    <xf numFmtId="166" fontId="12" fillId="12" borderId="1" xfId="1" applyNumberFormat="1" applyFont="1" applyFill="1" applyBorder="1" applyAlignment="1">
      <alignment horizontal="right" vertical="center"/>
    </xf>
    <xf numFmtId="0" fontId="12" fillId="0" borderId="14" xfId="0" applyFont="1" applyBorder="1" applyAlignment="1">
      <alignment horizontal="left"/>
    </xf>
    <xf numFmtId="165" fontId="13" fillId="7" borderId="1" xfId="0" applyNumberFormat="1" applyFont="1" applyFill="1" applyBorder="1" applyAlignment="1"/>
    <xf numFmtId="165" fontId="12" fillId="12" borderId="1" xfId="0" applyNumberFormat="1" applyFont="1" applyFill="1" applyBorder="1" applyAlignment="1"/>
    <xf numFmtId="0" fontId="12" fillId="7" borderId="6" xfId="0" applyFont="1" applyFill="1" applyBorder="1"/>
    <xf numFmtId="166" fontId="13" fillId="0" borderId="0" xfId="1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/>
    <xf numFmtId="3" fontId="12" fillId="7" borderId="0" xfId="0" applyNumberFormat="1" applyFont="1" applyFill="1" applyBorder="1" applyAlignment="1"/>
    <xf numFmtId="0" fontId="13" fillId="0" borderId="0" xfId="0" applyFont="1" applyFill="1" applyBorder="1" applyAlignment="1"/>
    <xf numFmtId="0" fontId="13" fillId="7" borderId="9" xfId="0" applyFont="1" applyFill="1" applyBorder="1" applyAlignment="1"/>
    <xf numFmtId="3" fontId="13" fillId="7" borderId="2" xfId="0" applyNumberFormat="1" applyFont="1" applyFill="1" applyBorder="1" applyAlignment="1"/>
    <xf numFmtId="3" fontId="13" fillId="7" borderId="1" xfId="0" applyNumberFormat="1" applyFont="1" applyFill="1" applyBorder="1" applyAlignment="1"/>
    <xf numFmtId="0" fontId="12" fillId="12" borderId="12" xfId="0" applyFont="1" applyFill="1" applyBorder="1" applyAlignment="1"/>
    <xf numFmtId="3" fontId="12" fillId="12" borderId="7" xfId="0" applyNumberFormat="1" applyFont="1" applyFill="1" applyBorder="1" applyAlignment="1"/>
    <xf numFmtId="3" fontId="12" fillId="0" borderId="0" xfId="0" applyNumberFormat="1" applyFont="1" applyFill="1" applyBorder="1" applyAlignment="1"/>
    <xf numFmtId="3" fontId="12" fillId="7" borderId="1" xfId="0" quotePrefix="1" applyNumberFormat="1" applyFont="1" applyFill="1" applyBorder="1" applyAlignment="1">
      <alignment horizontal="center"/>
    </xf>
    <xf numFmtId="0" fontId="18" fillId="4" borderId="1" xfId="0" applyFont="1" applyFill="1" applyBorder="1" applyAlignment="1"/>
    <xf numFmtId="0" fontId="13" fillId="0" borderId="0" xfId="0" applyFont="1" applyAlignment="1"/>
    <xf numFmtId="0" fontId="12" fillId="6" borderId="1" xfId="0" applyFont="1" applyFill="1" applyBorder="1" applyAlignment="1"/>
    <xf numFmtId="3" fontId="12" fillId="6" borderId="1" xfId="0" applyNumberFormat="1" applyFont="1" applyFill="1" applyBorder="1" applyAlignment="1"/>
    <xf numFmtId="0" fontId="18" fillId="4" borderId="10" xfId="0" applyFont="1" applyFill="1" applyBorder="1" applyAlignment="1">
      <alignment horizontal="center" vertical="top" wrapText="1"/>
    </xf>
    <xf numFmtId="0" fontId="18" fillId="4" borderId="11" xfId="0" applyFont="1" applyFill="1" applyBorder="1" applyAlignment="1">
      <alignment horizontal="center" vertical="top" wrapText="1"/>
    </xf>
    <xf numFmtId="0" fontId="18" fillId="4" borderId="8" xfId="0" applyFont="1" applyFill="1" applyBorder="1" applyAlignment="1">
      <alignment horizontal="center" vertical="top" wrapText="1"/>
    </xf>
    <xf numFmtId="0" fontId="18" fillId="4" borderId="7" xfId="0" applyFont="1" applyFill="1" applyBorder="1" applyAlignment="1">
      <alignment horizontal="center" vertical="top" wrapText="1"/>
    </xf>
    <xf numFmtId="0" fontId="13" fillId="7" borderId="1" xfId="0" applyFont="1" applyFill="1" applyBorder="1" applyAlignment="1">
      <alignment horizontal="center" vertical="top" wrapText="1"/>
    </xf>
    <xf numFmtId="165" fontId="13" fillId="7" borderId="1" xfId="0" applyNumberFormat="1" applyFont="1" applyFill="1" applyBorder="1" applyAlignment="1">
      <alignment horizontal="right"/>
    </xf>
    <xf numFmtId="166" fontId="13" fillId="7" borderId="1" xfId="1" applyNumberFormat="1" applyFont="1" applyFill="1" applyBorder="1" applyAlignment="1">
      <alignment horizontal="right"/>
    </xf>
    <xf numFmtId="165" fontId="12" fillId="6" borderId="1" xfId="0" applyNumberFormat="1" applyFont="1" applyFill="1" applyBorder="1" applyAlignment="1">
      <alignment horizontal="right"/>
    </xf>
    <xf numFmtId="167" fontId="12" fillId="6" borderId="1" xfId="2" applyNumberFormat="1" applyFont="1" applyFill="1" applyBorder="1" applyAlignment="1">
      <alignment horizontal="right"/>
    </xf>
    <xf numFmtId="0" fontId="18" fillId="4" borderId="0" xfId="0" applyFont="1" applyFill="1" applyAlignment="1">
      <alignment horizontal="center"/>
    </xf>
    <xf numFmtId="0" fontId="18" fillId="4" borderId="0" xfId="0" applyFont="1" applyFill="1" applyAlignment="1">
      <alignment horizontal="center" wrapText="1"/>
    </xf>
    <xf numFmtId="0" fontId="18" fillId="4" borderId="6" xfId="0" applyFont="1" applyFill="1" applyBorder="1" applyAlignment="1">
      <alignment horizontal="center" wrapText="1"/>
    </xf>
    <xf numFmtId="166" fontId="13" fillId="8" borderId="1" xfId="1" applyNumberFormat="1" applyFont="1" applyFill="1" applyBorder="1" applyAlignment="1">
      <alignment horizontal="right"/>
    </xf>
    <xf numFmtId="165" fontId="13" fillId="8" borderId="1" xfId="0" applyNumberFormat="1" applyFont="1" applyFill="1" applyBorder="1" applyAlignment="1">
      <alignment horizontal="right"/>
    </xf>
    <xf numFmtId="0" fontId="12" fillId="7" borderId="5" xfId="0" applyFont="1" applyFill="1" applyBorder="1"/>
    <xf numFmtId="0" fontId="13" fillId="7" borderId="15" xfId="0" applyFont="1" applyFill="1" applyBorder="1"/>
    <xf numFmtId="0" fontId="13" fillId="7" borderId="6" xfId="0" applyFont="1" applyFill="1" applyBorder="1"/>
    <xf numFmtId="165" fontId="12" fillId="0" borderId="1" xfId="0" applyNumberFormat="1" applyFont="1" applyFill="1" applyBorder="1" applyAlignment="1">
      <alignment horizontal="right"/>
    </xf>
    <xf numFmtId="0" fontId="12" fillId="0" borderId="0" xfId="0" applyFont="1" applyFill="1" applyAlignment="1">
      <alignment horizontal="center"/>
    </xf>
    <xf numFmtId="0" fontId="13" fillId="7" borderId="9" xfId="0" applyFont="1" applyFill="1" applyBorder="1" applyAlignment="1">
      <alignment vertical="center" wrapText="1"/>
    </xf>
    <xf numFmtId="0" fontId="12" fillId="8" borderId="9" xfId="0" applyFont="1" applyFill="1" applyBorder="1" applyAlignment="1">
      <alignment vertical="center" wrapText="1"/>
    </xf>
    <xf numFmtId="0" fontId="13" fillId="8" borderId="4" xfId="0" applyFont="1" applyFill="1" applyBorder="1"/>
    <xf numFmtId="0" fontId="13" fillId="8" borderId="2" xfId="0" applyFont="1" applyFill="1" applyBorder="1"/>
    <xf numFmtId="3" fontId="12" fillId="8" borderId="2" xfId="0" applyNumberFormat="1" applyFont="1" applyFill="1" applyBorder="1" applyAlignment="1">
      <alignment horizontal="right" vertical="center"/>
    </xf>
    <xf numFmtId="0" fontId="13" fillId="13" borderId="0" xfId="0" applyFont="1" applyFill="1"/>
    <xf numFmtId="0" fontId="18" fillId="13" borderId="0" xfId="0" applyFont="1" applyFill="1"/>
    <xf numFmtId="0" fontId="19" fillId="13" borderId="0" xfId="0" applyFont="1" applyFill="1"/>
    <xf numFmtId="0" fontId="19" fillId="13" borderId="0" xfId="0" applyFont="1" applyFill="1" applyAlignment="1">
      <alignment vertical="center"/>
    </xf>
    <xf numFmtId="0" fontId="13" fillId="13" borderId="0" xfId="0" applyFont="1" applyFill="1" applyAlignment="1">
      <alignment vertical="center"/>
    </xf>
    <xf numFmtId="0" fontId="19" fillId="13" borderId="0" xfId="0" applyFont="1" applyFill="1" applyAlignment="1">
      <alignment horizontal="left"/>
    </xf>
    <xf numFmtId="0" fontId="18" fillId="13" borderId="0" xfId="0" applyFont="1" applyFill="1" applyAlignment="1">
      <alignment horizontal="left"/>
    </xf>
    <xf numFmtId="0" fontId="20" fillId="13" borderId="0" xfId="0" applyFont="1" applyFill="1"/>
    <xf numFmtId="0" fontId="8" fillId="13" borderId="0" xfId="0" applyFont="1" applyFill="1"/>
    <xf numFmtId="0" fontId="7" fillId="13" borderId="0" xfId="0" applyFont="1" applyFill="1"/>
    <xf numFmtId="0" fontId="7" fillId="5" borderId="0" xfId="0" applyFont="1" applyFill="1" applyAlignment="1">
      <alignment horizontal="center"/>
    </xf>
    <xf numFmtId="0" fontId="8" fillId="7" borderId="0" xfId="0" applyFont="1" applyFill="1" applyAlignment="1">
      <alignment horizontal="left"/>
    </xf>
    <xf numFmtId="0" fontId="7" fillId="7" borderId="0" xfId="0" applyFont="1" applyFill="1" applyAlignment="1">
      <alignment horizontal="left"/>
    </xf>
    <xf numFmtId="2" fontId="7" fillId="7" borderId="0" xfId="0" applyNumberFormat="1" applyFont="1" applyFill="1" applyAlignment="1">
      <alignment horizontal="left"/>
    </xf>
    <xf numFmtId="0" fontId="7" fillId="7" borderId="1" xfId="0" applyFont="1" applyFill="1" applyBorder="1" applyAlignment="1">
      <alignment horizontal="center" vertical="top"/>
    </xf>
    <xf numFmtId="0" fontId="6" fillId="7" borderId="1" xfId="0" applyFont="1" applyFill="1" applyBorder="1" applyAlignment="1">
      <alignment vertical="top"/>
    </xf>
    <xf numFmtId="0" fontId="8" fillId="7" borderId="1" xfId="0" applyFont="1" applyFill="1" applyBorder="1" applyAlignment="1">
      <alignment vertical="top"/>
    </xf>
    <xf numFmtId="3" fontId="8" fillId="7" borderId="1" xfId="0" applyNumberFormat="1" applyFont="1" applyFill="1" applyBorder="1" applyAlignment="1">
      <alignment vertical="top"/>
    </xf>
    <xf numFmtId="0" fontId="8" fillId="7" borderId="1" xfId="0" applyFont="1" applyFill="1" applyBorder="1" applyAlignment="1">
      <alignment horizontal="center" vertical="top"/>
    </xf>
    <xf numFmtId="164" fontId="8" fillId="7" borderId="1" xfId="1" applyFont="1" applyFill="1" applyBorder="1" applyAlignment="1">
      <alignment vertical="top"/>
    </xf>
    <xf numFmtId="0" fontId="0" fillId="13" borderId="0" xfId="0" applyFill="1"/>
    <xf numFmtId="166" fontId="0" fillId="13" borderId="0" xfId="1" applyNumberFormat="1" applyFont="1" applyFill="1"/>
    <xf numFmtId="166" fontId="8" fillId="7" borderId="1" xfId="1" applyNumberFormat="1" applyFont="1" applyFill="1" applyBorder="1" applyAlignment="1">
      <alignment vertical="top"/>
    </xf>
    <xf numFmtId="166" fontId="7" fillId="7" borderId="1" xfId="1" applyNumberFormat="1" applyFont="1" applyFill="1" applyBorder="1" applyAlignment="1">
      <alignment horizontal="center" vertical="top"/>
    </xf>
    <xf numFmtId="166" fontId="7" fillId="7" borderId="1" xfId="1" applyNumberFormat="1" applyFont="1" applyFill="1" applyBorder="1" applyAlignment="1">
      <alignment vertical="top"/>
    </xf>
    <xf numFmtId="166" fontId="0" fillId="7" borderId="0" xfId="1" applyNumberFormat="1" applyFont="1" applyFill="1"/>
    <xf numFmtId="166" fontId="5" fillId="7" borderId="0" xfId="1" applyNumberFormat="1" applyFont="1" applyFill="1"/>
    <xf numFmtId="166" fontId="0" fillId="7" borderId="0" xfId="0" applyNumberFormat="1" applyFill="1"/>
    <xf numFmtId="0" fontId="8" fillId="7" borderId="9" xfId="0" applyFont="1" applyFill="1" applyBorder="1" applyAlignment="1">
      <alignment vertical="top"/>
    </xf>
    <xf numFmtId="166" fontId="7" fillId="7" borderId="4" xfId="1" applyNumberFormat="1" applyFont="1" applyFill="1" applyBorder="1" applyAlignment="1">
      <alignment horizontal="center" vertical="top"/>
    </xf>
    <xf numFmtId="0" fontId="0" fillId="7" borderId="4" xfId="0" applyFill="1" applyBorder="1"/>
    <xf numFmtId="0" fontId="0" fillId="7" borderId="0" xfId="0" applyFill="1" applyAlignment="1">
      <alignment vertical="center"/>
    </xf>
    <xf numFmtId="166" fontId="16" fillId="7" borderId="0" xfId="1" applyNumberFormat="1" applyFont="1" applyFill="1"/>
    <xf numFmtId="0" fontId="23" fillId="7" borderId="0" xfId="0" applyFont="1" applyFill="1" applyAlignment="1">
      <alignment horizontal="left"/>
    </xf>
    <xf numFmtId="0" fontId="7" fillId="7" borderId="0" xfId="0" applyFont="1" applyFill="1" applyBorder="1" applyAlignment="1">
      <alignment horizontal="left" vertical="center"/>
    </xf>
    <xf numFmtId="0" fontId="2" fillId="7" borderId="0" xfId="0" applyFont="1" applyFill="1" applyAlignment="1">
      <alignment vertical="center"/>
    </xf>
    <xf numFmtId="166" fontId="4" fillId="7" borderId="0" xfId="1" applyNumberFormat="1" applyFont="1" applyFill="1"/>
    <xf numFmtId="0" fontId="9" fillId="4" borderId="6" xfId="0" applyFont="1" applyFill="1" applyBorder="1" applyAlignment="1">
      <alignment horizontal="center" vertical="center" wrapText="1"/>
    </xf>
    <xf numFmtId="0" fontId="0" fillId="7" borderId="0" xfId="0" applyFont="1" applyFill="1" applyAlignment="1">
      <alignment horizontal="center"/>
    </xf>
    <xf numFmtId="0" fontId="6" fillId="4" borderId="4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right" wrapText="1"/>
    </xf>
    <xf numFmtId="164" fontId="6" fillId="4" borderId="1" xfId="1" applyFont="1" applyFill="1" applyBorder="1" applyAlignment="1">
      <alignment horizontal="right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7" fillId="6" borderId="0" xfId="0" applyFont="1" applyFill="1" applyBorder="1" applyAlignment="1">
      <alignment vertical="center"/>
    </xf>
    <xf numFmtId="0" fontId="6" fillId="4" borderId="6" xfId="0" applyFont="1" applyFill="1" applyBorder="1" applyAlignment="1">
      <alignment horizontal="center" vertical="center" wrapText="1"/>
    </xf>
    <xf numFmtId="165" fontId="6" fillId="4" borderId="1" xfId="0" applyNumberFormat="1" applyFont="1" applyFill="1" applyBorder="1" applyAlignment="1">
      <alignment horizontal="right" wrapText="1"/>
    </xf>
    <xf numFmtId="3" fontId="6" fillId="4" borderId="1" xfId="0" applyNumberFormat="1" applyFont="1" applyFill="1" applyBorder="1" applyAlignment="1">
      <alignment horizontal="center" wrapText="1"/>
    </xf>
    <xf numFmtId="0" fontId="9" fillId="4" borderId="4" xfId="0" applyFont="1" applyFill="1" applyBorder="1" applyAlignment="1">
      <alignment horizontal="right" vertical="center"/>
    </xf>
    <xf numFmtId="164" fontId="9" fillId="4" borderId="1" xfId="1" applyFont="1" applyFill="1" applyBorder="1" applyAlignment="1">
      <alignment horizontal="right" wrapText="1"/>
    </xf>
    <xf numFmtId="165" fontId="9" fillId="4" borderId="1" xfId="0" applyNumberFormat="1" applyFont="1" applyFill="1" applyBorder="1" applyAlignment="1">
      <alignment horizontal="right" wrapText="1"/>
    </xf>
    <xf numFmtId="0" fontId="7" fillId="6" borderId="0" xfId="0" applyFont="1" applyFill="1" applyAlignment="1">
      <alignment vertical="center"/>
    </xf>
    <xf numFmtId="0" fontId="7" fillId="6" borderId="0" xfId="0" applyFont="1" applyFill="1" applyAlignment="1">
      <alignment horizontal="center"/>
    </xf>
    <xf numFmtId="0" fontId="7" fillId="6" borderId="0" xfId="0" quotePrefix="1" applyFont="1" applyFill="1" applyAlignment="1">
      <alignment horizontal="center"/>
    </xf>
    <xf numFmtId="15" fontId="7" fillId="6" borderId="0" xfId="0" quotePrefix="1" applyNumberFormat="1" applyFont="1" applyFill="1" applyAlignment="1">
      <alignment horizontal="center"/>
    </xf>
    <xf numFmtId="0" fontId="8" fillId="6" borderId="0" xfId="0" applyFont="1" applyFill="1" applyBorder="1" applyAlignment="1">
      <alignment vertical="center"/>
    </xf>
    <xf numFmtId="3" fontId="8" fillId="6" borderId="0" xfId="0" applyNumberFormat="1" applyFont="1" applyFill="1" applyBorder="1" applyAlignment="1">
      <alignment horizontal="right" vertical="top" wrapText="1"/>
    </xf>
    <xf numFmtId="164" fontId="7" fillId="6" borderId="0" xfId="1" applyFont="1" applyFill="1" applyBorder="1" applyAlignment="1">
      <alignment horizontal="right" vertical="top" wrapText="1"/>
    </xf>
    <xf numFmtId="3" fontId="7" fillId="6" borderId="0" xfId="0" applyNumberFormat="1" applyFont="1" applyFill="1" applyBorder="1" applyAlignment="1">
      <alignment horizontal="right" vertical="top" wrapText="1"/>
    </xf>
    <xf numFmtId="164" fontId="7" fillId="6" borderId="4" xfId="1" applyFont="1" applyFill="1" applyBorder="1" applyAlignment="1">
      <alignment horizontal="right" vertical="top" wrapText="1"/>
    </xf>
    <xf numFmtId="3" fontId="7" fillId="6" borderId="4" xfId="0" applyNumberFormat="1" applyFont="1" applyFill="1" applyBorder="1" applyAlignment="1">
      <alignment horizontal="right" vertical="top" wrapText="1"/>
    </xf>
    <xf numFmtId="164" fontId="7" fillId="6" borderId="21" xfId="1" applyFont="1" applyFill="1" applyBorder="1" applyAlignment="1">
      <alignment horizontal="right" vertical="top" wrapText="1"/>
    </xf>
    <xf numFmtId="3" fontId="7" fillId="6" borderId="21" xfId="0" applyNumberFormat="1" applyFont="1" applyFill="1" applyBorder="1" applyAlignment="1">
      <alignment horizontal="right" vertical="top" wrapText="1"/>
    </xf>
    <xf numFmtId="164" fontId="8" fillId="6" borderId="0" xfId="1" applyFont="1" applyFill="1" applyBorder="1" applyAlignment="1">
      <alignment horizontal="right" vertical="top" wrapText="1"/>
    </xf>
    <xf numFmtId="164" fontId="7" fillId="6" borderId="8" xfId="1" applyFont="1" applyFill="1" applyBorder="1" applyAlignment="1">
      <alignment horizontal="right" vertical="top" wrapText="1"/>
    </xf>
    <xf numFmtId="3" fontId="7" fillId="6" borderId="8" xfId="0" applyNumberFormat="1" applyFont="1" applyFill="1" applyBorder="1" applyAlignment="1">
      <alignment horizontal="right" vertical="top" wrapText="1"/>
    </xf>
    <xf numFmtId="0" fontId="4" fillId="13" borderId="0" xfId="0" applyFont="1" applyFill="1"/>
    <xf numFmtId="0" fontId="15" fillId="8" borderId="0" xfId="0" applyFont="1" applyFill="1" applyBorder="1" applyAlignment="1">
      <alignment vertical="center"/>
    </xf>
    <xf numFmtId="0" fontId="4" fillId="8" borderId="0" xfId="0" applyFont="1" applyFill="1" applyAlignment="1">
      <alignment vertical="center"/>
    </xf>
    <xf numFmtId="0" fontId="15" fillId="8" borderId="0" xfId="0" applyFont="1" applyFill="1" applyBorder="1" applyAlignment="1">
      <alignment horizontal="left" vertical="top" wrapText="1"/>
    </xf>
    <xf numFmtId="0" fontId="4" fillId="8" borderId="0" xfId="0" applyFont="1" applyFill="1"/>
    <xf numFmtId="0" fontId="25" fillId="8" borderId="0" xfId="0" applyFont="1" applyFill="1" applyAlignment="1">
      <alignment vertical="center"/>
    </xf>
    <xf numFmtId="0" fontId="25" fillId="8" borderId="0" xfId="0" applyFont="1" applyFill="1"/>
    <xf numFmtId="0" fontId="15" fillId="8" borderId="0" xfId="0" applyFont="1" applyFill="1" applyBorder="1" applyAlignment="1">
      <alignment horizontal="center" vertical="top" wrapText="1"/>
    </xf>
    <xf numFmtId="3" fontId="15" fillId="8" borderId="0" xfId="0" applyNumberFormat="1" applyFont="1" applyFill="1" applyBorder="1" applyAlignment="1">
      <alignment horizontal="right" vertical="center" wrapText="1"/>
    </xf>
    <xf numFmtId="166" fontId="15" fillId="8" borderId="22" xfId="1" applyNumberFormat="1" applyFont="1" applyFill="1" applyBorder="1" applyAlignment="1">
      <alignment horizontal="right" vertical="top" wrapText="1"/>
    </xf>
    <xf numFmtId="166" fontId="4" fillId="7" borderId="0" xfId="0" applyNumberFormat="1" applyFont="1" applyFill="1"/>
    <xf numFmtId="0" fontId="18" fillId="4" borderId="26" xfId="0" applyFont="1" applyFill="1" applyBorder="1" applyAlignment="1">
      <alignment horizontal="center" vertical="top"/>
    </xf>
    <xf numFmtId="0" fontId="18" fillId="4" borderId="27" xfId="0" applyFont="1" applyFill="1" applyBorder="1" applyAlignment="1">
      <alignment horizontal="center" vertical="top"/>
    </xf>
    <xf numFmtId="0" fontId="18" fillId="4" borderId="5" xfId="0" applyFont="1" applyFill="1" applyBorder="1" applyAlignment="1">
      <alignment horizontal="center" wrapText="1"/>
    </xf>
    <xf numFmtId="0" fontId="18" fillId="4" borderId="6" xfId="0" applyFont="1" applyFill="1" applyBorder="1" applyAlignment="1">
      <alignment horizontal="center" wrapText="1"/>
    </xf>
    <xf numFmtId="0" fontId="21" fillId="14" borderId="0" xfId="0" applyFont="1" applyFill="1" applyAlignment="1">
      <alignment horizontal="center"/>
    </xf>
    <xf numFmtId="0" fontId="21" fillId="14" borderId="0" xfId="0" applyFont="1" applyFill="1" applyAlignment="1">
      <alignment horizontal="center" wrapText="1"/>
    </xf>
    <xf numFmtId="0" fontId="7" fillId="6" borderId="1" xfId="0" applyFont="1" applyFill="1" applyBorder="1" applyAlignment="1">
      <alignment horizontal="center" vertical="top"/>
    </xf>
    <xf numFmtId="166" fontId="7" fillId="6" borderId="1" xfId="0" applyNumberFormat="1" applyFont="1" applyFill="1" applyBorder="1" applyAlignment="1">
      <alignment horizontal="center" vertical="top"/>
    </xf>
    <xf numFmtId="0" fontId="7" fillId="7" borderId="1" xfId="0" applyFont="1" applyFill="1" applyBorder="1" applyAlignment="1">
      <alignment horizontal="center" vertical="top"/>
    </xf>
    <xf numFmtId="0" fontId="22" fillId="14" borderId="0" xfId="0" applyFont="1" applyFill="1" applyAlignment="1">
      <alignment horizontal="center" wrapText="1"/>
    </xf>
    <xf numFmtId="166" fontId="7" fillId="7" borderId="8" xfId="1" applyNumberFormat="1" applyFont="1" applyFill="1" applyBorder="1" applyAlignment="1">
      <alignment horizontal="center" vertical="top" wrapText="1"/>
    </xf>
    <xf numFmtId="0" fontId="21" fillId="14" borderId="0" xfId="0" applyFont="1" applyFill="1" applyAlignment="1">
      <alignment horizontal="center" vertical="center" wrapText="1"/>
    </xf>
    <xf numFmtId="0" fontId="22" fillId="14" borderId="0" xfId="0" applyFont="1" applyFill="1" applyAlignment="1">
      <alignment horizontal="center"/>
    </xf>
    <xf numFmtId="0" fontId="9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24" fillId="14" borderId="0" xfId="0" applyFont="1" applyFill="1" applyAlignment="1">
      <alignment horizontal="center"/>
    </xf>
    <xf numFmtId="0" fontId="24" fillId="14" borderId="0" xfId="0" applyFont="1" applyFill="1" applyAlignment="1">
      <alignment horizontal="center" wrapText="1"/>
    </xf>
    <xf numFmtId="0" fontId="22" fillId="14" borderId="0" xfId="0" applyFont="1" applyFill="1" applyAlignment="1">
      <alignment horizontal="center" vertical="center" wrapText="1"/>
    </xf>
    <xf numFmtId="166" fontId="12" fillId="8" borderId="9" xfId="1" applyNumberFormat="1" applyFont="1" applyFill="1" applyBorder="1" applyAlignment="1">
      <alignment horizontal="center"/>
    </xf>
    <xf numFmtId="166" fontId="12" fillId="8" borderId="2" xfId="1" applyNumberFormat="1" applyFont="1" applyFill="1" applyBorder="1" applyAlignment="1">
      <alignment horizontal="center"/>
    </xf>
    <xf numFmtId="166" fontId="12" fillId="7" borderId="9" xfId="1" applyNumberFormat="1" applyFont="1" applyFill="1" applyBorder="1" applyAlignment="1">
      <alignment horizontal="center"/>
    </xf>
    <xf numFmtId="166" fontId="12" fillId="7" borderId="2" xfId="1" applyNumberFormat="1" applyFont="1" applyFill="1" applyBorder="1" applyAlignment="1">
      <alignment horizontal="center"/>
    </xf>
    <xf numFmtId="0" fontId="12" fillId="8" borderId="9" xfId="0" applyFont="1" applyFill="1" applyBorder="1" applyAlignment="1">
      <alignment horizontal="center"/>
    </xf>
    <xf numFmtId="0" fontId="12" fillId="8" borderId="2" xfId="0" applyFont="1" applyFill="1" applyBorder="1" applyAlignment="1">
      <alignment horizontal="center"/>
    </xf>
    <xf numFmtId="0" fontId="12" fillId="7" borderId="9" xfId="0" applyFont="1" applyFill="1" applyBorder="1" applyAlignment="1">
      <alignment horizontal="center"/>
    </xf>
    <xf numFmtId="0" fontId="12" fillId="7" borderId="2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412062</xdr:colOff>
      <xdr:row>31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222062" cy="5972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workbookViewId="0"/>
  </sheetViews>
  <sheetFormatPr baseColWidth="10" defaultColWidth="0" defaultRowHeight="15" zeroHeight="1" x14ac:dyDescent="0.25"/>
  <cols>
    <col min="1" max="6" width="11.42578125" customWidth="1"/>
    <col min="7" max="16384" width="11.42578125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35"/>
  <sheetViews>
    <sheetView workbookViewId="0"/>
  </sheetViews>
  <sheetFormatPr baseColWidth="10" defaultRowHeight="15" x14ac:dyDescent="0.25"/>
  <cols>
    <col min="1" max="1" width="21.5703125" customWidth="1"/>
    <col min="2" max="2" width="10.42578125" style="14" bestFit="1" customWidth="1"/>
    <col min="3" max="3" width="9.28515625" customWidth="1"/>
    <col min="4" max="4" width="9.85546875" bestFit="1" customWidth="1"/>
    <col min="5" max="5" width="8.7109375" hidden="1" customWidth="1"/>
    <col min="6" max="6" width="9" bestFit="1" customWidth="1"/>
    <col min="7" max="7" width="8.7109375" customWidth="1"/>
    <col min="8" max="8" width="9" bestFit="1" customWidth="1"/>
    <col min="9" max="12" width="8.7109375" customWidth="1"/>
    <col min="13" max="13" width="9" bestFit="1" customWidth="1"/>
    <col min="14" max="14" width="8.7109375" customWidth="1"/>
    <col min="15" max="15" width="9" bestFit="1" customWidth="1"/>
    <col min="16" max="16" width="9.28515625" customWidth="1"/>
  </cols>
  <sheetData>
    <row r="1" spans="1:16" ht="15" customHeight="1" x14ac:dyDescent="0.25">
      <c r="A1" s="29" t="s">
        <v>185</v>
      </c>
      <c r="B1" s="50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ht="15" customHeight="1" x14ac:dyDescent="0.25">
      <c r="A2" s="15" t="s">
        <v>149</v>
      </c>
      <c r="B2" s="51" t="s">
        <v>150</v>
      </c>
      <c r="C2" s="16" t="s">
        <v>151</v>
      </c>
      <c r="D2" s="16" t="s">
        <v>151</v>
      </c>
      <c r="E2" s="16"/>
      <c r="F2" s="16" t="s">
        <v>151</v>
      </c>
      <c r="G2" s="16" t="s">
        <v>151</v>
      </c>
      <c r="H2" s="16" t="s">
        <v>151</v>
      </c>
      <c r="I2" s="16" t="s">
        <v>151</v>
      </c>
      <c r="J2" s="16" t="s">
        <v>151</v>
      </c>
      <c r="K2" s="16" t="s">
        <v>151</v>
      </c>
      <c r="L2" s="16" t="s">
        <v>151</v>
      </c>
      <c r="M2" s="16" t="s">
        <v>151</v>
      </c>
      <c r="N2" s="16" t="s">
        <v>151</v>
      </c>
      <c r="O2" s="16" t="s">
        <v>151</v>
      </c>
      <c r="P2" s="8" t="s">
        <v>100</v>
      </c>
    </row>
    <row r="3" spans="1:16" ht="15" customHeight="1" x14ac:dyDescent="0.25">
      <c r="A3" s="17" t="s">
        <v>152</v>
      </c>
      <c r="B3" s="52" t="s">
        <v>153</v>
      </c>
      <c r="C3" s="18">
        <v>8.1</v>
      </c>
      <c r="D3" s="18">
        <v>8.1999999999999993</v>
      </c>
      <c r="E3" s="18"/>
      <c r="F3" s="18">
        <v>8.3000000000000007</v>
      </c>
      <c r="G3" s="18">
        <v>8.4</v>
      </c>
      <c r="H3" s="18">
        <v>8.5</v>
      </c>
      <c r="I3" s="18" t="s">
        <v>117</v>
      </c>
      <c r="J3" s="18" t="s">
        <v>118</v>
      </c>
      <c r="K3" s="18" t="s">
        <v>119</v>
      </c>
      <c r="L3" s="18" t="s">
        <v>120</v>
      </c>
      <c r="M3" s="18">
        <v>8.6999999999999993</v>
      </c>
      <c r="N3" s="18">
        <v>8.8000000000000007</v>
      </c>
      <c r="O3" s="18">
        <v>8.9</v>
      </c>
      <c r="P3" s="9" t="s">
        <v>154</v>
      </c>
    </row>
    <row r="4" spans="1:16" ht="15" customHeight="1" x14ac:dyDescent="0.25">
      <c r="A4" s="19" t="s">
        <v>155</v>
      </c>
      <c r="B4" s="49">
        <v>85030000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6" ht="15" customHeight="1" x14ac:dyDescent="0.25">
      <c r="A5" s="21" t="s">
        <v>156</v>
      </c>
      <c r="B5" s="49">
        <v>85030000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>
        <f>SUM(B5:O5)</f>
        <v>85030000</v>
      </c>
    </row>
    <row r="6" spans="1:16" ht="15" customHeight="1" x14ac:dyDescent="0.25">
      <c r="A6" s="21" t="s">
        <v>157</v>
      </c>
      <c r="B6" s="49">
        <v>3000000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>
        <f>SUM(B6:O6)</f>
        <v>3000000</v>
      </c>
    </row>
    <row r="7" spans="1:16" ht="15" customHeight="1" x14ac:dyDescent="0.25">
      <c r="A7" s="21" t="s">
        <v>158</v>
      </c>
      <c r="B7" s="49">
        <v>6000000</v>
      </c>
      <c r="C7" s="22"/>
      <c r="D7" s="22"/>
      <c r="E7" s="22"/>
      <c r="F7" s="22"/>
      <c r="G7" s="22"/>
      <c r="H7" s="22">
        <f>-'Secc 8.1 -8.10'!H50</f>
        <v>-1000000</v>
      </c>
      <c r="I7" s="22"/>
      <c r="J7" s="22"/>
      <c r="K7" s="22"/>
      <c r="L7" s="22"/>
      <c r="M7" s="22"/>
      <c r="N7" s="22"/>
      <c r="O7" s="22"/>
      <c r="P7" s="22">
        <f>SUM(B7:O7)</f>
        <v>5000000</v>
      </c>
    </row>
    <row r="8" spans="1:16" ht="15" customHeight="1" x14ac:dyDescent="0.25">
      <c r="A8" s="23" t="s">
        <v>159</v>
      </c>
      <c r="B8" s="53">
        <v>26000000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>
        <f>SUM(B8:O8)</f>
        <v>26000000</v>
      </c>
    </row>
    <row r="9" spans="1:16" ht="15" customHeight="1" x14ac:dyDescent="0.25">
      <c r="A9" s="5" t="s">
        <v>160</v>
      </c>
      <c r="B9" s="54">
        <f>SUM(B5:B8)</f>
        <v>120030000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>
        <f>SUM(P5:P8)</f>
        <v>119030000</v>
      </c>
    </row>
    <row r="10" spans="1:16" ht="15" customHeight="1" x14ac:dyDescent="0.25">
      <c r="A10" s="21" t="s">
        <v>161</v>
      </c>
      <c r="B10" s="49">
        <v>0</v>
      </c>
      <c r="C10" s="22"/>
      <c r="D10" s="22"/>
      <c r="E10" s="22"/>
      <c r="F10" s="22"/>
      <c r="G10" s="22"/>
      <c r="H10" s="22"/>
      <c r="I10" s="22">
        <f>+'Secc 8.1 -8.10'!G55</f>
        <v>400000</v>
      </c>
      <c r="J10" s="22"/>
      <c r="K10" s="22"/>
      <c r="L10" s="22"/>
      <c r="M10" s="22"/>
      <c r="N10" s="22">
        <f>+'Secc 8.1 -8.10'!G88</f>
        <v>700000</v>
      </c>
      <c r="O10" s="22"/>
      <c r="P10" s="22">
        <f>SUM(B10:O10)</f>
        <v>1100000</v>
      </c>
    </row>
    <row r="11" spans="1:16" ht="15" customHeight="1" x14ac:dyDescent="0.25">
      <c r="A11" s="21" t="s">
        <v>162</v>
      </c>
      <c r="B11" s="49">
        <v>7500000</v>
      </c>
      <c r="C11" s="22"/>
      <c r="D11" s="22"/>
      <c r="E11" s="22"/>
      <c r="F11" s="22"/>
      <c r="G11" s="22"/>
      <c r="H11" s="22"/>
      <c r="I11" s="22">
        <f>-'Secc 8.1 -8.10'!H56</f>
        <v>-400000</v>
      </c>
      <c r="J11" s="22">
        <f>+'Secc 8.1 -8.10'!G61</f>
        <v>600000</v>
      </c>
      <c r="K11" s="22">
        <f>+'Secc 8.1 -8.10'!G69</f>
        <v>825000</v>
      </c>
      <c r="L11" s="22">
        <f>+'Secc 8.1 -8.10'!G76</f>
        <v>900000</v>
      </c>
      <c r="M11" s="22"/>
      <c r="N11" s="22"/>
      <c r="O11" s="22"/>
      <c r="P11" s="22">
        <f>SUM(B11:O11)</f>
        <v>9425000</v>
      </c>
    </row>
    <row r="12" spans="1:16" ht="15" customHeight="1" x14ac:dyDescent="0.25">
      <c r="A12" s="21" t="s">
        <v>163</v>
      </c>
      <c r="B12" s="49">
        <v>0</v>
      </c>
      <c r="C12" s="22">
        <f>+'Secc 8.1 -8.10'!G6</f>
        <v>865658.70000000019</v>
      </c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>
        <f>SUM(B12:O12)</f>
        <v>865658.70000000019</v>
      </c>
    </row>
    <row r="13" spans="1:16" ht="15" customHeight="1" x14ac:dyDescent="0.25">
      <c r="A13" s="23" t="s">
        <v>164</v>
      </c>
      <c r="B13" s="53">
        <v>600000</v>
      </c>
      <c r="C13" s="24"/>
      <c r="D13" s="24"/>
      <c r="E13" s="24"/>
      <c r="F13" s="24"/>
      <c r="G13" s="24">
        <f>+-'Secc 8.1 -8.10'!H44+'Secc 8.1 -8.10'!G42</f>
        <v>-600000</v>
      </c>
      <c r="H13" s="24"/>
      <c r="I13" s="24"/>
      <c r="J13" s="24"/>
      <c r="K13" s="24"/>
      <c r="L13" s="24"/>
      <c r="M13" s="24"/>
      <c r="N13" s="24"/>
      <c r="O13" s="24"/>
      <c r="P13" s="30">
        <f>SUM(B13:O13)</f>
        <v>0</v>
      </c>
    </row>
    <row r="14" spans="1:16" ht="15" customHeight="1" x14ac:dyDescent="0.25">
      <c r="A14" s="26" t="s">
        <v>165</v>
      </c>
      <c r="B14" s="54">
        <f>SUM(B10:B13)</f>
        <v>8100000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5">
        <f>SUM(P10:P13)</f>
        <v>11390658.699999999</v>
      </c>
    </row>
    <row r="15" spans="1:16" ht="15" customHeight="1" x14ac:dyDescent="0.25">
      <c r="A15" s="5" t="s">
        <v>166</v>
      </c>
      <c r="B15" s="54">
        <f>+B9+B14</f>
        <v>128130000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>
        <f>+P9+P14</f>
        <v>130420658.7</v>
      </c>
    </row>
    <row r="16" spans="1:16" ht="15" customHeight="1" x14ac:dyDescent="0.25">
      <c r="A16" s="21"/>
      <c r="B16" s="49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</row>
    <row r="17" spans="1:16" ht="15" customHeight="1" x14ac:dyDescent="0.25">
      <c r="A17" s="28" t="s">
        <v>167</v>
      </c>
      <c r="B17" s="49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</row>
    <row r="18" spans="1:16" ht="15" customHeight="1" x14ac:dyDescent="0.25">
      <c r="A18" s="21" t="s">
        <v>168</v>
      </c>
      <c r="B18" s="49">
        <v>10000000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>
        <f t="shared" ref="P18:P23" si="0">SUM(B18:O18)</f>
        <v>10000000</v>
      </c>
    </row>
    <row r="19" spans="1:16" ht="15" customHeight="1" x14ac:dyDescent="0.25">
      <c r="A19" s="21" t="s">
        <v>169</v>
      </c>
      <c r="B19" s="49">
        <v>0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>
        <f>+'Secc 8.1 -8.10'!G95</f>
        <v>3200000</v>
      </c>
      <c r="P19" s="22">
        <f t="shared" si="0"/>
        <v>3200000</v>
      </c>
    </row>
    <row r="20" spans="1:16" ht="15" customHeight="1" x14ac:dyDescent="0.25">
      <c r="A20" s="21" t="s">
        <v>170</v>
      </c>
      <c r="B20" s="49">
        <v>6000000</v>
      </c>
      <c r="C20" s="22"/>
      <c r="D20" s="22"/>
      <c r="E20" s="22"/>
      <c r="F20" s="22">
        <f>+'Secc 8.1 -8.10'!H36</f>
        <v>2400000</v>
      </c>
      <c r="G20" s="22"/>
      <c r="H20" s="22"/>
      <c r="I20" s="22"/>
      <c r="J20" s="22"/>
      <c r="K20" s="22"/>
      <c r="L20" s="22"/>
      <c r="M20" s="22"/>
      <c r="N20" s="22"/>
      <c r="O20" s="22">
        <f>-'Secc 8.1 -8.10'!H96</f>
        <v>-3200000</v>
      </c>
      <c r="P20" s="22">
        <f t="shared" si="0"/>
        <v>5200000</v>
      </c>
    </row>
    <row r="21" spans="1:16" ht="15" customHeight="1" x14ac:dyDescent="0.25">
      <c r="A21" s="5" t="s">
        <v>171</v>
      </c>
      <c r="B21" s="54">
        <f>SUM(B18:B20)</f>
        <v>16000000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5">
        <f>SUM(P18:P20)</f>
        <v>18400000</v>
      </c>
    </row>
    <row r="22" spans="1:16" ht="15" customHeight="1" x14ac:dyDescent="0.25">
      <c r="A22" s="21" t="s">
        <v>172</v>
      </c>
      <c r="B22" s="49">
        <v>0</v>
      </c>
      <c r="C22" s="22"/>
      <c r="D22" s="22">
        <f>+'Secc 8.1 -8.10'!H18</f>
        <v>14586000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>
        <f t="shared" si="0"/>
        <v>14586000</v>
      </c>
    </row>
    <row r="23" spans="1:16" ht="15" customHeight="1" x14ac:dyDescent="0.25">
      <c r="A23" s="21" t="s">
        <v>173</v>
      </c>
      <c r="B23" s="49">
        <v>100000000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>
        <f>-'Secc 8.1 -8.10'!G81</f>
        <v>-1915660.5921584964</v>
      </c>
      <c r="N23" s="22"/>
      <c r="O23" s="22"/>
      <c r="P23" s="22">
        <f t="shared" si="0"/>
        <v>98084339.407841504</v>
      </c>
    </row>
    <row r="24" spans="1:16" ht="15" customHeight="1" x14ac:dyDescent="0.25">
      <c r="A24" s="5" t="s">
        <v>174</v>
      </c>
      <c r="B24" s="54">
        <f>SUM(B22:B23)</f>
        <v>100000000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>
        <f>SUM(P22:P23)</f>
        <v>112670339.4078415</v>
      </c>
    </row>
    <row r="25" spans="1:16" ht="15" customHeight="1" x14ac:dyDescent="0.25">
      <c r="A25" s="5" t="s">
        <v>175</v>
      </c>
      <c r="B25" s="54">
        <f>+B21+B24</f>
        <v>116000000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>
        <f>+P21+P24</f>
        <v>131070339.4078415</v>
      </c>
    </row>
    <row r="26" spans="1:16" ht="15" customHeight="1" x14ac:dyDescent="0.25">
      <c r="A26" s="21"/>
      <c r="B26" s="49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6" ht="15" customHeight="1" x14ac:dyDescent="0.25">
      <c r="A27" s="21" t="s">
        <v>176</v>
      </c>
      <c r="B27" s="49">
        <v>4022000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>
        <f t="shared" ref="P27:P31" si="1">SUM(B27:O27)</f>
        <v>4022000</v>
      </c>
    </row>
    <row r="28" spans="1:16" ht="15" customHeight="1" x14ac:dyDescent="0.25">
      <c r="A28" s="21" t="s">
        <v>177</v>
      </c>
      <c r="B28" s="49">
        <v>1786000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>
        <f t="shared" si="1"/>
        <v>1786000</v>
      </c>
    </row>
    <row r="29" spans="1:16" ht="15" customHeight="1" x14ac:dyDescent="0.25">
      <c r="A29" s="21" t="s">
        <v>178</v>
      </c>
      <c r="B29" s="49">
        <v>0</v>
      </c>
      <c r="C29" s="22"/>
      <c r="D29" s="22"/>
      <c r="E29" s="22"/>
      <c r="F29" s="22"/>
      <c r="G29" s="22"/>
      <c r="H29" s="22"/>
      <c r="I29" s="22"/>
      <c r="J29" s="22">
        <f>+'Secc 8.1 -8.10'!H62</f>
        <v>600000</v>
      </c>
      <c r="K29" s="22"/>
      <c r="L29" s="22"/>
      <c r="M29" s="22"/>
      <c r="O29" s="22"/>
      <c r="P29" s="22">
        <f t="shared" si="1"/>
        <v>600000</v>
      </c>
    </row>
    <row r="30" spans="1:16" ht="15" customHeight="1" x14ac:dyDescent="0.25">
      <c r="A30" s="21" t="s">
        <v>179</v>
      </c>
      <c r="B30" s="49">
        <v>1322000</v>
      </c>
      <c r="C30" s="22">
        <f>+'Secc 8.1 -8.10'!H8</f>
        <v>363300</v>
      </c>
      <c r="D30" s="22">
        <f>-'Secc 8.1 -8.10'!G13</f>
        <v>-12000000</v>
      </c>
      <c r="E30" s="22"/>
      <c r="F30" s="22">
        <f>-'Secc 8.1 -8.10'!G31</f>
        <v>-2000000</v>
      </c>
      <c r="G30" s="22">
        <f>-'Secc 8.1 -8.10'!G41</f>
        <v>-700000</v>
      </c>
      <c r="H30" s="22">
        <f>+-'Secc 8.1 -8.10'!G49</f>
        <v>-1000000</v>
      </c>
      <c r="I30" s="22"/>
      <c r="J30" s="22"/>
      <c r="K30" s="22">
        <f>+'Secc 8.1 -8.10'!H67</f>
        <v>750000</v>
      </c>
      <c r="L30" s="22">
        <f>+'Secc 8.1 -8.10'!H74</f>
        <v>750000</v>
      </c>
      <c r="M30" s="22">
        <f>+'Secc 8.1 -8.10'!H83</f>
        <v>2475471.0403444618</v>
      </c>
      <c r="N30" s="22">
        <f>+'Secc 8.1 -8.10'!H90</f>
        <v>600000</v>
      </c>
      <c r="O30" s="22"/>
      <c r="P30" s="22">
        <f t="shared" si="1"/>
        <v>-9439228.9596555382</v>
      </c>
    </row>
    <row r="31" spans="1:16" ht="15" customHeight="1" x14ac:dyDescent="0.25">
      <c r="A31" s="21" t="s">
        <v>184</v>
      </c>
      <c r="B31" s="49">
        <v>5000000</v>
      </c>
      <c r="C31" s="22">
        <f>+'Secc 8.1 -8.10'!H7</f>
        <v>502359</v>
      </c>
      <c r="D31" s="22">
        <f>-+'Secc 8.1 -8.10'!G16</f>
        <v>-695000</v>
      </c>
      <c r="E31" s="22"/>
      <c r="F31" s="22">
        <f>-'Secc 8.1 -8.10'!G33-'Secc 8.1 -8.10'!G34-'Secc 8.1 -8.10'!G35</f>
        <v>-400000</v>
      </c>
      <c r="G31" s="22">
        <f>+'Secc 8.1 -8.10'!H43</f>
        <v>100000</v>
      </c>
      <c r="H31" s="22"/>
      <c r="I31" s="22"/>
      <c r="J31" s="22"/>
      <c r="K31" s="22">
        <f>+'Secc 8.1 -8.10'!H68</f>
        <v>75000</v>
      </c>
      <c r="L31" s="22">
        <f>+'Secc 8.1 -8.10'!H75</f>
        <v>150000</v>
      </c>
      <c r="M31" s="22">
        <f>+-'Secc 8.1 -8.10'!G82</f>
        <v>-559810.44818596542</v>
      </c>
      <c r="N31" s="22">
        <f>+'Secc 8.1 -8.10'!H89</f>
        <v>100000</v>
      </c>
      <c r="O31" s="22"/>
      <c r="P31" s="22">
        <f t="shared" si="1"/>
        <v>4272548.5518140346</v>
      </c>
    </row>
    <row r="32" spans="1:16" ht="15" customHeight="1" x14ac:dyDescent="0.25">
      <c r="A32" s="26" t="s">
        <v>180</v>
      </c>
      <c r="B32" s="54">
        <f>SUM(B27:B31)</f>
        <v>12130000</v>
      </c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5"/>
      <c r="O32" s="25"/>
      <c r="P32" s="25">
        <f>SUM(P27:P31)</f>
        <v>1241319.5921584964</v>
      </c>
    </row>
    <row r="33" spans="1:16" ht="15" customHeight="1" x14ac:dyDescent="0.25">
      <c r="A33" s="26" t="s">
        <v>181</v>
      </c>
      <c r="B33" s="54">
        <f>+B25+B32</f>
        <v>128130000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5"/>
      <c r="O33" s="25"/>
      <c r="P33" s="25">
        <f>+P25+P32</f>
        <v>132311659</v>
      </c>
    </row>
    <row r="35" spans="1:16" x14ac:dyDescent="0.25">
      <c r="B35" s="14">
        <f>+B15-B33</f>
        <v>0</v>
      </c>
      <c r="C35" s="14">
        <f t="shared" ref="C35:P35" si="2">+C15-C33</f>
        <v>0</v>
      </c>
      <c r="D35" s="14">
        <f t="shared" si="2"/>
        <v>0</v>
      </c>
      <c r="E35" s="14"/>
      <c r="F35" s="14">
        <f t="shared" si="2"/>
        <v>0</v>
      </c>
      <c r="G35" s="14">
        <f t="shared" si="2"/>
        <v>0</v>
      </c>
      <c r="H35" s="14">
        <f t="shared" si="2"/>
        <v>0</v>
      </c>
      <c r="I35" s="14">
        <f t="shared" si="2"/>
        <v>0</v>
      </c>
      <c r="J35" s="14">
        <f t="shared" si="2"/>
        <v>0</v>
      </c>
      <c r="K35" s="14">
        <f t="shared" si="2"/>
        <v>0</v>
      </c>
      <c r="L35" s="14">
        <f t="shared" si="2"/>
        <v>0</v>
      </c>
      <c r="M35" s="14">
        <f t="shared" si="2"/>
        <v>0</v>
      </c>
      <c r="N35" s="14">
        <f t="shared" si="2"/>
        <v>0</v>
      </c>
      <c r="O35" s="14">
        <f t="shared" si="2"/>
        <v>0</v>
      </c>
      <c r="P35" s="14">
        <f t="shared" si="2"/>
        <v>-1891000.299999997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35"/>
  <sheetViews>
    <sheetView topLeftCell="A2" workbookViewId="0">
      <selection activeCell="P2" sqref="P2"/>
    </sheetView>
  </sheetViews>
  <sheetFormatPr baseColWidth="10" defaultRowHeight="15" x14ac:dyDescent="0.25"/>
  <cols>
    <col min="1" max="1" width="21.5703125" customWidth="1"/>
    <col min="2" max="2" width="7.42578125" style="14" customWidth="1"/>
    <col min="3" max="4" width="7.42578125" customWidth="1"/>
    <col min="5" max="5" width="7.42578125" hidden="1" customWidth="1"/>
    <col min="6" max="16" width="7.42578125" customWidth="1"/>
  </cols>
  <sheetData>
    <row r="1" spans="1:16" ht="15" customHeight="1" x14ac:dyDescent="0.25">
      <c r="A1" s="29" t="s">
        <v>323</v>
      </c>
      <c r="B1" s="50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ht="12.75" customHeight="1" x14ac:dyDescent="0.25">
      <c r="A2" s="15" t="s">
        <v>149</v>
      </c>
      <c r="B2" s="51" t="s">
        <v>150</v>
      </c>
      <c r="C2" s="16" t="s">
        <v>151</v>
      </c>
      <c r="D2" s="16" t="s">
        <v>151</v>
      </c>
      <c r="E2" s="16" t="s">
        <v>151</v>
      </c>
      <c r="F2" s="16" t="s">
        <v>151</v>
      </c>
      <c r="G2" s="16" t="s">
        <v>151</v>
      </c>
      <c r="H2" s="16" t="s">
        <v>151</v>
      </c>
      <c r="I2" s="16" t="s">
        <v>151</v>
      </c>
      <c r="J2" s="16" t="s">
        <v>151</v>
      </c>
      <c r="K2" s="16" t="s">
        <v>151</v>
      </c>
      <c r="L2" s="16" t="s">
        <v>151</v>
      </c>
      <c r="M2" s="16" t="s">
        <v>151</v>
      </c>
      <c r="N2" s="16" t="s">
        <v>151</v>
      </c>
      <c r="O2" s="16" t="s">
        <v>151</v>
      </c>
      <c r="P2" s="8" t="s">
        <v>100</v>
      </c>
    </row>
    <row r="3" spans="1:16" ht="11.25" customHeight="1" x14ac:dyDescent="0.25">
      <c r="A3" s="17" t="s">
        <v>152</v>
      </c>
      <c r="B3" s="52" t="s">
        <v>153</v>
      </c>
      <c r="C3" s="18">
        <v>8.1</v>
      </c>
      <c r="D3" s="18">
        <v>8.1999999999999993</v>
      </c>
      <c r="E3" s="18" t="s">
        <v>183</v>
      </c>
      <c r="F3" s="18">
        <v>8.3000000000000007</v>
      </c>
      <c r="G3" s="18">
        <v>8.4</v>
      </c>
      <c r="H3" s="18">
        <v>8.5</v>
      </c>
      <c r="I3" s="18" t="s">
        <v>117</v>
      </c>
      <c r="J3" s="18" t="s">
        <v>118</v>
      </c>
      <c r="K3" s="18" t="s">
        <v>119</v>
      </c>
      <c r="L3" s="18" t="s">
        <v>120</v>
      </c>
      <c r="M3" s="18">
        <v>8.6999999999999993</v>
      </c>
      <c r="N3" s="18">
        <v>8.8000000000000007</v>
      </c>
      <c r="O3" s="18">
        <v>8.9</v>
      </c>
      <c r="P3" s="9" t="s">
        <v>154</v>
      </c>
    </row>
    <row r="4" spans="1:16" ht="12" customHeight="1" x14ac:dyDescent="0.25">
      <c r="A4" s="19" t="s">
        <v>155</v>
      </c>
      <c r="B4" s="91" t="s">
        <v>302</v>
      </c>
      <c r="C4" s="91" t="s">
        <v>302</v>
      </c>
      <c r="D4" s="91" t="s">
        <v>302</v>
      </c>
      <c r="E4" s="91" t="s">
        <v>302</v>
      </c>
      <c r="F4" s="91" t="s">
        <v>302</v>
      </c>
      <c r="G4" s="91" t="s">
        <v>302</v>
      </c>
      <c r="H4" s="91" t="s">
        <v>302</v>
      </c>
      <c r="I4" s="91" t="s">
        <v>302</v>
      </c>
      <c r="J4" s="91" t="s">
        <v>302</v>
      </c>
      <c r="K4" s="91" t="s">
        <v>302</v>
      </c>
      <c r="L4" s="91" t="s">
        <v>302</v>
      </c>
      <c r="M4" s="91" t="s">
        <v>302</v>
      </c>
      <c r="N4" s="91" t="s">
        <v>302</v>
      </c>
      <c r="O4" s="91" t="s">
        <v>302</v>
      </c>
      <c r="P4" s="91" t="s">
        <v>302</v>
      </c>
    </row>
    <row r="5" spans="1:16" ht="12" customHeight="1" x14ac:dyDescent="0.25">
      <c r="A5" s="21" t="s">
        <v>156</v>
      </c>
      <c r="B5" s="49">
        <f>ROUND('Secc 9.3'!B6/1000,0)</f>
        <v>85030</v>
      </c>
      <c r="C5" s="49">
        <f>ROUND('Secc 9.3'!C6/1000,0)</f>
        <v>0</v>
      </c>
      <c r="D5" s="49">
        <f>ROUND('Secc 9.3'!D6/1000,0)</f>
        <v>0</v>
      </c>
      <c r="E5" s="49">
        <f>ROUND('Secc 9.3'!E6/1000,0)</f>
        <v>0</v>
      </c>
      <c r="F5" s="49">
        <f>ROUND('Secc 9.3'!F6/1000,0)</f>
        <v>0</v>
      </c>
      <c r="G5" s="49">
        <f>ROUND('Secc 9.3'!G6/1000,0)</f>
        <v>0</v>
      </c>
      <c r="H5" s="49">
        <f>ROUND('Secc 9.3'!H6/1000,0)</f>
        <v>0</v>
      </c>
      <c r="I5" s="49">
        <f>ROUND('Secc 9.3'!I6/1000,0)</f>
        <v>0</v>
      </c>
      <c r="J5" s="49">
        <f>ROUND('Secc 9.3'!J6/1000,0)</f>
        <v>0</v>
      </c>
      <c r="K5" s="49">
        <f>ROUND('Secc 9.3'!K6/1000,0)</f>
        <v>0</v>
      </c>
      <c r="L5" s="49">
        <f>ROUND('Secc 9.3'!L6/1000,0)</f>
        <v>0</v>
      </c>
      <c r="M5" s="49">
        <f>ROUND('Secc 9.3'!M6/1000,0)</f>
        <v>0</v>
      </c>
      <c r="N5" s="49">
        <f>ROUND('Secc 9.3'!N6/1000,0)</f>
        <v>0</v>
      </c>
      <c r="O5" s="49">
        <f>ROUND('Secc 9.3'!O6/1000,0)</f>
        <v>0</v>
      </c>
      <c r="P5" s="22">
        <f>SUM(B5:O5)</f>
        <v>85030</v>
      </c>
    </row>
    <row r="6" spans="1:16" ht="12" customHeight="1" x14ac:dyDescent="0.25">
      <c r="A6" s="21" t="s">
        <v>157</v>
      </c>
      <c r="B6" s="49">
        <f>ROUND('Secc 9.3'!B7/1000,0)</f>
        <v>3000</v>
      </c>
      <c r="C6" s="49">
        <f>ROUND('Secc 9.3'!C7/1000,0)</f>
        <v>0</v>
      </c>
      <c r="D6" s="49">
        <f>ROUND('Secc 9.3'!D7/1000,0)</f>
        <v>0</v>
      </c>
      <c r="E6" s="49">
        <f>ROUND('Secc 9.3'!E7/1000,0)</f>
        <v>0</v>
      </c>
      <c r="F6" s="49">
        <f>ROUND('Secc 9.3'!F7/1000,0)</f>
        <v>0</v>
      </c>
      <c r="G6" s="49">
        <f>ROUND('Secc 9.3'!G7/1000,0)</f>
        <v>0</v>
      </c>
      <c r="H6" s="49">
        <f>ROUND('Secc 9.3'!H7/1000,0)</f>
        <v>0</v>
      </c>
      <c r="I6" s="49">
        <f>ROUND('Secc 9.3'!I7/1000,0)</f>
        <v>0</v>
      </c>
      <c r="J6" s="49">
        <f>ROUND('Secc 9.3'!J7/1000,0)</f>
        <v>0</v>
      </c>
      <c r="K6" s="49">
        <f>ROUND('Secc 9.3'!K7/1000,0)</f>
        <v>0</v>
      </c>
      <c r="L6" s="49">
        <f>ROUND('Secc 9.3'!L7/1000,0)</f>
        <v>0</v>
      </c>
      <c r="M6" s="49">
        <f>ROUND('Secc 9.3'!M7/1000,0)</f>
        <v>0</v>
      </c>
      <c r="N6" s="49">
        <f>ROUND('Secc 9.3'!N7/1000,0)</f>
        <v>0</v>
      </c>
      <c r="O6" s="49">
        <f>ROUND('Secc 9.3'!O7/1000,0)</f>
        <v>0</v>
      </c>
      <c r="P6" s="22">
        <f>SUM(B6:O6)</f>
        <v>3000</v>
      </c>
    </row>
    <row r="7" spans="1:16" ht="12" customHeight="1" x14ac:dyDescent="0.25">
      <c r="A7" s="21" t="s">
        <v>158</v>
      </c>
      <c r="B7" s="49">
        <f>ROUND('Secc 9.3'!B8/1000,0)</f>
        <v>6000</v>
      </c>
      <c r="C7" s="49">
        <f>ROUND('Secc 9.3'!C8/1000,0)</f>
        <v>0</v>
      </c>
      <c r="D7" s="49">
        <f>ROUND('Secc 9.3'!D8/1000,0)</f>
        <v>0</v>
      </c>
      <c r="E7" s="49">
        <f>ROUND('Secc 9.3'!E8/1000,0)</f>
        <v>0</v>
      </c>
      <c r="F7" s="49">
        <f>ROUND('Secc 9.3'!F8/1000,0)</f>
        <v>0</v>
      </c>
      <c r="G7" s="49">
        <f>ROUND('Secc 9.3'!G8/1000,0)</f>
        <v>0</v>
      </c>
      <c r="H7" s="22">
        <f>ROUND('Secc 9.3'!H8/1000,0)</f>
        <v>-1000</v>
      </c>
      <c r="I7" s="49">
        <f>ROUND('Secc 9.3'!I8/1000,0)</f>
        <v>0</v>
      </c>
      <c r="J7" s="49">
        <f>ROUND('Secc 9.3'!J8/1000,0)</f>
        <v>0</v>
      </c>
      <c r="K7" s="49">
        <f>ROUND('Secc 9.3'!K8/1000,0)</f>
        <v>0</v>
      </c>
      <c r="L7" s="49">
        <f>ROUND('Secc 9.3'!L8/1000,0)</f>
        <v>0</v>
      </c>
      <c r="M7" s="49">
        <f>ROUND('Secc 9.3'!M8/1000,0)</f>
        <v>0</v>
      </c>
      <c r="N7" s="49">
        <f>ROUND('Secc 9.3'!N8/1000,0)</f>
        <v>0</v>
      </c>
      <c r="O7" s="49">
        <f>ROUND('Secc 9.3'!O8/1000,0)</f>
        <v>0</v>
      </c>
      <c r="P7" s="22">
        <f>SUM(B7:O7)</f>
        <v>5000</v>
      </c>
    </row>
    <row r="8" spans="1:16" ht="12" customHeight="1" x14ac:dyDescent="0.25">
      <c r="A8" s="23" t="s">
        <v>159</v>
      </c>
      <c r="B8" s="49">
        <f>ROUND('Secc 9.3'!B9/1000,0)</f>
        <v>26000</v>
      </c>
      <c r="C8" s="49">
        <f>ROUND('Secc 9.3'!C9/1000,0)</f>
        <v>0</v>
      </c>
      <c r="D8" s="49">
        <f>ROUND('Secc 9.3'!D9/1000,0)</f>
        <v>0</v>
      </c>
      <c r="E8" s="49">
        <f>ROUND('Secc 9.3'!E9/1000,0)</f>
        <v>0</v>
      </c>
      <c r="F8" s="49">
        <f>ROUND('Secc 9.3'!F9/1000,0)</f>
        <v>0</v>
      </c>
      <c r="G8" s="49">
        <f>ROUND('Secc 9.3'!G9/1000,0)</f>
        <v>0</v>
      </c>
      <c r="H8" s="49">
        <f>ROUND('Secc 9.3'!H9/1000,0)</f>
        <v>0</v>
      </c>
      <c r="I8" s="49">
        <f>ROUND('Secc 9.3'!I9/1000,0)</f>
        <v>0</v>
      </c>
      <c r="J8" s="49">
        <f>ROUND('Secc 9.3'!J9/1000,0)</f>
        <v>0</v>
      </c>
      <c r="K8" s="49">
        <f>ROUND('Secc 9.3'!K9/1000,0)</f>
        <v>0</v>
      </c>
      <c r="L8" s="49">
        <f>ROUND('Secc 9.3'!L9/1000,0)</f>
        <v>0</v>
      </c>
      <c r="M8" s="49">
        <f>ROUND('Secc 9.3'!M9/1000,0)</f>
        <v>0</v>
      </c>
      <c r="N8" s="49">
        <f>ROUND('Secc 9.3'!N9/1000,0)</f>
        <v>0</v>
      </c>
      <c r="O8" s="49">
        <f>ROUND('Secc 9.3'!O9/1000,0)</f>
        <v>0</v>
      </c>
      <c r="P8" s="24">
        <f>SUM(B8:O8)</f>
        <v>26000</v>
      </c>
    </row>
    <row r="9" spans="1:16" ht="12" customHeight="1" x14ac:dyDescent="0.25">
      <c r="A9" s="5" t="s">
        <v>160</v>
      </c>
      <c r="B9" s="54">
        <f>SUM(B5:B8)</f>
        <v>120030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>
        <f>SUM(P5:P8)</f>
        <v>119030</v>
      </c>
    </row>
    <row r="10" spans="1:16" ht="12" customHeight="1" x14ac:dyDescent="0.25">
      <c r="A10" s="21" t="s">
        <v>161</v>
      </c>
      <c r="B10" s="49">
        <f>ROUND('Secc 9.3'!B11/1000,0)</f>
        <v>0</v>
      </c>
      <c r="C10" s="49">
        <f>ROUND('Secc 9.3'!C11/1000,0)</f>
        <v>0</v>
      </c>
      <c r="D10" s="49">
        <f>ROUND('Secc 9.3'!D11/1000,0)</f>
        <v>0</v>
      </c>
      <c r="E10" s="49">
        <f>ROUND('Secc 9.3'!E11/1000,0)</f>
        <v>0</v>
      </c>
      <c r="F10" s="49">
        <f>ROUND('Secc 9.3'!F11/1000,0)</f>
        <v>0</v>
      </c>
      <c r="G10" s="49">
        <f>ROUND('Secc 9.3'!G11/1000,0)</f>
        <v>0</v>
      </c>
      <c r="H10" s="49">
        <f>ROUND('Secc 9.3'!H11/1000,0)</f>
        <v>0</v>
      </c>
      <c r="I10" s="49">
        <f>ROUND('Secc 9.3'!I11/1000,0)</f>
        <v>400</v>
      </c>
      <c r="J10" s="49">
        <f>ROUND('Secc 9.3'!J11/1000,0)</f>
        <v>0</v>
      </c>
      <c r="K10" s="49">
        <f>ROUND('Secc 9.3'!K11/1000,0)</f>
        <v>0</v>
      </c>
      <c r="L10" s="49">
        <f>ROUND('Secc 9.3'!L11/1000,0)</f>
        <v>0</v>
      </c>
      <c r="M10" s="49">
        <f>ROUND('Secc 9.3'!M11/1000,0)</f>
        <v>0</v>
      </c>
      <c r="N10" s="49">
        <f>ROUND('Secc 9.3'!N11/1000,0)</f>
        <v>700</v>
      </c>
      <c r="O10" s="49">
        <f>ROUND('Secc 9.3'!O11/1000,0)</f>
        <v>0</v>
      </c>
      <c r="P10" s="22">
        <f>SUM(B10:O10)</f>
        <v>1100</v>
      </c>
    </row>
    <row r="11" spans="1:16" ht="12" customHeight="1" x14ac:dyDescent="0.25">
      <c r="A11" s="21" t="s">
        <v>162</v>
      </c>
      <c r="B11" s="49">
        <f>ROUND('Secc 9.3'!B12/1000,0)</f>
        <v>7500</v>
      </c>
      <c r="C11" s="49">
        <f>ROUND('Secc 9.3'!C12/1000,0)</f>
        <v>0</v>
      </c>
      <c r="D11" s="49">
        <f>ROUND('Secc 9.3'!D12/1000,0)</f>
        <v>9600</v>
      </c>
      <c r="E11" s="49">
        <f>ROUND('Secc 9.3'!E12/1000,0)</f>
        <v>0</v>
      </c>
      <c r="F11" s="49">
        <f>ROUND('Secc 9.3'!F12/1000,0)</f>
        <v>0</v>
      </c>
      <c r="G11" s="49">
        <f>ROUND('Secc 9.3'!G12/1000,0)</f>
        <v>0</v>
      </c>
      <c r="H11" s="49">
        <f>ROUND('Secc 9.3'!H12/1000,0)</f>
        <v>0</v>
      </c>
      <c r="I11" s="22">
        <f>ROUND('Secc 9.3'!I12/1000,0)</f>
        <v>-400</v>
      </c>
      <c r="J11" s="49">
        <f>ROUND('Secc 9.3'!J12/1000,0)</f>
        <v>600</v>
      </c>
      <c r="K11" s="49">
        <f>ROUND('Secc 9.3'!K12/1000,0)</f>
        <v>825</v>
      </c>
      <c r="L11" s="49">
        <f>ROUND('Secc 9.3'!L12/1000,0)</f>
        <v>900</v>
      </c>
      <c r="M11" s="49">
        <f>ROUND('Secc 9.3'!M12/1000,0)</f>
        <v>0</v>
      </c>
      <c r="N11" s="49">
        <f>ROUND('Secc 9.3'!N12/1000,0)</f>
        <v>0</v>
      </c>
      <c r="O11" s="49">
        <f>ROUND('Secc 9.3'!O12/1000,0)</f>
        <v>0</v>
      </c>
      <c r="P11" s="22">
        <f>SUM(B11:O11)</f>
        <v>19025</v>
      </c>
    </row>
    <row r="12" spans="1:16" ht="12" customHeight="1" x14ac:dyDescent="0.25">
      <c r="A12" s="21" t="s">
        <v>163</v>
      </c>
      <c r="B12" s="49">
        <f>ROUND('Secc 9.3'!B13/1000,0)</f>
        <v>0</v>
      </c>
      <c r="C12" s="49">
        <f>ROUND('Secc 9.3'!C13/1000,0)-1</f>
        <v>865</v>
      </c>
      <c r="D12" s="49">
        <f>ROUND('Secc 9.3'!D13/1000,0)</f>
        <v>0</v>
      </c>
      <c r="E12" s="49">
        <f>ROUND('Secc 9.3'!E13/1000,0)</f>
        <v>0</v>
      </c>
      <c r="F12" s="49">
        <f>ROUND('Secc 9.3'!F13/1000,0)</f>
        <v>0</v>
      </c>
      <c r="G12" s="49">
        <f>ROUND('Secc 9.3'!G13/1000,0)</f>
        <v>0</v>
      </c>
      <c r="H12" s="49">
        <f>ROUND('Secc 9.3'!H13/1000,0)</f>
        <v>0</v>
      </c>
      <c r="I12" s="49">
        <f>ROUND('Secc 9.3'!I13/1000,0)</f>
        <v>0</v>
      </c>
      <c r="J12" s="49">
        <f>ROUND('Secc 9.3'!J13/1000,0)</f>
        <v>0</v>
      </c>
      <c r="K12" s="49">
        <f>ROUND('Secc 9.3'!K13/1000,0)</f>
        <v>0</v>
      </c>
      <c r="L12" s="49">
        <f>ROUND('Secc 9.3'!L13/1000,0)</f>
        <v>0</v>
      </c>
      <c r="M12" s="49">
        <f>ROUND('Secc 9.3'!M13/1000,0)</f>
        <v>0</v>
      </c>
      <c r="N12" s="49">
        <f>ROUND('Secc 9.3'!N13/1000,0)</f>
        <v>0</v>
      </c>
      <c r="O12" s="49">
        <f>ROUND('Secc 9.3'!O13/1000,0)</f>
        <v>0</v>
      </c>
      <c r="P12" s="22">
        <f>SUM(B12:O12)</f>
        <v>865</v>
      </c>
    </row>
    <row r="13" spans="1:16" ht="12" customHeight="1" x14ac:dyDescent="0.25">
      <c r="A13" s="23" t="s">
        <v>164</v>
      </c>
      <c r="B13" s="49">
        <f>ROUND('Secc 9.3'!B14/1000,0)</f>
        <v>600</v>
      </c>
      <c r="C13" s="49">
        <f>ROUND('Secc 9.3'!C14/1000,0)</f>
        <v>0</v>
      </c>
      <c r="D13" s="49">
        <f>ROUND('Secc 9.3'!D14/1000,0)</f>
        <v>0</v>
      </c>
      <c r="E13" s="49">
        <f>ROUND('Secc 9.3'!E14/1000,0)</f>
        <v>0</v>
      </c>
      <c r="F13" s="49">
        <f>ROUND('Secc 9.3'!F14/1000,0)</f>
        <v>0</v>
      </c>
      <c r="G13" s="24">
        <f>ROUND('Secc 9.3'!G14/1000,0)</f>
        <v>-600</v>
      </c>
      <c r="H13" s="49">
        <f>ROUND('Secc 9.3'!H14/1000,0)</f>
        <v>0</v>
      </c>
      <c r="I13" s="49">
        <f>ROUND('Secc 9.3'!I14/1000,0)</f>
        <v>0</v>
      </c>
      <c r="J13" s="49">
        <f>ROUND('Secc 9.3'!J14/1000,0)</f>
        <v>0</v>
      </c>
      <c r="K13" s="49">
        <f>ROUND('Secc 9.3'!K14/1000,0)</f>
        <v>0</v>
      </c>
      <c r="L13" s="49">
        <f>ROUND('Secc 9.3'!L14/1000,0)</f>
        <v>0</v>
      </c>
      <c r="M13" s="49">
        <f>ROUND('Secc 9.3'!M14/1000,0)</f>
        <v>0</v>
      </c>
      <c r="N13" s="49">
        <f>ROUND('Secc 9.3'!N14/1000,0)</f>
        <v>0</v>
      </c>
      <c r="O13" s="49">
        <f>ROUND('Secc 9.3'!O14/1000,0)</f>
        <v>0</v>
      </c>
      <c r="P13" s="30">
        <f>SUM(B13:O13)</f>
        <v>0</v>
      </c>
    </row>
    <row r="14" spans="1:16" ht="12" customHeight="1" x14ac:dyDescent="0.25">
      <c r="A14" s="26" t="s">
        <v>165</v>
      </c>
      <c r="B14" s="54">
        <f>SUM(B10:B13)</f>
        <v>8100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5">
        <f>SUM(P10:P13)</f>
        <v>20990</v>
      </c>
    </row>
    <row r="15" spans="1:16" ht="12" customHeight="1" x14ac:dyDescent="0.25">
      <c r="A15" s="5" t="s">
        <v>166</v>
      </c>
      <c r="B15" s="54">
        <f>+B9+B14</f>
        <v>128130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>
        <f>+P9+P14</f>
        <v>140020</v>
      </c>
    </row>
    <row r="16" spans="1:16" ht="2.25" customHeight="1" x14ac:dyDescent="0.25">
      <c r="A16" s="21"/>
      <c r="B16" s="49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</row>
    <row r="17" spans="1:16" ht="12" customHeight="1" x14ac:dyDescent="0.25">
      <c r="A17" s="28" t="s">
        <v>167</v>
      </c>
      <c r="B17" s="49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</row>
    <row r="18" spans="1:16" ht="12" customHeight="1" x14ac:dyDescent="0.25">
      <c r="A18" s="21" t="s">
        <v>168</v>
      </c>
      <c r="B18" s="49">
        <f>ROUND('Secc 9.3'!B19/1000,0)</f>
        <v>10000</v>
      </c>
      <c r="C18" s="49">
        <f>ROUND('Secc 9.3'!C19/1000,0)</f>
        <v>0</v>
      </c>
      <c r="D18" s="49">
        <f>ROUND('Secc 9.3'!D19/1000,0)</f>
        <v>0</v>
      </c>
      <c r="E18" s="49">
        <f>ROUND('Secc 9.3'!E19/1000,0)</f>
        <v>0</v>
      </c>
      <c r="F18" s="49">
        <f>ROUND('Secc 9.3'!F19/1000,0)</f>
        <v>0</v>
      </c>
      <c r="G18" s="49">
        <f>ROUND('Secc 9.3'!G19/1000,0)</f>
        <v>0</v>
      </c>
      <c r="H18" s="49">
        <f>ROUND('Secc 9.3'!H19/1000,0)</f>
        <v>0</v>
      </c>
      <c r="I18" s="49">
        <f>ROUND('Secc 9.3'!I19/1000,0)</f>
        <v>0</v>
      </c>
      <c r="J18" s="49">
        <f>ROUND('Secc 9.3'!J19/1000,0)</f>
        <v>0</v>
      </c>
      <c r="K18" s="49">
        <f>ROUND('Secc 9.3'!K19/1000,0)</f>
        <v>0</v>
      </c>
      <c r="L18" s="49">
        <f>ROUND('Secc 9.3'!L19/1000,0)</f>
        <v>0</v>
      </c>
      <c r="M18" s="49">
        <f>ROUND('Secc 9.3'!M19/1000,0)</f>
        <v>0</v>
      </c>
      <c r="N18" s="49">
        <f>ROUND('Secc 9.3'!N19/1000,0)</f>
        <v>0</v>
      </c>
      <c r="O18" s="49">
        <f>ROUND('Secc 9.3'!O19/1000,0)</f>
        <v>0</v>
      </c>
      <c r="P18" s="22">
        <f t="shared" ref="P18:P23" si="0">SUM(B18:O18)</f>
        <v>10000</v>
      </c>
    </row>
    <row r="19" spans="1:16" ht="12" customHeight="1" x14ac:dyDescent="0.25">
      <c r="A19" s="21" t="s">
        <v>169</v>
      </c>
      <c r="B19" s="49">
        <f>ROUND('Secc 9.3'!B20/1000,0)</f>
        <v>0</v>
      </c>
      <c r="C19" s="49">
        <f>ROUND('Secc 9.3'!C20/1000,0)</f>
        <v>0</v>
      </c>
      <c r="D19" s="49">
        <f>ROUND('Secc 9.3'!D20/1000,0)</f>
        <v>0</v>
      </c>
      <c r="E19" s="49">
        <f>ROUND('Secc 9.3'!E20/1000,0)</f>
        <v>0</v>
      </c>
      <c r="F19" s="49">
        <f>ROUND('Secc 9.3'!F20/1000,0)</f>
        <v>0</v>
      </c>
      <c r="G19" s="49">
        <f>ROUND('Secc 9.3'!G20/1000,0)</f>
        <v>0</v>
      </c>
      <c r="H19" s="49">
        <f>ROUND('Secc 9.3'!H20/1000,0)</f>
        <v>0</v>
      </c>
      <c r="I19" s="49">
        <f>ROUND('Secc 9.3'!I20/1000,0)</f>
        <v>0</v>
      </c>
      <c r="J19" s="49">
        <f>ROUND('Secc 9.3'!J20/1000,0)</f>
        <v>0</v>
      </c>
      <c r="K19" s="49">
        <f>ROUND('Secc 9.3'!K20/1000,0)</f>
        <v>0</v>
      </c>
      <c r="L19" s="49">
        <f>ROUND('Secc 9.3'!L20/1000,0)</f>
        <v>0</v>
      </c>
      <c r="M19" s="49">
        <f>ROUND('Secc 9.3'!M20/1000,0)</f>
        <v>0</v>
      </c>
      <c r="N19" s="49">
        <f>ROUND('Secc 9.3'!N20/1000,0)</f>
        <v>0</v>
      </c>
      <c r="O19" s="49">
        <f>ROUND('Secc 9.3'!O20/1000,0)</f>
        <v>3200</v>
      </c>
      <c r="P19" s="22">
        <f t="shared" si="0"/>
        <v>3200</v>
      </c>
    </row>
    <row r="20" spans="1:16" ht="12" customHeight="1" x14ac:dyDescent="0.25">
      <c r="A20" s="21" t="s">
        <v>170</v>
      </c>
      <c r="B20" s="49">
        <f>ROUND('Secc 9.3'!B21/1000,0)</f>
        <v>6000</v>
      </c>
      <c r="C20" s="49">
        <f>ROUND('Secc 9.3'!C21/1000,0)</f>
        <v>0</v>
      </c>
      <c r="D20" s="49">
        <f>ROUND('Secc 9.3'!D21/1000,0)</f>
        <v>0</v>
      </c>
      <c r="E20" s="49">
        <f>ROUND('Secc 9.3'!E21/1000,0)</f>
        <v>0</v>
      </c>
      <c r="F20" s="49">
        <f>ROUND('Secc 9.3'!F21/1000,0)</f>
        <v>2400</v>
      </c>
      <c r="G20" s="49">
        <f>ROUND('Secc 9.3'!G21/1000,0)</f>
        <v>0</v>
      </c>
      <c r="H20" s="49">
        <f>ROUND('Secc 9.3'!H21/1000,0)</f>
        <v>0</v>
      </c>
      <c r="I20" s="49">
        <f>ROUND('Secc 9.3'!I21/1000,0)</f>
        <v>0</v>
      </c>
      <c r="J20" s="49">
        <f>ROUND('Secc 9.3'!J21/1000,0)</f>
        <v>0</v>
      </c>
      <c r="K20" s="49">
        <f>ROUND('Secc 9.3'!K21/1000,0)</f>
        <v>0</v>
      </c>
      <c r="L20" s="49">
        <f>ROUND('Secc 9.3'!L21/1000,0)</f>
        <v>0</v>
      </c>
      <c r="M20" s="49">
        <f>ROUND('Secc 9.3'!M21/1000,0)</f>
        <v>0</v>
      </c>
      <c r="N20" s="49">
        <f>ROUND('Secc 9.3'!N21/1000,0)</f>
        <v>0</v>
      </c>
      <c r="O20" s="22">
        <f>ROUND('Secc 9.3'!O21/1000,0)</f>
        <v>-3200</v>
      </c>
      <c r="P20" s="22">
        <f t="shared" si="0"/>
        <v>5200</v>
      </c>
    </row>
    <row r="21" spans="1:16" ht="12" customHeight="1" x14ac:dyDescent="0.25">
      <c r="A21" s="5" t="s">
        <v>171</v>
      </c>
      <c r="B21" s="54">
        <f>SUM(B18:B20)</f>
        <v>16000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5">
        <f>SUM(P18:P20)</f>
        <v>18400</v>
      </c>
    </row>
    <row r="22" spans="1:16" ht="12" customHeight="1" x14ac:dyDescent="0.25">
      <c r="A22" s="21" t="s">
        <v>172</v>
      </c>
      <c r="B22" s="49">
        <f>ROUND('Secc 9.3'!B23/1000,0)</f>
        <v>0</v>
      </c>
      <c r="C22" s="49">
        <f>ROUND('Secc 9.3'!C23/1000,0)</f>
        <v>0</v>
      </c>
      <c r="D22" s="49">
        <f>ROUND('Secc 9.3'!D23/1000,0)</f>
        <v>14586</v>
      </c>
      <c r="E22" s="49">
        <f>ROUND('Secc 9.3'!E23/1000,0)</f>
        <v>0</v>
      </c>
      <c r="F22" s="49">
        <f>ROUND('Secc 9.3'!F23/1000,0)</f>
        <v>0</v>
      </c>
      <c r="G22" s="49">
        <f>ROUND('Secc 9.3'!G23/1000,0)</f>
        <v>0</v>
      </c>
      <c r="H22" s="49">
        <f>ROUND('Secc 9.3'!H23/1000,0)</f>
        <v>0</v>
      </c>
      <c r="I22" s="49">
        <f>ROUND('Secc 9.3'!I23/1000,0)</f>
        <v>0</v>
      </c>
      <c r="J22" s="49">
        <f>ROUND('Secc 9.3'!J23/1000,0)</f>
        <v>0</v>
      </c>
      <c r="K22" s="49">
        <f>ROUND('Secc 9.3'!K23/1000,0)</f>
        <v>0</v>
      </c>
      <c r="L22" s="49">
        <f>ROUND('Secc 9.3'!L23/1000,0)</f>
        <v>0</v>
      </c>
      <c r="M22" s="49">
        <f>ROUND('Secc 9.3'!M23/1000,0)</f>
        <v>0</v>
      </c>
      <c r="N22" s="49">
        <f>ROUND('Secc 9.3'!N23/1000,0)</f>
        <v>0</v>
      </c>
      <c r="O22" s="49">
        <f>ROUND('Secc 9.3'!O23/1000,0)</f>
        <v>0</v>
      </c>
      <c r="P22" s="22">
        <f t="shared" si="0"/>
        <v>14586</v>
      </c>
    </row>
    <row r="23" spans="1:16" ht="12" customHeight="1" x14ac:dyDescent="0.25">
      <c r="A23" s="21" t="s">
        <v>173</v>
      </c>
      <c r="B23" s="49">
        <f>ROUND('Secc 9.3'!B24/1000,0)</f>
        <v>100000</v>
      </c>
      <c r="C23" s="49">
        <f>ROUND('Secc 9.3'!C24/1000,0)</f>
        <v>0</v>
      </c>
      <c r="D23" s="49">
        <f>ROUND('Secc 9.3'!D24/1000,0)</f>
        <v>0</v>
      </c>
      <c r="E23" s="49">
        <f>ROUND('Secc 9.3'!E24/1000,0)</f>
        <v>0</v>
      </c>
      <c r="F23" s="49">
        <f>ROUND('Secc 9.3'!F24/1000,0)</f>
        <v>0</v>
      </c>
      <c r="G23" s="49">
        <f>ROUND('Secc 9.3'!G24/1000,0)</f>
        <v>0</v>
      </c>
      <c r="H23" s="49">
        <f>ROUND('Secc 9.3'!H24/1000,0)</f>
        <v>0</v>
      </c>
      <c r="I23" s="49">
        <f>ROUND('Secc 9.3'!I24/1000,0)</f>
        <v>0</v>
      </c>
      <c r="J23" s="49">
        <f>ROUND('Secc 9.3'!J24/1000,0)</f>
        <v>0</v>
      </c>
      <c r="K23" s="49">
        <f>ROUND('Secc 9.3'!K24/1000,0)</f>
        <v>0</v>
      </c>
      <c r="L23" s="49">
        <f>ROUND('Secc 9.3'!L24/1000,0)</f>
        <v>0</v>
      </c>
      <c r="M23" s="22">
        <f>ROUND('Secc 9.3'!M24/1000,0)+1</f>
        <v>-1915</v>
      </c>
      <c r="N23" s="49">
        <f>ROUND('Secc 9.3'!N24/1000,0)</f>
        <v>0</v>
      </c>
      <c r="O23" s="49">
        <f>ROUND('Secc 9.3'!O24/1000,0)</f>
        <v>0</v>
      </c>
      <c r="P23" s="22">
        <f t="shared" si="0"/>
        <v>98085</v>
      </c>
    </row>
    <row r="24" spans="1:16" ht="12" customHeight="1" x14ac:dyDescent="0.25">
      <c r="A24" s="5" t="s">
        <v>174</v>
      </c>
      <c r="B24" s="54">
        <f>SUM(B22:B23)</f>
        <v>100000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>
        <f>SUM(P22:P23)</f>
        <v>112671</v>
      </c>
    </row>
    <row r="25" spans="1:16" ht="12" customHeight="1" x14ac:dyDescent="0.25">
      <c r="A25" s="5" t="s">
        <v>175</v>
      </c>
      <c r="B25" s="54">
        <f>+B21+B24</f>
        <v>116000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>
        <f>+P21+P24</f>
        <v>131071</v>
      </c>
    </row>
    <row r="26" spans="1:16" ht="1.5" customHeight="1" x14ac:dyDescent="0.25">
      <c r="A26" s="21"/>
      <c r="B26" s="49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6" ht="12" customHeight="1" x14ac:dyDescent="0.25">
      <c r="A27" s="21" t="s">
        <v>176</v>
      </c>
      <c r="B27" s="49">
        <f>ROUND('Secc 9.3'!B28/1000,0)</f>
        <v>4022</v>
      </c>
      <c r="C27" s="49">
        <f>ROUND('Secc 9.3'!C28/1000,0)</f>
        <v>0</v>
      </c>
      <c r="D27" s="49">
        <f>ROUND('Secc 9.3'!D28/1000,0)</f>
        <v>0</v>
      </c>
      <c r="E27" s="49">
        <f>ROUND('Secc 9.3'!E28/1000,0)</f>
        <v>0</v>
      </c>
      <c r="F27" s="49">
        <f>ROUND('Secc 9.3'!F28/1000,0)</f>
        <v>0</v>
      </c>
      <c r="G27" s="49">
        <f>ROUND('Secc 9.3'!G28/1000,0)</f>
        <v>0</v>
      </c>
      <c r="H27" s="49">
        <f>ROUND('Secc 9.3'!H28/1000,0)</f>
        <v>0</v>
      </c>
      <c r="I27" s="49">
        <f>ROUND('Secc 9.3'!I28/1000,0)</f>
        <v>0</v>
      </c>
      <c r="J27" s="49">
        <f>ROUND('Secc 9.3'!J28/1000,0)</f>
        <v>0</v>
      </c>
      <c r="K27" s="49">
        <f>ROUND('Secc 9.3'!K28/1000,0)</f>
        <v>0</v>
      </c>
      <c r="L27" s="49">
        <f>ROUND('Secc 9.3'!L28/1000,0)</f>
        <v>0</v>
      </c>
      <c r="M27" s="49">
        <f>ROUND('Secc 9.3'!M28/1000,0)</f>
        <v>0</v>
      </c>
      <c r="N27" s="49">
        <f>ROUND('Secc 9.3'!N28/1000,0)</f>
        <v>0</v>
      </c>
      <c r="O27" s="49">
        <f>ROUND('Secc 9.3'!O28/1000,0)</f>
        <v>0</v>
      </c>
      <c r="P27" s="22">
        <f t="shared" ref="P27:P31" si="1">SUM(B27:O27)</f>
        <v>4022</v>
      </c>
    </row>
    <row r="28" spans="1:16" ht="12" customHeight="1" x14ac:dyDescent="0.25">
      <c r="A28" s="21" t="s">
        <v>177</v>
      </c>
      <c r="B28" s="49">
        <f>ROUND('Secc 9.3'!B29/1000,0)</f>
        <v>1786</v>
      </c>
      <c r="C28" s="49">
        <f>ROUND('Secc 9.3'!C29/1000,0)</f>
        <v>0</v>
      </c>
      <c r="D28" s="49">
        <f>ROUND('Secc 9.3'!D29/1000,0)</f>
        <v>0</v>
      </c>
      <c r="E28" s="49">
        <f>ROUND('Secc 9.3'!E29/1000,0)</f>
        <v>0</v>
      </c>
      <c r="F28" s="49">
        <f>ROUND('Secc 9.3'!F29/1000,0)</f>
        <v>0</v>
      </c>
      <c r="G28" s="49">
        <f>ROUND('Secc 9.3'!G29/1000,0)</f>
        <v>0</v>
      </c>
      <c r="H28" s="49">
        <f>ROUND('Secc 9.3'!H29/1000,0)</f>
        <v>0</v>
      </c>
      <c r="I28" s="49">
        <f>ROUND('Secc 9.3'!I29/1000,0)</f>
        <v>0</v>
      </c>
      <c r="J28" s="49">
        <f>ROUND('Secc 9.3'!J29/1000,0)</f>
        <v>0</v>
      </c>
      <c r="K28" s="49">
        <f>ROUND('Secc 9.3'!K29/1000,0)</f>
        <v>0</v>
      </c>
      <c r="L28" s="49">
        <f>ROUND('Secc 9.3'!L29/1000,0)</f>
        <v>0</v>
      </c>
      <c r="M28" s="49">
        <f>ROUND('Secc 9.3'!M29/1000,0)</f>
        <v>0</v>
      </c>
      <c r="N28" s="49">
        <f>ROUND('Secc 9.3'!N29/1000,0)</f>
        <v>0</v>
      </c>
      <c r="O28" s="49">
        <f>ROUND('Secc 9.3'!O29/1000,0)</f>
        <v>0</v>
      </c>
      <c r="P28" s="22">
        <f t="shared" si="1"/>
        <v>1786</v>
      </c>
    </row>
    <row r="29" spans="1:16" ht="12" customHeight="1" x14ac:dyDescent="0.25">
      <c r="A29" s="21" t="s">
        <v>178</v>
      </c>
      <c r="B29" s="49">
        <f>ROUND('Secc 9.3'!B30/1000,0)</f>
        <v>0</v>
      </c>
      <c r="C29" s="49">
        <f>ROUND('Secc 9.3'!C30/1000,0)</f>
        <v>0</v>
      </c>
      <c r="D29" s="49">
        <f>ROUND('Secc 9.3'!D30/1000,0)</f>
        <v>0</v>
      </c>
      <c r="E29" s="49">
        <f>ROUND('Secc 9.3'!E30/1000,0)</f>
        <v>0</v>
      </c>
      <c r="F29" s="49">
        <f>ROUND('Secc 9.3'!F30/1000,0)</f>
        <v>0</v>
      </c>
      <c r="G29" s="49">
        <f>ROUND('Secc 9.3'!G30/1000,0)</f>
        <v>0</v>
      </c>
      <c r="H29" s="49">
        <f>ROUND('Secc 9.3'!H30/1000,0)</f>
        <v>0</v>
      </c>
      <c r="I29" s="49">
        <f>ROUND('Secc 9.3'!I30/1000,0)</f>
        <v>0</v>
      </c>
      <c r="J29" s="49">
        <f>ROUND('Secc 9.3'!J30/1000,0)</f>
        <v>600</v>
      </c>
      <c r="K29" s="49">
        <f>ROUND('Secc 9.3'!K30/1000,0)</f>
        <v>0</v>
      </c>
      <c r="L29" s="49">
        <f>ROUND('Secc 9.3'!L30/1000,0)</f>
        <v>0</v>
      </c>
      <c r="M29" s="49">
        <f>ROUND('Secc 9.3'!M30/1000,0)</f>
        <v>0</v>
      </c>
      <c r="N29" s="49">
        <f>ROUND('Secc 9.3'!N30/1000,0)</f>
        <v>0</v>
      </c>
      <c r="O29" s="49">
        <f>ROUND('Secc 9.3'!O30/1000,0)</f>
        <v>0</v>
      </c>
      <c r="P29" s="22">
        <f t="shared" si="1"/>
        <v>600</v>
      </c>
    </row>
    <row r="30" spans="1:16" ht="12" customHeight="1" x14ac:dyDescent="0.25">
      <c r="A30" s="21" t="s">
        <v>179</v>
      </c>
      <c r="B30" s="49">
        <f>ROUND('Secc 9.3'!B31/1000,0)</f>
        <v>1322</v>
      </c>
      <c r="C30" s="49">
        <f>ROUND('Secc 9.3'!C31/1000,0)</f>
        <v>363</v>
      </c>
      <c r="D30" s="22">
        <f>ROUND('Secc 9.3'!D31/1000,0)</f>
        <v>-3811</v>
      </c>
      <c r="E30" s="49">
        <f>ROUND('Secc 9.3'!E31/1000,0)</f>
        <v>0</v>
      </c>
      <c r="F30" s="22">
        <f>ROUND('Secc 9.3'!F31/1000,0)</f>
        <v>-2000</v>
      </c>
      <c r="G30" s="22">
        <f>ROUND('Secc 9.3'!G31/1000,0)</f>
        <v>-700</v>
      </c>
      <c r="H30" s="22">
        <f>ROUND('Secc 9.3'!H31/1000,0)</f>
        <v>-1000</v>
      </c>
      <c r="I30" s="49">
        <f>ROUND('Secc 9.3'!I31/1000,0)</f>
        <v>0</v>
      </c>
      <c r="J30" s="49">
        <f>ROUND('Secc 9.3'!J31/1000,0)</f>
        <v>0</v>
      </c>
      <c r="K30" s="49">
        <f>ROUND('Secc 9.3'!K31/1000,0)</f>
        <v>750</v>
      </c>
      <c r="L30" s="49">
        <f>ROUND('Secc 9.3'!L31/1000,0)</f>
        <v>750</v>
      </c>
      <c r="M30" s="49">
        <f>ROUND('Secc 9.3'!M31/1000,0)</f>
        <v>2475</v>
      </c>
      <c r="N30" s="49">
        <f>ROUND('Secc 9.3'!N31/1000,0)</f>
        <v>600</v>
      </c>
      <c r="O30" s="49">
        <f>ROUND('Secc 9.3'!O31/1000,0)</f>
        <v>0</v>
      </c>
      <c r="P30" s="22">
        <f t="shared" si="1"/>
        <v>-1251</v>
      </c>
    </row>
    <row r="31" spans="1:16" ht="12" customHeight="1" x14ac:dyDescent="0.25">
      <c r="A31" s="21" t="s">
        <v>184</v>
      </c>
      <c r="B31" s="49">
        <f>ROUND('Secc 9.3'!B32/1000,0)</f>
        <v>5000</v>
      </c>
      <c r="C31" s="49">
        <f>ROUND('Secc 9.3'!C32/1000,0)</f>
        <v>502</v>
      </c>
      <c r="D31" s="22">
        <f>ROUND('Secc 9.3'!D32/1000,0)</f>
        <v>-1175</v>
      </c>
      <c r="E31" s="22">
        <f>ROUND('Secc 9.3'!E32/1000,0)</f>
        <v>0</v>
      </c>
      <c r="F31" s="22">
        <f>ROUND('Secc 9.3'!F32/1000,0)</f>
        <v>-400</v>
      </c>
      <c r="G31" s="49">
        <f>ROUND('Secc 9.3'!G32/1000,0)</f>
        <v>100</v>
      </c>
      <c r="H31" s="49">
        <f>ROUND('Secc 9.3'!H32/1000,0)</f>
        <v>0</v>
      </c>
      <c r="I31" s="49">
        <f>ROUND('Secc 9.3'!I32/1000,0)</f>
        <v>0</v>
      </c>
      <c r="J31" s="49">
        <f>ROUND('Secc 9.3'!J32/1000,0)</f>
        <v>0</v>
      </c>
      <c r="K31" s="49">
        <f>ROUND('Secc 9.3'!K32/1000,0)</f>
        <v>75</v>
      </c>
      <c r="L31" s="49">
        <f>ROUND('Secc 9.3'!L32/1000,0)</f>
        <v>150</v>
      </c>
      <c r="M31" s="22">
        <f>ROUND('Secc 9.3'!M32/1000,0)</f>
        <v>-560</v>
      </c>
      <c r="N31" s="49">
        <f>ROUND('Secc 9.3'!N32/1000,0)</f>
        <v>100</v>
      </c>
      <c r="O31" s="49">
        <f>ROUND('Secc 9.3'!O32/1000,0)</f>
        <v>0</v>
      </c>
      <c r="P31" s="22">
        <f t="shared" si="1"/>
        <v>3792</v>
      </c>
    </row>
    <row r="32" spans="1:16" ht="12" customHeight="1" x14ac:dyDescent="0.25">
      <c r="A32" s="26" t="s">
        <v>180</v>
      </c>
      <c r="B32" s="54">
        <f>SUM(B27:B31)</f>
        <v>12130</v>
      </c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5"/>
      <c r="O32" s="25"/>
      <c r="P32" s="25">
        <f>SUM(P27:P31)</f>
        <v>8949</v>
      </c>
    </row>
    <row r="33" spans="1:16" ht="12" customHeight="1" x14ac:dyDescent="0.25">
      <c r="A33" s="26" t="s">
        <v>181</v>
      </c>
      <c r="B33" s="54">
        <f>+B25+B32</f>
        <v>128130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5"/>
      <c r="O33" s="25"/>
      <c r="P33" s="25">
        <f>+P25+P32</f>
        <v>140020</v>
      </c>
    </row>
    <row r="35" spans="1:16" x14ac:dyDescent="0.25">
      <c r="B35" s="220">
        <f>+B15-B33</f>
        <v>0</v>
      </c>
      <c r="C35" s="14">
        <f>SUM(C18:C31)-SUM(C6:C14)</f>
        <v>0</v>
      </c>
      <c r="D35" s="14">
        <f t="shared" ref="D35:N35" si="2">SUM(D18:D31)-SUM(D6:D14)</f>
        <v>0</v>
      </c>
      <c r="E35" s="14">
        <f t="shared" si="2"/>
        <v>0</v>
      </c>
      <c r="F35" s="14">
        <f t="shared" si="2"/>
        <v>0</v>
      </c>
      <c r="G35" s="14">
        <f t="shared" si="2"/>
        <v>0</v>
      </c>
      <c r="H35" s="14">
        <f t="shared" si="2"/>
        <v>0</v>
      </c>
      <c r="I35" s="14">
        <f t="shared" si="2"/>
        <v>0</v>
      </c>
      <c r="J35" s="14">
        <f t="shared" si="2"/>
        <v>0</v>
      </c>
      <c r="K35" s="14">
        <f t="shared" si="2"/>
        <v>0</v>
      </c>
      <c r="L35" s="14">
        <f t="shared" si="2"/>
        <v>0</v>
      </c>
      <c r="M35" s="14">
        <f t="shared" si="2"/>
        <v>0</v>
      </c>
      <c r="N35" s="14">
        <f t="shared" si="2"/>
        <v>0</v>
      </c>
      <c r="O35" s="14">
        <f>+O16-O33</f>
        <v>0</v>
      </c>
      <c r="P35" s="220">
        <f>+P15-P33</f>
        <v>0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4"/>
  <sheetViews>
    <sheetView topLeftCell="D11" workbookViewId="0">
      <selection activeCell="O45" sqref="A45:XFD1048576"/>
    </sheetView>
  </sheetViews>
  <sheetFormatPr baseColWidth="10" defaultColWidth="0" defaultRowHeight="15" zeroHeight="1" x14ac:dyDescent="0.25"/>
  <cols>
    <col min="1" max="1" width="26.7109375" customWidth="1"/>
    <col min="2" max="2" width="10.7109375" bestFit="1" customWidth="1"/>
    <col min="3" max="3" width="8.28515625" customWidth="1"/>
    <col min="4" max="4" width="9" customWidth="1"/>
    <col min="5" max="5" width="8.7109375" hidden="1" customWidth="1"/>
    <col min="6" max="6" width="9" bestFit="1" customWidth="1"/>
    <col min="7" max="9" width="8.7109375" customWidth="1"/>
    <col min="10" max="10" width="8.140625" customWidth="1"/>
    <col min="11" max="11" width="8.7109375" customWidth="1"/>
    <col min="12" max="12" width="9" customWidth="1"/>
    <col min="13" max="13" width="10.7109375" bestFit="1" customWidth="1"/>
    <col min="14" max="14" width="2.5703125" customWidth="1"/>
    <col min="15" max="15" width="4.5703125" customWidth="1"/>
    <col min="16" max="16384" width="11.42578125" hidden="1"/>
  </cols>
  <sheetData>
    <row r="1" spans="1:15" ht="26.25" x14ac:dyDescent="0.4">
      <c r="A1" s="462" t="s">
        <v>372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392"/>
    </row>
    <row r="2" spans="1:15" ht="15" customHeight="1" x14ac:dyDescent="0.25">
      <c r="A2" s="40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2"/>
      <c r="O2" s="392"/>
    </row>
    <row r="3" spans="1:15" ht="15" customHeight="1" x14ac:dyDescent="0.25">
      <c r="A3" s="15"/>
      <c r="B3" s="8" t="s">
        <v>150</v>
      </c>
      <c r="C3" s="16" t="s">
        <v>151</v>
      </c>
      <c r="D3" s="16" t="s">
        <v>151</v>
      </c>
      <c r="E3" s="16" t="s">
        <v>151</v>
      </c>
      <c r="F3" s="16" t="s">
        <v>151</v>
      </c>
      <c r="G3" s="16" t="s">
        <v>151</v>
      </c>
      <c r="H3" s="16" t="s">
        <v>151</v>
      </c>
      <c r="I3" s="16" t="s">
        <v>151</v>
      </c>
      <c r="J3" s="16" t="s">
        <v>151</v>
      </c>
      <c r="K3" s="16" t="s">
        <v>151</v>
      </c>
      <c r="L3" s="16" t="s">
        <v>151</v>
      </c>
      <c r="M3" s="8" t="s">
        <v>100</v>
      </c>
      <c r="N3" s="2"/>
      <c r="O3" s="392"/>
    </row>
    <row r="4" spans="1:15" ht="15" customHeight="1" x14ac:dyDescent="0.25">
      <c r="A4" s="17"/>
      <c r="B4" s="9" t="s">
        <v>153</v>
      </c>
      <c r="C4" s="18">
        <v>8.1</v>
      </c>
      <c r="D4" s="18" t="s">
        <v>182</v>
      </c>
      <c r="E4" s="18" t="s">
        <v>183</v>
      </c>
      <c r="F4" s="18">
        <v>8.3000000000000007</v>
      </c>
      <c r="G4" s="18">
        <v>8.4</v>
      </c>
      <c r="H4" s="18" t="s">
        <v>119</v>
      </c>
      <c r="I4" s="18" t="s">
        <v>120</v>
      </c>
      <c r="J4" s="18">
        <v>8.6999999999999993</v>
      </c>
      <c r="K4" s="18">
        <v>8.8000000000000007</v>
      </c>
      <c r="L4" s="39">
        <v>8.1</v>
      </c>
      <c r="M4" s="9" t="s">
        <v>154</v>
      </c>
      <c r="N4" s="2"/>
      <c r="O4" s="392"/>
    </row>
    <row r="5" spans="1:15" ht="12.95" customHeight="1" x14ac:dyDescent="0.25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"/>
      <c r="O5" s="392"/>
    </row>
    <row r="6" spans="1:15" ht="12.95" customHeight="1" x14ac:dyDescent="0.25">
      <c r="A6" s="221" t="s">
        <v>186</v>
      </c>
      <c r="B6" s="33">
        <v>254005000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33">
        <f>SUM(B6:L6)</f>
        <v>254005000</v>
      </c>
      <c r="N6" s="2"/>
      <c r="O6" s="392"/>
    </row>
    <row r="7" spans="1:15" ht="12.95" customHeight="1" x14ac:dyDescent="0.25">
      <c r="A7" s="221" t="s">
        <v>64</v>
      </c>
      <c r="B7" s="22">
        <v>-230639000</v>
      </c>
      <c r="C7" s="22"/>
      <c r="D7" s="22">
        <f>-'Secc 8.1 -8.10'!G17</f>
        <v>-480000</v>
      </c>
      <c r="E7" s="22">
        <f>+-'Secc 8.1 -8.10'!G24</f>
        <v>0</v>
      </c>
      <c r="F7" s="22">
        <f>+-'Secc 8.1 -8.10'!G33</f>
        <v>-250000</v>
      </c>
      <c r="G7" s="22"/>
      <c r="H7" s="22">
        <f>+'Secc 8.1 -8.10'!H68</f>
        <v>75000</v>
      </c>
      <c r="I7" s="22">
        <f>+'Secc 8.1 -8.10'!H75</f>
        <v>150000</v>
      </c>
      <c r="J7" s="22"/>
      <c r="K7" s="22"/>
      <c r="L7" s="22">
        <f>-'Secc 8.1 -8.10'!G101</f>
        <v>-2200000</v>
      </c>
      <c r="M7" s="22">
        <f>SUM(B7:L7)</f>
        <v>-233344000</v>
      </c>
      <c r="N7" s="2"/>
      <c r="O7" s="392"/>
    </row>
    <row r="8" spans="1:15" ht="12.95" customHeight="1" x14ac:dyDescent="0.25">
      <c r="A8" s="34" t="s">
        <v>187</v>
      </c>
      <c r="B8" s="35">
        <f>SUM(B6:B7)</f>
        <v>23366000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5">
        <f>SUM(M6:M7)</f>
        <v>20661000</v>
      </c>
      <c r="N8" s="2"/>
      <c r="O8" s="392"/>
    </row>
    <row r="9" spans="1:15" ht="12.95" customHeight="1" x14ac:dyDescent="0.25">
      <c r="A9" s="221" t="s">
        <v>188</v>
      </c>
      <c r="B9" s="22">
        <v>-9167000</v>
      </c>
      <c r="C9" s="22"/>
      <c r="D9" s="22"/>
      <c r="E9" s="22"/>
      <c r="F9" s="22">
        <f>-'Secc 8.1 -8.10'!G34</f>
        <v>-100000</v>
      </c>
      <c r="G9" s="22">
        <f>+'Secc 8.1 -8.10'!H43</f>
        <v>100000</v>
      </c>
      <c r="H9" s="22"/>
      <c r="I9" s="22"/>
      <c r="J9" s="22"/>
      <c r="K9" s="22"/>
      <c r="L9" s="22">
        <f>-'Secc 8.1 -8.10'!G102</f>
        <v>-500000</v>
      </c>
      <c r="M9" s="22">
        <f>SUM(B9:L9)</f>
        <v>-9667000</v>
      </c>
      <c r="N9" s="2"/>
      <c r="O9" s="392"/>
    </row>
    <row r="10" spans="1:15" ht="12.95" customHeight="1" x14ac:dyDescent="0.25">
      <c r="A10" s="221" t="s">
        <v>189</v>
      </c>
      <c r="B10" s="22">
        <v>-4953000</v>
      </c>
      <c r="C10" s="22"/>
      <c r="D10" s="22"/>
      <c r="E10" s="22"/>
      <c r="F10" s="22">
        <f>-'Secc 8.1 -8.10'!G35</f>
        <v>-50000</v>
      </c>
      <c r="G10" s="22"/>
      <c r="H10" s="22"/>
      <c r="I10" s="22"/>
      <c r="J10" s="22"/>
      <c r="K10" s="22"/>
      <c r="L10" s="22">
        <f>-'Secc 8.1 -8.10'!G103</f>
        <v>-300000</v>
      </c>
      <c r="M10" s="22">
        <f>SUM(B10:L10)</f>
        <v>-5303000</v>
      </c>
      <c r="N10" s="2"/>
      <c r="O10" s="392"/>
    </row>
    <row r="11" spans="1:15" ht="12.95" customHeight="1" x14ac:dyDescent="0.25">
      <c r="A11" s="221" t="s">
        <v>190</v>
      </c>
      <c r="B11" s="22">
        <v>0</v>
      </c>
      <c r="C11" s="22"/>
      <c r="D11" s="22"/>
      <c r="E11" s="22"/>
      <c r="F11" s="22"/>
      <c r="G11" s="22"/>
      <c r="H11" s="22"/>
      <c r="I11" s="22"/>
      <c r="J11" s="22"/>
      <c r="K11" s="22">
        <f>+'Secc 8.1 -8.10'!H89</f>
        <v>100000</v>
      </c>
      <c r="L11" s="22"/>
      <c r="M11" s="22">
        <f>SUM(B11:L11)</f>
        <v>100000</v>
      </c>
      <c r="N11" s="2"/>
      <c r="O11" s="392"/>
    </row>
    <row r="12" spans="1:15" ht="12.95" customHeight="1" x14ac:dyDescent="0.25">
      <c r="A12" s="34" t="s">
        <v>191</v>
      </c>
      <c r="B12" s="35">
        <f>SUM(B8:B11)</f>
        <v>9246000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5">
        <f>SUM(M8:M11)</f>
        <v>5791000</v>
      </c>
      <c r="N12" s="2"/>
      <c r="O12" s="392"/>
    </row>
    <row r="13" spans="1:15" ht="12.95" customHeight="1" x14ac:dyDescent="0.25">
      <c r="A13" s="221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"/>
      <c r="O13" s="392"/>
    </row>
    <row r="14" spans="1:15" ht="12.95" customHeight="1" x14ac:dyDescent="0.25">
      <c r="A14" s="221" t="s">
        <v>192</v>
      </c>
      <c r="B14" s="22">
        <v>578000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f t="shared" ref="M14:M19" si="0">SUM(B14:L14)</f>
        <v>578000</v>
      </c>
      <c r="N14" s="2"/>
      <c r="O14" s="392"/>
    </row>
    <row r="15" spans="1:15" ht="12.95" customHeight="1" x14ac:dyDescent="0.25">
      <c r="A15" s="221" t="s">
        <v>48</v>
      </c>
      <c r="B15" s="22">
        <v>-208000</v>
      </c>
      <c r="C15" s="22"/>
      <c r="D15" s="22">
        <f>-'Secc 8.1 -8.10'!G16</f>
        <v>-695000</v>
      </c>
      <c r="E15" s="22"/>
      <c r="F15" s="22"/>
      <c r="G15" s="22"/>
      <c r="H15" s="22"/>
      <c r="I15" s="22"/>
      <c r="J15" s="22">
        <f>-'Secc 8.1 -8.10'!G82</f>
        <v>-559810.44818596542</v>
      </c>
      <c r="K15" s="22"/>
      <c r="L15" s="22"/>
      <c r="M15" s="22">
        <f t="shared" si="0"/>
        <v>-1462810.4481859654</v>
      </c>
      <c r="N15" s="2"/>
      <c r="O15" s="392"/>
    </row>
    <row r="16" spans="1:15" ht="12.95" customHeight="1" x14ac:dyDescent="0.25">
      <c r="A16" s="221" t="s">
        <v>193</v>
      </c>
      <c r="B16" s="22">
        <v>816000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>
        <f t="shared" si="0"/>
        <v>816000</v>
      </c>
      <c r="N16" s="2"/>
      <c r="O16" s="392"/>
    </row>
    <row r="17" spans="1:15" ht="12.95" customHeight="1" x14ac:dyDescent="0.25">
      <c r="A17" s="37" t="s">
        <v>194</v>
      </c>
      <c r="B17" s="35">
        <f>SUM(B12:B16)</f>
        <v>10432000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5">
        <f>SUM(M12:M16)</f>
        <v>5722189.5518140346</v>
      </c>
      <c r="N17" s="2"/>
      <c r="O17" s="392"/>
    </row>
    <row r="18" spans="1:15" ht="12.95" customHeight="1" x14ac:dyDescent="0.25">
      <c r="A18" s="221" t="s">
        <v>195</v>
      </c>
      <c r="B18" s="22">
        <v>-3000000</v>
      </c>
      <c r="C18" s="22"/>
      <c r="D18" s="22"/>
      <c r="E18" s="22"/>
      <c r="F18" s="22"/>
      <c r="G18" s="22"/>
      <c r="H18" s="22"/>
      <c r="I18" s="22"/>
      <c r="J18" s="22"/>
      <c r="K18" s="22"/>
      <c r="L18" s="22">
        <f>'Secc 8.1 -8.10'!H104</f>
        <v>3000000</v>
      </c>
      <c r="M18" s="31">
        <f t="shared" si="0"/>
        <v>0</v>
      </c>
      <c r="N18" s="2"/>
      <c r="O18" s="392"/>
    </row>
    <row r="19" spans="1:15" ht="12.95" customHeight="1" x14ac:dyDescent="0.25">
      <c r="A19" s="221" t="s">
        <v>196</v>
      </c>
      <c r="B19" s="22">
        <v>-2432000</v>
      </c>
      <c r="C19" s="22">
        <f>+'Secc 8.1 -8.10'!H7</f>
        <v>502359</v>
      </c>
      <c r="D19" s="22"/>
      <c r="E19" s="22"/>
      <c r="F19" s="22"/>
      <c r="G19" s="22"/>
      <c r="H19" s="22"/>
      <c r="I19" s="22"/>
      <c r="J19" s="22"/>
      <c r="K19" s="22"/>
      <c r="L19" s="22"/>
      <c r="M19" s="22">
        <f t="shared" si="0"/>
        <v>-1929641</v>
      </c>
      <c r="N19" s="2"/>
      <c r="O19" s="392"/>
    </row>
    <row r="20" spans="1:15" ht="12.95" customHeight="1" x14ac:dyDescent="0.25">
      <c r="A20" s="34" t="s">
        <v>197</v>
      </c>
      <c r="B20" s="35">
        <f>SUM(B17:B19)</f>
        <v>5000000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5">
        <f>SUM(M17:M19)</f>
        <v>3792548.5518140346</v>
      </c>
      <c r="N20" s="2"/>
      <c r="O20" s="392"/>
    </row>
    <row r="21" spans="1:15" s="3" customFormat="1" ht="12.95" customHeight="1" x14ac:dyDescent="0.25">
      <c r="A21" s="41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3" t="s">
        <v>215</v>
      </c>
      <c r="M21" s="40">
        <f>+M20-B20</f>
        <v>-1207451.4481859654</v>
      </c>
      <c r="N21" s="7"/>
      <c r="O21" s="392"/>
    </row>
    <row r="22" spans="1:1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392"/>
    </row>
    <row r="23" spans="1:15" hidden="1" x14ac:dyDescent="0.25">
      <c r="O23" s="392"/>
    </row>
    <row r="24" spans="1:15" hidden="1" x14ac:dyDescent="0.25">
      <c r="A24" s="15"/>
      <c r="B24" s="8" t="s">
        <v>150</v>
      </c>
      <c r="C24" s="16" t="s">
        <v>151</v>
      </c>
      <c r="D24" s="16" t="s">
        <v>151</v>
      </c>
      <c r="E24" s="16" t="s">
        <v>151</v>
      </c>
      <c r="F24" s="16" t="s">
        <v>151</v>
      </c>
      <c r="G24" s="16" t="s">
        <v>151</v>
      </c>
      <c r="H24" s="16" t="s">
        <v>151</v>
      </c>
      <c r="I24" s="16" t="s">
        <v>151</v>
      </c>
      <c r="J24" s="16" t="s">
        <v>151</v>
      </c>
      <c r="K24" s="16" t="s">
        <v>151</v>
      </c>
      <c r="L24" s="16" t="s">
        <v>151</v>
      </c>
      <c r="M24" s="8" t="s">
        <v>100</v>
      </c>
      <c r="O24" s="392"/>
    </row>
    <row r="25" spans="1:15" hidden="1" x14ac:dyDescent="0.25">
      <c r="A25" s="17"/>
      <c r="B25" s="9" t="s">
        <v>153</v>
      </c>
      <c r="C25" s="18">
        <v>8.1</v>
      </c>
      <c r="D25" s="18" t="s">
        <v>182</v>
      </c>
      <c r="E25" s="18" t="s">
        <v>183</v>
      </c>
      <c r="F25" s="18">
        <v>8.3000000000000007</v>
      </c>
      <c r="G25" s="18">
        <v>8.4</v>
      </c>
      <c r="H25" s="18" t="s">
        <v>119</v>
      </c>
      <c r="I25" s="18" t="s">
        <v>120</v>
      </c>
      <c r="J25" s="18">
        <v>8.6999999999999993</v>
      </c>
      <c r="K25" s="18">
        <v>8.8000000000000007</v>
      </c>
      <c r="L25" s="39">
        <v>8.1</v>
      </c>
      <c r="M25" s="9" t="s">
        <v>154</v>
      </c>
      <c r="O25" s="392"/>
    </row>
    <row r="26" spans="1:15" ht="12.95" hidden="1" customHeight="1" x14ac:dyDescent="0.25">
      <c r="A26" s="19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O26" s="392"/>
    </row>
    <row r="27" spans="1:15" ht="12.95" hidden="1" customHeight="1" x14ac:dyDescent="0.25">
      <c r="A27" s="32" t="s">
        <v>186</v>
      </c>
      <c r="B27" s="33">
        <f t="shared" ref="B27" si="1">ROUND(B6/1000,0)</f>
        <v>254005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33">
        <f>SUM(B27:L27)</f>
        <v>254005</v>
      </c>
      <c r="O27" s="392"/>
    </row>
    <row r="28" spans="1:15" ht="12.95" hidden="1" customHeight="1" x14ac:dyDescent="0.25">
      <c r="A28" s="32" t="s">
        <v>64</v>
      </c>
      <c r="B28" s="22">
        <f t="shared" ref="B28" si="2">ROUND(B7/1000,0)</f>
        <v>-230639</v>
      </c>
      <c r="C28" s="22"/>
      <c r="D28" s="22">
        <f t="shared" ref="D28:I28" si="3">ROUND(D7/1000,0)</f>
        <v>-480</v>
      </c>
      <c r="E28" s="22">
        <f t="shared" si="3"/>
        <v>0</v>
      </c>
      <c r="F28" s="22">
        <f t="shared" si="3"/>
        <v>-250</v>
      </c>
      <c r="G28" s="22"/>
      <c r="H28" s="33">
        <f t="shared" si="3"/>
        <v>75</v>
      </c>
      <c r="I28" s="33">
        <f t="shared" si="3"/>
        <v>150</v>
      </c>
      <c r="J28" s="22"/>
      <c r="K28" s="22"/>
      <c r="L28" s="22">
        <f t="shared" ref="K28:L32" si="4">ROUND(L7/1000,0)</f>
        <v>-2200</v>
      </c>
      <c r="M28" s="22">
        <f>SUM(B28:L28)</f>
        <v>-233344</v>
      </c>
      <c r="O28" s="392"/>
    </row>
    <row r="29" spans="1:15" ht="12.95" hidden="1" customHeight="1" x14ac:dyDescent="0.25">
      <c r="A29" s="34" t="s">
        <v>187</v>
      </c>
      <c r="B29" s="35">
        <f>SUM(B27:B28)</f>
        <v>23366</v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5">
        <f>SUM(M27:M28)</f>
        <v>20661</v>
      </c>
      <c r="O29" s="392"/>
    </row>
    <row r="30" spans="1:15" ht="12.95" hidden="1" customHeight="1" x14ac:dyDescent="0.25">
      <c r="A30" s="32" t="s">
        <v>188</v>
      </c>
      <c r="B30" s="22">
        <f t="shared" ref="B30:B32" si="5">ROUND(B9/1000,0)</f>
        <v>-9167</v>
      </c>
      <c r="C30" s="22"/>
      <c r="D30" s="22"/>
      <c r="E30" s="22"/>
      <c r="F30" s="22">
        <f t="shared" ref="F30:G30" si="6">ROUND(F9/1000,0)</f>
        <v>-100</v>
      </c>
      <c r="G30" s="22">
        <f t="shared" si="6"/>
        <v>100</v>
      </c>
      <c r="H30" s="22"/>
      <c r="I30" s="22"/>
      <c r="J30" s="22"/>
      <c r="K30" s="22"/>
      <c r="L30" s="22">
        <f t="shared" si="4"/>
        <v>-500</v>
      </c>
      <c r="M30" s="22">
        <f>SUM(B30:L30)</f>
        <v>-9667</v>
      </c>
      <c r="O30" s="392"/>
    </row>
    <row r="31" spans="1:15" ht="12.95" hidden="1" customHeight="1" x14ac:dyDescent="0.25">
      <c r="A31" s="32" t="s">
        <v>189</v>
      </c>
      <c r="B31" s="22">
        <f t="shared" si="5"/>
        <v>-4953</v>
      </c>
      <c r="C31" s="22"/>
      <c r="D31" s="22"/>
      <c r="E31" s="22"/>
      <c r="F31" s="22">
        <f t="shared" ref="F31" si="7">ROUND(F10/1000,0)</f>
        <v>-50</v>
      </c>
      <c r="G31" s="33"/>
      <c r="H31" s="22"/>
      <c r="I31" s="22"/>
      <c r="J31" s="22"/>
      <c r="K31" s="22"/>
      <c r="L31" s="22">
        <f t="shared" si="4"/>
        <v>-300</v>
      </c>
      <c r="M31" s="22">
        <f>SUM(B31:L31)</f>
        <v>-5303</v>
      </c>
      <c r="O31" s="392"/>
    </row>
    <row r="32" spans="1:15" ht="12.95" hidden="1" customHeight="1" x14ac:dyDescent="0.25">
      <c r="A32" s="32" t="s">
        <v>190</v>
      </c>
      <c r="B32" s="33">
        <f t="shared" si="5"/>
        <v>0</v>
      </c>
      <c r="C32" s="22"/>
      <c r="D32" s="22"/>
      <c r="E32" s="22"/>
      <c r="F32" s="22"/>
      <c r="G32" s="22"/>
      <c r="H32" s="22"/>
      <c r="I32" s="22"/>
      <c r="J32" s="22"/>
      <c r="K32" s="33">
        <f t="shared" si="4"/>
        <v>100</v>
      </c>
      <c r="L32" s="22"/>
      <c r="M32" s="22">
        <f>SUM(B32:L32)</f>
        <v>100</v>
      </c>
      <c r="O32" s="392"/>
    </row>
    <row r="33" spans="1:15" ht="12.95" hidden="1" customHeight="1" x14ac:dyDescent="0.25">
      <c r="A33" s="34" t="s">
        <v>191</v>
      </c>
      <c r="B33" s="35">
        <f>SUM(B29:B32)</f>
        <v>9246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5">
        <f>SUM(M29:M32)</f>
        <v>5791</v>
      </c>
      <c r="O33" s="392"/>
    </row>
    <row r="34" spans="1:15" ht="12.95" hidden="1" customHeight="1" x14ac:dyDescent="0.25">
      <c r="A34" s="3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O34" s="392"/>
    </row>
    <row r="35" spans="1:15" ht="12.95" hidden="1" customHeight="1" x14ac:dyDescent="0.25">
      <c r="A35" s="32" t="s">
        <v>192</v>
      </c>
      <c r="B35" s="33">
        <f t="shared" ref="B35:B37" si="8">ROUND(B14/1000,0)</f>
        <v>578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>
        <f t="shared" ref="M35:M37" si="9">SUM(B35:L35)</f>
        <v>578</v>
      </c>
      <c r="O35" s="392"/>
    </row>
    <row r="36" spans="1:15" ht="12.95" hidden="1" customHeight="1" x14ac:dyDescent="0.25">
      <c r="A36" s="32" t="s">
        <v>48</v>
      </c>
      <c r="B36" s="22">
        <f t="shared" si="8"/>
        <v>-208</v>
      </c>
      <c r="C36" s="22"/>
      <c r="D36" s="22">
        <f t="shared" ref="D36" si="10">ROUND(D15/1000,0)</f>
        <v>-695</v>
      </c>
      <c r="E36" s="22"/>
      <c r="F36" s="22"/>
      <c r="G36" s="22"/>
      <c r="H36" s="22"/>
      <c r="I36" s="22"/>
      <c r="J36" s="22">
        <f t="shared" ref="J36" si="11">ROUND(J15/1000,0)</f>
        <v>-560</v>
      </c>
      <c r="K36" s="22"/>
      <c r="L36" s="22"/>
      <c r="M36" s="22">
        <f t="shared" si="9"/>
        <v>-1463</v>
      </c>
      <c r="O36" s="392"/>
    </row>
    <row r="37" spans="1:15" ht="12.95" hidden="1" customHeight="1" x14ac:dyDescent="0.25">
      <c r="A37" s="32" t="s">
        <v>193</v>
      </c>
      <c r="B37" s="33">
        <f t="shared" si="8"/>
        <v>816</v>
      </c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>
        <f t="shared" si="9"/>
        <v>816</v>
      </c>
      <c r="O37" s="392"/>
    </row>
    <row r="38" spans="1:15" ht="12.95" hidden="1" customHeight="1" x14ac:dyDescent="0.25">
      <c r="A38" s="37" t="s">
        <v>194</v>
      </c>
      <c r="B38" s="35">
        <f>SUM(B33:B37)</f>
        <v>10432</v>
      </c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5">
        <f>SUM(M33:M37)</f>
        <v>5722</v>
      </c>
      <c r="O38" s="392"/>
    </row>
    <row r="39" spans="1:15" ht="12.95" hidden="1" customHeight="1" x14ac:dyDescent="0.25">
      <c r="A39" s="32" t="s">
        <v>195</v>
      </c>
      <c r="B39" s="22">
        <f t="shared" ref="B39:B40" si="12">ROUND(B18/1000,0)</f>
        <v>-3000</v>
      </c>
      <c r="C39" s="22"/>
      <c r="D39" s="22"/>
      <c r="E39" s="22"/>
      <c r="F39" s="22"/>
      <c r="G39" s="22"/>
      <c r="H39" s="22"/>
      <c r="I39" s="22"/>
      <c r="J39" s="22"/>
      <c r="K39" s="22"/>
      <c r="L39" s="33">
        <f t="shared" ref="L39" si="13">ROUND(L18/1000,0)</f>
        <v>3000</v>
      </c>
      <c r="M39" s="31">
        <f t="shared" ref="M39:M40" si="14">SUM(B39:L39)</f>
        <v>0</v>
      </c>
      <c r="O39" s="392"/>
    </row>
    <row r="40" spans="1:15" ht="12.95" hidden="1" customHeight="1" x14ac:dyDescent="0.25">
      <c r="A40" s="32" t="s">
        <v>196</v>
      </c>
      <c r="B40" s="22">
        <f t="shared" si="12"/>
        <v>-2432</v>
      </c>
      <c r="C40" s="33">
        <f t="shared" ref="C40" si="15">ROUND(C19/1000,0)</f>
        <v>502</v>
      </c>
      <c r="D40" s="22"/>
      <c r="E40" s="22"/>
      <c r="F40" s="22"/>
      <c r="G40" s="22"/>
      <c r="H40" s="22"/>
      <c r="I40" s="22"/>
      <c r="J40" s="22"/>
      <c r="K40" s="22"/>
      <c r="L40" s="22"/>
      <c r="M40" s="22">
        <f t="shared" si="14"/>
        <v>-1930</v>
      </c>
      <c r="O40" s="392"/>
    </row>
    <row r="41" spans="1:15" ht="12.95" hidden="1" customHeight="1" x14ac:dyDescent="0.25">
      <c r="A41" s="34" t="s">
        <v>197</v>
      </c>
      <c r="B41" s="35">
        <f>SUM(B38:B40)</f>
        <v>5000</v>
      </c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5">
        <f>SUM(M38:M40)</f>
        <v>3792</v>
      </c>
      <c r="O41" s="392"/>
    </row>
    <row r="42" spans="1:15" ht="12.95" hidden="1" customHeight="1" x14ac:dyDescent="0.25">
      <c r="A42" s="41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3" t="s">
        <v>215</v>
      </c>
      <c r="M42" s="40">
        <f>+M41-B41</f>
        <v>-1208</v>
      </c>
      <c r="O42" s="392"/>
    </row>
    <row r="43" spans="1:15" hidden="1" x14ac:dyDescent="0.25">
      <c r="O43" s="392"/>
    </row>
    <row r="44" spans="1:15" x14ac:dyDescent="0.25">
      <c r="A44" s="392"/>
      <c r="B44" s="392"/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</row>
  </sheetData>
  <mergeCells count="1">
    <mergeCell ref="A1:N1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21"/>
  <sheetViews>
    <sheetView workbookViewId="0"/>
  </sheetViews>
  <sheetFormatPr baseColWidth="10" defaultRowHeight="15" x14ac:dyDescent="0.25"/>
  <cols>
    <col min="1" max="1" width="26.7109375" customWidth="1"/>
    <col min="2" max="2" width="9" customWidth="1"/>
    <col min="3" max="12" width="7.7109375" customWidth="1"/>
    <col min="13" max="13" width="9" customWidth="1"/>
  </cols>
  <sheetData>
    <row r="1" spans="1:13" ht="15" customHeight="1" x14ac:dyDescent="0.25">
      <c r="A1" s="29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5" customHeight="1" x14ac:dyDescent="0.25">
      <c r="A2" s="15"/>
      <c r="B2" s="8" t="s">
        <v>150</v>
      </c>
      <c r="C2" s="16" t="s">
        <v>151</v>
      </c>
      <c r="D2" s="16" t="s">
        <v>151</v>
      </c>
      <c r="E2" s="16" t="s">
        <v>151</v>
      </c>
      <c r="F2" s="16" t="s">
        <v>151</v>
      </c>
      <c r="G2" s="16" t="s">
        <v>151</v>
      </c>
      <c r="H2" s="16" t="s">
        <v>151</v>
      </c>
      <c r="I2" s="16" t="s">
        <v>151</v>
      </c>
      <c r="J2" s="16" t="s">
        <v>151</v>
      </c>
      <c r="K2" s="16" t="s">
        <v>151</v>
      </c>
      <c r="L2" s="16" t="s">
        <v>151</v>
      </c>
      <c r="M2" s="8" t="s">
        <v>100</v>
      </c>
    </row>
    <row r="3" spans="1:13" ht="15" customHeight="1" x14ac:dyDescent="0.25">
      <c r="A3" s="17"/>
      <c r="B3" s="9" t="s">
        <v>153</v>
      </c>
      <c r="C3" s="18">
        <v>8.1</v>
      </c>
      <c r="D3" s="18" t="s">
        <v>182</v>
      </c>
      <c r="E3" s="18" t="s">
        <v>183</v>
      </c>
      <c r="F3" s="18">
        <v>8.3000000000000007</v>
      </c>
      <c r="G3" s="18">
        <v>8.4</v>
      </c>
      <c r="H3" s="18" t="s">
        <v>119</v>
      </c>
      <c r="I3" s="18" t="s">
        <v>120</v>
      </c>
      <c r="J3" s="18">
        <v>8.6999999999999993</v>
      </c>
      <c r="K3" s="18">
        <v>8.8000000000000007</v>
      </c>
      <c r="L3" s="39">
        <v>8.1</v>
      </c>
      <c r="M3" s="9" t="s">
        <v>154</v>
      </c>
    </row>
    <row r="4" spans="1:13" ht="15" customHeight="1" x14ac:dyDescent="0.25">
      <c r="A4" s="19"/>
      <c r="B4" s="90" t="s">
        <v>302</v>
      </c>
      <c r="C4" s="90" t="s">
        <v>302</v>
      </c>
      <c r="D4" s="90" t="s">
        <v>302</v>
      </c>
      <c r="E4" s="90" t="s">
        <v>302</v>
      </c>
      <c r="F4" s="90" t="s">
        <v>302</v>
      </c>
      <c r="G4" s="90" t="s">
        <v>302</v>
      </c>
      <c r="H4" s="90" t="s">
        <v>302</v>
      </c>
      <c r="I4" s="90" t="s">
        <v>302</v>
      </c>
      <c r="J4" s="90" t="s">
        <v>302</v>
      </c>
      <c r="K4" s="90" t="s">
        <v>302</v>
      </c>
      <c r="L4" s="90" t="s">
        <v>302</v>
      </c>
      <c r="M4" s="90" t="s">
        <v>302</v>
      </c>
    </row>
    <row r="5" spans="1:13" ht="15" customHeight="1" x14ac:dyDescent="0.25">
      <c r="A5" s="32" t="s">
        <v>186</v>
      </c>
      <c r="B5" s="33">
        <f>ROUND('Secc 9.4'!B6/1000,0)</f>
        <v>254005</v>
      </c>
      <c r="C5" s="92">
        <f>ROUND('Secc 9.4'!C6/1000,0)</f>
        <v>0</v>
      </c>
      <c r="D5" s="92">
        <f>ROUND('Secc 9.4'!D6/1000,0)</f>
        <v>0</v>
      </c>
      <c r="E5" s="92">
        <f>ROUND('Secc 9.4'!E6/1000,0)</f>
        <v>0</v>
      </c>
      <c r="F5" s="92">
        <f>ROUND('Secc 9.4'!F6/1000,0)</f>
        <v>0</v>
      </c>
      <c r="G5" s="92">
        <f>ROUND('Secc 9.4'!G6/1000,0)</f>
        <v>0</v>
      </c>
      <c r="H5" s="92">
        <f>ROUND('Secc 9.4'!H6/1000,0)</f>
        <v>0</v>
      </c>
      <c r="I5" s="92">
        <f>ROUND('Secc 9.4'!I6/1000,0)</f>
        <v>0</v>
      </c>
      <c r="J5" s="92">
        <f>ROUND('Secc 9.4'!J6/1000,0)</f>
        <v>0</v>
      </c>
      <c r="K5" s="92">
        <f>ROUND('Secc 9.4'!K6/1000,0)</f>
        <v>0</v>
      </c>
      <c r="L5" s="92">
        <f>ROUND('Secc 9.4'!L6/1000,0)</f>
        <v>0</v>
      </c>
      <c r="M5" s="33">
        <f>SUM(B5:L5)</f>
        <v>254005</v>
      </c>
    </row>
    <row r="6" spans="1:13" ht="15" customHeight="1" x14ac:dyDescent="0.25">
      <c r="A6" s="32" t="s">
        <v>64</v>
      </c>
      <c r="B6" s="22">
        <f>ROUND('Secc 9.4'!B7/1000,0)</f>
        <v>-230639</v>
      </c>
      <c r="C6" s="92">
        <f>ROUND('Secc 9.4'!C7/1000,0)</f>
        <v>0</v>
      </c>
      <c r="D6" s="92">
        <f>ROUND('Secc 9.4'!D7/1000,0)</f>
        <v>-480</v>
      </c>
      <c r="E6" s="22">
        <f>ROUND('Secc 9.4'!E7/1000,0)</f>
        <v>0</v>
      </c>
      <c r="F6" s="22">
        <f>ROUND('Secc 9.4'!F7/1000,0)</f>
        <v>-250</v>
      </c>
      <c r="G6" s="22">
        <f>ROUND('Secc 9.4'!G7/1000,0)</f>
        <v>0</v>
      </c>
      <c r="H6" s="22">
        <f>ROUND('Secc 9.4'!H7/1000,0)</f>
        <v>75</v>
      </c>
      <c r="I6" s="22">
        <f>ROUND('Secc 9.4'!I7/1000,0)</f>
        <v>150</v>
      </c>
      <c r="J6" s="92">
        <f>ROUND('Secc 9.4'!J7/1000,0)</f>
        <v>0</v>
      </c>
      <c r="K6" s="92">
        <f>ROUND('Secc 9.4'!K7/1000,0)</f>
        <v>0</v>
      </c>
      <c r="L6" s="22">
        <f>ROUND('Secc 9.4'!L7/1000,0)</f>
        <v>-2200</v>
      </c>
      <c r="M6" s="22">
        <f>SUM(B6:L6)</f>
        <v>-233344</v>
      </c>
    </row>
    <row r="7" spans="1:13" ht="15" customHeight="1" x14ac:dyDescent="0.25">
      <c r="A7" s="34" t="s">
        <v>187</v>
      </c>
      <c r="B7" s="35">
        <f>SUM(B5:B6)</f>
        <v>23366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5">
        <f>SUM(M5:M6)</f>
        <v>20661</v>
      </c>
    </row>
    <row r="8" spans="1:13" ht="15" customHeight="1" x14ac:dyDescent="0.25">
      <c r="A8" s="32" t="s">
        <v>188</v>
      </c>
      <c r="B8" s="22">
        <f>ROUND('Secc 9.4'!B9/1000,0)</f>
        <v>-9167</v>
      </c>
      <c r="C8" s="92">
        <f>ROUND('Secc 9.4'!C9/1000,0)</f>
        <v>0</v>
      </c>
      <c r="D8" s="92">
        <f>ROUND('Secc 9.4'!D9/1000,0)</f>
        <v>0</v>
      </c>
      <c r="E8" s="92">
        <f>ROUND('Secc 9.4'!E9/1000,0)</f>
        <v>0</v>
      </c>
      <c r="F8" s="22">
        <f>ROUND('Secc 9.4'!F9/1000,0)</f>
        <v>-100</v>
      </c>
      <c r="G8" s="22">
        <f>ROUND('Secc 9.4'!G9/1000,0)</f>
        <v>100</v>
      </c>
      <c r="H8" s="92">
        <f>ROUND('Secc 9.4'!H9/1000,0)</f>
        <v>0</v>
      </c>
      <c r="I8" s="92">
        <f>ROUND('Secc 9.4'!I9/1000,0)</f>
        <v>0</v>
      </c>
      <c r="J8" s="92">
        <f>ROUND('Secc 9.4'!J9/1000,0)</f>
        <v>0</v>
      </c>
      <c r="K8" s="92">
        <f>ROUND('Secc 9.4'!K9/1000,0)</f>
        <v>0</v>
      </c>
      <c r="L8" s="22">
        <f>ROUND('Secc 9.4'!L9/1000,0)</f>
        <v>-500</v>
      </c>
      <c r="M8" s="22">
        <f>SUM(B8:L8)</f>
        <v>-9667</v>
      </c>
    </row>
    <row r="9" spans="1:13" ht="15" customHeight="1" x14ac:dyDescent="0.25">
      <c r="A9" s="32" t="s">
        <v>189</v>
      </c>
      <c r="B9" s="22">
        <f>ROUND('Secc 9.4'!B10/1000,0)</f>
        <v>-4953</v>
      </c>
      <c r="C9" s="92">
        <f>ROUND('Secc 9.4'!C10/1000,0)</f>
        <v>0</v>
      </c>
      <c r="D9" s="92">
        <f>ROUND('Secc 9.4'!D10/1000,0)</f>
        <v>0</v>
      </c>
      <c r="E9" s="92">
        <f>ROUND('Secc 9.4'!E10/1000,0)</f>
        <v>0</v>
      </c>
      <c r="F9" s="22">
        <f>ROUND('Secc 9.4'!F10/1000,0)</f>
        <v>-50</v>
      </c>
      <c r="G9" s="92">
        <f>ROUND('Secc 9.4'!G10/1000,0)</f>
        <v>0</v>
      </c>
      <c r="H9" s="92">
        <f>ROUND('Secc 9.4'!H10/1000,0)</f>
        <v>0</v>
      </c>
      <c r="I9" s="92">
        <f>ROUND('Secc 9.4'!I10/1000,0)</f>
        <v>0</v>
      </c>
      <c r="J9" s="92">
        <f>ROUND('Secc 9.4'!J10/1000,0)</f>
        <v>0</v>
      </c>
      <c r="K9" s="92">
        <f>ROUND('Secc 9.4'!K10/1000,0)</f>
        <v>0</v>
      </c>
      <c r="L9" s="22">
        <f>ROUND('Secc 9.4'!L10/1000,0)</f>
        <v>-300</v>
      </c>
      <c r="M9" s="22">
        <f>SUM(B9:L9)</f>
        <v>-5303</v>
      </c>
    </row>
    <row r="10" spans="1:13" ht="15" customHeight="1" x14ac:dyDescent="0.25">
      <c r="A10" s="32" t="s">
        <v>190</v>
      </c>
      <c r="B10" s="22">
        <f>ROUND('Secc 9.4'!B11/1000,0)</f>
        <v>0</v>
      </c>
      <c r="C10" s="92">
        <f>ROUND('Secc 9.4'!C11/1000,0)</f>
        <v>0</v>
      </c>
      <c r="D10" s="92">
        <f>ROUND('Secc 9.4'!D11/1000,0)</f>
        <v>0</v>
      </c>
      <c r="E10" s="92">
        <f>ROUND('Secc 9.4'!E11/1000,0)</f>
        <v>0</v>
      </c>
      <c r="F10" s="92">
        <f>ROUND('Secc 9.4'!F11/1000,0)</f>
        <v>0</v>
      </c>
      <c r="G10" s="92">
        <f>ROUND('Secc 9.4'!G11/1000,0)</f>
        <v>0</v>
      </c>
      <c r="H10" s="92">
        <f>ROUND('Secc 9.4'!H11/1000,0)</f>
        <v>0</v>
      </c>
      <c r="I10" s="92">
        <f>ROUND('Secc 9.4'!I11/1000,0)</f>
        <v>0</v>
      </c>
      <c r="J10" s="92">
        <f>ROUND('Secc 9.4'!J11/1000,0)</f>
        <v>0</v>
      </c>
      <c r="K10" s="22">
        <f>ROUND('Secc 9.4'!K11/1000,0)</f>
        <v>100</v>
      </c>
      <c r="L10" s="22">
        <f>ROUND('Secc 9.4'!L11/1000,0)</f>
        <v>0</v>
      </c>
      <c r="M10" s="22">
        <f>SUM(B10:L10)</f>
        <v>100</v>
      </c>
    </row>
    <row r="11" spans="1:13" ht="15" customHeight="1" x14ac:dyDescent="0.25">
      <c r="A11" s="34" t="s">
        <v>191</v>
      </c>
      <c r="B11" s="35">
        <f>SUM(B7:B10)</f>
        <v>9246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5">
        <f>SUM(M7:M10)</f>
        <v>5791</v>
      </c>
    </row>
    <row r="12" spans="1:13" ht="15" customHeight="1" x14ac:dyDescent="0.25">
      <c r="A12" s="3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ht="15" customHeight="1" x14ac:dyDescent="0.25">
      <c r="A13" s="32" t="s">
        <v>192</v>
      </c>
      <c r="B13" s="22">
        <f>ROUND('Secc 9.4'!B14/1000,0)</f>
        <v>578</v>
      </c>
      <c r="C13" s="92">
        <f>ROUND('Secc 9.4'!C14/1000,0)</f>
        <v>0</v>
      </c>
      <c r="D13" s="92">
        <f>ROUND('Secc 9.4'!D14/1000,0)</f>
        <v>0</v>
      </c>
      <c r="E13" s="92">
        <f>ROUND('Secc 9.4'!E14/1000,0)</f>
        <v>0</v>
      </c>
      <c r="F13" s="92">
        <f>ROUND('Secc 9.4'!F14/1000,0)</f>
        <v>0</v>
      </c>
      <c r="G13" s="92">
        <f>ROUND('Secc 9.4'!G14/1000,0)</f>
        <v>0</v>
      </c>
      <c r="H13" s="92">
        <f>ROUND('Secc 9.4'!H14/1000,0)</f>
        <v>0</v>
      </c>
      <c r="I13" s="92">
        <f>ROUND('Secc 9.4'!I14/1000,0)</f>
        <v>0</v>
      </c>
      <c r="J13" s="92">
        <f>ROUND('Secc 9.4'!J14/1000,0)</f>
        <v>0</v>
      </c>
      <c r="K13" s="92">
        <f>ROUND('Secc 9.4'!K14/1000,0)</f>
        <v>0</v>
      </c>
      <c r="L13" s="92">
        <f>ROUND('Secc 9.4'!L14/1000,0)</f>
        <v>0</v>
      </c>
      <c r="M13" s="22">
        <f t="shared" ref="M13:M18" si="0">SUM(B13:L13)</f>
        <v>578</v>
      </c>
    </row>
    <row r="14" spans="1:13" ht="15" customHeight="1" x14ac:dyDescent="0.25">
      <c r="A14" s="32" t="s">
        <v>48</v>
      </c>
      <c r="B14" s="22">
        <f>ROUND('Secc 9.4'!B15/1000,0)</f>
        <v>-208</v>
      </c>
      <c r="C14" s="92">
        <f>ROUND('Secc 9.4'!C15/1000,0)</f>
        <v>0</v>
      </c>
      <c r="D14" s="22">
        <f>ROUND('Secc 9.4'!D15/1000,0)</f>
        <v>-695</v>
      </c>
      <c r="E14" s="92">
        <f>ROUND('Secc 9.4'!E15/1000,0)</f>
        <v>0</v>
      </c>
      <c r="F14" s="92">
        <f>ROUND('Secc 9.4'!F15/1000,0)</f>
        <v>0</v>
      </c>
      <c r="G14" s="92">
        <f>ROUND('Secc 9.4'!G15/1000,0)</f>
        <v>0</v>
      </c>
      <c r="H14" s="92">
        <f>ROUND('Secc 9.4'!H15/1000,0)</f>
        <v>0</v>
      </c>
      <c r="I14" s="92">
        <f>ROUND('Secc 9.4'!I15/1000,0)</f>
        <v>0</v>
      </c>
      <c r="J14" s="22">
        <f>ROUND('Secc 9.4'!J15/1000,0)</f>
        <v>-560</v>
      </c>
      <c r="K14" s="92">
        <f>ROUND('Secc 9.4'!K15/1000,0)</f>
        <v>0</v>
      </c>
      <c r="L14" s="92">
        <f>ROUND('Secc 9.4'!L15/1000,0)</f>
        <v>0</v>
      </c>
      <c r="M14" s="22">
        <f t="shared" si="0"/>
        <v>-1463</v>
      </c>
    </row>
    <row r="15" spans="1:13" ht="15" customHeight="1" x14ac:dyDescent="0.25">
      <c r="A15" s="32" t="s">
        <v>193</v>
      </c>
      <c r="B15" s="22">
        <f>ROUND('Secc 9.4'!B16/1000,0)</f>
        <v>816</v>
      </c>
      <c r="C15" s="92">
        <f>ROUND('Secc 9.4'!C16/1000,0)</f>
        <v>0</v>
      </c>
      <c r="D15" s="92">
        <f>ROUND('Secc 9.4'!D16/1000,0)</f>
        <v>0</v>
      </c>
      <c r="E15" s="92">
        <f>ROUND('Secc 9.4'!E16/1000,0)</f>
        <v>0</v>
      </c>
      <c r="F15" s="92">
        <f>ROUND('Secc 9.4'!F16/1000,0)</f>
        <v>0</v>
      </c>
      <c r="G15" s="92">
        <f>ROUND('Secc 9.4'!G16/1000,0)</f>
        <v>0</v>
      </c>
      <c r="H15" s="92">
        <f>ROUND('Secc 9.4'!H16/1000,0)</f>
        <v>0</v>
      </c>
      <c r="I15" s="92">
        <f>ROUND('Secc 9.4'!I16/1000,0)</f>
        <v>0</v>
      </c>
      <c r="J15" s="92">
        <f>ROUND('Secc 9.4'!J16/1000,0)</f>
        <v>0</v>
      </c>
      <c r="K15" s="92">
        <f>ROUND('Secc 9.4'!K16/1000,0)</f>
        <v>0</v>
      </c>
      <c r="L15" s="92">
        <f>ROUND('Secc 9.4'!L16/1000,0)</f>
        <v>0</v>
      </c>
      <c r="M15" s="22">
        <f t="shared" si="0"/>
        <v>816</v>
      </c>
    </row>
    <row r="16" spans="1:13" ht="15" customHeight="1" x14ac:dyDescent="0.25">
      <c r="A16" s="37" t="s">
        <v>194</v>
      </c>
      <c r="B16" s="35">
        <f>SUM(B11:B15)</f>
        <v>10432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5">
        <f>SUM(M11:M15)</f>
        <v>5722</v>
      </c>
    </row>
    <row r="17" spans="1:13" ht="15" customHeight="1" x14ac:dyDescent="0.25">
      <c r="A17" s="32" t="s">
        <v>195</v>
      </c>
      <c r="B17" s="22">
        <f>ROUND('Secc 9.4'!B18/1000,0)</f>
        <v>-3000</v>
      </c>
      <c r="C17" s="92">
        <f>ROUND('Secc 9.4'!C18/1000,0)</f>
        <v>0</v>
      </c>
      <c r="D17" s="92">
        <f>ROUND('Secc 9.4'!D18/1000,0)</f>
        <v>0</v>
      </c>
      <c r="E17" s="92">
        <f>ROUND('Secc 9.4'!E18/1000,0)</f>
        <v>0</v>
      </c>
      <c r="F17" s="92">
        <f>ROUND('Secc 9.4'!F18/1000,0)</f>
        <v>0</v>
      </c>
      <c r="G17" s="92">
        <f>ROUND('Secc 9.4'!G18/1000,0)</f>
        <v>0</v>
      </c>
      <c r="H17" s="92">
        <f>ROUND('Secc 9.4'!H18/1000,0)</f>
        <v>0</v>
      </c>
      <c r="I17" s="92">
        <f>ROUND('Secc 9.4'!I18/1000,0)</f>
        <v>0</v>
      </c>
      <c r="J17" s="92">
        <f>ROUND('Secc 9.4'!J18/1000,0)</f>
        <v>0</v>
      </c>
      <c r="K17" s="92">
        <f>ROUND('Secc 9.4'!K18/1000,0)</f>
        <v>0</v>
      </c>
      <c r="L17" s="33">
        <f>ROUND('Secc 9.4'!L18/1000,0)</f>
        <v>3000</v>
      </c>
      <c r="M17" s="31">
        <f t="shared" si="0"/>
        <v>0</v>
      </c>
    </row>
    <row r="18" spans="1:13" ht="15" customHeight="1" x14ac:dyDescent="0.25">
      <c r="A18" s="32" t="s">
        <v>196</v>
      </c>
      <c r="B18" s="22">
        <f>ROUND('Secc 9.4'!B19/1000,0)</f>
        <v>-2432</v>
      </c>
      <c r="C18" s="33">
        <f>ROUND('Secc 9.4'!C19/1000,0)</f>
        <v>502</v>
      </c>
      <c r="D18" s="92">
        <f>ROUND('Secc 9.4'!D19/1000,0)</f>
        <v>0</v>
      </c>
      <c r="E18" s="92">
        <f>ROUND('Secc 9.4'!E19/1000,0)</f>
        <v>0</v>
      </c>
      <c r="F18" s="92">
        <f>ROUND('Secc 9.4'!F19/1000,0)</f>
        <v>0</v>
      </c>
      <c r="G18" s="92">
        <f>ROUND('Secc 9.4'!G19/1000,0)</f>
        <v>0</v>
      </c>
      <c r="H18" s="92">
        <f>ROUND('Secc 9.4'!H19/1000,0)</f>
        <v>0</v>
      </c>
      <c r="I18" s="92">
        <f>ROUND('Secc 9.4'!I19/1000,0)</f>
        <v>0</v>
      </c>
      <c r="J18" s="92">
        <f>ROUND('Secc 9.4'!J19/1000,0)</f>
        <v>0</v>
      </c>
      <c r="K18" s="92">
        <f>ROUND('Secc 9.4'!K19/1000,0)</f>
        <v>0</v>
      </c>
      <c r="L18" s="92">
        <f>ROUND('Secc 9.4'!L19/1000,0)</f>
        <v>0</v>
      </c>
      <c r="M18" s="22">
        <f t="shared" si="0"/>
        <v>-1930</v>
      </c>
    </row>
    <row r="19" spans="1:13" ht="15" customHeight="1" x14ac:dyDescent="0.25">
      <c r="A19" s="34" t="s">
        <v>197</v>
      </c>
      <c r="B19" s="35">
        <f>SUM(B16:B18)</f>
        <v>5000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5">
        <f>SUM(M16:M18)</f>
        <v>3792</v>
      </c>
    </row>
    <row r="20" spans="1:13" s="3" customFormat="1" ht="15" customHeight="1" x14ac:dyDescent="0.2">
      <c r="A20" s="41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3" t="s">
        <v>303</v>
      </c>
      <c r="M20" s="40">
        <f>+M19-B19</f>
        <v>-1208</v>
      </c>
    </row>
    <row r="21" spans="1:13" x14ac:dyDescent="0.25">
      <c r="A21" s="41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3" t="s">
        <v>304</v>
      </c>
      <c r="M21" s="40">
        <f>+'Secc 9.4'!M21</f>
        <v>-1207451.4481859654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B71"/>
  <sheetViews>
    <sheetView topLeftCell="A36" zoomScale="90" zoomScaleNormal="90" workbookViewId="0">
      <selection activeCell="B57" sqref="B41:E57"/>
    </sheetView>
  </sheetViews>
  <sheetFormatPr baseColWidth="10" defaultColWidth="0" defaultRowHeight="0" customHeight="1" zeroHeight="1" x14ac:dyDescent="0.25"/>
  <cols>
    <col min="1" max="1" width="11.42578125" customWidth="1"/>
    <col min="2" max="2" width="50.140625" customWidth="1"/>
    <col min="3" max="3" width="7.28515625" style="114" customWidth="1"/>
    <col min="4" max="5" width="11.5703125" bestFit="1" customWidth="1"/>
    <col min="6" max="6" width="12.7109375" customWidth="1"/>
    <col min="7" max="7" width="16.7109375" customWidth="1"/>
    <col min="8" max="8" width="13.42578125" customWidth="1"/>
    <col min="9" max="9" width="3.42578125" customWidth="1"/>
    <col min="10" max="10" width="9.85546875" customWidth="1"/>
    <col min="11" max="11" width="12" customWidth="1"/>
    <col min="12" max="12" width="11.42578125" customWidth="1"/>
    <col min="13" max="13" width="11.5703125" customWidth="1"/>
    <col min="14" max="14" width="5" customWidth="1"/>
    <col min="15" max="15" width="11.42578125" customWidth="1"/>
    <col min="16" max="16" width="20" customWidth="1"/>
    <col min="17" max="17" width="15" customWidth="1"/>
    <col min="18" max="18" width="1.5703125" customWidth="1"/>
    <col min="19" max="19" width="6.7109375" style="46" customWidth="1"/>
    <col min="20" max="20" width="10.28515625" customWidth="1"/>
    <col min="21" max="21" width="10.5703125" customWidth="1"/>
    <col min="22" max="22" width="9.85546875" customWidth="1"/>
    <col min="23" max="23" width="11.85546875" customWidth="1"/>
    <col min="24" max="24" width="11.28515625" customWidth="1"/>
    <col min="25" max="25" width="6.140625" style="46" bestFit="1" customWidth="1"/>
    <col min="26" max="26" width="11.42578125" customWidth="1"/>
    <col min="27" max="27" width="3.28515625" customWidth="1"/>
    <col min="28" max="28" width="4.28515625" customWidth="1"/>
    <col min="29" max="16384" width="11.42578125" hidden="1"/>
  </cols>
  <sheetData>
    <row r="1" spans="1:27" ht="15" customHeight="1" x14ac:dyDescent="0.25">
      <c r="A1" s="2"/>
      <c r="B1" s="2"/>
      <c r="C1" s="120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65"/>
      <c r="T1" s="2"/>
      <c r="U1" s="2"/>
      <c r="V1" s="2"/>
      <c r="W1" s="2"/>
      <c r="X1" s="2"/>
      <c r="Y1" s="65"/>
      <c r="Z1" s="2"/>
      <c r="AA1" s="392"/>
    </row>
    <row r="2" spans="1:27" ht="22.5" customHeight="1" x14ac:dyDescent="0.4">
      <c r="A2" s="2"/>
      <c r="B2" s="459" t="s">
        <v>373</v>
      </c>
      <c r="C2" s="462"/>
      <c r="D2" s="462"/>
      <c r="E2" s="462"/>
      <c r="F2" s="2"/>
      <c r="G2" s="459" t="s">
        <v>374</v>
      </c>
      <c r="H2" s="459"/>
      <c r="I2" s="459"/>
      <c r="J2" s="459"/>
      <c r="K2" s="459"/>
      <c r="L2" s="459"/>
      <c r="M2" s="459"/>
      <c r="N2" s="459"/>
      <c r="O2" s="2"/>
      <c r="P2" s="466" t="s">
        <v>375</v>
      </c>
      <c r="Q2" s="466"/>
      <c r="R2" s="466"/>
      <c r="S2" s="466"/>
      <c r="T2" s="466"/>
      <c r="U2" s="466"/>
      <c r="V2" s="466"/>
      <c r="W2" s="466"/>
      <c r="X2" s="466"/>
      <c r="Y2" s="466"/>
      <c r="Z2" s="2"/>
      <c r="AA2" s="392"/>
    </row>
    <row r="3" spans="1:27" ht="18.75" x14ac:dyDescent="0.3">
      <c r="A3" s="2"/>
      <c r="B3" s="2"/>
      <c r="C3" s="120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66" t="s">
        <v>376</v>
      </c>
      <c r="Q3" s="466"/>
      <c r="R3" s="466"/>
      <c r="S3" s="466"/>
      <c r="T3" s="466"/>
      <c r="U3" s="466"/>
      <c r="V3" s="466"/>
      <c r="W3" s="466"/>
      <c r="X3" s="466"/>
      <c r="Y3" s="466"/>
      <c r="Z3" s="2"/>
      <c r="AA3" s="392"/>
    </row>
    <row r="4" spans="1:27" ht="15" customHeight="1" x14ac:dyDescent="0.25">
      <c r="A4" s="2"/>
      <c r="B4" s="2"/>
      <c r="C4" s="12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65"/>
      <c r="T4" s="2"/>
      <c r="U4" s="2"/>
      <c r="V4" s="2"/>
      <c r="W4" s="2"/>
      <c r="X4" s="2"/>
      <c r="Y4" s="2"/>
      <c r="Z4" s="2"/>
      <c r="AA4" s="392"/>
    </row>
    <row r="5" spans="1:27" ht="15" customHeight="1" x14ac:dyDescent="0.25">
      <c r="A5" s="2"/>
      <c r="B5" s="93"/>
      <c r="C5" s="115"/>
      <c r="D5" s="94" t="s">
        <v>198</v>
      </c>
      <c r="E5" s="94" t="s">
        <v>199</v>
      </c>
      <c r="F5" s="2"/>
      <c r="G5" s="44" t="s">
        <v>216</v>
      </c>
      <c r="H5" s="45"/>
      <c r="I5" s="45"/>
      <c r="J5" s="45"/>
      <c r="K5" s="45"/>
      <c r="L5" s="45"/>
      <c r="M5" s="45"/>
      <c r="N5" s="45"/>
      <c r="O5" s="2"/>
      <c r="P5" s="2"/>
      <c r="Q5" s="2"/>
      <c r="R5" s="2"/>
      <c r="S5" s="65"/>
      <c r="T5" s="2"/>
      <c r="U5" s="2"/>
      <c r="V5" s="2"/>
      <c r="W5" s="2"/>
      <c r="X5" s="2"/>
      <c r="Y5" s="2"/>
      <c r="Z5" s="2"/>
      <c r="AA5" s="392"/>
    </row>
    <row r="6" spans="1:27" ht="15" customHeight="1" x14ac:dyDescent="0.25">
      <c r="A6" s="2"/>
      <c r="B6" s="95"/>
      <c r="C6" s="96" t="s">
        <v>128</v>
      </c>
      <c r="D6" s="96" t="s">
        <v>25</v>
      </c>
      <c r="E6" s="96" t="s">
        <v>25</v>
      </c>
      <c r="F6" s="2"/>
      <c r="G6" s="125" t="s">
        <v>217</v>
      </c>
      <c r="H6" s="103"/>
      <c r="I6" s="103"/>
      <c r="J6" s="463" t="s">
        <v>218</v>
      </c>
      <c r="K6" s="463" t="s">
        <v>219</v>
      </c>
      <c r="L6" s="463" t="s">
        <v>179</v>
      </c>
      <c r="M6" s="463" t="s">
        <v>67</v>
      </c>
      <c r="N6" s="463" t="s">
        <v>128</v>
      </c>
      <c r="O6" s="2"/>
      <c r="P6" s="125" t="s">
        <v>217</v>
      </c>
      <c r="Q6" s="103"/>
      <c r="R6" s="103"/>
      <c r="S6" s="136"/>
      <c r="T6" s="463" t="s">
        <v>218</v>
      </c>
      <c r="U6" s="463" t="s">
        <v>219</v>
      </c>
      <c r="V6" s="463" t="s">
        <v>229</v>
      </c>
      <c r="W6" s="463" t="s">
        <v>356</v>
      </c>
      <c r="X6" s="463" t="s">
        <v>67</v>
      </c>
      <c r="Y6" s="2"/>
      <c r="Z6" s="2"/>
      <c r="AA6" s="392"/>
    </row>
    <row r="7" spans="1:27" ht="15" customHeight="1" x14ac:dyDescent="0.25">
      <c r="A7" s="2"/>
      <c r="B7" s="97" t="s">
        <v>200</v>
      </c>
      <c r="C7" s="124" t="s">
        <v>313</v>
      </c>
      <c r="D7" s="98">
        <f>+'Secc-9.2'!B33</f>
        <v>5937000</v>
      </c>
      <c r="E7" s="98">
        <f>+'Secc 9.3'!B33</f>
        <v>12130000</v>
      </c>
      <c r="F7" s="2"/>
      <c r="G7" s="125"/>
      <c r="H7" s="103"/>
      <c r="I7" s="103"/>
      <c r="J7" s="464"/>
      <c r="K7" s="464"/>
      <c r="L7" s="464"/>
      <c r="M7" s="464"/>
      <c r="N7" s="464"/>
      <c r="O7" s="2"/>
      <c r="P7" s="125"/>
      <c r="Q7" s="103"/>
      <c r="R7" s="103"/>
      <c r="S7" s="137"/>
      <c r="T7" s="464"/>
      <c r="U7" s="464"/>
      <c r="V7" s="464"/>
      <c r="W7" s="464"/>
      <c r="X7" s="464"/>
      <c r="Y7" s="2"/>
      <c r="Z7" s="2"/>
      <c r="AA7" s="392"/>
    </row>
    <row r="8" spans="1:27" ht="15" customHeight="1" x14ac:dyDescent="0.25">
      <c r="A8" s="2"/>
      <c r="B8" s="111" t="s">
        <v>354</v>
      </c>
      <c r="C8" s="116"/>
      <c r="D8" s="112"/>
      <c r="E8" s="112"/>
      <c r="F8" s="2"/>
      <c r="G8" s="126" t="s">
        <v>327</v>
      </c>
      <c r="H8" s="127"/>
      <c r="I8" s="127"/>
      <c r="J8" s="128">
        <v>4022000</v>
      </c>
      <c r="K8" s="128">
        <v>593000</v>
      </c>
      <c r="L8" s="128">
        <v>1322000</v>
      </c>
      <c r="M8" s="128">
        <f>SUM(J8:L8)</f>
        <v>5937000</v>
      </c>
      <c r="N8" s="129">
        <v>9.1999999999999993</v>
      </c>
      <c r="O8" s="2"/>
      <c r="P8" s="126" t="s">
        <v>328</v>
      </c>
      <c r="Q8" s="127"/>
      <c r="R8" s="127"/>
      <c r="S8" s="138" t="s">
        <v>227</v>
      </c>
      <c r="T8" s="128">
        <v>4022000</v>
      </c>
      <c r="U8" s="128">
        <v>593000</v>
      </c>
      <c r="V8" s="139">
        <v>0</v>
      </c>
      <c r="W8" s="128">
        <v>1322000</v>
      </c>
      <c r="X8" s="128">
        <f t="shared" ref="X8:X17" si="0">SUM(T8:W8)</f>
        <v>5937000</v>
      </c>
      <c r="Y8" s="2"/>
      <c r="Z8" s="2"/>
      <c r="AA8" s="392"/>
    </row>
    <row r="9" spans="1:27" ht="15" customHeight="1" x14ac:dyDescent="0.25">
      <c r="A9" s="2"/>
      <c r="B9" s="61" t="s">
        <v>201</v>
      </c>
      <c r="C9" s="117">
        <v>8.1</v>
      </c>
      <c r="D9" s="105">
        <f>+'Secc 8.1 -8.10'!E8</f>
        <v>363300</v>
      </c>
      <c r="E9" s="105">
        <f>+'Secc 8.1 -8.10'!H8</f>
        <v>363300</v>
      </c>
      <c r="F9" s="2"/>
      <c r="G9" s="130" t="s">
        <v>220</v>
      </c>
      <c r="H9" s="131"/>
      <c r="I9" s="131"/>
      <c r="J9" s="132">
        <v>0</v>
      </c>
      <c r="K9" s="132">
        <v>0</v>
      </c>
      <c r="L9" s="132">
        <v>5000000</v>
      </c>
      <c r="M9" s="132">
        <f>SUM(J9:L9)</f>
        <v>5000000</v>
      </c>
      <c r="N9" s="133"/>
      <c r="O9" s="2"/>
      <c r="P9" s="56" t="s">
        <v>128</v>
      </c>
      <c r="Q9" s="411"/>
      <c r="R9" s="411"/>
      <c r="S9" s="415"/>
      <c r="T9" s="413"/>
      <c r="U9" s="413"/>
      <c r="V9" s="414"/>
      <c r="W9" s="413"/>
      <c r="X9" s="416">
        <v>9.6</v>
      </c>
      <c r="Y9" s="2"/>
      <c r="Z9" s="2"/>
      <c r="AA9" s="392"/>
    </row>
    <row r="10" spans="1:27" ht="15" customHeight="1" x14ac:dyDescent="0.25">
      <c r="A10" s="2"/>
      <c r="B10" s="61" t="s">
        <v>3</v>
      </c>
      <c r="C10" s="117">
        <v>8.1999999999999993</v>
      </c>
      <c r="D10" s="105">
        <f>-'Secc 8.1 -8.10'!D15</f>
        <v>-3811000</v>
      </c>
      <c r="E10" s="105">
        <f>-'Secc 8.1 -8.10'!G15</f>
        <v>-3811000</v>
      </c>
      <c r="F10" s="2"/>
      <c r="G10" s="130" t="s">
        <v>221</v>
      </c>
      <c r="H10" s="131"/>
      <c r="I10" s="131"/>
      <c r="J10" s="132">
        <v>0</v>
      </c>
      <c r="K10" s="132">
        <v>1193000</v>
      </c>
      <c r="L10" s="132">
        <v>0</v>
      </c>
      <c r="M10" s="132">
        <f>SUM(J10:L10)</f>
        <v>1193000</v>
      </c>
      <c r="N10" s="133"/>
      <c r="O10" s="2"/>
      <c r="P10" s="108" t="s">
        <v>357</v>
      </c>
      <c r="Q10" s="110"/>
      <c r="R10" s="140"/>
      <c r="S10" s="141" t="s">
        <v>31</v>
      </c>
      <c r="T10" s="62">
        <v>0</v>
      </c>
      <c r="U10" s="62">
        <v>0</v>
      </c>
      <c r="V10" s="62">
        <v>0</v>
      </c>
      <c r="W10" s="142">
        <f>+L9</f>
        <v>5000000</v>
      </c>
      <c r="X10" s="142">
        <f>SUM(T10:W10)</f>
        <v>5000000</v>
      </c>
      <c r="Y10" s="2"/>
      <c r="Z10" s="2"/>
      <c r="AA10" s="392"/>
    </row>
    <row r="11" spans="1:27" ht="15" customHeight="1" x14ac:dyDescent="0.25">
      <c r="A11" s="2"/>
      <c r="B11" s="61" t="s">
        <v>202</v>
      </c>
      <c r="C11" s="117">
        <v>8.3000000000000007</v>
      </c>
      <c r="D11" s="105">
        <f>-'Secc 8.1 -8.10'!D31</f>
        <v>-2000000</v>
      </c>
      <c r="E11" s="105">
        <f>-'Secc 8.1 -8.10'!G31</f>
        <v>-2000000</v>
      </c>
      <c r="F11" s="2"/>
      <c r="G11" s="126" t="s">
        <v>230</v>
      </c>
      <c r="H11" s="127"/>
      <c r="I11" s="127"/>
      <c r="J11" s="128">
        <f>SUM(J8:J10)</f>
        <v>4022000</v>
      </c>
      <c r="K11" s="128">
        <f>SUM(K8:K10)</f>
        <v>1786000</v>
      </c>
      <c r="L11" s="128">
        <f>SUM(L8:L10)</f>
        <v>6322000</v>
      </c>
      <c r="M11" s="128">
        <f>SUM(M8:M10)</f>
        <v>12130000</v>
      </c>
      <c r="N11" s="129">
        <v>9.3000000000000007</v>
      </c>
      <c r="O11" s="2"/>
      <c r="P11" s="108" t="s">
        <v>221</v>
      </c>
      <c r="Q11" s="110"/>
      <c r="R11" s="140"/>
      <c r="S11" s="141"/>
      <c r="T11" s="62">
        <v>0</v>
      </c>
      <c r="U11" s="142">
        <f>+K10</f>
        <v>1193000</v>
      </c>
      <c r="V11" s="62">
        <v>0</v>
      </c>
      <c r="W11" s="62">
        <v>0</v>
      </c>
      <c r="X11" s="142">
        <f>SUM(T11:W11)</f>
        <v>1193000</v>
      </c>
      <c r="Y11" s="2"/>
      <c r="Z11" s="2"/>
      <c r="AA11" s="392"/>
    </row>
    <row r="12" spans="1:27" ht="15" customHeight="1" x14ac:dyDescent="0.25">
      <c r="A12" s="2"/>
      <c r="B12" s="61" t="s">
        <v>203</v>
      </c>
      <c r="C12" s="117">
        <v>8.4</v>
      </c>
      <c r="D12" s="105">
        <f>-'Secc 8.1 -8.10'!D41</f>
        <v>-700000</v>
      </c>
      <c r="E12" s="105">
        <f>-'Secc 8.1 -8.10'!G41</f>
        <v>-700000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56" t="s">
        <v>128</v>
      </c>
      <c r="Q12" s="411"/>
      <c r="R12" s="411"/>
      <c r="S12" s="415"/>
      <c r="T12" s="413"/>
      <c r="U12" s="416">
        <v>9.6</v>
      </c>
      <c r="V12" s="414"/>
      <c r="W12" s="413"/>
      <c r="X12" s="416"/>
      <c r="Y12" s="2"/>
      <c r="Z12" s="2"/>
      <c r="AA12" s="392"/>
    </row>
    <row r="13" spans="1:27" ht="15" customHeight="1" x14ac:dyDescent="0.25">
      <c r="A13" s="2"/>
      <c r="B13" s="61" t="s">
        <v>204</v>
      </c>
      <c r="C13" s="117" t="s">
        <v>118</v>
      </c>
      <c r="D13" s="105">
        <f>+'Secc 8.1 -8.10'!E62</f>
        <v>600000</v>
      </c>
      <c r="E13" s="105">
        <f>+'Secc 8.1 -8.10'!H62</f>
        <v>600000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11" t="s">
        <v>317</v>
      </c>
      <c r="Q13" s="212"/>
      <c r="R13" s="212"/>
      <c r="S13" s="213"/>
      <c r="T13" s="214"/>
      <c r="U13" s="214"/>
      <c r="V13" s="215"/>
      <c r="W13" s="214"/>
      <c r="X13" s="214"/>
      <c r="Y13" s="2"/>
      <c r="Z13" s="2"/>
      <c r="AA13" s="392"/>
    </row>
    <row r="14" spans="1:27" ht="15" customHeight="1" x14ac:dyDescent="0.25">
      <c r="A14" s="2"/>
      <c r="B14" s="61" t="s">
        <v>209</v>
      </c>
      <c r="C14" s="117" t="s">
        <v>119</v>
      </c>
      <c r="D14" s="105">
        <f>+'Secc 8.1 -8.10'!E67</f>
        <v>750000</v>
      </c>
      <c r="E14" s="105">
        <f>+'Secc 8.1 -8.10'!H67</f>
        <v>750000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33" t="s">
        <v>316</v>
      </c>
      <c r="Q14" s="110"/>
      <c r="R14" s="140"/>
      <c r="S14" s="141" t="s">
        <v>224</v>
      </c>
      <c r="T14" s="62">
        <v>0</v>
      </c>
      <c r="U14" s="62">
        <v>0</v>
      </c>
      <c r="V14" s="142">
        <f>+D13</f>
        <v>600000</v>
      </c>
      <c r="W14" s="142">
        <f>SUM(D9:D17)-V14</f>
        <v>-1572228.9596555382</v>
      </c>
      <c r="X14" s="142">
        <f t="shared" si="0"/>
        <v>-972228.9596555382</v>
      </c>
      <c r="Y14" s="2"/>
      <c r="Z14" s="2"/>
      <c r="AA14" s="392"/>
    </row>
    <row r="15" spans="1:27" ht="15" customHeight="1" x14ac:dyDescent="0.25">
      <c r="A15" s="2"/>
      <c r="B15" s="61" t="s">
        <v>210</v>
      </c>
      <c r="C15" s="117" t="s">
        <v>120</v>
      </c>
      <c r="D15" s="105">
        <f>+'Secc 8.1 -8.10'!E74</f>
        <v>750000</v>
      </c>
      <c r="E15" s="105">
        <f>+'Secc 8.1 -8.10'!H74</f>
        <v>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33" t="s">
        <v>318</v>
      </c>
      <c r="Q15" s="110"/>
      <c r="R15" s="140"/>
      <c r="S15" s="141" t="s">
        <v>32</v>
      </c>
      <c r="T15" s="62">
        <v>0</v>
      </c>
      <c r="U15" s="62">
        <v>0</v>
      </c>
      <c r="V15" s="62">
        <v>0</v>
      </c>
      <c r="W15" s="142">
        <f>+E29</f>
        <v>-1207451.4481859654</v>
      </c>
      <c r="X15" s="142">
        <f t="shared" si="0"/>
        <v>-1207451.4481859654</v>
      </c>
      <c r="Y15" s="2"/>
      <c r="Z15" s="2"/>
      <c r="AA15" s="392"/>
    </row>
    <row r="16" spans="1:27" ht="15" customHeight="1" x14ac:dyDescent="0.25">
      <c r="A16" s="2"/>
      <c r="B16" s="61" t="s">
        <v>205</v>
      </c>
      <c r="C16" s="117">
        <v>8.6999999999999993</v>
      </c>
      <c r="D16" s="105">
        <f>+'Secc 8.1 -8.10'!E83</f>
        <v>2475471.0403444618</v>
      </c>
      <c r="E16" s="113">
        <f>+'Secc 8.1 -8.10'!H83</f>
        <v>2475471.0403444618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56" t="s">
        <v>128</v>
      </c>
      <c r="Q16" s="411"/>
      <c r="R16" s="411"/>
      <c r="S16" s="415"/>
      <c r="T16" s="413"/>
      <c r="U16" s="416"/>
      <c r="V16" s="414"/>
      <c r="W16" s="416" t="s">
        <v>377</v>
      </c>
      <c r="X16" s="416"/>
      <c r="Y16" s="2"/>
      <c r="Z16" s="2"/>
      <c r="AA16" s="392"/>
    </row>
    <row r="17" spans="1:27" ht="15" x14ac:dyDescent="0.25">
      <c r="A17" s="2"/>
      <c r="B17" s="61" t="s">
        <v>206</v>
      </c>
      <c r="C17" s="117">
        <v>8.8000000000000007</v>
      </c>
      <c r="D17" s="105">
        <f>+'Secc 8.1 -8.10'!E90</f>
        <v>600000</v>
      </c>
      <c r="E17" s="105">
        <f>'Secc 8.1 -8.10'!H90</f>
        <v>600000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33" t="s">
        <v>378</v>
      </c>
      <c r="Q17" s="110"/>
      <c r="R17" s="140"/>
      <c r="S17" s="141" t="s">
        <v>33</v>
      </c>
      <c r="T17" s="62">
        <v>0</v>
      </c>
      <c r="U17" s="62">
        <v>0</v>
      </c>
      <c r="V17" s="62">
        <v>0</v>
      </c>
      <c r="W17" s="142">
        <f>+E32</f>
        <v>-1000000</v>
      </c>
      <c r="X17" s="142">
        <f t="shared" si="0"/>
        <v>-1000000</v>
      </c>
      <c r="Y17" s="2"/>
      <c r="Z17" s="2"/>
      <c r="AA17" s="392"/>
    </row>
    <row r="18" spans="1:27" ht="15" customHeight="1" x14ac:dyDescent="0.25">
      <c r="A18" s="2"/>
      <c r="B18" s="99"/>
      <c r="C18" s="121" t="s">
        <v>19</v>
      </c>
      <c r="D18" s="107">
        <f>SUM(D9:D17)</f>
        <v>-972228.9596555382</v>
      </c>
      <c r="E18" s="107">
        <f>SUM(E9:E17)</f>
        <v>-972228.9596555382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56" t="s">
        <v>128</v>
      </c>
      <c r="Q18" s="411"/>
      <c r="R18" s="411"/>
      <c r="S18" s="415"/>
      <c r="T18" s="413"/>
      <c r="U18" s="416"/>
      <c r="V18" s="414"/>
      <c r="W18" s="416" t="s">
        <v>379</v>
      </c>
      <c r="X18" s="416"/>
      <c r="Y18" s="2"/>
      <c r="Z18" s="2"/>
      <c r="AA18" s="392"/>
    </row>
    <row r="19" spans="1:27" ht="15" customHeight="1" x14ac:dyDescent="0.25">
      <c r="A19" s="2"/>
      <c r="B19" s="56" t="s">
        <v>211</v>
      </c>
      <c r="C19" s="118"/>
      <c r="D19" s="106"/>
      <c r="E19" s="106"/>
      <c r="F19" s="2"/>
      <c r="G19" s="2"/>
      <c r="H19" s="2"/>
      <c r="I19" s="2"/>
      <c r="J19" s="2"/>
      <c r="K19" s="2"/>
      <c r="L19" s="2"/>
      <c r="M19" s="2"/>
      <c r="N19" s="2"/>
      <c r="O19" s="2"/>
      <c r="P19" s="126" t="s">
        <v>355</v>
      </c>
      <c r="Q19" s="127"/>
      <c r="R19" s="127"/>
      <c r="S19" s="138"/>
      <c r="T19" s="128">
        <f>+T8+T14+T15+T17+T10+T11</f>
        <v>4022000</v>
      </c>
      <c r="U19" s="128">
        <f>+U8+U14+U15+U17+U10+U11</f>
        <v>1786000</v>
      </c>
      <c r="V19" s="128">
        <f>+V8+V14+V15+V17+V10+V11</f>
        <v>600000</v>
      </c>
      <c r="W19" s="128">
        <f>+W8+W14+W15+W17+W10+W11</f>
        <v>2542319.5921584964</v>
      </c>
      <c r="X19" s="128">
        <f>+X8+X14+X15+X17+X10+X11</f>
        <v>8950319.5921584964</v>
      </c>
      <c r="Y19" s="2"/>
      <c r="Z19" s="2"/>
      <c r="AA19" s="392"/>
    </row>
    <row r="20" spans="1:27" ht="15" customHeight="1" x14ac:dyDescent="0.25">
      <c r="A20" s="2"/>
      <c r="B20" s="61" t="s">
        <v>201</v>
      </c>
      <c r="C20" s="117">
        <v>8.1</v>
      </c>
      <c r="D20" s="109">
        <v>0</v>
      </c>
      <c r="E20" s="105">
        <f>+'Secc 8.1 -8.10'!H7</f>
        <v>502359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56" t="s">
        <v>128</v>
      </c>
      <c r="Q20" s="411"/>
      <c r="R20" s="411"/>
      <c r="S20" s="415"/>
      <c r="T20" s="413"/>
      <c r="U20" s="416"/>
      <c r="V20" s="414"/>
      <c r="W20" s="416"/>
      <c r="X20" s="416">
        <v>9.5</v>
      </c>
      <c r="Y20" s="2"/>
      <c r="Z20" s="2"/>
      <c r="AA20" s="392"/>
    </row>
    <row r="21" spans="1:27" ht="15" customHeight="1" x14ac:dyDescent="0.25">
      <c r="A21" s="2"/>
      <c r="B21" s="61" t="s">
        <v>324</v>
      </c>
      <c r="C21" s="117">
        <v>8.1999999999999993</v>
      </c>
      <c r="D21" s="109">
        <v>0</v>
      </c>
      <c r="E21" s="105">
        <f>-'Secc 8.1 -8.10'!G16</f>
        <v>-695000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392"/>
    </row>
    <row r="22" spans="1:27" ht="15" customHeight="1" x14ac:dyDescent="0.3">
      <c r="A22" s="2"/>
      <c r="B22" s="61" t="s">
        <v>325</v>
      </c>
      <c r="C22" s="117">
        <v>8.1999999999999993</v>
      </c>
      <c r="D22" s="109">
        <v>0</v>
      </c>
      <c r="E22" s="105">
        <f>-'Secc 8.1 -8.10'!G17</f>
        <v>-480000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465" t="s">
        <v>222</v>
      </c>
      <c r="Q22" s="465"/>
      <c r="R22" s="465"/>
      <c r="S22" s="465"/>
      <c r="T22" s="465"/>
      <c r="U22" s="465"/>
      <c r="V22" s="465"/>
      <c r="W22" s="465"/>
      <c r="X22" s="465"/>
      <c r="Y22" s="465"/>
      <c r="Z22" s="2"/>
      <c r="AA22" s="392"/>
    </row>
    <row r="23" spans="1:27" ht="15" customHeight="1" x14ac:dyDescent="0.25">
      <c r="A23" s="2"/>
      <c r="B23" s="61" t="s">
        <v>314</v>
      </c>
      <c r="C23" s="117">
        <v>8.3000000000000007</v>
      </c>
      <c r="D23" s="109">
        <v>0</v>
      </c>
      <c r="E23" s="105">
        <f>-'Secc 8.1 -8.10'!G33-'Secc 8.1 -8.10'!G34-'Secc 8.1 -8.10'!G35</f>
        <v>-400000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392"/>
    </row>
    <row r="24" spans="1:27" ht="15" customHeight="1" x14ac:dyDescent="0.25">
      <c r="A24" s="2"/>
      <c r="B24" s="61" t="s">
        <v>203</v>
      </c>
      <c r="C24" s="117">
        <v>8.4</v>
      </c>
      <c r="D24" s="109">
        <v>0</v>
      </c>
      <c r="E24" s="105">
        <f>+'Secc 8.1 -8.10'!H43</f>
        <v>100000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125" t="s">
        <v>217</v>
      </c>
      <c r="Q24" s="103"/>
      <c r="R24" s="103"/>
      <c r="S24" s="143"/>
      <c r="T24" s="463" t="s">
        <v>218</v>
      </c>
      <c r="U24" s="463" t="s">
        <v>219</v>
      </c>
      <c r="V24" s="463" t="s">
        <v>229</v>
      </c>
      <c r="W24" s="463" t="s">
        <v>356</v>
      </c>
      <c r="X24" s="463" t="s">
        <v>67</v>
      </c>
      <c r="Y24" s="65"/>
      <c r="Z24" s="2"/>
      <c r="AA24" s="392"/>
    </row>
    <row r="25" spans="1:27" ht="15" customHeight="1" x14ac:dyDescent="0.25">
      <c r="A25" s="2"/>
      <c r="B25" s="61" t="s">
        <v>209</v>
      </c>
      <c r="C25" s="117" t="s">
        <v>119</v>
      </c>
      <c r="D25" s="109">
        <v>0</v>
      </c>
      <c r="E25" s="105">
        <f>+'Secc 8.1 -8.10'!H68</f>
        <v>75000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125"/>
      <c r="Q25" s="103"/>
      <c r="R25" s="103"/>
      <c r="S25" s="144"/>
      <c r="T25" s="464"/>
      <c r="U25" s="464"/>
      <c r="V25" s="464"/>
      <c r="W25" s="464"/>
      <c r="X25" s="464"/>
      <c r="Y25" s="65"/>
      <c r="Z25" s="2"/>
      <c r="AA25" s="392"/>
    </row>
    <row r="26" spans="1:27" ht="15" customHeight="1" x14ac:dyDescent="0.25">
      <c r="A26" s="2"/>
      <c r="B26" s="61" t="s">
        <v>210</v>
      </c>
      <c r="C26" s="117" t="s">
        <v>120</v>
      </c>
      <c r="D26" s="109">
        <v>0</v>
      </c>
      <c r="E26" s="105">
        <f>+'Secc 8.1 -8.10'!H75</f>
        <v>150000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125"/>
      <c r="Q26" s="103"/>
      <c r="R26" s="103"/>
      <c r="S26" s="144"/>
      <c r="T26" s="409"/>
      <c r="U26" s="409"/>
      <c r="V26" s="409"/>
      <c r="W26" s="409"/>
      <c r="X26" s="418" t="s">
        <v>380</v>
      </c>
      <c r="Y26" s="65"/>
      <c r="Z26" s="2"/>
      <c r="AA26" s="392"/>
    </row>
    <row r="27" spans="1:27" ht="15" customHeight="1" x14ac:dyDescent="0.25">
      <c r="A27" s="2"/>
      <c r="B27" s="61" t="s">
        <v>205</v>
      </c>
      <c r="C27" s="117">
        <v>8.6999999999999993</v>
      </c>
      <c r="D27" s="109">
        <v>0</v>
      </c>
      <c r="E27" s="105">
        <f>-'Secc 8.1 -8.10'!G82</f>
        <v>-559810.44818596542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126" t="s">
        <v>329</v>
      </c>
      <c r="Q27" s="127"/>
      <c r="R27" s="127"/>
      <c r="S27" s="138" t="s">
        <v>228</v>
      </c>
      <c r="T27" s="128">
        <f>+T8+T14</f>
        <v>4022000</v>
      </c>
      <c r="U27" s="128">
        <f>+U8+U14</f>
        <v>593000</v>
      </c>
      <c r="V27" s="128">
        <f>+V8+V14</f>
        <v>600000</v>
      </c>
      <c r="W27" s="63">
        <f>+W8+W14</f>
        <v>-250228.9596555382</v>
      </c>
      <c r="X27" s="128">
        <f>+X8+X14</f>
        <v>4964771.0403444618</v>
      </c>
      <c r="Y27" s="65"/>
      <c r="Z27" s="2"/>
      <c r="AA27" s="392"/>
    </row>
    <row r="28" spans="1:27" ht="15" customHeight="1" x14ac:dyDescent="0.25">
      <c r="A28" s="2"/>
      <c r="B28" s="61" t="s">
        <v>206</v>
      </c>
      <c r="C28" s="117">
        <v>8.8000000000000007</v>
      </c>
      <c r="D28" s="109">
        <v>0</v>
      </c>
      <c r="E28" s="105">
        <f>+'Secc 8.1 -8.10'!H89</f>
        <v>100000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56"/>
      <c r="Q28" s="411"/>
      <c r="R28" s="411"/>
      <c r="S28" s="412"/>
      <c r="T28" s="413"/>
      <c r="U28" s="413"/>
      <c r="V28" s="413"/>
      <c r="W28" s="419"/>
      <c r="X28" s="420" t="s">
        <v>381</v>
      </c>
      <c r="Y28" s="65"/>
      <c r="Z28" s="2"/>
      <c r="AA28" s="392"/>
    </row>
    <row r="29" spans="1:27" ht="15" customHeight="1" x14ac:dyDescent="0.25">
      <c r="A29" s="2"/>
      <c r="B29" s="99"/>
      <c r="C29" s="121" t="s">
        <v>15</v>
      </c>
      <c r="D29" s="102">
        <f>SUM(D20:D28)</f>
        <v>0</v>
      </c>
      <c r="E29" s="107">
        <f>SUM(E20:E28)</f>
        <v>-1207451.4481859654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108" t="s">
        <v>225</v>
      </c>
      <c r="Q29" s="110"/>
      <c r="R29" s="140"/>
      <c r="S29" s="141" t="s">
        <v>226</v>
      </c>
      <c r="T29" s="62">
        <f>+T10+T15</f>
        <v>0</v>
      </c>
      <c r="U29" s="62">
        <f>+U10+U15</f>
        <v>0</v>
      </c>
      <c r="V29" s="62">
        <f>+V10+V15</f>
        <v>0</v>
      </c>
      <c r="W29" s="142">
        <f>+W10+W15</f>
        <v>3792548.5518140346</v>
      </c>
      <c r="X29" s="142">
        <f>+X10+X15</f>
        <v>3792548.5518140346</v>
      </c>
      <c r="Y29" s="65"/>
      <c r="Z29" s="2"/>
      <c r="AA29" s="392"/>
    </row>
    <row r="30" spans="1:27" ht="15" customHeight="1" x14ac:dyDescent="0.25">
      <c r="A30" s="2"/>
      <c r="B30" s="56" t="s">
        <v>212</v>
      </c>
      <c r="C30" s="119"/>
      <c r="D30" s="103"/>
      <c r="E30" s="104"/>
      <c r="F30" s="2"/>
      <c r="G30" s="2"/>
      <c r="H30" s="2"/>
      <c r="I30" s="2"/>
      <c r="J30" s="2"/>
      <c r="K30" s="2"/>
      <c r="L30" s="2"/>
      <c r="M30" s="2"/>
      <c r="N30" s="2"/>
      <c r="O30" s="2"/>
      <c r="P30" s="108" t="s">
        <v>223</v>
      </c>
      <c r="Q30" s="110"/>
      <c r="R30" s="140"/>
      <c r="S30" s="141" t="s">
        <v>33</v>
      </c>
      <c r="T30" s="62">
        <f>+T17</f>
        <v>0</v>
      </c>
      <c r="U30" s="62">
        <f>+U17</f>
        <v>0</v>
      </c>
      <c r="V30" s="62">
        <f>+V17</f>
        <v>0</v>
      </c>
      <c r="W30" s="142">
        <f>+W17</f>
        <v>-1000000</v>
      </c>
      <c r="X30" s="142">
        <f>+X17</f>
        <v>-1000000</v>
      </c>
      <c r="Y30" s="65"/>
      <c r="Z30" s="2"/>
      <c r="AA30" s="392"/>
    </row>
    <row r="31" spans="1:27" ht="15" customHeight="1" x14ac:dyDescent="0.25">
      <c r="A31" s="2"/>
      <c r="B31" s="61" t="s">
        <v>315</v>
      </c>
      <c r="C31" s="117">
        <v>8.5</v>
      </c>
      <c r="D31" s="109">
        <v>0</v>
      </c>
      <c r="E31" s="105">
        <f>-'Secc 8.1 -8.10'!G49</f>
        <v>-1000000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108" t="s">
        <v>221</v>
      </c>
      <c r="Q31" s="110"/>
      <c r="R31" s="140"/>
      <c r="S31" s="141"/>
      <c r="T31" s="62">
        <f>+T11</f>
        <v>0</v>
      </c>
      <c r="U31" s="142">
        <f>+U11</f>
        <v>1193000</v>
      </c>
      <c r="V31" s="62">
        <f>+V11</f>
        <v>0</v>
      </c>
      <c r="W31" s="62">
        <f>+W11</f>
        <v>0</v>
      </c>
      <c r="X31" s="142">
        <f>+X11</f>
        <v>1193000</v>
      </c>
      <c r="Y31" s="65"/>
      <c r="Z31" s="2"/>
      <c r="AA31" s="392"/>
    </row>
    <row r="32" spans="1:27" ht="15" customHeight="1" x14ac:dyDescent="0.25">
      <c r="A32" s="2"/>
      <c r="B32" s="222"/>
      <c r="C32" s="223" t="s">
        <v>41</v>
      </c>
      <c r="D32" s="102">
        <f>+D31</f>
        <v>0</v>
      </c>
      <c r="E32" s="107">
        <f>+E31</f>
        <v>-1000000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125"/>
      <c r="Q32" s="103"/>
      <c r="R32" s="421"/>
      <c r="S32" s="412"/>
      <c r="T32" s="422"/>
      <c r="U32" s="423"/>
      <c r="V32" s="422"/>
      <c r="W32" s="422"/>
      <c r="X32" s="420" t="s">
        <v>382</v>
      </c>
      <c r="Y32" s="65"/>
      <c r="Z32" s="2"/>
      <c r="AA32" s="392"/>
    </row>
    <row r="33" spans="1:27" ht="15" customHeight="1" x14ac:dyDescent="0.25">
      <c r="A33" s="2"/>
      <c r="B33" s="122" t="s">
        <v>207</v>
      </c>
      <c r="C33" s="123" t="s">
        <v>214</v>
      </c>
      <c r="D33" s="224">
        <f>+D18+D29+D32</f>
        <v>-972228.9596555382</v>
      </c>
      <c r="E33" s="224">
        <f>+E18+E29+E32</f>
        <v>-3179680.4078415036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126" t="s">
        <v>330</v>
      </c>
      <c r="Q33" s="127"/>
      <c r="R33" s="127"/>
      <c r="S33" s="138"/>
      <c r="T33" s="128">
        <f>SUM(T27:T31)</f>
        <v>4022000</v>
      </c>
      <c r="U33" s="128">
        <f>SUM(U27:U31)</f>
        <v>1786000</v>
      </c>
      <c r="V33" s="128">
        <f>SUM(V27:V31)</f>
        <v>600000</v>
      </c>
      <c r="W33" s="128">
        <f>SUM(W27:W31)</f>
        <v>2542319.5921584964</v>
      </c>
      <c r="X33" s="128">
        <f>SUM(X27:X31)</f>
        <v>8950319.5921584964</v>
      </c>
      <c r="Y33" s="65"/>
      <c r="Z33" s="2"/>
      <c r="AA33" s="392"/>
    </row>
    <row r="34" spans="1:27" ht="15" customHeight="1" x14ac:dyDescent="0.25">
      <c r="A34" s="2"/>
      <c r="B34" s="122" t="s">
        <v>208</v>
      </c>
      <c r="C34" s="123" t="s">
        <v>213</v>
      </c>
      <c r="D34" s="101">
        <f>+D7+D33</f>
        <v>4964771.0403444618</v>
      </c>
      <c r="E34" s="101">
        <f>+E7+E33</f>
        <v>8950319.5921584964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410"/>
      <c r="T34" s="2"/>
      <c r="U34" s="2"/>
      <c r="V34" s="2"/>
      <c r="W34" s="2"/>
      <c r="X34" s="2"/>
      <c r="Y34" s="65"/>
      <c r="Z34" s="2"/>
      <c r="AA34" s="392"/>
    </row>
    <row r="35" spans="1:27" ht="15" customHeight="1" x14ac:dyDescent="0.25">
      <c r="A35" s="2"/>
      <c r="B35" s="2"/>
      <c r="C35" s="120"/>
      <c r="D35" s="210" t="s">
        <v>247</v>
      </c>
      <c r="E35" s="210" t="s">
        <v>248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410"/>
      <c r="T35" s="2"/>
      <c r="U35" s="2"/>
      <c r="V35" s="2"/>
      <c r="W35" s="2"/>
      <c r="X35" s="2"/>
      <c r="Y35" s="65"/>
      <c r="Z35" s="2"/>
      <c r="AA35" s="392"/>
    </row>
    <row r="36" spans="1:27" ht="15" x14ac:dyDescent="0.25">
      <c r="A36" s="2"/>
      <c r="B36" s="165"/>
      <c r="C36" s="166"/>
      <c r="D36" s="167">
        <f>+D34-'Secc-9.2'!O33</f>
        <v>0</v>
      </c>
      <c r="E36" s="167">
        <f>+E34-'Secc 9.3'!P33</f>
        <v>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410"/>
      <c r="T36" s="2"/>
      <c r="U36" s="2"/>
      <c r="V36" s="2"/>
      <c r="W36" s="2"/>
      <c r="X36" s="2"/>
      <c r="Y36" s="65"/>
      <c r="Z36" s="2"/>
      <c r="AA36" s="392"/>
    </row>
    <row r="37" spans="1:27" s="135" customFormat="1" ht="15" customHeight="1" x14ac:dyDescent="0.25">
      <c r="A37" s="165"/>
      <c r="B37" s="165"/>
      <c r="C37" s="166"/>
      <c r="D37" s="166"/>
      <c r="E37" s="166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2"/>
      <c r="Q37" s="2"/>
      <c r="R37" s="2"/>
      <c r="S37" s="65"/>
      <c r="T37" s="2"/>
      <c r="U37" s="2"/>
      <c r="V37" s="2"/>
      <c r="W37" s="2"/>
      <c r="X37" s="2"/>
      <c r="Y37" s="65"/>
      <c r="Z37" s="2"/>
      <c r="AA37" s="392"/>
    </row>
    <row r="38" spans="1:27" s="135" customFormat="1" ht="15" customHeight="1" x14ac:dyDescent="0.25">
      <c r="A38" s="165"/>
      <c r="B38" s="165"/>
      <c r="C38" s="166"/>
      <c r="D38" s="166"/>
      <c r="E38" s="166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2"/>
      <c r="Q38" s="2"/>
      <c r="R38" s="2"/>
      <c r="S38" s="65"/>
      <c r="T38" s="2"/>
      <c r="U38" s="2"/>
      <c r="V38" s="2"/>
      <c r="W38" s="2"/>
      <c r="X38" s="2"/>
      <c r="Y38" s="65"/>
      <c r="Z38" s="165"/>
      <c r="AA38" s="392"/>
    </row>
    <row r="39" spans="1:27" s="135" customFormat="1" ht="15" customHeight="1" x14ac:dyDescent="0.25">
      <c r="A39" s="165"/>
      <c r="B39" s="165"/>
      <c r="C39" s="166"/>
      <c r="D39" s="166"/>
      <c r="E39" s="166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2"/>
      <c r="Q39" s="2"/>
      <c r="R39" s="2"/>
      <c r="S39" s="65"/>
      <c r="T39" s="2"/>
      <c r="U39" s="2"/>
      <c r="V39" s="2"/>
      <c r="W39" s="2"/>
      <c r="X39" s="2"/>
      <c r="Y39" s="65"/>
      <c r="Z39" s="165"/>
      <c r="AA39" s="392"/>
    </row>
    <row r="40" spans="1:27" s="135" customFormat="1" ht="15" customHeight="1" x14ac:dyDescent="0.25">
      <c r="A40" s="165"/>
      <c r="B40" s="165"/>
      <c r="C40" s="166"/>
      <c r="D40" s="166"/>
      <c r="E40" s="166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2"/>
      <c r="Q40" s="2"/>
      <c r="R40" s="2"/>
      <c r="S40" s="65"/>
      <c r="T40" s="2"/>
      <c r="U40" s="2"/>
      <c r="V40" s="2"/>
      <c r="W40" s="2"/>
      <c r="X40" s="2"/>
      <c r="Y40" s="65"/>
      <c r="Z40" s="165"/>
      <c r="AA40" s="392"/>
    </row>
    <row r="41" spans="1:27" s="135" customFormat="1" ht="15" x14ac:dyDescent="0.25">
      <c r="A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2"/>
      <c r="Q41" s="2"/>
      <c r="R41" s="2"/>
      <c r="S41" s="65"/>
      <c r="T41" s="2"/>
      <c r="U41" s="2"/>
      <c r="V41" s="2"/>
      <c r="W41" s="2"/>
      <c r="X41" s="2"/>
      <c r="Y41" s="65"/>
      <c r="Z41" s="165"/>
      <c r="AA41" s="392"/>
    </row>
    <row r="42" spans="1:27" s="135" customFormat="1" ht="15" customHeight="1" x14ac:dyDescent="0.25">
      <c r="A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2"/>
      <c r="Q42" s="2"/>
      <c r="R42" s="2"/>
      <c r="S42" s="65"/>
      <c r="T42" s="2"/>
      <c r="U42" s="2"/>
      <c r="V42" s="2"/>
      <c r="W42" s="2"/>
      <c r="X42" s="2"/>
      <c r="Y42" s="65"/>
      <c r="Z42" s="165"/>
      <c r="AA42" s="392"/>
    </row>
    <row r="43" spans="1:27" s="135" customFormat="1" ht="15" customHeight="1" x14ac:dyDescent="0.25">
      <c r="A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2"/>
      <c r="Q43" s="2"/>
      <c r="R43" s="2"/>
      <c r="S43" s="65"/>
      <c r="T43" s="2"/>
      <c r="U43" s="2"/>
      <c r="V43" s="2"/>
      <c r="W43" s="2"/>
      <c r="X43" s="2"/>
      <c r="Y43" s="65"/>
      <c r="Z43" s="165"/>
      <c r="AA43" s="392"/>
    </row>
    <row r="44" spans="1:27" s="135" customFormat="1" ht="15" customHeight="1" x14ac:dyDescent="0.25">
      <c r="A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2"/>
      <c r="Q44" s="2"/>
      <c r="R44" s="2"/>
      <c r="S44" s="65"/>
      <c r="T44" s="2"/>
      <c r="U44" s="2"/>
      <c r="V44" s="2"/>
      <c r="W44" s="2"/>
      <c r="X44" s="2"/>
      <c r="Y44" s="65"/>
      <c r="Z44" s="165"/>
      <c r="AA44" s="392"/>
    </row>
    <row r="45" spans="1:27" s="135" customFormat="1" ht="15" customHeight="1" x14ac:dyDescent="0.25">
      <c r="A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2"/>
      <c r="Q45" s="2"/>
      <c r="R45" s="2"/>
      <c r="S45" s="65"/>
      <c r="T45" s="2"/>
      <c r="U45" s="2"/>
      <c r="V45" s="2"/>
      <c r="W45" s="2"/>
      <c r="X45" s="2"/>
      <c r="Y45" s="65"/>
      <c r="Z45" s="165"/>
      <c r="AA45" s="392"/>
    </row>
    <row r="46" spans="1:27" s="135" customFormat="1" ht="15" customHeight="1" x14ac:dyDescent="0.25">
      <c r="A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2"/>
      <c r="Q46" s="2"/>
      <c r="R46" s="2"/>
      <c r="S46" s="65"/>
      <c r="T46" s="2"/>
      <c r="U46" s="2"/>
      <c r="V46" s="2"/>
      <c r="W46" s="2"/>
      <c r="X46" s="2"/>
      <c r="Y46" s="65"/>
      <c r="Z46" s="165"/>
      <c r="AA46" s="392"/>
    </row>
    <row r="47" spans="1:27" s="135" customFormat="1" ht="15" customHeight="1" x14ac:dyDescent="0.25">
      <c r="A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2"/>
      <c r="Q47" s="2"/>
      <c r="R47" s="2"/>
      <c r="S47" s="65"/>
      <c r="T47" s="2"/>
      <c r="U47" s="2"/>
      <c r="V47" s="2"/>
      <c r="W47" s="2"/>
      <c r="X47" s="2"/>
      <c r="Y47" s="65"/>
      <c r="Z47" s="165"/>
      <c r="AA47" s="392"/>
    </row>
    <row r="48" spans="1:27" s="135" customFormat="1" ht="15" customHeight="1" x14ac:dyDescent="0.25">
      <c r="A48" s="165"/>
      <c r="F48" s="165"/>
      <c r="G48" s="165"/>
      <c r="H48" s="165"/>
      <c r="I48" s="165"/>
      <c r="J48" s="165"/>
      <c r="K48" s="165"/>
      <c r="L48" s="165"/>
      <c r="M48" s="165"/>
      <c r="N48" s="165"/>
      <c r="O48" s="165"/>
      <c r="P48" s="2"/>
      <c r="Q48" s="2"/>
      <c r="R48" s="2"/>
      <c r="S48" s="65"/>
      <c r="T48" s="2"/>
      <c r="U48" s="2"/>
      <c r="V48" s="2"/>
      <c r="W48" s="2"/>
      <c r="X48" s="2"/>
      <c r="Y48" s="65"/>
      <c r="Z48" s="165"/>
      <c r="AA48" s="392"/>
    </row>
    <row r="49" spans="1:27" s="135" customFormat="1" ht="15" customHeight="1" x14ac:dyDescent="0.25">
      <c r="A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2"/>
      <c r="Q49" s="2"/>
      <c r="R49" s="2"/>
      <c r="S49" s="65"/>
      <c r="T49" s="2"/>
      <c r="U49" s="2"/>
      <c r="V49" s="2"/>
      <c r="W49" s="2"/>
      <c r="X49" s="2"/>
      <c r="Y49" s="65"/>
      <c r="Z49" s="165"/>
      <c r="AA49" s="392"/>
    </row>
    <row r="50" spans="1:27" s="135" customFormat="1" ht="15" customHeight="1" x14ac:dyDescent="0.25">
      <c r="A50" s="165"/>
      <c r="F50" s="165"/>
      <c r="G50" s="165"/>
      <c r="H50" s="165"/>
      <c r="I50" s="165"/>
      <c r="J50" s="165"/>
      <c r="K50" s="165"/>
      <c r="L50" s="165"/>
      <c r="M50" s="165"/>
      <c r="N50" s="165"/>
      <c r="O50" s="165"/>
      <c r="P50" s="2"/>
      <c r="Q50" s="2"/>
      <c r="R50" s="2"/>
      <c r="S50" s="65"/>
      <c r="T50" s="2"/>
      <c r="U50" s="2"/>
      <c r="V50" s="2"/>
      <c r="W50" s="2"/>
      <c r="X50" s="2"/>
      <c r="Y50" s="65"/>
      <c r="Z50" s="165"/>
      <c r="AA50" s="392"/>
    </row>
    <row r="51" spans="1:27" s="135" customFormat="1" ht="15" customHeight="1" x14ac:dyDescent="0.25">
      <c r="A51" s="165"/>
      <c r="F51" s="165"/>
      <c r="G51" s="165"/>
      <c r="H51" s="165"/>
      <c r="I51" s="165"/>
      <c r="J51" s="165"/>
      <c r="K51" s="165"/>
      <c r="L51" s="165"/>
      <c r="M51" s="165"/>
      <c r="N51" s="165"/>
      <c r="O51" s="165"/>
      <c r="P51" s="2"/>
      <c r="Q51" s="2"/>
      <c r="R51" s="2"/>
      <c r="S51" s="65"/>
      <c r="T51" s="2"/>
      <c r="U51" s="2"/>
      <c r="V51" s="2"/>
      <c r="W51" s="2"/>
      <c r="X51" s="2"/>
      <c r="Y51" s="65"/>
      <c r="Z51" s="165"/>
      <c r="AA51" s="392"/>
    </row>
    <row r="52" spans="1:27" s="135" customFormat="1" ht="15" customHeight="1" x14ac:dyDescent="0.25">
      <c r="A52" s="165"/>
      <c r="F52" s="165"/>
      <c r="G52" s="165"/>
      <c r="H52" s="165"/>
      <c r="I52" s="165"/>
      <c r="J52" s="165"/>
      <c r="K52" s="165"/>
      <c r="L52" s="165"/>
      <c r="M52" s="165"/>
      <c r="N52" s="165"/>
      <c r="O52" s="165"/>
      <c r="P52" s="165"/>
      <c r="Q52" s="165"/>
      <c r="R52" s="165"/>
      <c r="S52" s="165"/>
      <c r="T52" s="165"/>
      <c r="U52" s="165"/>
      <c r="V52" s="165"/>
      <c r="W52" s="165"/>
      <c r="X52" s="165"/>
      <c r="Y52" s="165"/>
      <c r="Z52" s="165"/>
      <c r="AA52" s="392"/>
    </row>
    <row r="53" spans="1:27" s="135" customFormat="1" ht="15" customHeight="1" x14ac:dyDescent="0.25">
      <c r="A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5"/>
      <c r="T53" s="165"/>
      <c r="U53" s="165"/>
      <c r="V53" s="165"/>
      <c r="W53" s="165"/>
      <c r="X53" s="165"/>
      <c r="Y53" s="165"/>
      <c r="Z53" s="165"/>
      <c r="AA53" s="392"/>
    </row>
    <row r="54" spans="1:27" s="135" customFormat="1" ht="15" customHeight="1" x14ac:dyDescent="0.25">
      <c r="A54" s="165"/>
      <c r="F54" s="165"/>
      <c r="G54" s="165"/>
      <c r="H54" s="165"/>
      <c r="I54" s="165"/>
      <c r="J54" s="165"/>
      <c r="K54" s="165"/>
      <c r="L54" s="165"/>
      <c r="M54" s="165"/>
      <c r="N54" s="165"/>
      <c r="O54" s="165"/>
      <c r="P54" s="165"/>
      <c r="Q54" s="165"/>
      <c r="R54" s="165"/>
      <c r="S54" s="165"/>
      <c r="T54" s="165"/>
      <c r="U54" s="165"/>
      <c r="V54" s="165"/>
      <c r="W54" s="165"/>
      <c r="X54" s="165"/>
      <c r="Y54" s="165"/>
      <c r="Z54" s="165"/>
      <c r="AA54" s="392"/>
    </row>
    <row r="55" spans="1:27" s="135" customFormat="1" ht="15" customHeight="1" x14ac:dyDescent="0.25">
      <c r="A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5"/>
      <c r="U55" s="165"/>
      <c r="V55" s="165"/>
      <c r="W55" s="165"/>
      <c r="X55" s="165"/>
      <c r="Y55" s="165"/>
      <c r="Z55" s="165"/>
      <c r="AA55" s="392"/>
    </row>
    <row r="56" spans="1:27" s="135" customFormat="1" ht="15" customHeight="1" x14ac:dyDescent="0.25">
      <c r="A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5"/>
      <c r="X56" s="165"/>
      <c r="Y56" s="165"/>
      <c r="Z56" s="165"/>
      <c r="AA56" s="392"/>
    </row>
    <row r="57" spans="1:27" s="135" customFormat="1" ht="15" customHeight="1" x14ac:dyDescent="0.25">
      <c r="A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5"/>
      <c r="Q57" s="165"/>
      <c r="R57" s="165"/>
      <c r="S57" s="165"/>
      <c r="T57" s="165"/>
      <c r="U57" s="165"/>
      <c r="V57" s="165"/>
      <c r="W57" s="165"/>
      <c r="X57" s="165"/>
      <c r="Y57" s="165"/>
      <c r="Z57" s="165"/>
      <c r="AA57" s="392"/>
    </row>
    <row r="58" spans="1:27" s="135" customFormat="1" ht="15" customHeight="1" x14ac:dyDescent="0.25">
      <c r="A58" s="165"/>
      <c r="B58" s="2"/>
      <c r="C58" s="120"/>
      <c r="D58" s="2"/>
      <c r="E58" s="2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5"/>
      <c r="U58" s="165"/>
      <c r="V58" s="165"/>
      <c r="W58" s="165"/>
      <c r="X58" s="165"/>
      <c r="Y58" s="165"/>
      <c r="Z58" s="165"/>
      <c r="AA58" s="392"/>
    </row>
    <row r="59" spans="1:27" ht="15" customHeight="1" x14ac:dyDescent="0.25">
      <c r="A59" s="2"/>
      <c r="B59" s="2"/>
      <c r="C59" s="120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165"/>
      <c r="Q59" s="165"/>
      <c r="R59" s="165"/>
      <c r="S59" s="165"/>
      <c r="T59" s="165"/>
      <c r="U59" s="165"/>
      <c r="V59" s="165"/>
      <c r="W59" s="165"/>
      <c r="X59" s="165"/>
      <c r="Y59" s="165"/>
      <c r="Z59" s="165"/>
      <c r="AA59" s="392"/>
    </row>
    <row r="60" spans="1:27" ht="15" customHeight="1" x14ac:dyDescent="0.25">
      <c r="A60" s="392"/>
      <c r="B60" s="392"/>
      <c r="C60" s="392"/>
      <c r="D60" s="392"/>
      <c r="E60" s="392"/>
      <c r="F60" s="392"/>
      <c r="G60" s="392"/>
      <c r="H60" s="392"/>
      <c r="I60" s="392"/>
      <c r="J60" s="392"/>
      <c r="K60" s="392"/>
      <c r="L60" s="392"/>
      <c r="M60" s="392"/>
      <c r="N60" s="392"/>
      <c r="O60" s="392"/>
      <c r="P60" s="392"/>
      <c r="Q60" s="392"/>
      <c r="R60" s="392"/>
      <c r="S60" s="392"/>
      <c r="T60" s="392"/>
      <c r="U60" s="392"/>
      <c r="V60" s="392"/>
      <c r="W60" s="392"/>
      <c r="X60" s="392"/>
      <c r="Y60" s="392"/>
      <c r="Z60" s="392"/>
      <c r="AA60" s="392"/>
    </row>
    <row r="61" spans="1:27" ht="15" hidden="1" customHeight="1" x14ac:dyDescent="0.25">
      <c r="P61" s="165"/>
      <c r="Q61" s="165"/>
      <c r="R61" s="165"/>
      <c r="S61" s="165"/>
      <c r="T61" s="165"/>
      <c r="U61" s="165"/>
      <c r="V61" s="165"/>
      <c r="W61" s="165"/>
      <c r="X61" s="165"/>
      <c r="Y61" s="165"/>
      <c r="Z61" s="392"/>
    </row>
    <row r="62" spans="1:27" ht="0" hidden="1" customHeight="1" x14ac:dyDescent="0.25">
      <c r="P62" s="165"/>
      <c r="Q62" s="165"/>
      <c r="R62" s="165"/>
      <c r="S62" s="165"/>
      <c r="T62" s="165"/>
      <c r="U62" s="165"/>
      <c r="V62" s="165"/>
      <c r="W62" s="165"/>
      <c r="X62" s="165"/>
      <c r="Y62" s="165"/>
    </row>
    <row r="63" spans="1:27" ht="0" hidden="1" customHeight="1" x14ac:dyDescent="0.25">
      <c r="P63" s="165"/>
      <c r="Q63" s="165"/>
      <c r="R63" s="165"/>
      <c r="S63" s="165"/>
      <c r="T63" s="165"/>
      <c r="U63" s="165"/>
      <c r="V63" s="165"/>
      <c r="W63" s="165"/>
      <c r="X63" s="165"/>
      <c r="Y63" s="165"/>
    </row>
    <row r="64" spans="1:27" ht="0" hidden="1" customHeight="1" x14ac:dyDescent="0.25">
      <c r="P64" s="165"/>
      <c r="Q64" s="165"/>
      <c r="R64" s="165"/>
      <c r="S64" s="165"/>
      <c r="T64" s="165"/>
      <c r="U64" s="165"/>
      <c r="V64" s="165"/>
      <c r="W64" s="165"/>
      <c r="X64" s="165"/>
      <c r="Y64" s="165"/>
    </row>
    <row r="65" spans="16:25" ht="0" hidden="1" customHeight="1" x14ac:dyDescent="0.25">
      <c r="P65" s="165"/>
      <c r="Q65" s="165"/>
      <c r="R65" s="165"/>
      <c r="S65" s="165"/>
      <c r="T65" s="165"/>
      <c r="U65" s="165"/>
      <c r="V65" s="165"/>
      <c r="W65" s="165"/>
      <c r="X65" s="165"/>
      <c r="Y65" s="165"/>
    </row>
    <row r="66" spans="16:25" ht="0" hidden="1" customHeight="1" x14ac:dyDescent="0.25">
      <c r="P66" s="165"/>
      <c r="Q66" s="165"/>
      <c r="R66" s="165"/>
      <c r="S66" s="165"/>
      <c r="T66" s="165"/>
      <c r="U66" s="165"/>
      <c r="V66" s="165"/>
      <c r="W66" s="165"/>
      <c r="X66" s="165"/>
      <c r="Y66" s="165"/>
    </row>
    <row r="67" spans="16:25" ht="0" hidden="1" customHeight="1" x14ac:dyDescent="0.25">
      <c r="P67" s="165"/>
      <c r="Q67" s="165"/>
      <c r="R67" s="165"/>
      <c r="S67" s="165"/>
      <c r="T67" s="165"/>
      <c r="U67" s="165"/>
      <c r="V67" s="165"/>
      <c r="W67" s="165"/>
      <c r="X67" s="165"/>
      <c r="Y67" s="165"/>
    </row>
    <row r="68" spans="16:25" ht="0" hidden="1" customHeight="1" x14ac:dyDescent="0.25">
      <c r="P68" s="392"/>
      <c r="Q68" s="392"/>
      <c r="R68" s="392"/>
      <c r="S68" s="392"/>
      <c r="T68" s="392"/>
      <c r="U68" s="392"/>
      <c r="V68" s="392"/>
      <c r="W68" s="392"/>
      <c r="X68" s="392"/>
      <c r="Y68" s="392"/>
    </row>
    <row r="69" spans="16:25" ht="0" hidden="1" customHeight="1" x14ac:dyDescent="0.25">
      <c r="P69" s="392"/>
      <c r="Q69" s="392"/>
      <c r="R69" s="392"/>
      <c r="S69" s="392"/>
      <c r="T69" s="392"/>
      <c r="U69" s="392"/>
      <c r="V69" s="392"/>
      <c r="W69" s="392"/>
      <c r="X69" s="392"/>
      <c r="Y69" s="392"/>
    </row>
    <row r="70" spans="16:25" ht="0" hidden="1" customHeight="1" x14ac:dyDescent="0.25"/>
    <row r="71" spans="16:25" ht="0" hidden="1" customHeight="1" x14ac:dyDescent="0.25"/>
  </sheetData>
  <mergeCells count="20">
    <mergeCell ref="B2:E2"/>
    <mergeCell ref="G2:N2"/>
    <mergeCell ref="P2:Y2"/>
    <mergeCell ref="P3:Y3"/>
    <mergeCell ref="J6:J7"/>
    <mergeCell ref="K6:K7"/>
    <mergeCell ref="L6:L7"/>
    <mergeCell ref="M6:M7"/>
    <mergeCell ref="N6:N7"/>
    <mergeCell ref="X24:X25"/>
    <mergeCell ref="X6:X7"/>
    <mergeCell ref="W6:W7"/>
    <mergeCell ref="V6:V7"/>
    <mergeCell ref="U6:U7"/>
    <mergeCell ref="P22:Y22"/>
    <mergeCell ref="T6:T7"/>
    <mergeCell ref="T24:T25"/>
    <mergeCell ref="U24:U25"/>
    <mergeCell ref="V24:V25"/>
    <mergeCell ref="W24:W25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104"/>
  <sheetViews>
    <sheetView workbookViewId="0">
      <selection activeCell="A10" sqref="A10"/>
    </sheetView>
  </sheetViews>
  <sheetFormatPr baseColWidth="10" defaultColWidth="0" defaultRowHeight="15" zeroHeight="1" x14ac:dyDescent="0.25"/>
  <cols>
    <col min="1" max="1" width="48" style="4" customWidth="1"/>
    <col min="2" max="2" width="0.7109375" style="4" customWidth="1"/>
    <col min="3" max="3" width="11.28515625" style="3" bestFit="1" customWidth="1"/>
    <col min="4" max="4" width="0.85546875" style="3" customWidth="1"/>
    <col min="5" max="5" width="13.85546875" style="3" bestFit="1" customWidth="1"/>
    <col min="6" max="6" width="1.140625" style="3" customWidth="1"/>
    <col min="7" max="7" width="12.42578125" style="3" bestFit="1" customWidth="1"/>
    <col min="8" max="8" width="3.28515625" style="3" customWidth="1"/>
    <col min="9" max="10" width="0" style="3" hidden="1" customWidth="1"/>
    <col min="11" max="12" width="0" hidden="1" customWidth="1"/>
    <col min="13" max="16384" width="11.42578125" hidden="1"/>
  </cols>
  <sheetData>
    <row r="1" spans="1:12" ht="53.25" customHeight="1" x14ac:dyDescent="0.25">
      <c r="A1" s="461" t="s">
        <v>383</v>
      </c>
      <c r="B1" s="461"/>
      <c r="C1" s="461"/>
      <c r="D1" s="461"/>
      <c r="E1" s="461"/>
      <c r="F1" s="461"/>
      <c r="G1" s="461"/>
      <c r="H1" s="439"/>
    </row>
    <row r="2" spans="1:12" x14ac:dyDescent="0.25">
      <c r="A2" s="6"/>
      <c r="B2" s="6"/>
      <c r="C2" s="13"/>
      <c r="D2" s="13"/>
      <c r="E2" s="13"/>
      <c r="F2" s="13"/>
      <c r="G2" s="13"/>
      <c r="H2" s="439"/>
    </row>
    <row r="3" spans="1:12" x14ac:dyDescent="0.25">
      <c r="A3" s="145" t="s">
        <v>384</v>
      </c>
      <c r="B3" s="59"/>
      <c r="C3" s="69"/>
      <c r="D3" s="69"/>
      <c r="E3" s="69"/>
      <c r="F3" s="69"/>
      <c r="G3" s="69"/>
      <c r="H3" s="439"/>
      <c r="J3" s="35">
        <f>+C17-C34</f>
        <v>0</v>
      </c>
      <c r="K3" s="35">
        <f>+E17-E34</f>
        <v>-0.30000001192092896</v>
      </c>
      <c r="L3" s="35">
        <f>+G17-G34</f>
        <v>0</v>
      </c>
    </row>
    <row r="4" spans="1:12" x14ac:dyDescent="0.25">
      <c r="A4" s="145"/>
      <c r="B4" s="145"/>
      <c r="C4" s="69"/>
      <c r="D4" s="69"/>
      <c r="E4" s="69"/>
      <c r="F4" s="69"/>
      <c r="G4" s="69"/>
      <c r="H4" s="439"/>
    </row>
    <row r="5" spans="1:12" x14ac:dyDescent="0.25">
      <c r="A5" s="424"/>
      <c r="B5" s="424"/>
      <c r="C5" s="425" t="s">
        <v>305</v>
      </c>
      <c r="D5" s="425"/>
      <c r="E5" s="425" t="s">
        <v>305</v>
      </c>
      <c r="F5" s="425"/>
      <c r="G5" s="425" t="s">
        <v>305</v>
      </c>
      <c r="H5" s="439"/>
    </row>
    <row r="6" spans="1:12" x14ac:dyDescent="0.25">
      <c r="A6" s="424"/>
      <c r="B6" s="424"/>
      <c r="C6" s="426" t="s">
        <v>308</v>
      </c>
      <c r="D6" s="426"/>
      <c r="E6" s="426" t="s">
        <v>307</v>
      </c>
      <c r="F6" s="426"/>
      <c r="G6" s="427" t="s">
        <v>306</v>
      </c>
      <c r="H6" s="439"/>
    </row>
    <row r="7" spans="1:12" x14ac:dyDescent="0.25">
      <c r="A7" s="417" t="s">
        <v>155</v>
      </c>
      <c r="B7" s="428"/>
      <c r="C7" s="429"/>
      <c r="D7" s="429"/>
      <c r="E7" s="429"/>
      <c r="F7" s="429"/>
      <c r="G7" s="429"/>
      <c r="H7" s="439"/>
    </row>
    <row r="8" spans="1:12" x14ac:dyDescent="0.25">
      <c r="A8" s="100" t="s">
        <v>156</v>
      </c>
      <c r="B8" s="100"/>
      <c r="C8" s="149">
        <v>0</v>
      </c>
      <c r="D8" s="148"/>
      <c r="E8" s="148">
        <f>+'Secc 9.3'!P6</f>
        <v>85030000</v>
      </c>
      <c r="F8" s="148"/>
      <c r="G8" s="148">
        <f>+'Secc-9.2'!O7</f>
        <v>75369000</v>
      </c>
      <c r="H8" s="439"/>
    </row>
    <row r="9" spans="1:12" x14ac:dyDescent="0.25">
      <c r="A9" s="100" t="s">
        <v>241</v>
      </c>
      <c r="B9" s="100"/>
      <c r="C9" s="149">
        <v>0</v>
      </c>
      <c r="D9" s="148"/>
      <c r="E9" s="148">
        <f>+'Secc 9.3'!P7</f>
        <v>3000000</v>
      </c>
      <c r="F9" s="148"/>
      <c r="G9" s="148">
        <f>+'Secc-9.2'!O8</f>
        <v>4474000</v>
      </c>
      <c r="H9" s="439"/>
    </row>
    <row r="10" spans="1:12" x14ac:dyDescent="0.25">
      <c r="A10" s="100" t="s">
        <v>158</v>
      </c>
      <c r="B10" s="100"/>
      <c r="C10" s="149">
        <v>0</v>
      </c>
      <c r="D10" s="148"/>
      <c r="E10" s="148">
        <f>+'Secc 9.3'!P8</f>
        <v>5000000</v>
      </c>
      <c r="F10" s="148"/>
      <c r="G10" s="148">
        <f>+'Secc-9.2'!O9</f>
        <v>6746000</v>
      </c>
      <c r="H10" s="439"/>
    </row>
    <row r="11" spans="1:12" x14ac:dyDescent="0.25">
      <c r="A11" s="100" t="s">
        <v>242</v>
      </c>
      <c r="B11" s="100"/>
      <c r="C11" s="150">
        <v>0</v>
      </c>
      <c r="D11" s="148"/>
      <c r="E11" s="151">
        <f>+'Secc 9.3'!P9</f>
        <v>26000000</v>
      </c>
      <c r="F11" s="148"/>
      <c r="G11" s="151">
        <f>+'Secc-9.2'!O10</f>
        <v>26018000</v>
      </c>
      <c r="H11" s="439"/>
    </row>
    <row r="12" spans="1:12" x14ac:dyDescent="0.25">
      <c r="A12" s="417" t="s">
        <v>160</v>
      </c>
      <c r="B12" s="417"/>
      <c r="C12" s="430">
        <f>SUM(C8:C11)</f>
        <v>0</v>
      </c>
      <c r="D12" s="431"/>
      <c r="E12" s="431">
        <f>SUM(E8:E11)</f>
        <v>119030000</v>
      </c>
      <c r="F12" s="431"/>
      <c r="G12" s="431">
        <f>SUM(G8:G11)</f>
        <v>112607000</v>
      </c>
      <c r="H12" s="439"/>
    </row>
    <row r="13" spans="1:12" x14ac:dyDescent="0.25">
      <c r="A13" s="100" t="s">
        <v>161</v>
      </c>
      <c r="B13" s="100"/>
      <c r="C13" s="149">
        <v>0</v>
      </c>
      <c r="D13" s="148"/>
      <c r="E13" s="148">
        <f>+'Secc 9.3'!P11</f>
        <v>1100000</v>
      </c>
      <c r="F13" s="148"/>
      <c r="G13" s="148">
        <f>+'Secc-9.2'!O12</f>
        <v>1000000</v>
      </c>
      <c r="H13" s="439"/>
    </row>
    <row r="14" spans="1:12" x14ac:dyDescent="0.25">
      <c r="A14" s="100" t="s">
        <v>243</v>
      </c>
      <c r="B14" s="100"/>
      <c r="C14" s="149">
        <v>0</v>
      </c>
      <c r="D14" s="148"/>
      <c r="E14" s="148">
        <f>+'Secc 9.3'!P12</f>
        <v>19025000</v>
      </c>
      <c r="F14" s="148"/>
      <c r="G14" s="148">
        <f>+'Secc-9.2'!O13</f>
        <v>19180000</v>
      </c>
      <c r="H14" s="439"/>
    </row>
    <row r="15" spans="1:12" x14ac:dyDescent="0.25">
      <c r="A15" s="100" t="s">
        <v>8</v>
      </c>
      <c r="B15" s="100"/>
      <c r="C15" s="150">
        <v>0</v>
      </c>
      <c r="D15" s="148"/>
      <c r="E15" s="148">
        <f>+'Secc 9.3'!P13</f>
        <v>865658.70000000019</v>
      </c>
      <c r="F15" s="148"/>
      <c r="G15" s="148">
        <f>+'Secc-9.2'!O14</f>
        <v>363300</v>
      </c>
      <c r="H15" s="439"/>
    </row>
    <row r="16" spans="1:12" x14ac:dyDescent="0.25">
      <c r="A16" s="417" t="s">
        <v>165</v>
      </c>
      <c r="B16" s="417"/>
      <c r="C16" s="432">
        <f>SUM(C13:C15)</f>
        <v>0</v>
      </c>
      <c r="D16" s="431"/>
      <c r="E16" s="433">
        <f>SUM(E13:E15)</f>
        <v>20990658.699999999</v>
      </c>
      <c r="F16" s="431"/>
      <c r="G16" s="433">
        <f>SUM(G13:G15)</f>
        <v>20543300</v>
      </c>
      <c r="H16" s="439"/>
    </row>
    <row r="17" spans="1:8" ht="15.75" thickBot="1" x14ac:dyDescent="0.3">
      <c r="A17" s="417" t="s">
        <v>166</v>
      </c>
      <c r="B17" s="417"/>
      <c r="C17" s="434">
        <f>+C12+C16</f>
        <v>0</v>
      </c>
      <c r="D17" s="431"/>
      <c r="E17" s="435">
        <f>+E12+E16</f>
        <v>140020658.69999999</v>
      </c>
      <c r="F17" s="431"/>
      <c r="G17" s="435">
        <f>+G12+G16</f>
        <v>133150300</v>
      </c>
      <c r="H17" s="439"/>
    </row>
    <row r="18" spans="1:8" x14ac:dyDescent="0.25">
      <c r="A18" s="147"/>
      <c r="B18" s="147"/>
      <c r="C18" s="152"/>
      <c r="D18" s="153"/>
      <c r="E18" s="153"/>
      <c r="F18" s="153"/>
      <c r="G18" s="153"/>
      <c r="H18" s="439"/>
    </row>
    <row r="19" spans="1:8" x14ac:dyDescent="0.25">
      <c r="A19" s="417" t="s">
        <v>167</v>
      </c>
      <c r="B19" s="417"/>
      <c r="C19" s="436"/>
      <c r="D19" s="429"/>
      <c r="E19" s="429"/>
      <c r="F19" s="429"/>
      <c r="G19" s="429"/>
      <c r="H19" s="439"/>
    </row>
    <row r="20" spans="1:8" x14ac:dyDescent="0.25">
      <c r="A20" s="100" t="s">
        <v>168</v>
      </c>
      <c r="B20" s="100"/>
      <c r="C20" s="149">
        <v>0</v>
      </c>
      <c r="D20" s="148"/>
      <c r="E20" s="148">
        <f>+'Secc 9.3'!P19</f>
        <v>10000000</v>
      </c>
      <c r="F20" s="148"/>
      <c r="G20" s="148">
        <f>+'Secc-9.2'!O20</f>
        <v>9415000</v>
      </c>
      <c r="H20" s="439"/>
    </row>
    <row r="21" spans="1:8" x14ac:dyDescent="0.25">
      <c r="A21" s="100" t="s">
        <v>169</v>
      </c>
      <c r="B21" s="100"/>
      <c r="C21" s="149">
        <v>0</v>
      </c>
      <c r="D21" s="148"/>
      <c r="E21" s="148">
        <f>+'Secc 9.3'!P20</f>
        <v>3200000</v>
      </c>
      <c r="F21" s="148"/>
      <c r="G21" s="148">
        <f>+'Secc-9.2'!O21</f>
        <v>2500000</v>
      </c>
      <c r="H21" s="439"/>
    </row>
    <row r="22" spans="1:8" x14ac:dyDescent="0.25">
      <c r="A22" s="100" t="s">
        <v>170</v>
      </c>
      <c r="B22" s="100"/>
      <c r="C22" s="150">
        <v>0</v>
      </c>
      <c r="D22" s="148"/>
      <c r="E22" s="148">
        <f>+'Secc 9.3'!P21</f>
        <v>5200000</v>
      </c>
      <c r="F22" s="148"/>
      <c r="G22" s="148">
        <f>+'Secc-9.2'!O22</f>
        <v>4855000</v>
      </c>
      <c r="H22" s="439"/>
    </row>
    <row r="23" spans="1:8" x14ac:dyDescent="0.25">
      <c r="A23" s="417" t="s">
        <v>171</v>
      </c>
      <c r="B23" s="417"/>
      <c r="C23" s="432">
        <f>SUM(C20:C22)</f>
        <v>0</v>
      </c>
      <c r="D23" s="431"/>
      <c r="E23" s="433">
        <f>SUM(E20:E22)</f>
        <v>18400000</v>
      </c>
      <c r="F23" s="431"/>
      <c r="G23" s="433">
        <f>SUM(G20:G22)</f>
        <v>16770000</v>
      </c>
      <c r="H23" s="439"/>
    </row>
    <row r="24" spans="1:8" x14ac:dyDescent="0.25">
      <c r="A24" s="100" t="s">
        <v>172</v>
      </c>
      <c r="B24" s="100"/>
      <c r="C24" s="149">
        <v>0</v>
      </c>
      <c r="D24" s="148"/>
      <c r="E24" s="148">
        <f>+'Secc 9.3'!P23</f>
        <v>14586000</v>
      </c>
      <c r="F24" s="148"/>
      <c r="G24" s="148">
        <f>+'Secc-9.2'!O24</f>
        <v>13891000</v>
      </c>
      <c r="H24" s="439"/>
    </row>
    <row r="25" spans="1:8" x14ac:dyDescent="0.25">
      <c r="A25" s="100" t="s">
        <v>173</v>
      </c>
      <c r="B25" s="100"/>
      <c r="C25" s="150">
        <v>0</v>
      </c>
      <c r="D25" s="148"/>
      <c r="E25" s="148">
        <f>+'Secc 9.3'!P24</f>
        <v>98084339.407841504</v>
      </c>
      <c r="F25" s="148"/>
      <c r="G25" s="148">
        <f>+'Secc-9.2'!O25</f>
        <v>97524528.959655538</v>
      </c>
      <c r="H25" s="439"/>
    </row>
    <row r="26" spans="1:8" x14ac:dyDescent="0.25">
      <c r="A26" s="417" t="s">
        <v>174</v>
      </c>
      <c r="B26" s="417"/>
      <c r="C26" s="432">
        <f>SUM(C24:C25)</f>
        <v>0</v>
      </c>
      <c r="D26" s="431"/>
      <c r="E26" s="433">
        <f>SUM(E24:E25)</f>
        <v>112670339.4078415</v>
      </c>
      <c r="F26" s="431"/>
      <c r="G26" s="433">
        <f>SUM(G24:G25)</f>
        <v>111415528.95965554</v>
      </c>
      <c r="H26" s="439"/>
    </row>
    <row r="27" spans="1:8" x14ac:dyDescent="0.25">
      <c r="A27" s="417" t="s">
        <v>175</v>
      </c>
      <c r="B27" s="417"/>
      <c r="C27" s="432">
        <f>+C23+C26</f>
        <v>0</v>
      </c>
      <c r="D27" s="431"/>
      <c r="E27" s="433">
        <f>+E23+E26</f>
        <v>131070339.4078415</v>
      </c>
      <c r="F27" s="431"/>
      <c r="G27" s="433">
        <f>+G23+G26</f>
        <v>128185528.95965554</v>
      </c>
      <c r="H27" s="439"/>
    </row>
    <row r="28" spans="1:8" x14ac:dyDescent="0.25">
      <c r="A28" s="147"/>
      <c r="B28" s="147"/>
      <c r="C28" s="152"/>
      <c r="D28" s="153"/>
      <c r="E28" s="153"/>
      <c r="F28" s="153"/>
      <c r="G28" s="153"/>
      <c r="H28" s="439"/>
    </row>
    <row r="29" spans="1:8" x14ac:dyDescent="0.25">
      <c r="A29" s="100" t="s">
        <v>176</v>
      </c>
      <c r="B29" s="100"/>
      <c r="C29" s="149">
        <v>0</v>
      </c>
      <c r="D29" s="148"/>
      <c r="E29" s="148">
        <f>+'Secc 9.3'!P28</f>
        <v>4022000</v>
      </c>
      <c r="F29" s="148"/>
      <c r="G29" s="148">
        <f>+'Secc-9.2'!O29</f>
        <v>4022000</v>
      </c>
      <c r="H29" s="439"/>
    </row>
    <row r="30" spans="1:8" x14ac:dyDescent="0.25">
      <c r="A30" s="100" t="s">
        <v>177</v>
      </c>
      <c r="B30" s="100"/>
      <c r="C30" s="149">
        <v>0</v>
      </c>
      <c r="D30" s="148"/>
      <c r="E30" s="148">
        <f>+'Secc 9.3'!P29</f>
        <v>1786000</v>
      </c>
      <c r="F30" s="148"/>
      <c r="G30" s="148">
        <f>+'Secc-9.2'!O30</f>
        <v>593000</v>
      </c>
      <c r="H30" s="439"/>
    </row>
    <row r="31" spans="1:8" x14ac:dyDescent="0.25">
      <c r="A31" s="100" t="s">
        <v>178</v>
      </c>
      <c r="B31" s="100"/>
      <c r="C31" s="156">
        <v>0</v>
      </c>
      <c r="D31" s="148"/>
      <c r="E31" s="148">
        <f>+'Secc 9.3'!P30</f>
        <v>600000</v>
      </c>
      <c r="F31" s="148"/>
      <c r="G31" s="148">
        <f>+'Secc-9.2'!O31</f>
        <v>600000</v>
      </c>
      <c r="H31" s="439"/>
    </row>
    <row r="32" spans="1:8" x14ac:dyDescent="0.25">
      <c r="A32" s="100" t="s">
        <v>179</v>
      </c>
      <c r="B32" s="100"/>
      <c r="C32" s="150">
        <v>0</v>
      </c>
      <c r="D32" s="148"/>
      <c r="E32" s="151">
        <f>+'Secc 9.3'!P32+'Secc 9.3'!P31</f>
        <v>2542319.5921584964</v>
      </c>
      <c r="F32" s="148"/>
      <c r="G32" s="157">
        <f>+'Secc-9.2'!O32</f>
        <v>-250228.9596555382</v>
      </c>
      <c r="H32" s="439"/>
    </row>
    <row r="33" spans="1:8" x14ac:dyDescent="0.25">
      <c r="A33" s="417" t="s">
        <v>180</v>
      </c>
      <c r="B33" s="417"/>
      <c r="C33" s="437">
        <f>SUM(C29:C32)</f>
        <v>0</v>
      </c>
      <c r="D33" s="431"/>
      <c r="E33" s="438">
        <f>SUM(E29:E32)</f>
        <v>8950319.5921584964</v>
      </c>
      <c r="F33" s="431"/>
      <c r="G33" s="438">
        <f>SUM(G29:G32)</f>
        <v>4964771.0403444618</v>
      </c>
      <c r="H33" s="439"/>
    </row>
    <row r="34" spans="1:8" ht="15.75" thickBot="1" x14ac:dyDescent="0.3">
      <c r="A34" s="417" t="s">
        <v>181</v>
      </c>
      <c r="B34" s="417"/>
      <c r="C34" s="434">
        <f>+C27+C33</f>
        <v>0</v>
      </c>
      <c r="D34" s="431"/>
      <c r="E34" s="435">
        <f>+E27+E33</f>
        <v>140020659</v>
      </c>
      <c r="F34" s="431"/>
      <c r="G34" s="435">
        <f>+G27+G33</f>
        <v>133150300</v>
      </c>
      <c r="H34" s="439"/>
    </row>
    <row r="35" spans="1:8" ht="4.5" customHeight="1" x14ac:dyDescent="0.25">
      <c r="A35" s="59"/>
      <c r="B35" s="59"/>
      <c r="C35" s="58"/>
      <c r="D35" s="58"/>
      <c r="E35" s="58"/>
      <c r="F35" s="58"/>
      <c r="G35" s="58"/>
      <c r="H35" s="439"/>
    </row>
    <row r="36" spans="1:8" x14ac:dyDescent="0.25">
      <c r="A36" s="59"/>
      <c r="B36" s="59"/>
      <c r="C36" s="58"/>
      <c r="D36" s="58"/>
      <c r="E36" s="68" t="s">
        <v>248</v>
      </c>
      <c r="F36" s="160"/>
      <c r="G36" s="68" t="s">
        <v>247</v>
      </c>
      <c r="H36" s="439"/>
    </row>
    <row r="37" spans="1:8" x14ac:dyDescent="0.25">
      <c r="A37" s="6"/>
      <c r="B37" s="6"/>
      <c r="C37" s="7"/>
      <c r="D37" s="7"/>
      <c r="E37" s="68" t="s">
        <v>100</v>
      </c>
      <c r="F37" s="7"/>
      <c r="G37" s="68" t="s">
        <v>100</v>
      </c>
      <c r="H37" s="439"/>
    </row>
    <row r="38" spans="1:8" x14ac:dyDescent="0.25">
      <c r="A38" s="6"/>
      <c r="B38" s="6"/>
      <c r="C38" s="7"/>
      <c r="D38" s="7"/>
      <c r="E38" s="7"/>
      <c r="F38" s="7"/>
      <c r="G38" s="7"/>
      <c r="H38" s="439"/>
    </row>
    <row r="39" spans="1:8" x14ac:dyDescent="0.25">
      <c r="A39" s="145" t="s">
        <v>385</v>
      </c>
      <c r="B39" s="59"/>
      <c r="C39" s="58"/>
      <c r="D39" s="58"/>
      <c r="E39" s="58"/>
      <c r="F39" s="7"/>
      <c r="G39" s="7"/>
      <c r="H39" s="439"/>
    </row>
    <row r="40" spans="1:8" x14ac:dyDescent="0.25">
      <c r="A40" s="145"/>
      <c r="B40" s="145"/>
      <c r="C40" s="146" t="s">
        <v>239</v>
      </c>
      <c r="D40" s="146"/>
      <c r="E40" s="146" t="s">
        <v>240</v>
      </c>
      <c r="F40" s="7"/>
      <c r="G40" s="7"/>
      <c r="H40" s="439"/>
    </row>
    <row r="41" spans="1:8" x14ac:dyDescent="0.25">
      <c r="A41" s="145"/>
      <c r="B41" s="145"/>
      <c r="C41" s="146"/>
      <c r="D41" s="146"/>
      <c r="E41" s="146"/>
      <c r="F41" s="7"/>
      <c r="G41" s="7"/>
      <c r="H41" s="439"/>
    </row>
    <row r="42" spans="1:8" x14ac:dyDescent="0.25">
      <c r="A42" s="100" t="s">
        <v>244</v>
      </c>
      <c r="B42" s="100"/>
      <c r="C42" s="149">
        <v>0</v>
      </c>
      <c r="D42" s="148"/>
      <c r="E42" s="148">
        <f>+'Secc 9.4'!M6</f>
        <v>254005000</v>
      </c>
      <c r="F42" s="7"/>
      <c r="G42" s="7"/>
      <c r="H42" s="439"/>
    </row>
    <row r="43" spans="1:8" x14ac:dyDescent="0.25">
      <c r="A43" s="100" t="s">
        <v>64</v>
      </c>
      <c r="B43" s="100"/>
      <c r="C43" s="150">
        <v>0</v>
      </c>
      <c r="D43" s="148"/>
      <c r="E43" s="157">
        <f>+'Secc 9.4'!M7</f>
        <v>-233344000</v>
      </c>
      <c r="F43" s="7"/>
      <c r="G43" s="7"/>
      <c r="H43" s="439"/>
    </row>
    <row r="44" spans="1:8" x14ac:dyDescent="0.25">
      <c r="A44" s="147" t="s">
        <v>187</v>
      </c>
      <c r="B44" s="147"/>
      <c r="C44" s="152">
        <f>SUM(C42:C43)</f>
        <v>0</v>
      </c>
      <c r="D44" s="153"/>
      <c r="E44" s="153">
        <f>SUM(E42:E43)</f>
        <v>20661000</v>
      </c>
      <c r="F44" s="7"/>
      <c r="G44" s="7"/>
      <c r="H44" s="439"/>
    </row>
    <row r="45" spans="1:8" x14ac:dyDescent="0.25">
      <c r="A45" s="100"/>
      <c r="B45" s="100"/>
      <c r="C45" s="149"/>
      <c r="D45" s="148"/>
      <c r="E45" s="148"/>
      <c r="F45" s="7"/>
      <c r="G45" s="7"/>
      <c r="H45" s="439"/>
    </row>
    <row r="46" spans="1:8" x14ac:dyDescent="0.25">
      <c r="A46" s="100" t="s">
        <v>70</v>
      </c>
      <c r="B46" s="100"/>
      <c r="C46" s="149">
        <v>0</v>
      </c>
      <c r="D46" s="148"/>
      <c r="E46" s="161">
        <f>+'Secc 9.4'!M9</f>
        <v>-9667000</v>
      </c>
      <c r="F46" s="7"/>
      <c r="G46" s="7"/>
      <c r="H46" s="439"/>
    </row>
    <row r="47" spans="1:8" x14ac:dyDescent="0.25">
      <c r="A47" s="100" t="s">
        <v>320</v>
      </c>
      <c r="B47" s="100"/>
      <c r="C47" s="149">
        <v>0</v>
      </c>
      <c r="D47" s="148"/>
      <c r="E47" s="161">
        <f>+'Secc 9.4'!M10</f>
        <v>-5303000</v>
      </c>
      <c r="F47" s="7"/>
      <c r="G47" s="7"/>
      <c r="H47" s="439"/>
    </row>
    <row r="48" spans="1:8" x14ac:dyDescent="0.25">
      <c r="A48" s="100" t="s">
        <v>245</v>
      </c>
      <c r="B48" s="100"/>
      <c r="C48" s="150">
        <v>0</v>
      </c>
      <c r="D48" s="148"/>
      <c r="E48" s="157">
        <f>+'Secc 9.4'!M11</f>
        <v>100000</v>
      </c>
      <c r="F48" s="7"/>
      <c r="G48" s="7"/>
      <c r="H48" s="439"/>
    </row>
    <row r="49" spans="1:8" x14ac:dyDescent="0.25">
      <c r="A49" s="147" t="s">
        <v>191</v>
      </c>
      <c r="B49" s="147"/>
      <c r="C49" s="158">
        <f>SUM(C44:C48)</f>
        <v>0</v>
      </c>
      <c r="D49" s="153"/>
      <c r="E49" s="159">
        <f>SUM(E44:E48)</f>
        <v>5791000</v>
      </c>
      <c r="F49" s="7"/>
      <c r="G49" s="7"/>
      <c r="H49" s="439"/>
    </row>
    <row r="50" spans="1:8" x14ac:dyDescent="0.25">
      <c r="A50" s="147"/>
      <c r="B50" s="147"/>
      <c r="C50" s="152"/>
      <c r="D50" s="153"/>
      <c r="E50" s="153"/>
      <c r="F50" s="7"/>
      <c r="G50" s="7"/>
      <c r="H50" s="439"/>
    </row>
    <row r="51" spans="1:8" x14ac:dyDescent="0.25">
      <c r="A51" s="100" t="s">
        <v>192</v>
      </c>
      <c r="B51" s="100"/>
      <c r="C51" s="149">
        <v>0</v>
      </c>
      <c r="D51" s="148"/>
      <c r="E51" s="161">
        <f>+'Secc 9.4'!M14</f>
        <v>578000</v>
      </c>
      <c r="F51" s="7"/>
      <c r="G51" s="7"/>
      <c r="H51" s="439"/>
    </row>
    <row r="52" spans="1:8" x14ac:dyDescent="0.25">
      <c r="A52" s="100" t="s">
        <v>48</v>
      </c>
      <c r="B52" s="100"/>
      <c r="C52" s="149">
        <v>0</v>
      </c>
      <c r="D52" s="148"/>
      <c r="E52" s="161">
        <f>+'Secc 9.4'!M15</f>
        <v>-1462810.4481859654</v>
      </c>
      <c r="F52" s="7"/>
      <c r="G52" s="7"/>
      <c r="H52" s="439"/>
    </row>
    <row r="53" spans="1:8" x14ac:dyDescent="0.25">
      <c r="A53" s="100" t="s">
        <v>193</v>
      </c>
      <c r="B53" s="100"/>
      <c r="C53" s="150">
        <v>0</v>
      </c>
      <c r="D53" s="148"/>
      <c r="E53" s="161">
        <f>+'Secc 9.4'!M16</f>
        <v>816000</v>
      </c>
      <c r="F53" s="7"/>
      <c r="G53" s="7"/>
      <c r="H53" s="439"/>
    </row>
    <row r="54" spans="1:8" x14ac:dyDescent="0.25">
      <c r="A54" s="147" t="s">
        <v>246</v>
      </c>
      <c r="B54" s="147"/>
      <c r="C54" s="162">
        <f>SUM(C49:C53)</f>
        <v>0</v>
      </c>
      <c r="D54" s="153"/>
      <c r="E54" s="163">
        <f>SUM(E49:E53)</f>
        <v>5722189.5518140346</v>
      </c>
      <c r="F54" s="7"/>
      <c r="G54" s="7"/>
      <c r="H54" s="439"/>
    </row>
    <row r="55" spans="1:8" x14ac:dyDescent="0.25">
      <c r="A55" s="100" t="s">
        <v>196</v>
      </c>
      <c r="B55" s="100"/>
      <c r="C55" s="162">
        <v>0</v>
      </c>
      <c r="D55" s="148"/>
      <c r="E55" s="163">
        <f>+'Secc 9.4'!M19</f>
        <v>-1929641</v>
      </c>
      <c r="F55" s="7"/>
      <c r="G55" s="7"/>
      <c r="H55" s="439"/>
    </row>
    <row r="56" spans="1:8" x14ac:dyDescent="0.25">
      <c r="A56" s="147" t="s">
        <v>197</v>
      </c>
      <c r="B56" s="147"/>
      <c r="C56" s="154">
        <f>+C54+C55</f>
        <v>0</v>
      </c>
      <c r="D56" s="153"/>
      <c r="E56" s="155">
        <f>+E54+E55</f>
        <v>3792548.5518140346</v>
      </c>
      <c r="F56" s="7"/>
      <c r="G56" s="7"/>
      <c r="H56" s="439"/>
    </row>
    <row r="57" spans="1:8" ht="7.5" customHeight="1" x14ac:dyDescent="0.25">
      <c r="A57" s="59"/>
      <c r="B57" s="59"/>
      <c r="C57" s="164"/>
      <c r="D57" s="58"/>
      <c r="E57" s="58"/>
      <c r="F57" s="7"/>
      <c r="G57" s="7"/>
      <c r="H57" s="439"/>
    </row>
    <row r="58" spans="1:8" x14ac:dyDescent="0.25">
      <c r="A58" s="59"/>
      <c r="B58" s="59"/>
      <c r="C58" s="164"/>
      <c r="D58" s="58"/>
      <c r="E58" s="68" t="s">
        <v>319</v>
      </c>
      <c r="F58" s="7"/>
      <c r="H58" s="439"/>
    </row>
    <row r="59" spans="1:8" x14ac:dyDescent="0.25">
      <c r="A59" s="59"/>
      <c r="B59" s="59"/>
      <c r="C59" s="164"/>
      <c r="D59" s="58"/>
      <c r="E59" s="68" t="s">
        <v>100</v>
      </c>
      <c r="F59" s="7"/>
      <c r="H59" s="439"/>
    </row>
    <row r="60" spans="1:8" x14ac:dyDescent="0.25">
      <c r="A60" s="6"/>
      <c r="B60" s="6"/>
      <c r="C60" s="7"/>
      <c r="D60" s="7"/>
      <c r="E60" s="7"/>
      <c r="F60" s="7"/>
      <c r="G60" s="7"/>
      <c r="H60" s="439"/>
    </row>
    <row r="61" spans="1:8" ht="26.25" customHeight="1" x14ac:dyDescent="0.4">
      <c r="A61" s="459" t="s">
        <v>387</v>
      </c>
      <c r="B61" s="459"/>
      <c r="C61" s="459"/>
      <c r="D61" s="459"/>
      <c r="E61" s="459"/>
      <c r="F61" s="459"/>
      <c r="G61" s="459"/>
      <c r="H61" s="439"/>
    </row>
    <row r="62" spans="1:8" x14ac:dyDescent="0.25">
      <c r="A62" s="145" t="s">
        <v>386</v>
      </c>
      <c r="B62" s="166"/>
      <c r="C62" s="165"/>
      <c r="D62" s="165"/>
      <c r="E62" s="7"/>
      <c r="F62" s="7"/>
      <c r="G62" s="7"/>
      <c r="H62" s="439"/>
    </row>
    <row r="63" spans="1:8" x14ac:dyDescent="0.25">
      <c r="A63" s="440"/>
      <c r="B63" s="444"/>
      <c r="C63" s="442"/>
      <c r="D63" s="445"/>
      <c r="E63" s="446" t="s">
        <v>198</v>
      </c>
      <c r="F63" s="445"/>
      <c r="G63" s="446" t="s">
        <v>199</v>
      </c>
      <c r="H63" s="439"/>
    </row>
    <row r="64" spans="1:8" x14ac:dyDescent="0.25">
      <c r="A64" s="440"/>
      <c r="B64" s="444"/>
      <c r="C64" s="442"/>
      <c r="D64" s="445"/>
      <c r="E64" s="446" t="s">
        <v>25</v>
      </c>
      <c r="F64" s="445"/>
      <c r="G64" s="446" t="s">
        <v>25</v>
      </c>
      <c r="H64" s="439"/>
    </row>
    <row r="65" spans="1:8" x14ac:dyDescent="0.25">
      <c r="A65" s="440" t="s">
        <v>331</v>
      </c>
      <c r="B65" s="444"/>
      <c r="C65" s="442" t="s">
        <v>128</v>
      </c>
      <c r="D65" s="445"/>
      <c r="E65" s="447">
        <f>+'Secc 9.5-9-6'!D7</f>
        <v>5937000</v>
      </c>
      <c r="F65" s="445"/>
      <c r="G65" s="447">
        <f>+'Secc 9.5-9-6'!E7</f>
        <v>12130000</v>
      </c>
      <c r="H65" s="439"/>
    </row>
    <row r="66" spans="1:8" x14ac:dyDescent="0.25">
      <c r="A66" s="100" t="s">
        <v>201</v>
      </c>
      <c r="C66" s="170">
        <v>8.1</v>
      </c>
      <c r="D66" s="7"/>
      <c r="E66" s="161">
        <f>+'Secc 9.5-9-6'!D9</f>
        <v>363300</v>
      </c>
      <c r="F66" s="7"/>
      <c r="G66" s="161">
        <f>+'Secc 9.5-9-6'!E9+'Secc 9.5-9-6'!E20</f>
        <v>865659</v>
      </c>
      <c r="H66" s="439"/>
    </row>
    <row r="67" spans="1:8" x14ac:dyDescent="0.25">
      <c r="A67" s="100" t="s">
        <v>3</v>
      </c>
      <c r="C67" s="170" t="s">
        <v>322</v>
      </c>
      <c r="D67" s="7"/>
      <c r="E67" s="161">
        <f>+'Secc 9.5-9-6'!D10</f>
        <v>-3811000</v>
      </c>
      <c r="F67" s="7"/>
      <c r="G67" s="161">
        <f>+'Secc 9.5-9-6'!E10+'Secc 9.5-9-6'!E21</f>
        <v>-4506000</v>
      </c>
      <c r="H67" s="439"/>
    </row>
    <row r="68" spans="1:8" x14ac:dyDescent="0.25">
      <c r="A68" s="100" t="s">
        <v>202</v>
      </c>
      <c r="C68" s="170">
        <v>8.3000000000000007</v>
      </c>
      <c r="D68" s="7"/>
      <c r="E68" s="161">
        <f>+'Secc 9.5-9-6'!D11</f>
        <v>-2000000</v>
      </c>
      <c r="F68" s="7"/>
      <c r="G68" s="161">
        <f>+'Secc 9.5-9-6'!E11+'Secc 9.5-9-6'!E23</f>
        <v>-2400000</v>
      </c>
      <c r="H68" s="439"/>
    </row>
    <row r="69" spans="1:8" x14ac:dyDescent="0.25">
      <c r="A69" s="100" t="s">
        <v>358</v>
      </c>
      <c r="C69" s="170">
        <v>8.4</v>
      </c>
      <c r="D69" s="7"/>
      <c r="E69" s="161">
        <f>+'Secc 9.5-9-6'!D12</f>
        <v>-700000</v>
      </c>
      <c r="F69" s="7"/>
      <c r="G69" s="161">
        <f>+'Secc 9.5-9-6'!E12+'Secc 9.5-9-6'!E24</f>
        <v>-600000</v>
      </c>
      <c r="H69" s="439"/>
    </row>
    <row r="70" spans="1:8" x14ac:dyDescent="0.25">
      <c r="A70" s="100" t="s">
        <v>361</v>
      </c>
      <c r="C70" s="170"/>
      <c r="D70" s="7"/>
      <c r="E70" s="161"/>
      <c r="F70" s="7"/>
      <c r="G70" s="161"/>
      <c r="H70" s="439"/>
    </row>
    <row r="71" spans="1:8" x14ac:dyDescent="0.25">
      <c r="A71" s="100" t="s">
        <v>359</v>
      </c>
      <c r="C71" s="170" t="s">
        <v>119</v>
      </c>
      <c r="D71" s="7"/>
      <c r="E71" s="161">
        <f>+'Secc 9.5-9-6'!D14</f>
        <v>750000</v>
      </c>
      <c r="F71" s="7"/>
      <c r="G71" s="161">
        <f>+'Secc 9.5-9-6'!E14+'Secc 9.5-9-6'!E25</f>
        <v>825000</v>
      </c>
      <c r="H71" s="439"/>
    </row>
    <row r="72" spans="1:8" x14ac:dyDescent="0.25">
      <c r="A72" s="100" t="s">
        <v>360</v>
      </c>
      <c r="C72" s="170" t="s">
        <v>120</v>
      </c>
      <c r="D72" s="7"/>
      <c r="E72" s="161">
        <f>+'Secc 9.5-9-6'!D15</f>
        <v>750000</v>
      </c>
      <c r="F72" s="7"/>
      <c r="G72" s="161">
        <f>+'Secc 9.5-9-6'!E15+'Secc 9.5-9-6'!E26</f>
        <v>900000</v>
      </c>
      <c r="H72" s="439"/>
    </row>
    <row r="73" spans="1:8" x14ac:dyDescent="0.25">
      <c r="A73" s="100" t="s">
        <v>205</v>
      </c>
      <c r="C73" s="170">
        <v>8.6999999999999993</v>
      </c>
      <c r="D73" s="7"/>
      <c r="E73" s="161">
        <f>+'Secc 9.5-9-6'!D16</f>
        <v>2475471.0403444618</v>
      </c>
      <c r="F73" s="7"/>
      <c r="G73" s="161">
        <f>+'Secc 9.5-9-6'!E16+'Secc 9.5-9-6'!E27</f>
        <v>1915660.5921584964</v>
      </c>
      <c r="H73" s="439"/>
    </row>
    <row r="74" spans="1:8" x14ac:dyDescent="0.25">
      <c r="A74" s="100" t="s">
        <v>362</v>
      </c>
      <c r="C74" s="170">
        <v>8.9</v>
      </c>
      <c r="D74" s="7"/>
      <c r="E74" s="161">
        <f>+'Secc 9.5-9-6'!D17</f>
        <v>600000</v>
      </c>
      <c r="F74" s="7"/>
      <c r="G74" s="161">
        <f>+'Secc 9.5-9-6'!E17+'Secc 9.5-9-6'!E28</f>
        <v>700000</v>
      </c>
      <c r="H74" s="439"/>
    </row>
    <row r="75" spans="1:8" x14ac:dyDescent="0.25">
      <c r="A75" s="100" t="s">
        <v>363</v>
      </c>
      <c r="C75" s="170" t="s">
        <v>118</v>
      </c>
      <c r="D75" s="7"/>
      <c r="E75" s="161">
        <f>+'Secc 9.5-9-6'!D13</f>
        <v>600000</v>
      </c>
      <c r="F75" s="7"/>
      <c r="G75" s="161">
        <f>+'Secc 9.5-9-6'!E13</f>
        <v>600000</v>
      </c>
      <c r="H75" s="439"/>
    </row>
    <row r="76" spans="1:8" x14ac:dyDescent="0.25">
      <c r="A76" s="100" t="s">
        <v>364</v>
      </c>
      <c r="C76" s="170">
        <v>8.5</v>
      </c>
      <c r="D76" s="7"/>
      <c r="E76" s="150">
        <v>0</v>
      </c>
      <c r="F76" s="7"/>
      <c r="G76" s="157">
        <f>+'Secc 9.5-9-6'!E31</f>
        <v>-1000000</v>
      </c>
      <c r="H76" s="439"/>
    </row>
    <row r="77" spans="1:8" ht="15.75" thickBot="1" x14ac:dyDescent="0.3">
      <c r="A77" s="440" t="s">
        <v>365</v>
      </c>
      <c r="B77" s="441"/>
      <c r="C77" s="124"/>
      <c r="D77" s="443"/>
      <c r="E77" s="448">
        <f>SUM(E65:E76)</f>
        <v>4964771.0403444618</v>
      </c>
      <c r="F77" s="443"/>
      <c r="G77" s="448">
        <f>SUM(G65:G76)</f>
        <v>9430319.5921584964</v>
      </c>
      <c r="H77" s="439"/>
    </row>
    <row r="78" spans="1:8" x14ac:dyDescent="0.25">
      <c r="C78" s="4"/>
      <c r="D78" s="7"/>
      <c r="F78" s="7"/>
      <c r="H78" s="439"/>
    </row>
    <row r="79" spans="1:8" hidden="1" x14ac:dyDescent="0.25">
      <c r="H79" s="439"/>
    </row>
    <row r="80" spans="1:8" hidden="1" x14ac:dyDescent="0.25">
      <c r="H80" s="439"/>
    </row>
    <row r="81" spans="1:8" hidden="1" x14ac:dyDescent="0.25">
      <c r="H81" s="439"/>
    </row>
    <row r="82" spans="1:8" hidden="1" x14ac:dyDescent="0.25">
      <c r="H82" s="439"/>
    </row>
    <row r="83" spans="1:8" hidden="1" x14ac:dyDescent="0.25">
      <c r="H83" s="439"/>
    </row>
    <row r="84" spans="1:8" hidden="1" x14ac:dyDescent="0.25">
      <c r="H84" s="439"/>
    </row>
    <row r="85" spans="1:8" hidden="1" x14ac:dyDescent="0.25">
      <c r="H85" s="439"/>
    </row>
    <row r="86" spans="1:8" hidden="1" x14ac:dyDescent="0.25">
      <c r="H86" s="439"/>
    </row>
    <row r="87" spans="1:8" hidden="1" x14ac:dyDescent="0.25">
      <c r="H87" s="439"/>
    </row>
    <row r="88" spans="1:8" hidden="1" x14ac:dyDescent="0.25">
      <c r="H88" s="439"/>
    </row>
    <row r="89" spans="1:8" hidden="1" x14ac:dyDescent="0.25">
      <c r="H89" s="439"/>
    </row>
    <row r="90" spans="1:8" hidden="1" x14ac:dyDescent="0.25">
      <c r="H90" s="439"/>
    </row>
    <row r="91" spans="1:8" hidden="1" x14ac:dyDescent="0.25">
      <c r="H91" s="439"/>
    </row>
    <row r="92" spans="1:8" hidden="1" x14ac:dyDescent="0.25">
      <c r="H92" s="439"/>
    </row>
    <row r="93" spans="1:8" hidden="1" x14ac:dyDescent="0.25">
      <c r="H93" s="439"/>
    </row>
    <row r="94" spans="1:8" hidden="1" x14ac:dyDescent="0.25">
      <c r="H94" s="439"/>
    </row>
    <row r="95" spans="1:8" hidden="1" x14ac:dyDescent="0.25">
      <c r="H95" s="439"/>
    </row>
    <row r="96" spans="1:8" x14ac:dyDescent="0.25">
      <c r="A96" s="439"/>
      <c r="B96" s="439"/>
      <c r="C96" s="439"/>
      <c r="D96" s="439"/>
      <c r="E96" s="439"/>
      <c r="F96" s="439"/>
      <c r="G96" s="439"/>
      <c r="H96" s="439"/>
    </row>
    <row r="97" spans="8:8" hidden="1" x14ac:dyDescent="0.25">
      <c r="H97" s="439"/>
    </row>
    <row r="98" spans="8:8" hidden="1" x14ac:dyDescent="0.25">
      <c r="H98" s="439"/>
    </row>
    <row r="99" spans="8:8" hidden="1" x14ac:dyDescent="0.25">
      <c r="H99" s="439"/>
    </row>
    <row r="100" spans="8:8" hidden="1" x14ac:dyDescent="0.25">
      <c r="H100" s="439"/>
    </row>
    <row r="101" spans="8:8" hidden="1" x14ac:dyDescent="0.25">
      <c r="H101" s="439"/>
    </row>
    <row r="102" spans="8:8" hidden="1" x14ac:dyDescent="0.25">
      <c r="H102" s="439"/>
    </row>
    <row r="103" spans="8:8" hidden="1" x14ac:dyDescent="0.25">
      <c r="H103" s="439"/>
    </row>
    <row r="104" spans="8:8" hidden="1" x14ac:dyDescent="0.25">
      <c r="H104" s="439"/>
    </row>
  </sheetData>
  <mergeCells count="2">
    <mergeCell ref="A1:G1"/>
    <mergeCell ref="A61:G61"/>
  </mergeCells>
  <pageMargins left="0.7" right="0.7" top="0.75" bottom="0.75" header="0.3" footer="0.3"/>
  <pageSetup paperSize="9" orientation="portrait" horizontalDpi="200" verticalDpi="200" r:id="rId1"/>
  <ignoredErrors>
    <ignoredError sqref="C40:E40 D6 F6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42"/>
  <sheetViews>
    <sheetView workbookViewId="0">
      <selection activeCell="F1" sqref="F1"/>
    </sheetView>
  </sheetViews>
  <sheetFormatPr baseColWidth="10" defaultColWidth="0" defaultRowHeight="15" zeroHeight="1" x14ac:dyDescent="0.25"/>
  <cols>
    <col min="1" max="1" width="35.85546875" style="1" customWidth="1"/>
    <col min="2" max="2" width="4.140625" style="1" customWidth="1"/>
    <col min="3" max="3" width="13.5703125" style="14" bestFit="1" customWidth="1"/>
    <col min="4" max="4" width="12.42578125" style="14" bestFit="1" customWidth="1"/>
    <col min="5" max="5" width="13.5703125" style="14" bestFit="1" customWidth="1"/>
    <col min="6" max="6" width="3.5703125" customWidth="1"/>
    <col min="7" max="7" width="35.85546875" style="1" customWidth="1"/>
    <col min="8" max="8" width="4.140625" style="1" customWidth="1"/>
    <col min="9" max="9" width="13.5703125" style="14" bestFit="1" customWidth="1"/>
    <col min="10" max="10" width="12.42578125" style="14" bestFit="1" customWidth="1"/>
    <col min="11" max="11" width="13.5703125" style="14" bestFit="1" customWidth="1"/>
    <col min="12" max="12" width="2.7109375" customWidth="1"/>
    <col min="13" max="16384" width="11.42578125" hidden="1"/>
  </cols>
  <sheetData>
    <row r="1" spans="1:12" ht="53.25" customHeight="1" x14ac:dyDescent="0.25">
      <c r="A1" s="467" t="s">
        <v>389</v>
      </c>
      <c r="B1" s="467"/>
      <c r="C1" s="467"/>
      <c r="D1" s="467"/>
      <c r="E1" s="467"/>
      <c r="F1" s="2"/>
      <c r="G1" s="467" t="s">
        <v>388</v>
      </c>
      <c r="H1" s="467"/>
      <c r="I1" s="467"/>
      <c r="J1" s="467"/>
      <c r="K1" s="467"/>
      <c r="L1" s="392"/>
    </row>
    <row r="2" spans="1:12" x14ac:dyDescent="0.25">
      <c r="A2" s="55" t="s">
        <v>250</v>
      </c>
      <c r="B2" s="48"/>
      <c r="C2" s="48"/>
      <c r="D2" s="48"/>
      <c r="E2" s="48"/>
      <c r="F2" s="2"/>
      <c r="G2" s="55" t="s">
        <v>251</v>
      </c>
      <c r="H2" s="48"/>
      <c r="I2" s="48"/>
      <c r="J2" s="48"/>
      <c r="K2" s="48"/>
      <c r="L2" s="392"/>
    </row>
    <row r="3" spans="1:12" x14ac:dyDescent="0.25">
      <c r="A3" s="147"/>
      <c r="B3" s="147"/>
      <c r="C3" s="171" t="s">
        <v>150</v>
      </c>
      <c r="D3" s="171"/>
      <c r="E3" s="171"/>
      <c r="F3" s="2"/>
      <c r="G3" s="147"/>
      <c r="H3" s="147"/>
      <c r="I3" s="171" t="s">
        <v>150</v>
      </c>
      <c r="J3" s="171"/>
      <c r="K3" s="171"/>
      <c r="L3" s="392"/>
    </row>
    <row r="4" spans="1:12" x14ac:dyDescent="0.25">
      <c r="A4" s="147"/>
      <c r="B4" s="147"/>
      <c r="C4" s="171" t="s">
        <v>153</v>
      </c>
      <c r="D4" s="171" t="s">
        <v>231</v>
      </c>
      <c r="E4" s="171" t="s">
        <v>100</v>
      </c>
      <c r="F4" s="2"/>
      <c r="G4" s="147"/>
      <c r="H4" s="147"/>
      <c r="I4" s="171" t="s">
        <v>153</v>
      </c>
      <c r="J4" s="171" t="s">
        <v>231</v>
      </c>
      <c r="K4" s="171" t="s">
        <v>100</v>
      </c>
      <c r="L4" s="392"/>
    </row>
    <row r="5" spans="1:12" x14ac:dyDescent="0.25">
      <c r="A5" s="147"/>
      <c r="B5" s="147"/>
      <c r="C5" s="171" t="s">
        <v>25</v>
      </c>
      <c r="D5" s="171" t="s">
        <v>25</v>
      </c>
      <c r="E5" s="171" t="s">
        <v>25</v>
      </c>
      <c r="F5" s="2"/>
      <c r="G5" s="147"/>
      <c r="H5" s="147"/>
      <c r="I5" s="171" t="s">
        <v>25</v>
      </c>
      <c r="J5" s="171" t="s">
        <v>25</v>
      </c>
      <c r="K5" s="171" t="s">
        <v>25</v>
      </c>
      <c r="L5" s="392"/>
    </row>
    <row r="6" spans="1:12" x14ac:dyDescent="0.25">
      <c r="A6" s="147" t="s">
        <v>155</v>
      </c>
      <c r="B6" s="147"/>
      <c r="C6" s="172"/>
      <c r="D6" s="172"/>
      <c r="E6" s="172"/>
      <c r="F6" s="2"/>
      <c r="G6" s="147" t="s">
        <v>155</v>
      </c>
      <c r="H6" s="147"/>
      <c r="I6" s="172"/>
      <c r="J6" s="172"/>
      <c r="K6" s="172"/>
      <c r="L6" s="392"/>
    </row>
    <row r="7" spans="1:12" x14ac:dyDescent="0.25">
      <c r="A7" s="100" t="s">
        <v>156</v>
      </c>
      <c r="B7" s="100"/>
      <c r="C7" s="172">
        <f>+'Secc-9.2'!B7</f>
        <v>75369000</v>
      </c>
      <c r="D7" s="172">
        <f>+E7-C7</f>
        <v>0</v>
      </c>
      <c r="E7" s="172">
        <f>+'Secc-9.2'!O7</f>
        <v>75369000</v>
      </c>
      <c r="F7" s="2"/>
      <c r="G7" s="100" t="s">
        <v>156</v>
      </c>
      <c r="H7" s="100"/>
      <c r="I7" s="172">
        <f>+'Secc 9.3'!B6</f>
        <v>85030000</v>
      </c>
      <c r="J7" s="172">
        <f>+K7-I7</f>
        <v>0</v>
      </c>
      <c r="K7" s="172">
        <f>+'Secc 9.3'!P6</f>
        <v>85030000</v>
      </c>
      <c r="L7" s="392"/>
    </row>
    <row r="8" spans="1:12" x14ac:dyDescent="0.25">
      <c r="A8" s="100" t="s">
        <v>157</v>
      </c>
      <c r="B8" s="100"/>
      <c r="C8" s="172">
        <f>+'Secc-9.2'!B8</f>
        <v>4474000</v>
      </c>
      <c r="D8" s="172">
        <f>+E8-C8</f>
        <v>0</v>
      </c>
      <c r="E8" s="172">
        <f>+'Secc-9.2'!O8</f>
        <v>4474000</v>
      </c>
      <c r="F8" s="2"/>
      <c r="G8" s="100" t="s">
        <v>157</v>
      </c>
      <c r="H8" s="100"/>
      <c r="I8" s="172">
        <f>+'Secc 9.3'!B7</f>
        <v>3000000</v>
      </c>
      <c r="J8" s="172">
        <f t="shared" ref="J8:J10" si="0">+K8-I8</f>
        <v>0</v>
      </c>
      <c r="K8" s="172">
        <f>+'Secc 9.3'!P7</f>
        <v>3000000</v>
      </c>
      <c r="L8" s="392"/>
    </row>
    <row r="9" spans="1:12" x14ac:dyDescent="0.25">
      <c r="A9" s="100" t="s">
        <v>158</v>
      </c>
      <c r="B9" s="100"/>
      <c r="C9" s="172">
        <f>+'Secc-9.2'!B9</f>
        <v>6746000</v>
      </c>
      <c r="D9" s="172">
        <f>+E9-C9</f>
        <v>0</v>
      </c>
      <c r="E9" s="172">
        <f>+'Secc-9.2'!O9</f>
        <v>6746000</v>
      </c>
      <c r="F9" s="2"/>
      <c r="G9" s="100" t="s">
        <v>158</v>
      </c>
      <c r="H9" s="100"/>
      <c r="I9" s="172">
        <f>+'Secc 9.3'!B8</f>
        <v>6000000</v>
      </c>
      <c r="J9" s="161">
        <f t="shared" si="0"/>
        <v>-1000000</v>
      </c>
      <c r="K9" s="172">
        <f>+'Secc 9.3'!P8</f>
        <v>5000000</v>
      </c>
      <c r="L9" s="392"/>
    </row>
    <row r="10" spans="1:12" x14ac:dyDescent="0.25">
      <c r="A10" s="100" t="s">
        <v>159</v>
      </c>
      <c r="B10" s="100"/>
      <c r="C10" s="173">
        <f>+'Secc-9.2'!B10</f>
        <v>26018000</v>
      </c>
      <c r="D10" s="172">
        <f>+E10-C10</f>
        <v>0</v>
      </c>
      <c r="E10" s="173">
        <f>+'Secc-9.2'!O10</f>
        <v>26018000</v>
      </c>
      <c r="F10" s="2"/>
      <c r="G10" s="100" t="s">
        <v>159</v>
      </c>
      <c r="H10" s="100"/>
      <c r="I10" s="173">
        <f>+'Secc 9.3'!B9</f>
        <v>26000000</v>
      </c>
      <c r="J10" s="172">
        <f t="shared" si="0"/>
        <v>0</v>
      </c>
      <c r="K10" s="173">
        <f>+'Secc 9.3'!P9</f>
        <v>26000000</v>
      </c>
      <c r="L10" s="392"/>
    </row>
    <row r="11" spans="1:12" x14ac:dyDescent="0.25">
      <c r="A11" s="147" t="s">
        <v>160</v>
      </c>
      <c r="B11" s="147"/>
      <c r="C11" s="174">
        <f>SUM(C7:C10)</f>
        <v>112607000</v>
      </c>
      <c r="D11" s="174"/>
      <c r="E11" s="174">
        <f>SUM(E7:E10)</f>
        <v>112607000</v>
      </c>
      <c r="F11" s="2"/>
      <c r="G11" s="147" t="s">
        <v>160</v>
      </c>
      <c r="H11" s="147"/>
      <c r="I11" s="174">
        <f>SUM(I7:I10)</f>
        <v>120030000</v>
      </c>
      <c r="J11" s="174"/>
      <c r="K11" s="174">
        <f>SUM(K7:K10)</f>
        <v>119030000</v>
      </c>
      <c r="L11" s="392"/>
    </row>
    <row r="12" spans="1:12" x14ac:dyDescent="0.25">
      <c r="A12" s="100" t="s">
        <v>161</v>
      </c>
      <c r="B12" s="100" t="s">
        <v>232</v>
      </c>
      <c r="C12" s="172">
        <f>+'Secc-9.2'!B12</f>
        <v>0</v>
      </c>
      <c r="D12" s="172">
        <f>+E12-C12</f>
        <v>1000000</v>
      </c>
      <c r="E12" s="172">
        <f>+'Secc-9.2'!O12</f>
        <v>1000000</v>
      </c>
      <c r="F12" s="2"/>
      <c r="G12" s="100" t="s">
        <v>161</v>
      </c>
      <c r="H12" s="100" t="s">
        <v>232</v>
      </c>
      <c r="I12" s="172">
        <f>+'Secc 9.3'!B11</f>
        <v>0</v>
      </c>
      <c r="J12" s="172">
        <f t="shared" ref="J12:J15" si="1">+K12-I12</f>
        <v>1100000</v>
      </c>
      <c r="K12" s="172">
        <f>+'Secc 9.3'!P11</f>
        <v>1100000</v>
      </c>
      <c r="L12" s="392"/>
    </row>
    <row r="13" spans="1:12" x14ac:dyDescent="0.25">
      <c r="A13" s="100" t="s">
        <v>332</v>
      </c>
      <c r="B13" s="100" t="s">
        <v>233</v>
      </c>
      <c r="C13" s="172">
        <f>+'Secc-9.2'!B13</f>
        <v>7400000</v>
      </c>
      <c r="D13" s="172">
        <f>+E13-C13</f>
        <v>11780000</v>
      </c>
      <c r="E13" s="172">
        <f>+'Secc-9.2'!O13</f>
        <v>19180000</v>
      </c>
      <c r="F13" s="2"/>
      <c r="G13" s="100" t="s">
        <v>332</v>
      </c>
      <c r="H13" s="100" t="s">
        <v>233</v>
      </c>
      <c r="I13" s="172">
        <f>+'Secc 9.3'!B12</f>
        <v>7500000</v>
      </c>
      <c r="J13" s="172">
        <f t="shared" si="1"/>
        <v>11525000</v>
      </c>
      <c r="K13" s="172">
        <f>+'Secc 9.3'!P12</f>
        <v>19025000</v>
      </c>
      <c r="L13" s="392"/>
    </row>
    <row r="14" spans="1:12" x14ac:dyDescent="0.25">
      <c r="A14" s="100" t="s">
        <v>8</v>
      </c>
      <c r="B14" s="100" t="s">
        <v>234</v>
      </c>
      <c r="C14" s="172">
        <f>+'Secc-9.2'!B14</f>
        <v>0</v>
      </c>
      <c r="D14" s="172">
        <f>+E14-C14</f>
        <v>363300</v>
      </c>
      <c r="E14" s="172">
        <f>+'Secc-9.2'!O14</f>
        <v>363300</v>
      </c>
      <c r="F14" s="2"/>
      <c r="G14" s="100" t="s">
        <v>8</v>
      </c>
      <c r="H14" s="100" t="s">
        <v>234</v>
      </c>
      <c r="I14" s="172">
        <f>+'Secc 9.3'!B13</f>
        <v>0</v>
      </c>
      <c r="J14" s="172">
        <f t="shared" si="1"/>
        <v>865658.70000000019</v>
      </c>
      <c r="K14" s="172">
        <f>+'Secc 9.3'!P13</f>
        <v>865658.70000000019</v>
      </c>
      <c r="L14" s="392"/>
    </row>
    <row r="15" spans="1:12" x14ac:dyDescent="0.25">
      <c r="A15" s="100" t="s">
        <v>164</v>
      </c>
      <c r="B15" s="100" t="s">
        <v>235</v>
      </c>
      <c r="C15" s="172">
        <f>+'Secc-9.2'!B15</f>
        <v>700000</v>
      </c>
      <c r="D15" s="161">
        <f>+E15-C15</f>
        <v>-700000</v>
      </c>
      <c r="E15" s="172">
        <f>+'Secc-9.2'!O15</f>
        <v>0</v>
      </c>
      <c r="F15" s="2"/>
      <c r="G15" s="100" t="s">
        <v>164</v>
      </c>
      <c r="H15" s="100" t="s">
        <v>235</v>
      </c>
      <c r="I15" s="172">
        <f>+'Secc 9.3'!B14</f>
        <v>600000</v>
      </c>
      <c r="J15" s="161">
        <f t="shared" si="1"/>
        <v>-600000</v>
      </c>
      <c r="K15" s="172">
        <f>+'Secc 9.3'!P14</f>
        <v>0</v>
      </c>
      <c r="L15" s="392"/>
    </row>
    <row r="16" spans="1:12" x14ac:dyDescent="0.25">
      <c r="A16" s="100" t="s">
        <v>165</v>
      </c>
      <c r="B16" s="100"/>
      <c r="C16" s="175">
        <f>SUM(C12:C15)</f>
        <v>8100000</v>
      </c>
      <c r="D16" s="172"/>
      <c r="E16" s="175">
        <f>SUM(E12:E15)</f>
        <v>20543300</v>
      </c>
      <c r="F16" s="2"/>
      <c r="G16" s="100" t="s">
        <v>165</v>
      </c>
      <c r="H16" s="100"/>
      <c r="I16" s="175">
        <f>SUM(I12:I15)</f>
        <v>8100000</v>
      </c>
      <c r="J16" s="172"/>
      <c r="K16" s="175">
        <f>SUM(K12:K15)</f>
        <v>20990658.699999999</v>
      </c>
      <c r="L16" s="392"/>
    </row>
    <row r="17" spans="1:12" x14ac:dyDescent="0.25">
      <c r="A17" s="147" t="s">
        <v>166</v>
      </c>
      <c r="B17" s="147"/>
      <c r="C17" s="175">
        <f>+C11+C16</f>
        <v>120707000</v>
      </c>
      <c r="D17" s="174"/>
      <c r="E17" s="175">
        <f>+E11+E16</f>
        <v>133150300</v>
      </c>
      <c r="F17" s="2"/>
      <c r="G17" s="147" t="s">
        <v>166</v>
      </c>
      <c r="H17" s="147"/>
      <c r="I17" s="175">
        <f>+I11+I16</f>
        <v>128130000</v>
      </c>
      <c r="J17" s="174"/>
      <c r="K17" s="175">
        <f>+K11+K16</f>
        <v>140020658.69999999</v>
      </c>
      <c r="L17" s="392"/>
    </row>
    <row r="18" spans="1:12" x14ac:dyDescent="0.25">
      <c r="A18" s="147" t="s">
        <v>167</v>
      </c>
      <c r="B18" s="147"/>
      <c r="C18" s="172"/>
      <c r="D18" s="172"/>
      <c r="E18" s="172"/>
      <c r="F18" s="2"/>
      <c r="G18" s="147" t="s">
        <v>167</v>
      </c>
      <c r="H18" s="147"/>
      <c r="I18" s="172"/>
      <c r="J18" s="172"/>
      <c r="K18" s="172"/>
      <c r="L18" s="392"/>
    </row>
    <row r="19" spans="1:12" x14ac:dyDescent="0.25">
      <c r="A19" s="100" t="s">
        <v>168</v>
      </c>
      <c r="B19" s="100"/>
      <c r="C19" s="172">
        <f>+'Secc-9.2'!B20</f>
        <v>9415000</v>
      </c>
      <c r="D19" s="172">
        <f t="shared" ref="D19:D24" si="2">+E19-C19</f>
        <v>0</v>
      </c>
      <c r="E19" s="172">
        <f>+'Secc-9.2'!O20</f>
        <v>9415000</v>
      </c>
      <c r="F19" s="2"/>
      <c r="G19" s="100" t="s">
        <v>168</v>
      </c>
      <c r="H19" s="100"/>
      <c r="I19" s="172">
        <f>+'Secc 9.3'!B19</f>
        <v>10000000</v>
      </c>
      <c r="J19" s="172">
        <f t="shared" ref="J19:J21" si="3">+K19-I19</f>
        <v>0</v>
      </c>
      <c r="K19" s="172">
        <f>+'Secc 9.3'!P19</f>
        <v>10000000</v>
      </c>
      <c r="L19" s="392"/>
    </row>
    <row r="20" spans="1:12" x14ac:dyDescent="0.25">
      <c r="A20" s="100" t="s">
        <v>169</v>
      </c>
      <c r="B20" s="100" t="s">
        <v>236</v>
      </c>
      <c r="C20" s="172">
        <f>+'Secc-9.2'!B21</f>
        <v>0</v>
      </c>
      <c r="D20" s="172">
        <f t="shared" si="2"/>
        <v>2500000</v>
      </c>
      <c r="E20" s="172">
        <f>+'Secc-9.2'!O21</f>
        <v>2500000</v>
      </c>
      <c r="F20" s="2"/>
      <c r="G20" s="100" t="s">
        <v>169</v>
      </c>
      <c r="H20" s="100" t="s">
        <v>236</v>
      </c>
      <c r="I20" s="172">
        <f>+'Secc 9.3'!B20</f>
        <v>0</v>
      </c>
      <c r="J20" s="172">
        <f t="shared" si="3"/>
        <v>3200000</v>
      </c>
      <c r="K20" s="172">
        <f>+'Secc 9.3'!P20</f>
        <v>3200000</v>
      </c>
      <c r="L20" s="392"/>
    </row>
    <row r="21" spans="1:12" x14ac:dyDescent="0.25">
      <c r="A21" s="100" t="s">
        <v>170</v>
      </c>
      <c r="B21" s="100" t="s">
        <v>236</v>
      </c>
      <c r="C21" s="173">
        <f>+'Secc-9.2'!B22</f>
        <v>5355000</v>
      </c>
      <c r="D21" s="161">
        <f t="shared" si="2"/>
        <v>-500000</v>
      </c>
      <c r="E21" s="173">
        <f>+'Secc-9.2'!O22</f>
        <v>4855000</v>
      </c>
      <c r="F21" s="2"/>
      <c r="G21" s="100" t="s">
        <v>170</v>
      </c>
      <c r="H21" s="100" t="s">
        <v>236</v>
      </c>
      <c r="I21" s="173">
        <f>+'Secc 9.3'!B21</f>
        <v>6000000</v>
      </c>
      <c r="J21" s="161">
        <f t="shared" si="3"/>
        <v>-800000</v>
      </c>
      <c r="K21" s="173">
        <f>+'Secc 9.3'!P21</f>
        <v>5200000</v>
      </c>
      <c r="L21" s="392"/>
    </row>
    <row r="22" spans="1:12" x14ac:dyDescent="0.25">
      <c r="A22" s="147" t="s">
        <v>171</v>
      </c>
      <c r="B22" s="147"/>
      <c r="C22" s="176">
        <f>SUM(C19:C21)</f>
        <v>14770000</v>
      </c>
      <c r="D22" s="172"/>
      <c r="E22" s="176">
        <f>SUM(E19:E21)</f>
        <v>16770000</v>
      </c>
      <c r="F22" s="2"/>
      <c r="G22" s="147" t="s">
        <v>171</v>
      </c>
      <c r="H22" s="147"/>
      <c r="I22" s="176">
        <f>SUM(I19:I21)</f>
        <v>16000000</v>
      </c>
      <c r="J22" s="172"/>
      <c r="K22" s="176">
        <f>SUM(K19:K21)</f>
        <v>18400000</v>
      </c>
      <c r="L22" s="392"/>
    </row>
    <row r="23" spans="1:12" x14ac:dyDescent="0.25">
      <c r="A23" s="100" t="s">
        <v>172</v>
      </c>
      <c r="B23" s="100" t="s">
        <v>233</v>
      </c>
      <c r="C23" s="172">
        <f>+'Secc-9.2'!B24</f>
        <v>0</v>
      </c>
      <c r="D23" s="172">
        <f t="shared" si="2"/>
        <v>13891000</v>
      </c>
      <c r="E23" s="172">
        <f>+'Secc-9.2'!O24</f>
        <v>13891000</v>
      </c>
      <c r="F23" s="2"/>
      <c r="G23" s="100" t="s">
        <v>172</v>
      </c>
      <c r="H23" s="100" t="s">
        <v>233</v>
      </c>
      <c r="I23" s="172">
        <f>+'Secc 9.3'!B23</f>
        <v>0</v>
      </c>
      <c r="J23" s="172">
        <f t="shared" ref="J23:J24" si="4">+K23-I23</f>
        <v>14586000</v>
      </c>
      <c r="K23" s="172">
        <f>+'Secc 9.3'!P23</f>
        <v>14586000</v>
      </c>
      <c r="L23" s="392"/>
    </row>
    <row r="24" spans="1:12" x14ac:dyDescent="0.25">
      <c r="A24" s="100" t="s">
        <v>173</v>
      </c>
      <c r="B24" s="100" t="s">
        <v>237</v>
      </c>
      <c r="C24" s="173">
        <f>+'Secc-9.2'!B25</f>
        <v>100000000</v>
      </c>
      <c r="D24" s="161">
        <f t="shared" si="2"/>
        <v>-2475471.0403444618</v>
      </c>
      <c r="E24" s="173">
        <f>+'Secc-9.2'!O25</f>
        <v>97524528.959655538</v>
      </c>
      <c r="F24" s="2"/>
      <c r="G24" s="100" t="s">
        <v>173</v>
      </c>
      <c r="H24" s="100" t="s">
        <v>237</v>
      </c>
      <c r="I24" s="173">
        <f>+'Secc 9.3'!B24</f>
        <v>100000000</v>
      </c>
      <c r="J24" s="161">
        <f t="shared" si="4"/>
        <v>-1915660.5921584964</v>
      </c>
      <c r="K24" s="173">
        <f>+'Secc 9.3'!P24</f>
        <v>98084339.407841504</v>
      </c>
      <c r="L24" s="392"/>
    </row>
    <row r="25" spans="1:12" x14ac:dyDescent="0.25">
      <c r="A25" s="147" t="s">
        <v>174</v>
      </c>
      <c r="B25" s="147"/>
      <c r="C25" s="176">
        <f>SUM(C23:C24)</f>
        <v>100000000</v>
      </c>
      <c r="D25" s="174"/>
      <c r="E25" s="176">
        <f>SUM(E23:E24)</f>
        <v>111415528.95965554</v>
      </c>
      <c r="F25" s="2"/>
      <c r="G25" s="147" t="s">
        <v>174</v>
      </c>
      <c r="H25" s="147"/>
      <c r="I25" s="176">
        <f>SUM(I23:I24)</f>
        <v>100000000</v>
      </c>
      <c r="J25" s="174"/>
      <c r="K25" s="176">
        <f>SUM(K23:K24)</f>
        <v>112670339.4078415</v>
      </c>
      <c r="L25" s="392"/>
    </row>
    <row r="26" spans="1:12" x14ac:dyDescent="0.25">
      <c r="A26" s="147" t="s">
        <v>175</v>
      </c>
      <c r="B26" s="147"/>
      <c r="C26" s="176">
        <f>+C22+C25</f>
        <v>114770000</v>
      </c>
      <c r="D26" s="174"/>
      <c r="E26" s="176">
        <f>+E22+E25</f>
        <v>128185528.95965554</v>
      </c>
      <c r="F26" s="2"/>
      <c r="G26" s="147" t="s">
        <v>175</v>
      </c>
      <c r="H26" s="147"/>
      <c r="I26" s="176">
        <f>+I22+I25</f>
        <v>116000000</v>
      </c>
      <c r="J26" s="174"/>
      <c r="K26" s="176">
        <f>+K22+K25</f>
        <v>131070339.4078415</v>
      </c>
      <c r="L26" s="392"/>
    </row>
    <row r="27" spans="1:12" x14ac:dyDescent="0.25">
      <c r="A27" s="147"/>
      <c r="B27" s="147"/>
      <c r="C27" s="174"/>
      <c r="D27" s="174"/>
      <c r="E27" s="174"/>
      <c r="F27" s="2"/>
      <c r="G27" s="147"/>
      <c r="H27" s="147"/>
      <c r="I27" s="174"/>
      <c r="J27" s="174"/>
      <c r="K27" s="174"/>
      <c r="L27" s="392"/>
    </row>
    <row r="28" spans="1:12" x14ac:dyDescent="0.25">
      <c r="A28" s="147" t="s">
        <v>249</v>
      </c>
      <c r="B28" s="147"/>
      <c r="C28" s="174"/>
      <c r="D28" s="174"/>
      <c r="E28" s="174"/>
      <c r="F28" s="2"/>
      <c r="G28" s="147" t="s">
        <v>249</v>
      </c>
      <c r="H28" s="147"/>
      <c r="I28" s="174"/>
      <c r="J28" s="174"/>
      <c r="K28" s="174"/>
      <c r="L28" s="392"/>
    </row>
    <row r="29" spans="1:12" x14ac:dyDescent="0.25">
      <c r="A29" s="100" t="s">
        <v>176</v>
      </c>
      <c r="B29" s="100"/>
      <c r="C29" s="172">
        <f>+'Secc-9.2'!B29</f>
        <v>4022000</v>
      </c>
      <c r="D29" s="172">
        <f>+E29-C29</f>
        <v>0</v>
      </c>
      <c r="E29" s="172">
        <f>+'Secc-9.2'!O29</f>
        <v>4022000</v>
      </c>
      <c r="F29" s="2"/>
      <c r="G29" s="100" t="s">
        <v>176</v>
      </c>
      <c r="H29" s="100"/>
      <c r="I29" s="172">
        <f>+'Secc 9.3'!B28</f>
        <v>4022000</v>
      </c>
      <c r="J29" s="172">
        <f t="shared" ref="J29:J32" si="5">+K29-I29</f>
        <v>0</v>
      </c>
      <c r="K29" s="172">
        <f>+'Secc 9.3'!P28</f>
        <v>4022000</v>
      </c>
      <c r="L29" s="392"/>
    </row>
    <row r="30" spans="1:12" x14ac:dyDescent="0.25">
      <c r="A30" s="100" t="s">
        <v>177</v>
      </c>
      <c r="B30" s="100"/>
      <c r="C30" s="172">
        <f>+'Secc-9.2'!B30</f>
        <v>593000</v>
      </c>
      <c r="D30" s="172">
        <f>+E30-C30</f>
        <v>0</v>
      </c>
      <c r="E30" s="172">
        <f>+'Secc-9.2'!O30</f>
        <v>593000</v>
      </c>
      <c r="F30" s="2"/>
      <c r="G30" s="100" t="s">
        <v>177</v>
      </c>
      <c r="H30" s="100"/>
      <c r="I30" s="172">
        <f>+'Secc 9.3'!B29</f>
        <v>1786000</v>
      </c>
      <c r="J30" s="172">
        <f t="shared" si="5"/>
        <v>0</v>
      </c>
      <c r="K30" s="172">
        <f>+'Secc 9.3'!P29</f>
        <v>1786000</v>
      </c>
      <c r="L30" s="392"/>
    </row>
    <row r="31" spans="1:12" x14ac:dyDescent="0.25">
      <c r="A31" s="100" t="s">
        <v>178</v>
      </c>
      <c r="B31" s="100" t="s">
        <v>233</v>
      </c>
      <c r="C31" s="172">
        <f>+'Secc-9.2'!B31</f>
        <v>0</v>
      </c>
      <c r="D31" s="172">
        <f>+E31-C31</f>
        <v>600000</v>
      </c>
      <c r="E31" s="172">
        <f>+'Secc-9.2'!O31</f>
        <v>600000</v>
      </c>
      <c r="F31" s="2"/>
      <c r="G31" s="100" t="s">
        <v>178</v>
      </c>
      <c r="H31" s="100" t="s">
        <v>233</v>
      </c>
      <c r="I31" s="172">
        <f>+'Secc 9.3'!B30</f>
        <v>0</v>
      </c>
      <c r="J31" s="172">
        <f t="shared" si="5"/>
        <v>600000</v>
      </c>
      <c r="K31" s="172">
        <f>+'Secc 9.3'!P30</f>
        <v>600000</v>
      </c>
      <c r="L31" s="392"/>
    </row>
    <row r="32" spans="1:12" x14ac:dyDescent="0.25">
      <c r="A32" s="100" t="s">
        <v>179</v>
      </c>
      <c r="B32" s="100" t="s">
        <v>238</v>
      </c>
      <c r="C32" s="173">
        <f>+'Secc-9.2'!B32</f>
        <v>1322000</v>
      </c>
      <c r="D32" s="161">
        <f t="shared" ref="D32" si="6">+E32-C32</f>
        <v>-1572228.9596555382</v>
      </c>
      <c r="E32" s="157">
        <f>+'Secc-9.2'!O32</f>
        <v>-250228.9596555382</v>
      </c>
      <c r="F32" s="2"/>
      <c r="G32" s="100" t="s">
        <v>179</v>
      </c>
      <c r="H32" s="100" t="s">
        <v>238</v>
      </c>
      <c r="I32" s="173">
        <f>+'Secc 9.3'!B31+'Secc 9.3'!B32</f>
        <v>6322000</v>
      </c>
      <c r="J32" s="161">
        <f t="shared" si="5"/>
        <v>-3779680.4078415036</v>
      </c>
      <c r="K32" s="157">
        <f>+'Secc 9.3'!P32+'Secc 9.3'!P31</f>
        <v>2542319.5921584964</v>
      </c>
      <c r="L32" s="392"/>
    </row>
    <row r="33" spans="1:12" x14ac:dyDescent="0.25">
      <c r="A33" s="147" t="s">
        <v>180</v>
      </c>
      <c r="B33" s="147"/>
      <c r="C33" s="176">
        <f>SUM(C29:C32)</f>
        <v>5937000</v>
      </c>
      <c r="D33" s="172"/>
      <c r="E33" s="176">
        <f>SUM(E29:E32)</f>
        <v>4964771.0403444618</v>
      </c>
      <c r="F33" s="2"/>
      <c r="G33" s="147" t="s">
        <v>180</v>
      </c>
      <c r="H33" s="147"/>
      <c r="I33" s="176">
        <f>SUM(I29:I32)</f>
        <v>12130000</v>
      </c>
      <c r="J33" s="172"/>
      <c r="K33" s="176">
        <f>SUM(K29:K32)</f>
        <v>8950319.5921584964</v>
      </c>
      <c r="L33" s="392"/>
    </row>
    <row r="34" spans="1:12" x14ac:dyDescent="0.25">
      <c r="A34" s="147" t="s">
        <v>181</v>
      </c>
      <c r="B34" s="147"/>
      <c r="C34" s="175">
        <f>+C26+C33</f>
        <v>120707000</v>
      </c>
      <c r="D34" s="172"/>
      <c r="E34" s="175">
        <f>+E26+E33</f>
        <v>133150300</v>
      </c>
      <c r="F34" s="2"/>
      <c r="G34" s="147" t="s">
        <v>181</v>
      </c>
      <c r="H34" s="147"/>
      <c r="I34" s="175">
        <f>+I26+I33</f>
        <v>128130000</v>
      </c>
      <c r="J34" s="172"/>
      <c r="K34" s="175">
        <f>+K26+K33</f>
        <v>140020659</v>
      </c>
      <c r="L34" s="392"/>
    </row>
    <row r="35" spans="1:12" hidden="1" x14ac:dyDescent="0.25">
      <c r="A35"/>
      <c r="B35"/>
      <c r="F35" s="2"/>
      <c r="G35"/>
      <c r="H35"/>
      <c r="L35" s="392"/>
    </row>
    <row r="36" spans="1:12" hidden="1" x14ac:dyDescent="0.25">
      <c r="A36"/>
      <c r="B36"/>
      <c r="F36" s="2"/>
      <c r="G36"/>
      <c r="H36"/>
      <c r="L36" s="392"/>
    </row>
    <row r="37" spans="1:12" hidden="1" x14ac:dyDescent="0.25">
      <c r="A37"/>
      <c r="B37"/>
      <c r="F37" s="2"/>
      <c r="G37"/>
      <c r="H37"/>
      <c r="L37" s="392"/>
    </row>
    <row r="38" spans="1:12" hidden="1" x14ac:dyDescent="0.25">
      <c r="A38"/>
      <c r="B38"/>
      <c r="F38" s="2"/>
      <c r="G38"/>
      <c r="H38"/>
      <c r="L38" s="392"/>
    </row>
    <row r="39" spans="1:12" ht="15.75" thickBot="1" x14ac:dyDescent="0.3">
      <c r="C39" s="47">
        <f>+C17-C34</f>
        <v>0</v>
      </c>
      <c r="E39" s="47">
        <f>+E17-E34</f>
        <v>0</v>
      </c>
      <c r="F39" s="2"/>
      <c r="I39" s="47">
        <f>+I17-I34</f>
        <v>0</v>
      </c>
      <c r="K39" s="47">
        <f>+K17-K34</f>
        <v>-0.30000001192092896</v>
      </c>
      <c r="L39" s="392"/>
    </row>
    <row r="40" spans="1:12" hidden="1" x14ac:dyDescent="0.25">
      <c r="L40" s="392"/>
    </row>
    <row r="41" spans="1:12" hidden="1" x14ac:dyDescent="0.25">
      <c r="L41" s="392"/>
    </row>
    <row r="42" spans="1:12" x14ac:dyDescent="0.25">
      <c r="A42" s="392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</row>
  </sheetData>
  <mergeCells count="2">
    <mergeCell ref="A1:E1"/>
    <mergeCell ref="G1:K1"/>
  </mergeCells>
  <pageMargins left="0.7" right="0.7" top="0.75" bottom="0.75" header="0.3" footer="0.3"/>
  <pageSetup paperSize="9" orientation="portrait" horizontalDpi="200" verticalDpi="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B27"/>
  <sheetViews>
    <sheetView tabSelected="1" zoomScaleNormal="100" workbookViewId="0"/>
  </sheetViews>
  <sheetFormatPr baseColWidth="10" defaultRowHeight="15" customHeight="1" x14ac:dyDescent="0.2"/>
  <cols>
    <col min="1" max="1" width="3.5703125" style="3" customWidth="1"/>
    <col min="2" max="2" width="1.85546875" style="3" customWidth="1"/>
    <col min="3" max="3" width="20" style="3" customWidth="1"/>
    <col min="4" max="4" width="3.7109375" style="3" customWidth="1"/>
    <col min="5" max="5" width="10.28515625" style="3" bestFit="1" customWidth="1"/>
    <col min="6" max="6" width="12.42578125" style="3" bestFit="1" customWidth="1"/>
    <col min="7" max="7" width="10.28515625" style="3" bestFit="1" customWidth="1"/>
    <col min="8" max="8" width="12.42578125" style="3" bestFit="1" customWidth="1"/>
    <col min="9" max="9" width="10.28515625" style="3" bestFit="1" customWidth="1"/>
    <col min="10" max="10" width="12.42578125" style="3" bestFit="1" customWidth="1"/>
    <col min="11" max="11" width="11.42578125" style="3"/>
    <col min="12" max="12" width="14.42578125" style="3" customWidth="1"/>
    <col min="13" max="13" width="14.140625" style="3" customWidth="1"/>
    <col min="14" max="14" width="11.42578125" style="3"/>
    <col min="15" max="15" width="11.5703125" style="3" bestFit="1" customWidth="1"/>
    <col min="16" max="16" width="0.7109375" style="3" customWidth="1"/>
    <col min="17" max="17" width="11.5703125" style="3" bestFit="1" customWidth="1"/>
    <col min="18" max="18" width="11.42578125" style="3"/>
    <col min="19" max="19" width="3.5703125" style="169" customWidth="1"/>
    <col min="20" max="20" width="15" style="169" customWidth="1"/>
    <col min="21" max="21" width="15.42578125" style="169" customWidth="1"/>
    <col min="22" max="22" width="0.7109375" style="169" customWidth="1"/>
    <col min="23" max="23" width="8.7109375" style="169" bestFit="1" customWidth="1"/>
    <col min="24" max="24" width="12.140625" style="169" bestFit="1" customWidth="1"/>
    <col min="25" max="25" width="12.85546875" style="169" bestFit="1" customWidth="1"/>
    <col min="26" max="26" width="10.28515625" style="169" bestFit="1" customWidth="1"/>
    <col min="27" max="27" width="11.42578125" style="3"/>
    <col min="28" max="28" width="4" style="3" customWidth="1"/>
    <col min="29" max="16384" width="11.42578125" style="3"/>
  </cols>
  <sheetData>
    <row r="1" spans="1:28" ht="15" customHeight="1" x14ac:dyDescent="0.2">
      <c r="A1" s="177"/>
      <c r="B1" s="178" t="s">
        <v>275</v>
      </c>
      <c r="C1" s="178" t="s">
        <v>276</v>
      </c>
      <c r="D1" s="178" t="s">
        <v>277</v>
      </c>
      <c r="E1" s="178" t="s">
        <v>278</v>
      </c>
      <c r="F1" s="178" t="s">
        <v>279</v>
      </c>
      <c r="G1" s="178" t="s">
        <v>280</v>
      </c>
      <c r="H1" s="178" t="s">
        <v>281</v>
      </c>
      <c r="I1" s="178" t="s">
        <v>282</v>
      </c>
      <c r="J1" s="178" t="s">
        <v>283</v>
      </c>
      <c r="K1" s="7"/>
      <c r="L1" s="7"/>
      <c r="M1" s="7"/>
      <c r="N1" s="7"/>
      <c r="O1" s="7"/>
      <c r="P1" s="7"/>
      <c r="Q1" s="7"/>
      <c r="R1" s="7"/>
      <c r="S1" s="177"/>
      <c r="T1" s="197" t="s">
        <v>284</v>
      </c>
      <c r="U1" s="197" t="s">
        <v>285</v>
      </c>
      <c r="V1" s="197" t="s">
        <v>286</v>
      </c>
      <c r="W1" s="197" t="s">
        <v>287</v>
      </c>
      <c r="X1" s="197" t="s">
        <v>288</v>
      </c>
      <c r="Y1" s="197" t="s">
        <v>289</v>
      </c>
      <c r="Z1" s="197" t="s">
        <v>290</v>
      </c>
      <c r="AA1" s="7"/>
      <c r="AB1" s="439"/>
    </row>
    <row r="2" spans="1:28" ht="15" customHeight="1" x14ac:dyDescent="0.2">
      <c r="A2" s="179">
        <v>1</v>
      </c>
      <c r="B2" s="180" t="s">
        <v>252</v>
      </c>
      <c r="C2" s="181"/>
      <c r="D2" s="181"/>
      <c r="E2" s="181"/>
      <c r="F2" s="181"/>
      <c r="G2" s="181"/>
      <c r="H2" s="181"/>
      <c r="I2" s="181"/>
      <c r="J2" s="182"/>
      <c r="K2" s="7"/>
      <c r="L2" s="7"/>
      <c r="M2" s="7"/>
      <c r="N2" s="7"/>
      <c r="O2" s="7"/>
      <c r="P2" s="7"/>
      <c r="Q2" s="7"/>
      <c r="R2" s="7"/>
      <c r="S2" s="197">
        <v>1</v>
      </c>
      <c r="T2" s="198" t="s">
        <v>253</v>
      </c>
      <c r="U2" s="199"/>
      <c r="V2" s="199"/>
      <c r="W2" s="200"/>
      <c r="X2" s="200" t="s">
        <v>254</v>
      </c>
      <c r="Y2" s="200" t="s">
        <v>255</v>
      </c>
      <c r="Z2" s="200"/>
      <c r="AA2" s="7"/>
      <c r="AB2" s="439"/>
    </row>
    <row r="3" spans="1:28" ht="15" customHeight="1" x14ac:dyDescent="0.2">
      <c r="A3" s="179">
        <f>+A2+1</f>
        <v>2</v>
      </c>
      <c r="B3" s="183"/>
      <c r="C3" s="184"/>
      <c r="D3" s="184"/>
      <c r="E3" s="472" t="s">
        <v>256</v>
      </c>
      <c r="F3" s="473"/>
      <c r="G3" s="474" t="s">
        <v>257</v>
      </c>
      <c r="H3" s="475"/>
      <c r="I3" s="472" t="s">
        <v>199</v>
      </c>
      <c r="J3" s="473"/>
      <c r="K3" s="7"/>
      <c r="L3" s="225"/>
      <c r="M3" s="225"/>
      <c r="N3" s="225"/>
      <c r="O3" s="226" t="s">
        <v>256</v>
      </c>
      <c r="P3" s="226"/>
      <c r="Q3" s="226" t="s">
        <v>257</v>
      </c>
      <c r="R3" s="7"/>
      <c r="S3" s="197">
        <f>+S2+1</f>
        <v>2</v>
      </c>
      <c r="T3" s="199"/>
      <c r="U3" s="199"/>
      <c r="V3" s="199"/>
      <c r="W3" s="200" t="s">
        <v>176</v>
      </c>
      <c r="X3" s="200" t="s">
        <v>258</v>
      </c>
      <c r="Y3" s="200" t="s">
        <v>259</v>
      </c>
      <c r="Z3" s="200" t="s">
        <v>67</v>
      </c>
      <c r="AA3" s="7"/>
      <c r="AB3" s="439"/>
    </row>
    <row r="4" spans="1:28" ht="15" customHeight="1" x14ac:dyDescent="0.2">
      <c r="A4" s="179">
        <f t="shared" ref="A4:A25" si="0">+A3+1</f>
        <v>3</v>
      </c>
      <c r="B4" s="185"/>
      <c r="C4" s="184"/>
      <c r="D4" s="184"/>
      <c r="E4" s="134" t="s">
        <v>81</v>
      </c>
      <c r="F4" s="134" t="s">
        <v>83</v>
      </c>
      <c r="G4" s="134" t="s">
        <v>81</v>
      </c>
      <c r="H4" s="134" t="s">
        <v>83</v>
      </c>
      <c r="I4" s="134" t="s">
        <v>81</v>
      </c>
      <c r="J4" s="134" t="s">
        <v>83</v>
      </c>
      <c r="K4" s="7"/>
      <c r="L4" s="225"/>
      <c r="M4" s="225"/>
      <c r="N4" s="225"/>
      <c r="O4" s="226" t="s">
        <v>25</v>
      </c>
      <c r="P4" s="226"/>
      <c r="Q4" s="226" t="s">
        <v>25</v>
      </c>
      <c r="R4" s="7"/>
      <c r="S4" s="197">
        <f t="shared" ref="S4:S18" si="1">+S3+1</f>
        <v>3</v>
      </c>
      <c r="T4" s="201" t="s">
        <v>260</v>
      </c>
      <c r="U4" s="168"/>
      <c r="V4" s="168"/>
      <c r="W4" s="202">
        <v>800000</v>
      </c>
      <c r="X4" s="202">
        <v>1200000</v>
      </c>
      <c r="Y4" s="202">
        <v>0</v>
      </c>
      <c r="Z4" s="202">
        <f>+O5</f>
        <v>2000000</v>
      </c>
      <c r="AA4" s="449">
        <f t="shared" ref="AA4:AA9" si="2">+W4+X4+Y4-Z4</f>
        <v>0</v>
      </c>
      <c r="AB4" s="439"/>
    </row>
    <row r="5" spans="1:28" ht="15" customHeight="1" x14ac:dyDescent="0.2">
      <c r="A5" s="179">
        <f t="shared" si="0"/>
        <v>4</v>
      </c>
      <c r="B5" s="185"/>
      <c r="C5" s="184" t="s">
        <v>49</v>
      </c>
      <c r="D5" s="184"/>
      <c r="E5" s="187">
        <v>500000</v>
      </c>
      <c r="F5" s="187">
        <v>1000000</v>
      </c>
      <c r="G5" s="187">
        <v>500000</v>
      </c>
      <c r="H5" s="187">
        <v>1000000</v>
      </c>
      <c r="I5" s="187">
        <v>500000</v>
      </c>
      <c r="J5" s="188">
        <v>1000000</v>
      </c>
      <c r="K5" s="7"/>
      <c r="L5" s="193" t="s">
        <v>261</v>
      </c>
      <c r="M5" s="168"/>
      <c r="N5" s="168"/>
      <c r="O5" s="194">
        <v>2000000</v>
      </c>
      <c r="P5" s="194"/>
      <c r="Q5" s="194">
        <v>3000000</v>
      </c>
      <c r="R5" s="7"/>
      <c r="S5" s="197">
        <f t="shared" si="1"/>
        <v>4</v>
      </c>
      <c r="T5" s="203" t="s">
        <v>197</v>
      </c>
      <c r="U5" s="168"/>
      <c r="V5" s="168"/>
      <c r="W5" s="190">
        <v>0</v>
      </c>
      <c r="X5" s="190">
        <v>1000000</v>
      </c>
      <c r="Y5" s="190">
        <v>0</v>
      </c>
      <c r="Z5" s="204">
        <f>+W5+X5</f>
        <v>1000000</v>
      </c>
      <c r="AA5" s="449">
        <f t="shared" si="2"/>
        <v>0</v>
      </c>
      <c r="AB5" s="439"/>
    </row>
    <row r="6" spans="1:28" ht="15" customHeight="1" x14ac:dyDescent="0.2">
      <c r="A6" s="179">
        <f t="shared" si="0"/>
        <v>5</v>
      </c>
      <c r="B6" s="185"/>
      <c r="C6" s="184" t="s">
        <v>50</v>
      </c>
      <c r="D6" s="184"/>
      <c r="E6" s="190">
        <v>0</v>
      </c>
      <c r="F6" s="190">
        <f>+F5*10%*3</f>
        <v>300000</v>
      </c>
      <c r="G6" s="190">
        <v>0</v>
      </c>
      <c r="H6" s="190">
        <f>+H5*10%*4</f>
        <v>400000</v>
      </c>
      <c r="I6" s="190">
        <v>0</v>
      </c>
      <c r="J6" s="191">
        <f>+J5*10%*5</f>
        <v>500000</v>
      </c>
      <c r="K6" s="7"/>
      <c r="L6" s="168" t="s">
        <v>262</v>
      </c>
      <c r="M6" s="168"/>
      <c r="N6" s="168"/>
      <c r="O6" s="195">
        <f>+F24</f>
        <v>150000</v>
      </c>
      <c r="P6" s="195"/>
      <c r="Q6" s="195">
        <f>+H24+H23</f>
        <v>200000</v>
      </c>
      <c r="R6" s="7"/>
      <c r="S6" s="197">
        <f t="shared" si="1"/>
        <v>5</v>
      </c>
      <c r="T6" s="193" t="s">
        <v>263</v>
      </c>
      <c r="U6" s="168"/>
      <c r="V6" s="168"/>
      <c r="W6" s="205">
        <f>SUM(W4:W5)</f>
        <v>800000</v>
      </c>
      <c r="X6" s="205">
        <f>SUM(X4:X5)</f>
        <v>2200000</v>
      </c>
      <c r="Y6" s="205">
        <f>SUM(Y4:Y5)</f>
        <v>0</v>
      </c>
      <c r="Z6" s="205">
        <f>SUM(Z4:Z5)</f>
        <v>3000000</v>
      </c>
      <c r="AA6" s="449">
        <f t="shared" si="2"/>
        <v>0</v>
      </c>
      <c r="AB6" s="439"/>
    </row>
    <row r="7" spans="1:28" ht="15" customHeight="1" x14ac:dyDescent="0.2">
      <c r="A7" s="179">
        <f t="shared" si="0"/>
        <v>6</v>
      </c>
      <c r="B7" s="185"/>
      <c r="C7" s="184"/>
      <c r="D7" s="184"/>
      <c r="E7" s="234">
        <f t="shared" ref="E7:I7" si="3">+E5-E6</f>
        <v>500000</v>
      </c>
      <c r="F7" s="234">
        <f t="shared" si="3"/>
        <v>700000</v>
      </c>
      <c r="G7" s="234">
        <f t="shared" si="3"/>
        <v>500000</v>
      </c>
      <c r="H7" s="234">
        <f t="shared" si="3"/>
        <v>600000</v>
      </c>
      <c r="I7" s="234">
        <f t="shared" si="3"/>
        <v>500000</v>
      </c>
      <c r="J7" s="235">
        <f>+J5-J6</f>
        <v>500000</v>
      </c>
      <c r="K7" s="7"/>
      <c r="L7" s="168" t="s">
        <v>264</v>
      </c>
      <c r="M7" s="168"/>
      <c r="N7" s="168"/>
      <c r="O7" s="196">
        <f>+F25</f>
        <v>700000</v>
      </c>
      <c r="P7" s="196"/>
      <c r="Q7" s="196">
        <f>+H25</f>
        <v>700000</v>
      </c>
      <c r="R7" s="7"/>
      <c r="S7" s="197">
        <f t="shared" si="1"/>
        <v>6</v>
      </c>
      <c r="T7" s="203" t="s">
        <v>197</v>
      </c>
      <c r="U7" s="168"/>
      <c r="V7" s="168"/>
      <c r="W7" s="187">
        <v>0</v>
      </c>
      <c r="X7" s="187">
        <v>1500000</v>
      </c>
      <c r="Y7" s="187">
        <v>0</v>
      </c>
      <c r="Z7" s="206">
        <f>SUM(W7:Y7)</f>
        <v>1500000</v>
      </c>
      <c r="AA7" s="449">
        <f t="shared" si="2"/>
        <v>0</v>
      </c>
      <c r="AB7" s="439"/>
    </row>
    <row r="8" spans="1:28" ht="15" customHeight="1" x14ac:dyDescent="0.2">
      <c r="A8" s="179">
        <f t="shared" si="0"/>
        <v>7</v>
      </c>
      <c r="B8" s="185"/>
      <c r="C8" s="184"/>
      <c r="D8" s="184"/>
      <c r="E8" s="187"/>
      <c r="F8" s="187"/>
      <c r="G8" s="187"/>
      <c r="H8" s="187"/>
      <c r="I8" s="187"/>
      <c r="J8" s="188"/>
      <c r="K8" s="7"/>
      <c r="L8" s="227" t="s">
        <v>265</v>
      </c>
      <c r="M8" s="225"/>
      <c r="N8" s="225"/>
      <c r="O8" s="228">
        <f>SUM(O5:O7)</f>
        <v>2850000</v>
      </c>
      <c r="P8" s="229"/>
      <c r="Q8" s="228">
        <f>SUM(Q5:Q7)</f>
        <v>3900000</v>
      </c>
      <c r="R8" s="7"/>
      <c r="S8" s="197">
        <f t="shared" si="1"/>
        <v>7</v>
      </c>
      <c r="T8" s="203" t="s">
        <v>266</v>
      </c>
      <c r="U8" s="168"/>
      <c r="V8" s="168"/>
      <c r="W8" s="190">
        <v>0</v>
      </c>
      <c r="X8" s="190">
        <f>+J24</f>
        <v>200000</v>
      </c>
      <c r="Y8" s="190">
        <f>+J25</f>
        <v>700000</v>
      </c>
      <c r="Z8" s="204">
        <f>SUM(W8:Y8)</f>
        <v>900000</v>
      </c>
      <c r="AA8" s="449">
        <f t="shared" si="2"/>
        <v>0</v>
      </c>
      <c r="AB8" s="439"/>
    </row>
    <row r="9" spans="1:28" ht="15" customHeight="1" x14ac:dyDescent="0.2">
      <c r="A9" s="179">
        <f t="shared" si="0"/>
        <v>8</v>
      </c>
      <c r="B9" s="183" t="s">
        <v>267</v>
      </c>
      <c r="C9" s="184"/>
      <c r="D9" s="184"/>
      <c r="E9" s="187"/>
      <c r="F9" s="187"/>
      <c r="G9" s="187"/>
      <c r="H9" s="187"/>
      <c r="I9" s="187"/>
      <c r="J9" s="188"/>
      <c r="K9" s="7"/>
      <c r="L9" s="7"/>
      <c r="M9" s="7"/>
      <c r="N9" s="7"/>
      <c r="O9" s="7"/>
      <c r="P9" s="7"/>
      <c r="Q9" s="7"/>
      <c r="R9" s="7"/>
      <c r="S9" s="197">
        <f t="shared" si="1"/>
        <v>8</v>
      </c>
      <c r="T9" s="193" t="s">
        <v>268</v>
      </c>
      <c r="W9" s="205">
        <f>SUM(W6:W8)</f>
        <v>800000</v>
      </c>
      <c r="X9" s="205">
        <f t="shared" ref="X9:Z9" si="4">SUM(X6:X8)</f>
        <v>3900000</v>
      </c>
      <c r="Y9" s="205">
        <f t="shared" si="4"/>
        <v>700000</v>
      </c>
      <c r="Z9" s="205">
        <f t="shared" si="4"/>
        <v>5400000</v>
      </c>
      <c r="AA9" s="449">
        <f t="shared" si="2"/>
        <v>0</v>
      </c>
      <c r="AB9" s="439"/>
    </row>
    <row r="10" spans="1:28" ht="15" customHeight="1" x14ac:dyDescent="0.2">
      <c r="A10" s="179">
        <f t="shared" si="0"/>
        <v>9</v>
      </c>
      <c r="B10" s="185"/>
      <c r="C10" s="184"/>
      <c r="D10" s="184"/>
      <c r="E10" s="468" t="s">
        <v>256</v>
      </c>
      <c r="F10" s="469"/>
      <c r="G10" s="470" t="s">
        <v>257</v>
      </c>
      <c r="H10" s="471"/>
      <c r="I10" s="468" t="s">
        <v>199</v>
      </c>
      <c r="J10" s="469"/>
      <c r="K10" s="7"/>
      <c r="L10" s="7"/>
      <c r="M10" s="7"/>
      <c r="N10" s="7"/>
      <c r="O10" s="7"/>
      <c r="P10" s="7"/>
      <c r="Q10" s="7"/>
      <c r="R10" s="7"/>
      <c r="S10" s="197">
        <f t="shared" si="1"/>
        <v>9</v>
      </c>
      <c r="T10" s="192"/>
      <c r="U10" s="192"/>
      <c r="V10" s="192"/>
      <c r="W10" s="192"/>
      <c r="X10" s="192"/>
      <c r="Y10" s="192"/>
      <c r="Z10" s="192"/>
      <c r="AA10" s="7"/>
      <c r="AB10" s="439"/>
    </row>
    <row r="11" spans="1:28" ht="15" customHeight="1" x14ac:dyDescent="0.2">
      <c r="A11" s="179">
        <f t="shared" si="0"/>
        <v>10</v>
      </c>
      <c r="B11" s="185"/>
      <c r="C11" s="184"/>
      <c r="D11" s="184"/>
      <c r="E11" s="236" t="s">
        <v>81</v>
      </c>
      <c r="F11" s="237" t="s">
        <v>83</v>
      </c>
      <c r="G11" s="238" t="s">
        <v>81</v>
      </c>
      <c r="H11" s="237" t="s">
        <v>83</v>
      </c>
      <c r="I11" s="237" t="s">
        <v>81</v>
      </c>
      <c r="J11" s="237" t="s">
        <v>83</v>
      </c>
      <c r="K11" s="7"/>
      <c r="L11" s="7"/>
      <c r="M11" s="7"/>
      <c r="N11" s="7"/>
      <c r="O11" s="7"/>
      <c r="P11" s="7"/>
      <c r="Q11" s="7"/>
      <c r="R11" s="7"/>
      <c r="S11" s="177"/>
      <c r="T11" s="197" t="s">
        <v>284</v>
      </c>
      <c r="U11" s="197" t="s">
        <v>285</v>
      </c>
      <c r="V11" s="197" t="s">
        <v>286</v>
      </c>
      <c r="W11" s="197" t="s">
        <v>287</v>
      </c>
      <c r="X11" s="197" t="s">
        <v>288</v>
      </c>
      <c r="Y11" s="197" t="s">
        <v>289</v>
      </c>
      <c r="Z11" s="197" t="s">
        <v>290</v>
      </c>
      <c r="AA11" s="7"/>
      <c r="AB11" s="439"/>
    </row>
    <row r="12" spans="1:28" ht="15" customHeight="1" x14ac:dyDescent="0.2">
      <c r="A12" s="179">
        <f t="shared" si="0"/>
        <v>11</v>
      </c>
      <c r="B12" s="185"/>
      <c r="C12" s="184" t="s">
        <v>269</v>
      </c>
      <c r="D12" s="184"/>
      <c r="E12" s="187">
        <v>1200000</v>
      </c>
      <c r="F12" s="187">
        <v>1000000</v>
      </c>
      <c r="G12" s="187">
        <v>1200000</v>
      </c>
      <c r="H12" s="187">
        <v>1000000</v>
      </c>
      <c r="I12" s="187">
        <v>1200000</v>
      </c>
      <c r="J12" s="188">
        <v>1000000</v>
      </c>
      <c r="K12" s="7"/>
      <c r="L12" s="7"/>
      <c r="M12" s="7"/>
      <c r="N12" s="7"/>
      <c r="O12" s="7"/>
      <c r="P12" s="7"/>
      <c r="Q12" s="7"/>
      <c r="R12" s="7"/>
      <c r="S12" s="197">
        <f t="shared" si="1"/>
        <v>1</v>
      </c>
      <c r="T12" s="198" t="s">
        <v>270</v>
      </c>
      <c r="U12" s="199"/>
      <c r="V12" s="199"/>
      <c r="W12" s="200"/>
      <c r="X12" s="200" t="s">
        <v>254</v>
      </c>
      <c r="Y12" s="200" t="s">
        <v>255</v>
      </c>
      <c r="Z12" s="200"/>
      <c r="AA12" s="7"/>
      <c r="AB12" s="439"/>
    </row>
    <row r="13" spans="1:28" ht="15" customHeight="1" x14ac:dyDescent="0.2">
      <c r="A13" s="179">
        <f t="shared" si="0"/>
        <v>12</v>
      </c>
      <c r="B13" s="185"/>
      <c r="C13" s="184" t="s">
        <v>50</v>
      </c>
      <c r="D13" s="184"/>
      <c r="E13" s="190">
        <v>0</v>
      </c>
      <c r="F13" s="190">
        <f>+F12*5%*3</f>
        <v>150000</v>
      </c>
      <c r="G13" s="190">
        <v>0</v>
      </c>
      <c r="H13" s="190">
        <f>+H12*5%*4</f>
        <v>200000</v>
      </c>
      <c r="I13" s="190">
        <v>0</v>
      </c>
      <c r="J13" s="191">
        <f>+J12*5%*5</f>
        <v>250000</v>
      </c>
      <c r="K13" s="7"/>
      <c r="L13" s="7"/>
      <c r="M13" s="7"/>
      <c r="N13" s="7"/>
      <c r="O13" s="7"/>
      <c r="P13" s="7"/>
      <c r="Q13" s="7"/>
      <c r="R13" s="7"/>
      <c r="S13" s="197">
        <f t="shared" si="1"/>
        <v>2</v>
      </c>
      <c r="T13" s="199"/>
      <c r="U13" s="199"/>
      <c r="V13" s="199"/>
      <c r="W13" s="200" t="s">
        <v>176</v>
      </c>
      <c r="X13" s="200" t="s">
        <v>258</v>
      </c>
      <c r="Y13" s="200" t="s">
        <v>259</v>
      </c>
      <c r="Z13" s="200" t="s">
        <v>67</v>
      </c>
      <c r="AA13" s="7"/>
      <c r="AB13" s="439"/>
    </row>
    <row r="14" spans="1:28" ht="15" customHeight="1" x14ac:dyDescent="0.2">
      <c r="A14" s="179">
        <f t="shared" si="0"/>
        <v>13</v>
      </c>
      <c r="B14" s="185"/>
      <c r="C14" s="184"/>
      <c r="D14" s="184"/>
      <c r="E14" s="234">
        <f t="shared" ref="E14:J14" si="5">+E12-E13</f>
        <v>1200000</v>
      </c>
      <c r="F14" s="234">
        <f t="shared" si="5"/>
        <v>850000</v>
      </c>
      <c r="G14" s="234">
        <f t="shared" si="5"/>
        <v>1200000</v>
      </c>
      <c r="H14" s="234">
        <f t="shared" si="5"/>
        <v>800000</v>
      </c>
      <c r="I14" s="234">
        <f t="shared" si="5"/>
        <v>1200000</v>
      </c>
      <c r="J14" s="235">
        <f t="shared" si="5"/>
        <v>750000</v>
      </c>
      <c r="K14" s="7"/>
      <c r="L14" s="7"/>
      <c r="M14" s="7"/>
      <c r="N14" s="7"/>
      <c r="O14" s="7"/>
      <c r="P14" s="7"/>
      <c r="Q14" s="7"/>
      <c r="R14" s="7"/>
      <c r="S14" s="197">
        <f t="shared" si="1"/>
        <v>3</v>
      </c>
      <c r="T14" s="201" t="s">
        <v>260</v>
      </c>
      <c r="U14" s="168"/>
      <c r="V14" s="168"/>
      <c r="W14" s="202">
        <f>+W4</f>
        <v>800000</v>
      </c>
      <c r="X14" s="202">
        <f>+X4+H24</f>
        <v>1350000</v>
      </c>
      <c r="Y14" s="202">
        <f>+O7</f>
        <v>700000</v>
      </c>
      <c r="Z14" s="202">
        <f>+W14+X14+Y14</f>
        <v>2850000</v>
      </c>
      <c r="AA14" s="449">
        <f t="shared" ref="AA14:AA18" si="6">+W14+X14+Y14-Z14</f>
        <v>0</v>
      </c>
      <c r="AB14" s="439"/>
    </row>
    <row r="15" spans="1:28" ht="15" customHeight="1" x14ac:dyDescent="0.2">
      <c r="A15" s="179">
        <f t="shared" si="0"/>
        <v>14</v>
      </c>
      <c r="B15" s="185"/>
      <c r="C15" s="184"/>
      <c r="D15" s="184"/>
      <c r="E15" s="190"/>
      <c r="F15" s="190"/>
      <c r="G15" s="190"/>
      <c r="H15" s="190"/>
      <c r="I15" s="190"/>
      <c r="J15" s="191"/>
      <c r="K15" s="7"/>
      <c r="L15" s="7"/>
      <c r="M15" s="7"/>
      <c r="N15" s="7"/>
      <c r="O15" s="7"/>
      <c r="P15" s="7"/>
      <c r="Q15" s="7"/>
      <c r="R15" s="7"/>
      <c r="S15" s="197">
        <f t="shared" si="1"/>
        <v>4</v>
      </c>
      <c r="T15" s="203" t="s">
        <v>197</v>
      </c>
      <c r="U15" s="168"/>
      <c r="V15" s="168"/>
      <c r="W15" s="190">
        <v>0</v>
      </c>
      <c r="X15" s="190">
        <f>+X5+H23</f>
        <v>1050000</v>
      </c>
      <c r="Y15" s="190">
        <v>0</v>
      </c>
      <c r="Z15" s="204">
        <f>+W15+X15</f>
        <v>1050000</v>
      </c>
      <c r="AA15" s="449">
        <f t="shared" si="6"/>
        <v>0</v>
      </c>
      <c r="AB15" s="439"/>
    </row>
    <row r="16" spans="1:28" ht="15" customHeight="1" x14ac:dyDescent="0.2">
      <c r="A16" s="179">
        <f t="shared" si="0"/>
        <v>15</v>
      </c>
      <c r="B16" s="183" t="s">
        <v>231</v>
      </c>
      <c r="C16" s="184"/>
      <c r="D16" s="184"/>
      <c r="E16" s="234">
        <f t="shared" ref="E16:J16" si="7">+E14-E7</f>
        <v>700000</v>
      </c>
      <c r="F16" s="234">
        <f t="shared" si="7"/>
        <v>150000</v>
      </c>
      <c r="G16" s="234">
        <f t="shared" si="7"/>
        <v>700000</v>
      </c>
      <c r="H16" s="234">
        <f t="shared" si="7"/>
        <v>200000</v>
      </c>
      <c r="I16" s="234">
        <f t="shared" si="7"/>
        <v>700000</v>
      </c>
      <c r="J16" s="235">
        <f t="shared" si="7"/>
        <v>250000</v>
      </c>
      <c r="K16" s="7"/>
      <c r="L16" s="7"/>
      <c r="M16" s="7"/>
      <c r="N16" s="7"/>
      <c r="O16" s="7"/>
      <c r="P16" s="7"/>
      <c r="Q16" s="7"/>
      <c r="R16" s="7"/>
      <c r="S16" s="197">
        <f t="shared" si="1"/>
        <v>5</v>
      </c>
      <c r="T16" s="193" t="s">
        <v>263</v>
      </c>
      <c r="U16" s="168"/>
      <c r="V16" s="168"/>
      <c r="W16" s="205">
        <f>SUM(W14:W15)</f>
        <v>800000</v>
      </c>
      <c r="X16" s="205">
        <f>SUM(X14:X15)</f>
        <v>2400000</v>
      </c>
      <c r="Y16" s="205">
        <f>SUM(Y14:Y15)</f>
        <v>700000</v>
      </c>
      <c r="Z16" s="205">
        <f>SUM(Z14:Z15)</f>
        <v>3900000</v>
      </c>
      <c r="AA16" s="449">
        <f t="shared" si="6"/>
        <v>0</v>
      </c>
      <c r="AB16" s="439"/>
    </row>
    <row r="17" spans="1:28" ht="15" customHeight="1" x14ac:dyDescent="0.2">
      <c r="A17" s="179">
        <f t="shared" si="0"/>
        <v>16</v>
      </c>
      <c r="B17" s="185"/>
      <c r="C17" s="184"/>
      <c r="D17" s="184"/>
      <c r="E17" s="187"/>
      <c r="F17" s="187"/>
      <c r="G17" s="187"/>
      <c r="H17" s="187"/>
      <c r="I17" s="187"/>
      <c r="J17" s="188"/>
      <c r="K17" s="7"/>
      <c r="L17" s="7"/>
      <c r="M17" s="7"/>
      <c r="N17" s="7"/>
      <c r="O17" s="7"/>
      <c r="P17" s="7"/>
      <c r="Q17" s="7"/>
      <c r="R17" s="7"/>
      <c r="S17" s="197">
        <f t="shared" si="1"/>
        <v>6</v>
      </c>
      <c r="T17" s="203" t="s">
        <v>197</v>
      </c>
      <c r="U17" s="168"/>
      <c r="V17" s="168"/>
      <c r="W17" s="207">
        <v>0</v>
      </c>
      <c r="X17" s="207">
        <v>1500000</v>
      </c>
      <c r="Y17" s="207">
        <v>0</v>
      </c>
      <c r="Z17" s="208">
        <f>SUM(W17:Y17)</f>
        <v>1500000</v>
      </c>
      <c r="AA17" s="449">
        <f t="shared" si="6"/>
        <v>0</v>
      </c>
      <c r="AB17" s="439"/>
    </row>
    <row r="18" spans="1:28" ht="15" customHeight="1" x14ac:dyDescent="0.2">
      <c r="A18" s="179">
        <f t="shared" si="0"/>
        <v>17</v>
      </c>
      <c r="B18" s="185"/>
      <c r="C18" s="184"/>
      <c r="D18" s="184"/>
      <c r="E18" s="187"/>
      <c r="F18" s="187"/>
      <c r="G18" s="187"/>
      <c r="H18" s="187"/>
      <c r="I18" s="187"/>
      <c r="J18" s="188"/>
      <c r="K18" s="7"/>
      <c r="L18" s="7"/>
      <c r="M18" s="7"/>
      <c r="N18" s="7"/>
      <c r="O18" s="7"/>
      <c r="P18" s="7"/>
      <c r="Q18" s="7"/>
      <c r="R18" s="7"/>
      <c r="S18" s="197">
        <f t="shared" si="1"/>
        <v>7</v>
      </c>
      <c r="T18" s="193" t="s">
        <v>268</v>
      </c>
      <c r="W18" s="205">
        <f>+W16+W17</f>
        <v>800000</v>
      </c>
      <c r="X18" s="205">
        <f t="shared" ref="X18:Z18" si="8">+X16+X17</f>
        <v>3900000</v>
      </c>
      <c r="Y18" s="205">
        <f t="shared" si="8"/>
        <v>700000</v>
      </c>
      <c r="Z18" s="205">
        <f t="shared" si="8"/>
        <v>5400000</v>
      </c>
      <c r="AA18" s="449">
        <f t="shared" si="6"/>
        <v>0</v>
      </c>
      <c r="AB18" s="439"/>
    </row>
    <row r="19" spans="1:28" ht="15" customHeight="1" x14ac:dyDescent="0.2">
      <c r="A19" s="179">
        <f t="shared" si="0"/>
        <v>18</v>
      </c>
      <c r="B19" s="183" t="s">
        <v>271</v>
      </c>
      <c r="C19" s="184"/>
      <c r="D19" s="184"/>
      <c r="E19" s="468" t="s">
        <v>256</v>
      </c>
      <c r="F19" s="469"/>
      <c r="G19" s="470" t="s">
        <v>257</v>
      </c>
      <c r="H19" s="471"/>
      <c r="I19" s="468" t="s">
        <v>199</v>
      </c>
      <c r="J19" s="469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439"/>
    </row>
    <row r="20" spans="1:28" ht="15" customHeight="1" x14ac:dyDescent="0.2">
      <c r="A20" s="179">
        <f t="shared" si="0"/>
        <v>19</v>
      </c>
      <c r="B20" s="183"/>
      <c r="C20" s="184"/>
      <c r="D20" s="184"/>
      <c r="E20" s="239" t="s">
        <v>23</v>
      </c>
      <c r="F20" s="239" t="s">
        <v>24</v>
      </c>
      <c r="G20" s="240" t="s">
        <v>23</v>
      </c>
      <c r="H20" s="240" t="s">
        <v>24</v>
      </c>
      <c r="I20" s="239" t="s">
        <v>23</v>
      </c>
      <c r="J20" s="239" t="s">
        <v>24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439"/>
    </row>
    <row r="21" spans="1:28" ht="15" customHeight="1" x14ac:dyDescent="0.2">
      <c r="A21" s="179">
        <f t="shared" si="0"/>
        <v>20</v>
      </c>
      <c r="B21" s="185"/>
      <c r="C21" s="184" t="s">
        <v>272</v>
      </c>
      <c r="D21" s="184"/>
      <c r="E21" s="187">
        <f>+E16</f>
        <v>700000</v>
      </c>
      <c r="F21" s="187"/>
      <c r="G21" s="187">
        <f>+G16</f>
        <v>700000</v>
      </c>
      <c r="H21" s="187"/>
      <c r="I21" s="187">
        <f>+I16</f>
        <v>700000</v>
      </c>
      <c r="J21" s="188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439"/>
    </row>
    <row r="22" spans="1:28" ht="15" customHeight="1" x14ac:dyDescent="0.2">
      <c r="A22" s="179">
        <f t="shared" si="0"/>
        <v>21</v>
      </c>
      <c r="B22" s="185"/>
      <c r="C22" s="184" t="s">
        <v>50</v>
      </c>
      <c r="D22" s="184"/>
      <c r="E22" s="187">
        <f>+F16</f>
        <v>150000</v>
      </c>
      <c r="F22" s="187"/>
      <c r="G22" s="187">
        <f>+H16</f>
        <v>200000</v>
      </c>
      <c r="H22" s="187"/>
      <c r="I22" s="187">
        <f>+J16</f>
        <v>250000</v>
      </c>
      <c r="J22" s="188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439"/>
    </row>
    <row r="23" spans="1:28" ht="15" customHeight="1" x14ac:dyDescent="0.2">
      <c r="A23" s="179">
        <f t="shared" si="0"/>
        <v>22</v>
      </c>
      <c r="B23" s="185"/>
      <c r="C23" s="184" t="s">
        <v>273</v>
      </c>
      <c r="D23" s="184"/>
      <c r="E23" s="187">
        <v>0</v>
      </c>
      <c r="F23" s="187"/>
      <c r="G23" s="187"/>
      <c r="H23" s="187">
        <f>(H6-F6)-(H13-F13)</f>
        <v>50000</v>
      </c>
      <c r="I23" s="187"/>
      <c r="J23" s="188">
        <f>(J6-H6)-(J13-H13)</f>
        <v>50000</v>
      </c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439"/>
    </row>
    <row r="24" spans="1:28" ht="15" customHeight="1" x14ac:dyDescent="0.2">
      <c r="A24" s="179">
        <f t="shared" si="0"/>
        <v>23</v>
      </c>
      <c r="B24" s="185"/>
      <c r="C24" s="184" t="s">
        <v>179</v>
      </c>
      <c r="D24" s="184"/>
      <c r="E24" s="187"/>
      <c r="F24" s="187">
        <f>+E22</f>
        <v>150000</v>
      </c>
      <c r="G24" s="187"/>
      <c r="H24" s="187">
        <f>+F24</f>
        <v>150000</v>
      </c>
      <c r="I24" s="187"/>
      <c r="J24" s="188">
        <f>+H23+H24</f>
        <v>200000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439"/>
    </row>
    <row r="25" spans="1:28" ht="15" customHeight="1" x14ac:dyDescent="0.2">
      <c r="A25" s="179">
        <f t="shared" si="0"/>
        <v>24</v>
      </c>
      <c r="B25" s="189"/>
      <c r="C25" s="186" t="s">
        <v>274</v>
      </c>
      <c r="D25" s="186"/>
      <c r="E25" s="190"/>
      <c r="F25" s="190">
        <f>+E21</f>
        <v>700000</v>
      </c>
      <c r="G25" s="190"/>
      <c r="H25" s="190">
        <f>+G21</f>
        <v>700000</v>
      </c>
      <c r="I25" s="190"/>
      <c r="J25" s="191">
        <f>+I21</f>
        <v>700000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439"/>
    </row>
    <row r="26" spans="1:28" ht="15" customHeight="1" x14ac:dyDescent="0.2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439"/>
    </row>
    <row r="27" spans="1:28" ht="15" customHeight="1" x14ac:dyDescent="0.2">
      <c r="A27" s="439"/>
      <c r="B27" s="439"/>
      <c r="C27" s="439"/>
      <c r="D27" s="439"/>
      <c r="E27" s="439"/>
      <c r="F27" s="439"/>
      <c r="G27" s="439"/>
      <c r="H27" s="439"/>
      <c r="I27" s="439"/>
      <c r="J27" s="439"/>
      <c r="K27" s="439"/>
      <c r="L27" s="439"/>
      <c r="M27" s="439"/>
      <c r="N27" s="439"/>
      <c r="O27" s="439"/>
      <c r="P27" s="439"/>
      <c r="Q27" s="439"/>
      <c r="R27" s="439"/>
      <c r="S27" s="372"/>
      <c r="T27" s="372"/>
      <c r="U27" s="372"/>
      <c r="V27" s="372"/>
      <c r="W27" s="372"/>
      <c r="X27" s="372"/>
      <c r="Y27" s="372"/>
      <c r="Z27" s="372"/>
      <c r="AA27" s="439"/>
      <c r="AB27" s="439"/>
    </row>
  </sheetData>
  <mergeCells count="9">
    <mergeCell ref="E19:F19"/>
    <mergeCell ref="G19:H19"/>
    <mergeCell ref="I19:J19"/>
    <mergeCell ref="E3:F3"/>
    <mergeCell ref="G3:H3"/>
    <mergeCell ref="I3:J3"/>
    <mergeCell ref="E10:F10"/>
    <mergeCell ref="G10:H10"/>
    <mergeCell ref="I10:J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157"/>
  <sheetViews>
    <sheetView zoomScale="90" zoomScaleNormal="90" workbookViewId="0">
      <selection sqref="A1:XFD2"/>
    </sheetView>
  </sheetViews>
  <sheetFormatPr baseColWidth="10" defaultColWidth="0" defaultRowHeight="15" customHeight="1" zeroHeight="1" x14ac:dyDescent="0.25"/>
  <cols>
    <col min="1" max="1" width="3.7109375" style="169" customWidth="1"/>
    <col min="2" max="2" width="37.7109375" style="268" customWidth="1"/>
    <col min="3" max="3" width="5.140625" style="169" customWidth="1"/>
    <col min="4" max="4" width="14.5703125" style="169" customWidth="1"/>
    <col min="5" max="5" width="11.5703125" style="169" customWidth="1"/>
    <col min="6" max="6" width="13.85546875" style="169" bestFit="1" customWidth="1"/>
    <col min="7" max="7" width="14.140625" style="169" customWidth="1"/>
    <col min="8" max="8" width="14.42578125" style="169" customWidth="1"/>
    <col min="9" max="9" width="11.28515625" style="169" bestFit="1" customWidth="1"/>
    <col min="10" max="10" width="5.5703125" style="169" bestFit="1" customWidth="1"/>
    <col min="11" max="11" width="13.5703125" style="169" bestFit="1" customWidth="1"/>
    <col min="12" max="12" width="11.42578125" style="169" customWidth="1"/>
    <col min="13" max="13" width="11.42578125" hidden="1" customWidth="1"/>
    <col min="14" max="14" width="4.140625" hidden="1" customWidth="1"/>
    <col min="15" max="15" width="3.85546875" hidden="1" customWidth="1"/>
    <col min="16" max="16" width="18.7109375" hidden="1" customWidth="1"/>
    <col min="17" max="18" width="11.42578125" hidden="1" customWidth="1"/>
    <col min="19" max="21" width="11.5703125" hidden="1" customWidth="1"/>
    <col min="22" max="22" width="3.7109375" hidden="1" customWidth="1"/>
    <col min="23" max="23" width="38.140625" hidden="1" customWidth="1"/>
    <col min="24" max="24" width="11.42578125" hidden="1" customWidth="1"/>
    <col min="25" max="25" width="4.5703125" hidden="1" customWidth="1"/>
    <col min="26" max="26" width="31.7109375" hidden="1" customWidth="1"/>
    <col min="27" max="28" width="11.42578125" hidden="1" customWidth="1"/>
    <col min="29" max="29" width="4.5703125" hidden="1" customWidth="1"/>
    <col min="30" max="30" width="30.7109375" hidden="1" customWidth="1"/>
    <col min="31" max="32" width="11.42578125" hidden="1" customWidth="1"/>
    <col min="33" max="33" width="4.140625" hidden="1" customWidth="1"/>
    <col min="34" max="34" width="42.85546875" hidden="1" customWidth="1"/>
    <col min="35" max="48" width="0" hidden="1" customWidth="1"/>
    <col min="49" max="16384" width="11.42578125" hidden="1"/>
  </cols>
  <sheetData>
    <row r="1" spans="1:48" s="454" customFormat="1" ht="15" customHeight="1" x14ac:dyDescent="0.25">
      <c r="A1" s="454" t="s">
        <v>366</v>
      </c>
    </row>
    <row r="2" spans="1:48" s="454" customFormat="1" ht="15" customHeight="1" x14ac:dyDescent="0.25"/>
    <row r="3" spans="1:48" s="216" customFormat="1" ht="14.25" x14ac:dyDescent="0.2">
      <c r="A3" s="373" t="s">
        <v>336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O3" s="217"/>
      <c r="V3" s="217"/>
      <c r="Y3" s="217"/>
      <c r="AC3" s="218"/>
      <c r="AG3" s="218"/>
      <c r="AJ3" s="5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</row>
    <row r="4" spans="1:48" ht="15" customHeight="1" x14ac:dyDescent="0.25">
      <c r="A4" s="373" t="s">
        <v>337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O4" s="57"/>
      <c r="V4" s="57"/>
      <c r="Y4" s="57"/>
      <c r="AC4" s="57"/>
      <c r="AG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</row>
    <row r="5" spans="1:48" ht="15" customHeight="1" x14ac:dyDescent="0.25">
      <c r="B5" s="169"/>
      <c r="O5" s="57"/>
      <c r="V5" s="57"/>
      <c r="Y5" s="57"/>
      <c r="AC5" s="57"/>
      <c r="AG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</row>
    <row r="6" spans="1:48" ht="15" customHeight="1" x14ac:dyDescent="0.25">
      <c r="A6" s="241"/>
      <c r="B6" s="242"/>
      <c r="C6" s="243"/>
      <c r="D6" s="243"/>
      <c r="E6" s="243" t="s">
        <v>0</v>
      </c>
      <c r="F6" s="244" t="s">
        <v>1</v>
      </c>
      <c r="O6" s="57"/>
      <c r="V6" s="57"/>
      <c r="Y6" s="57"/>
      <c r="AC6" s="57"/>
      <c r="AG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</row>
    <row r="7" spans="1:48" ht="15" customHeight="1" x14ac:dyDescent="0.25">
      <c r="A7" s="241"/>
      <c r="B7" s="242"/>
      <c r="C7" s="243" t="s">
        <v>128</v>
      </c>
      <c r="D7" s="243"/>
      <c r="E7" s="243" t="s">
        <v>25</v>
      </c>
      <c r="F7" s="244" t="s">
        <v>25</v>
      </c>
      <c r="O7" s="57"/>
      <c r="V7" s="57"/>
      <c r="Y7" s="57"/>
      <c r="AC7" s="57"/>
      <c r="AG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</row>
    <row r="8" spans="1:48" ht="15" customHeight="1" x14ac:dyDescent="0.25">
      <c r="A8" s="241"/>
      <c r="B8" s="245" t="s">
        <v>2</v>
      </c>
      <c r="C8" s="246"/>
      <c r="D8" s="247"/>
      <c r="E8" s="248"/>
      <c r="F8" s="248"/>
      <c r="O8" s="57"/>
      <c r="V8" s="57"/>
      <c r="Y8" s="57"/>
      <c r="AC8" s="57"/>
      <c r="AG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</row>
    <row r="9" spans="1:48" ht="15" customHeight="1" x14ac:dyDescent="0.25">
      <c r="A9" s="241"/>
      <c r="B9" s="249" t="s">
        <v>3</v>
      </c>
      <c r="C9" s="250">
        <v>6.2</v>
      </c>
      <c r="D9" s="247"/>
      <c r="E9" s="251">
        <v>13891000</v>
      </c>
      <c r="F9" s="251">
        <v>14586000</v>
      </c>
      <c r="O9" s="57"/>
      <c r="V9" s="57"/>
      <c r="Y9" s="57"/>
      <c r="AC9" s="57"/>
      <c r="AG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</row>
    <row r="10" spans="1:48" ht="15" customHeight="1" x14ac:dyDescent="0.25">
      <c r="A10" s="241"/>
      <c r="B10" s="249" t="s">
        <v>4</v>
      </c>
      <c r="C10" s="250">
        <v>6.3</v>
      </c>
      <c r="D10" s="247"/>
      <c r="E10" s="251">
        <f>+'Secc 6'!D57</f>
        <v>2000000</v>
      </c>
      <c r="F10" s="251">
        <f>+'Secc 6'!D59</f>
        <v>2400000</v>
      </c>
      <c r="O10" s="57"/>
      <c r="V10" s="57"/>
      <c r="Y10" s="57"/>
      <c r="AC10" s="57"/>
      <c r="AG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</row>
    <row r="11" spans="1:48" ht="15" customHeight="1" x14ac:dyDescent="0.25">
      <c r="A11" s="241"/>
      <c r="B11" s="249" t="s">
        <v>5</v>
      </c>
      <c r="C11" s="250">
        <v>6.4</v>
      </c>
      <c r="D11" s="247"/>
      <c r="E11" s="251">
        <v>700000</v>
      </c>
      <c r="F11" s="251">
        <v>600000</v>
      </c>
      <c r="O11" s="57"/>
      <c r="V11" s="57"/>
      <c r="Y11" s="57"/>
      <c r="AC11" s="57"/>
      <c r="AG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</row>
    <row r="12" spans="1:48" ht="15" customHeight="1" x14ac:dyDescent="0.25">
      <c r="A12" s="241"/>
      <c r="B12" s="252" t="s">
        <v>6</v>
      </c>
      <c r="C12" s="253"/>
      <c r="D12" s="254" t="s">
        <v>7</v>
      </c>
      <c r="E12" s="255">
        <f>SUM(E9:E11)</f>
        <v>16591000</v>
      </c>
      <c r="F12" s="255">
        <f>SUM(F9:F11)</f>
        <v>17586000</v>
      </c>
      <c r="O12" s="57"/>
      <c r="V12" s="57"/>
      <c r="Y12" s="57"/>
      <c r="Z12" s="57"/>
      <c r="AA12" s="57"/>
      <c r="AB12" s="57"/>
      <c r="AC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</row>
    <row r="13" spans="1:48" ht="15" customHeight="1" x14ac:dyDescent="0.25">
      <c r="A13" s="241"/>
      <c r="B13" s="252" t="s">
        <v>8</v>
      </c>
      <c r="C13" s="253"/>
      <c r="D13" s="256" t="s">
        <v>30</v>
      </c>
      <c r="E13" s="255">
        <f>E12*30%</f>
        <v>4977300</v>
      </c>
      <c r="F13" s="255">
        <f>F12*30%</f>
        <v>5275800</v>
      </c>
      <c r="O13" s="57"/>
      <c r="V13" s="57"/>
      <c r="Y13" s="57"/>
      <c r="Z13" s="57"/>
      <c r="AA13" s="57"/>
      <c r="AB13" s="57"/>
      <c r="AC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</row>
    <row r="14" spans="1:48" ht="15" customHeight="1" x14ac:dyDescent="0.25">
      <c r="A14" s="241"/>
      <c r="B14" s="249"/>
      <c r="C14" s="250"/>
      <c r="D14" s="257"/>
      <c r="E14" s="258"/>
      <c r="F14" s="258"/>
      <c r="O14" s="57"/>
      <c r="V14" s="57"/>
      <c r="Y14" s="57"/>
      <c r="Z14" s="57"/>
      <c r="AA14" s="57"/>
      <c r="AB14" s="57"/>
      <c r="AC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</row>
    <row r="15" spans="1:48" ht="15" customHeight="1" x14ac:dyDescent="0.25">
      <c r="A15" s="241"/>
      <c r="B15" s="245" t="s">
        <v>9</v>
      </c>
      <c r="C15" s="250"/>
      <c r="D15" s="247"/>
      <c r="E15" s="248"/>
      <c r="F15" s="248"/>
      <c r="M15" s="57"/>
      <c r="N15" s="57"/>
      <c r="O15" s="57"/>
      <c r="V15" s="57"/>
      <c r="Y15" s="57"/>
      <c r="Z15" s="57"/>
      <c r="AA15" s="57"/>
      <c r="AB15" s="57"/>
      <c r="AC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</row>
    <row r="16" spans="1:48" ht="15" customHeight="1" x14ac:dyDescent="0.25">
      <c r="A16" s="241"/>
      <c r="B16" s="249" t="s">
        <v>10</v>
      </c>
      <c r="C16" s="250">
        <v>6.2</v>
      </c>
      <c r="D16" s="247"/>
      <c r="E16" s="251">
        <f>+'Secc 6'!G48</f>
        <v>10080000</v>
      </c>
      <c r="F16" s="251">
        <f>+'Secc 6'!H48</f>
        <v>9600000</v>
      </c>
      <c r="M16" s="57"/>
      <c r="N16" s="57"/>
      <c r="O16" s="57"/>
      <c r="P16" s="57"/>
      <c r="Q16" s="57"/>
      <c r="R16" s="57"/>
      <c r="S16" s="57"/>
      <c r="T16" s="57"/>
      <c r="U16" s="57"/>
      <c r="V16" s="57"/>
      <c r="Y16" s="57"/>
      <c r="Z16" s="57"/>
      <c r="AA16" s="57"/>
      <c r="AB16" s="57"/>
      <c r="AC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</row>
    <row r="17" spans="1:48" ht="15" customHeight="1" x14ac:dyDescent="0.25">
      <c r="A17" s="241"/>
      <c r="B17" s="249" t="s">
        <v>11</v>
      </c>
      <c r="C17" s="250">
        <v>6.6</v>
      </c>
      <c r="D17" s="247"/>
      <c r="E17" s="251">
        <v>1700000</v>
      </c>
      <c r="F17" s="251">
        <v>1925000</v>
      </c>
      <c r="M17" s="57"/>
      <c r="N17" s="57"/>
      <c r="O17" s="57"/>
      <c r="P17" s="57"/>
      <c r="Q17" s="57"/>
      <c r="R17" s="57"/>
      <c r="S17" s="57"/>
      <c r="T17" s="57"/>
      <c r="U17" s="57"/>
      <c r="V17" s="57"/>
      <c r="Y17" s="57"/>
      <c r="Z17" s="57"/>
      <c r="AA17" s="57"/>
      <c r="AB17" s="57"/>
      <c r="AC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</row>
    <row r="18" spans="1:48" ht="15" customHeight="1" x14ac:dyDescent="0.25">
      <c r="A18" s="241"/>
      <c r="B18" s="249" t="s">
        <v>12</v>
      </c>
      <c r="C18" s="250" t="s">
        <v>350</v>
      </c>
      <c r="D18" s="247"/>
      <c r="E18" s="251">
        <v>3000000</v>
      </c>
      <c r="F18" s="251">
        <v>2475471</v>
      </c>
      <c r="M18" s="57"/>
      <c r="N18" s="57"/>
      <c r="O18" s="57"/>
      <c r="P18" s="57"/>
      <c r="Q18" s="57"/>
      <c r="R18" s="57"/>
      <c r="S18" s="219"/>
      <c r="T18" s="57"/>
      <c r="U18" s="219"/>
      <c r="V18" s="57"/>
      <c r="W18" s="57"/>
      <c r="X18" s="57"/>
      <c r="Y18" s="57"/>
      <c r="Z18" s="57"/>
      <c r="AA18" s="57"/>
      <c r="AB18" s="57"/>
      <c r="AC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</row>
    <row r="19" spans="1:48" ht="15" customHeight="1" x14ac:dyDescent="0.25">
      <c r="A19" s="241"/>
      <c r="B19" s="249" t="s">
        <v>13</v>
      </c>
      <c r="C19" s="250">
        <v>6.8</v>
      </c>
      <c r="D19" s="247"/>
      <c r="E19" s="251">
        <v>600000</v>
      </c>
      <c r="F19" s="251">
        <v>700000</v>
      </c>
      <c r="M19" s="57"/>
      <c r="N19" s="57"/>
      <c r="O19" s="57"/>
      <c r="P19" s="57"/>
      <c r="Q19" s="57"/>
      <c r="R19" s="57"/>
      <c r="S19" s="219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</row>
    <row r="20" spans="1:48" ht="15" customHeight="1" x14ac:dyDescent="0.25">
      <c r="A20" s="241"/>
      <c r="B20" s="252" t="s">
        <v>14</v>
      </c>
      <c r="C20" s="259"/>
      <c r="D20" s="256" t="s">
        <v>15</v>
      </c>
      <c r="E20" s="255">
        <f>SUM(E16:E19)</f>
        <v>15380000</v>
      </c>
      <c r="F20" s="255">
        <f>SUM(F16:F19)</f>
        <v>14700471</v>
      </c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</row>
    <row r="21" spans="1:48" ht="15" customHeight="1" x14ac:dyDescent="0.25">
      <c r="A21" s="241"/>
      <c r="B21" s="252" t="s">
        <v>16</v>
      </c>
      <c r="C21" s="259"/>
      <c r="D21" s="256" t="s">
        <v>29</v>
      </c>
      <c r="E21" s="255">
        <f>E20*30%</f>
        <v>4614000</v>
      </c>
      <c r="F21" s="255">
        <f>F20*30%</f>
        <v>4410141.3</v>
      </c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</row>
    <row r="22" spans="1:48" ht="15" customHeight="1" x14ac:dyDescent="0.25">
      <c r="A22" s="241"/>
      <c r="B22" s="249"/>
      <c r="C22" s="246"/>
      <c r="D22" s="247"/>
      <c r="E22" s="248"/>
      <c r="F22" s="248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</row>
    <row r="23" spans="1:48" ht="15" customHeight="1" x14ac:dyDescent="0.25">
      <c r="A23" s="241"/>
      <c r="B23" s="252" t="s">
        <v>17</v>
      </c>
      <c r="C23" s="259"/>
      <c r="D23" s="256" t="s">
        <v>20</v>
      </c>
      <c r="E23" s="255">
        <f>+E13-E21</f>
        <v>363300</v>
      </c>
      <c r="F23" s="255">
        <f>+F13-F21</f>
        <v>865658.70000000019</v>
      </c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</row>
    <row r="24" spans="1:48" ht="15" customHeight="1" x14ac:dyDescent="0.25">
      <c r="A24" s="241"/>
      <c r="B24" s="260"/>
      <c r="C24" s="261"/>
      <c r="D24" s="262"/>
      <c r="E24" s="263" t="s">
        <v>31</v>
      </c>
      <c r="F24" s="263" t="s">
        <v>32</v>
      </c>
      <c r="H24" s="241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</row>
    <row r="25" spans="1:48" ht="15" customHeight="1" x14ac:dyDescent="0.25">
      <c r="A25" s="241"/>
      <c r="B25" s="252" t="s">
        <v>18</v>
      </c>
      <c r="C25" s="264"/>
      <c r="D25" s="256" t="s">
        <v>21</v>
      </c>
      <c r="E25" s="265"/>
      <c r="F25" s="255">
        <v>502359</v>
      </c>
      <c r="H25" s="241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</row>
    <row r="26" spans="1:48" ht="15" customHeight="1" x14ac:dyDescent="0.25">
      <c r="A26" s="241"/>
      <c r="B26" s="249"/>
      <c r="C26" s="266"/>
      <c r="D26" s="267"/>
      <c r="E26" s="267"/>
      <c r="F26" s="263" t="s">
        <v>33</v>
      </c>
      <c r="H26" s="241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</row>
    <row r="27" spans="1:48" ht="15" customHeight="1" x14ac:dyDescent="0.25">
      <c r="A27" s="241"/>
      <c r="H27" s="241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</row>
    <row r="28" spans="1:48" ht="15" customHeight="1" x14ac:dyDescent="0.25">
      <c r="A28" s="373" t="s">
        <v>338</v>
      </c>
      <c r="B28" s="375"/>
      <c r="C28" s="374"/>
      <c r="D28" s="374"/>
      <c r="E28" s="374"/>
      <c r="F28" s="374"/>
      <c r="G28" s="374"/>
      <c r="H28" s="374"/>
      <c r="I28" s="374"/>
      <c r="J28" s="374"/>
      <c r="K28" s="374"/>
      <c r="L28" s="374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</row>
    <row r="29" spans="1:48" ht="15" customHeight="1" x14ac:dyDescent="0.25">
      <c r="A29" s="373" t="s">
        <v>148</v>
      </c>
      <c r="B29" s="375"/>
      <c r="C29" s="374"/>
      <c r="D29" s="374"/>
      <c r="E29" s="374"/>
      <c r="F29" s="374"/>
      <c r="G29" s="374"/>
      <c r="H29" s="374"/>
      <c r="I29" s="374"/>
      <c r="J29" s="374"/>
      <c r="K29" s="374"/>
      <c r="L29" s="374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</row>
    <row r="30" spans="1:48" ht="15" customHeight="1" x14ac:dyDescent="0.25">
      <c r="A30" s="241"/>
      <c r="B30" s="241"/>
      <c r="C30" s="241"/>
      <c r="D30" s="241"/>
      <c r="E30" s="241"/>
      <c r="F30" s="241"/>
      <c r="G30" s="241"/>
      <c r="H30" s="241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</row>
    <row r="31" spans="1:48" ht="15" customHeight="1" x14ac:dyDescent="0.25">
      <c r="A31" s="241"/>
      <c r="B31" s="241"/>
      <c r="C31" s="241"/>
      <c r="D31" s="269"/>
      <c r="E31" s="269" t="s">
        <v>295</v>
      </c>
      <c r="F31" s="269"/>
      <c r="H31" s="241"/>
    </row>
    <row r="32" spans="1:48" ht="15" customHeight="1" x14ac:dyDescent="0.25">
      <c r="A32" s="241"/>
      <c r="B32" s="270"/>
      <c r="C32" s="241"/>
      <c r="D32" s="271"/>
      <c r="E32" s="271" t="s">
        <v>296</v>
      </c>
      <c r="F32" s="271" t="s">
        <v>298</v>
      </c>
      <c r="H32" s="241"/>
    </row>
    <row r="33" spans="1:12" ht="15" customHeight="1" x14ac:dyDescent="0.25">
      <c r="A33" s="241"/>
      <c r="B33" s="270"/>
      <c r="C33" s="241"/>
      <c r="D33" s="272" t="s">
        <v>36</v>
      </c>
      <c r="E33" s="272" t="s">
        <v>25</v>
      </c>
      <c r="F33" s="272" t="s">
        <v>297</v>
      </c>
      <c r="G33" s="241"/>
      <c r="H33" s="241"/>
    </row>
    <row r="34" spans="1:12" ht="15" customHeight="1" x14ac:dyDescent="0.25">
      <c r="A34" s="241"/>
      <c r="B34" s="273" t="s">
        <v>47</v>
      </c>
      <c r="C34" s="274" t="s">
        <v>7</v>
      </c>
      <c r="D34" s="275"/>
      <c r="E34" s="276">
        <v>12000000</v>
      </c>
      <c r="F34" s="277">
        <v>0</v>
      </c>
      <c r="G34" s="241"/>
      <c r="H34" s="241"/>
    </row>
    <row r="35" spans="1:12" ht="15" customHeight="1" x14ac:dyDescent="0.25">
      <c r="A35" s="241"/>
      <c r="B35" s="273" t="s">
        <v>37</v>
      </c>
      <c r="C35" s="274" t="s">
        <v>19</v>
      </c>
      <c r="D35" s="275"/>
      <c r="E35" s="276">
        <v>12600000</v>
      </c>
      <c r="F35" s="276">
        <f>+E35-E34</f>
        <v>600000</v>
      </c>
      <c r="G35" s="241" t="s">
        <v>43</v>
      </c>
      <c r="H35" s="241"/>
    </row>
    <row r="36" spans="1:12" ht="15" customHeight="1" x14ac:dyDescent="0.25">
      <c r="A36" s="241"/>
      <c r="B36" s="273" t="s">
        <v>38</v>
      </c>
      <c r="C36" s="274" t="s">
        <v>15</v>
      </c>
      <c r="D36" s="275"/>
      <c r="E36" s="276">
        <v>13230000</v>
      </c>
      <c r="F36" s="276">
        <f>+E36-E35</f>
        <v>630000</v>
      </c>
      <c r="G36" s="241" t="s">
        <v>44</v>
      </c>
      <c r="H36" s="241"/>
    </row>
    <row r="37" spans="1:12" ht="15" customHeight="1" x14ac:dyDescent="0.25">
      <c r="A37" s="241"/>
      <c r="B37" s="278" t="s">
        <v>39</v>
      </c>
      <c r="C37" s="274" t="s">
        <v>41</v>
      </c>
      <c r="D37" s="279" t="s">
        <v>35</v>
      </c>
      <c r="E37" s="280">
        <v>13891000</v>
      </c>
      <c r="F37" s="276">
        <f>+E37-E36</f>
        <v>661000</v>
      </c>
      <c r="G37" s="241" t="s">
        <v>45</v>
      </c>
      <c r="H37" s="241"/>
    </row>
    <row r="38" spans="1:12" ht="15" customHeight="1" x14ac:dyDescent="0.25">
      <c r="A38" s="241"/>
      <c r="B38" s="273" t="s">
        <v>40</v>
      </c>
      <c r="C38" s="274" t="s">
        <v>42</v>
      </c>
      <c r="D38" s="279" t="s">
        <v>35</v>
      </c>
      <c r="E38" s="276">
        <v>14586000</v>
      </c>
      <c r="F38" s="276">
        <f>+E38-E37</f>
        <v>695000</v>
      </c>
      <c r="G38" s="241" t="s">
        <v>46</v>
      </c>
    </row>
    <row r="39" spans="1:12" ht="15" customHeight="1" x14ac:dyDescent="0.25">
      <c r="A39" s="241"/>
      <c r="G39" s="241"/>
    </row>
    <row r="40" spans="1:12" ht="15" customHeight="1" x14ac:dyDescent="0.25">
      <c r="A40" s="373" t="s">
        <v>338</v>
      </c>
      <c r="B40" s="375"/>
      <c r="C40" s="374"/>
      <c r="D40" s="374"/>
      <c r="E40" s="374"/>
      <c r="F40" s="374"/>
      <c r="G40" s="374"/>
      <c r="H40" s="374"/>
      <c r="I40" s="374"/>
      <c r="J40" s="374"/>
      <c r="K40" s="374"/>
      <c r="L40" s="374"/>
    </row>
    <row r="41" spans="1:12" ht="15" customHeight="1" x14ac:dyDescent="0.25">
      <c r="A41" s="373" t="s">
        <v>147</v>
      </c>
      <c r="B41" s="375"/>
      <c r="C41" s="374"/>
      <c r="D41" s="374"/>
      <c r="E41" s="374"/>
      <c r="F41" s="374"/>
      <c r="G41" s="374"/>
      <c r="H41" s="374"/>
      <c r="I41" s="374"/>
      <c r="J41" s="374"/>
      <c r="K41" s="374"/>
      <c r="L41" s="374"/>
    </row>
    <row r="42" spans="1:12" ht="15" customHeight="1" x14ac:dyDescent="0.25">
      <c r="A42" s="241"/>
      <c r="B42" s="241"/>
      <c r="C42" s="241"/>
      <c r="D42" s="241"/>
      <c r="E42" s="241"/>
      <c r="F42" s="241"/>
      <c r="G42" s="241"/>
      <c r="H42" s="241"/>
    </row>
    <row r="43" spans="1:12" ht="15" customHeight="1" x14ac:dyDescent="0.25">
      <c r="A43" s="241"/>
      <c r="B43" s="241"/>
      <c r="C43" s="241"/>
      <c r="D43" s="241"/>
      <c r="E43" s="241"/>
      <c r="F43" s="241"/>
      <c r="G43" s="241"/>
      <c r="H43" s="241"/>
    </row>
    <row r="44" spans="1:12" ht="15" customHeight="1" x14ac:dyDescent="0.25">
      <c r="A44" s="241"/>
      <c r="B44" s="270"/>
      <c r="C44" s="241"/>
      <c r="D44" s="281">
        <v>2010</v>
      </c>
      <c r="E44" s="281">
        <v>2011</v>
      </c>
      <c r="F44" s="281">
        <v>2012</v>
      </c>
      <c r="G44" s="281">
        <v>2013</v>
      </c>
      <c r="H44" s="281">
        <v>2014</v>
      </c>
    </row>
    <row r="45" spans="1:12" ht="15" customHeight="1" x14ac:dyDescent="0.25">
      <c r="A45" s="241"/>
      <c r="B45" s="270"/>
      <c r="C45" s="241"/>
      <c r="D45" s="282" t="s">
        <v>25</v>
      </c>
      <c r="E45" s="282" t="s">
        <v>25</v>
      </c>
      <c r="F45" s="282" t="s">
        <v>25</v>
      </c>
      <c r="G45" s="282" t="s">
        <v>25</v>
      </c>
      <c r="H45" s="282" t="s">
        <v>25</v>
      </c>
    </row>
    <row r="46" spans="1:12" ht="15" customHeight="1" x14ac:dyDescent="0.25">
      <c r="A46" s="241"/>
      <c r="B46" s="273" t="s">
        <v>49</v>
      </c>
      <c r="C46" s="241"/>
      <c r="D46" s="276">
        <v>12000000</v>
      </c>
      <c r="E46" s="276">
        <v>12000000</v>
      </c>
      <c r="F46" s="276">
        <v>12000000</v>
      </c>
      <c r="G46" s="280">
        <v>12000000</v>
      </c>
      <c r="H46" s="276">
        <v>12000000</v>
      </c>
    </row>
    <row r="47" spans="1:12" ht="15" customHeight="1" x14ac:dyDescent="0.25">
      <c r="A47" s="241"/>
      <c r="B47" s="273" t="s">
        <v>50</v>
      </c>
      <c r="C47" s="241"/>
      <c r="D47" s="283">
        <v>-480000</v>
      </c>
      <c r="E47" s="283">
        <f>+D47*2</f>
        <v>-960000</v>
      </c>
      <c r="F47" s="283">
        <f>+D47*3</f>
        <v>-1440000</v>
      </c>
      <c r="G47" s="284">
        <f>+D47*4</f>
        <v>-1920000</v>
      </c>
      <c r="H47" s="283">
        <f>+D47*5</f>
        <v>-2400000</v>
      </c>
    </row>
    <row r="48" spans="1:12" ht="15" customHeight="1" x14ac:dyDescent="0.25">
      <c r="A48" s="241"/>
      <c r="B48" s="285" t="s">
        <v>51</v>
      </c>
      <c r="C48" s="241"/>
      <c r="D48" s="286">
        <f>+D46+D47</f>
        <v>11520000</v>
      </c>
      <c r="E48" s="286">
        <f>+E46+E47</f>
        <v>11040000</v>
      </c>
      <c r="F48" s="286">
        <f>+F46+F47</f>
        <v>10560000</v>
      </c>
      <c r="G48" s="287">
        <f>+G46+G47</f>
        <v>10080000</v>
      </c>
      <c r="H48" s="286">
        <f>+H46+H47</f>
        <v>9600000</v>
      </c>
    </row>
    <row r="49" spans="1:12" ht="15" customHeight="1" x14ac:dyDescent="0.25">
      <c r="A49" s="241"/>
      <c r="B49" s="273"/>
      <c r="C49" s="241"/>
      <c r="D49" s="283"/>
      <c r="E49" s="283"/>
      <c r="F49" s="283"/>
      <c r="G49" s="288" t="s">
        <v>52</v>
      </c>
      <c r="H49" s="288" t="s">
        <v>52</v>
      </c>
    </row>
    <row r="50" spans="1:12" ht="15" customHeight="1" x14ac:dyDescent="0.25">
      <c r="A50" s="241"/>
      <c r="B50" s="241"/>
      <c r="C50" s="241"/>
      <c r="D50" s="241"/>
      <c r="E50" s="241"/>
      <c r="F50" s="241"/>
      <c r="G50" s="241"/>
      <c r="H50" s="241"/>
      <c r="I50" s="241"/>
      <c r="J50" s="241"/>
    </row>
    <row r="51" spans="1:12" ht="15" customHeight="1" x14ac:dyDescent="0.25">
      <c r="A51" s="241"/>
      <c r="B51" s="289" t="s">
        <v>59</v>
      </c>
      <c r="C51" s="290"/>
      <c r="D51" s="291"/>
      <c r="E51" s="291"/>
      <c r="F51" s="291"/>
      <c r="G51" s="292"/>
      <c r="H51" s="293">
        <f>+H47-G47</f>
        <v>-480000</v>
      </c>
    </row>
    <row r="52" spans="1:12" ht="15" customHeight="1" x14ac:dyDescent="0.25">
      <c r="A52" s="241"/>
    </row>
    <row r="53" spans="1:12" ht="15" customHeight="1" x14ac:dyDescent="0.25">
      <c r="A53" s="373" t="s">
        <v>339</v>
      </c>
      <c r="B53" s="375"/>
      <c r="C53" s="374"/>
      <c r="D53" s="374"/>
      <c r="E53" s="374"/>
      <c r="F53" s="374"/>
      <c r="G53" s="374"/>
      <c r="H53" s="374"/>
      <c r="I53" s="374"/>
      <c r="J53" s="374"/>
      <c r="K53" s="374"/>
      <c r="L53" s="374"/>
    </row>
    <row r="54" spans="1:12" ht="15" customHeight="1" x14ac:dyDescent="0.25">
      <c r="A54" s="373" t="s">
        <v>146</v>
      </c>
      <c r="B54" s="375"/>
      <c r="C54" s="374"/>
      <c r="D54" s="374"/>
      <c r="E54" s="374"/>
      <c r="F54" s="374"/>
      <c r="G54" s="374"/>
      <c r="H54" s="374"/>
      <c r="I54" s="374"/>
      <c r="J54" s="374"/>
      <c r="K54" s="374"/>
      <c r="L54" s="374"/>
    </row>
    <row r="55" spans="1:12" ht="15" customHeight="1" x14ac:dyDescent="0.25">
      <c r="A55" s="241"/>
      <c r="B55" s="294"/>
      <c r="C55" s="241"/>
      <c r="D55" s="295">
        <v>2014</v>
      </c>
    </row>
    <row r="56" spans="1:12" ht="15" customHeight="1" x14ac:dyDescent="0.25">
      <c r="A56" s="241"/>
      <c r="B56" s="294" t="s">
        <v>351</v>
      </c>
      <c r="C56" s="241"/>
      <c r="D56" s="296" t="s">
        <v>25</v>
      </c>
      <c r="E56" s="296" t="s">
        <v>36</v>
      </c>
    </row>
    <row r="57" spans="1:12" ht="15" customHeight="1" x14ac:dyDescent="0.25">
      <c r="A57" s="241"/>
      <c r="B57" s="285" t="s">
        <v>60</v>
      </c>
      <c r="C57" s="241"/>
      <c r="D57" s="297">
        <v>2000000</v>
      </c>
      <c r="E57" s="298">
        <v>6.1</v>
      </c>
    </row>
    <row r="58" spans="1:12" ht="15" customHeight="1" x14ac:dyDescent="0.25">
      <c r="A58" s="241"/>
      <c r="B58" s="273" t="s">
        <v>61</v>
      </c>
      <c r="C58" s="241"/>
      <c r="D58" s="299">
        <v>400000</v>
      </c>
      <c r="E58" s="298"/>
    </row>
    <row r="59" spans="1:12" ht="15" customHeight="1" x14ac:dyDescent="0.25">
      <c r="A59" s="241"/>
      <c r="B59" s="285" t="s">
        <v>62</v>
      </c>
      <c r="C59" s="241"/>
      <c r="D59" s="297">
        <v>2400000</v>
      </c>
      <c r="E59" s="298">
        <v>6.1</v>
      </c>
    </row>
    <row r="60" spans="1:12" ht="15" customHeight="1" x14ac:dyDescent="0.25">
      <c r="A60" s="241"/>
      <c r="B60" s="270"/>
      <c r="C60" s="241"/>
      <c r="D60" s="241"/>
      <c r="E60" s="241"/>
    </row>
    <row r="61" spans="1:12" ht="15" customHeight="1" x14ac:dyDescent="0.25">
      <c r="A61" s="241"/>
      <c r="B61" s="300"/>
      <c r="C61" s="241"/>
      <c r="D61" s="295">
        <v>2014</v>
      </c>
      <c r="E61" s="241"/>
    </row>
    <row r="62" spans="1:12" ht="15" customHeight="1" x14ac:dyDescent="0.25">
      <c r="A62" s="241"/>
      <c r="B62" s="294" t="s">
        <v>63</v>
      </c>
      <c r="C62" s="241"/>
      <c r="D62" s="296" t="s">
        <v>25</v>
      </c>
      <c r="E62" s="241"/>
    </row>
    <row r="63" spans="1:12" ht="15" customHeight="1" x14ac:dyDescent="0.25">
      <c r="A63" s="241"/>
      <c r="B63" s="273" t="s">
        <v>64</v>
      </c>
      <c r="C63" s="241"/>
      <c r="D63" s="299">
        <v>250000</v>
      </c>
      <c r="E63" s="241"/>
    </row>
    <row r="64" spans="1:12" ht="15" customHeight="1" x14ac:dyDescent="0.25">
      <c r="A64" s="241"/>
      <c r="B64" s="273" t="s">
        <v>65</v>
      </c>
      <c r="C64" s="241"/>
      <c r="D64" s="299">
        <v>100000</v>
      </c>
      <c r="E64" s="241"/>
    </row>
    <row r="65" spans="1:12" ht="15" customHeight="1" x14ac:dyDescent="0.25">
      <c r="A65" s="241"/>
      <c r="B65" s="273" t="s">
        <v>66</v>
      </c>
      <c r="C65" s="241"/>
      <c r="D65" s="299">
        <v>50000</v>
      </c>
      <c r="E65" s="241"/>
    </row>
    <row r="66" spans="1:12" ht="15" customHeight="1" x14ac:dyDescent="0.25">
      <c r="A66" s="241"/>
      <c r="B66" s="285" t="s">
        <v>67</v>
      </c>
      <c r="C66" s="241"/>
      <c r="D66" s="297">
        <f>SUM(D63:D65)</f>
        <v>400000</v>
      </c>
      <c r="E66" s="241"/>
    </row>
    <row r="67" spans="1:12" ht="15" customHeight="1" x14ac:dyDescent="0.25">
      <c r="A67" s="241"/>
      <c r="C67" s="241"/>
      <c r="E67" s="241"/>
    </row>
    <row r="68" spans="1:12" ht="15" customHeight="1" x14ac:dyDescent="0.25">
      <c r="A68" s="373" t="s">
        <v>340</v>
      </c>
      <c r="B68" s="375"/>
      <c r="C68" s="373"/>
      <c r="D68" s="377"/>
      <c r="E68" s="377"/>
      <c r="F68" s="374"/>
      <c r="G68" s="374"/>
      <c r="H68" s="374"/>
      <c r="I68" s="374"/>
      <c r="J68" s="374"/>
      <c r="K68" s="374"/>
      <c r="L68" s="374"/>
    </row>
    <row r="69" spans="1:12" ht="15" customHeight="1" x14ac:dyDescent="0.25">
      <c r="A69" s="378" t="s">
        <v>145</v>
      </c>
      <c r="B69" s="375"/>
      <c r="C69" s="373"/>
      <c r="D69" s="374"/>
      <c r="E69" s="374"/>
      <c r="F69" s="374"/>
      <c r="G69" s="374"/>
      <c r="H69" s="374"/>
      <c r="I69" s="374"/>
      <c r="J69" s="374"/>
      <c r="K69" s="374"/>
      <c r="L69" s="374"/>
    </row>
    <row r="70" spans="1:12" ht="15" customHeight="1" x14ac:dyDescent="0.25">
      <c r="A70" s="241"/>
      <c r="B70" s="301"/>
      <c r="C70" s="301"/>
      <c r="D70" s="301">
        <v>41640</v>
      </c>
      <c r="E70" s="301">
        <v>42004</v>
      </c>
    </row>
    <row r="71" spans="1:12" ht="15" customHeight="1" x14ac:dyDescent="0.25">
      <c r="A71" s="241"/>
      <c r="B71" s="302" t="s">
        <v>352</v>
      </c>
      <c r="C71" s="303"/>
      <c r="D71" s="303" t="s">
        <v>25</v>
      </c>
      <c r="E71" s="303" t="s">
        <v>25</v>
      </c>
    </row>
    <row r="72" spans="1:12" ht="15" customHeight="1" x14ac:dyDescent="0.25">
      <c r="A72" s="241"/>
      <c r="B72" s="304" t="s">
        <v>49</v>
      </c>
      <c r="C72" s="241"/>
      <c r="D72" s="305">
        <v>1000000</v>
      </c>
      <c r="E72" s="305">
        <v>1000000</v>
      </c>
    </row>
    <row r="73" spans="1:12" ht="15" customHeight="1" x14ac:dyDescent="0.25">
      <c r="A73" s="241"/>
      <c r="B73" s="304" t="s">
        <v>73</v>
      </c>
      <c r="C73" s="241"/>
      <c r="D73" s="306">
        <v>-300000</v>
      </c>
      <c r="E73" s="306">
        <v>-400000</v>
      </c>
    </row>
    <row r="74" spans="1:12" ht="15" customHeight="1" x14ac:dyDescent="0.25">
      <c r="A74" s="241"/>
      <c r="B74" s="307" t="s">
        <v>51</v>
      </c>
      <c r="C74" s="241"/>
      <c r="D74" s="308">
        <v>700000</v>
      </c>
      <c r="E74" s="308">
        <v>600000</v>
      </c>
    </row>
    <row r="75" spans="1:12" ht="15" customHeight="1" x14ac:dyDescent="0.25">
      <c r="A75" s="241"/>
      <c r="B75" s="169"/>
      <c r="C75" s="296" t="s">
        <v>36</v>
      </c>
      <c r="D75" s="134">
        <v>6.1</v>
      </c>
      <c r="E75" s="134">
        <v>6.1</v>
      </c>
      <c r="J75" s="241"/>
      <c r="K75" s="241"/>
      <c r="L75" s="241"/>
    </row>
    <row r="76" spans="1:12" ht="15" customHeight="1" x14ac:dyDescent="0.25">
      <c r="B76" s="169"/>
      <c r="J76" s="241"/>
      <c r="K76" s="241"/>
      <c r="L76" s="241"/>
    </row>
    <row r="77" spans="1:12" ht="15" customHeight="1" x14ac:dyDescent="0.25">
      <c r="A77" s="373" t="s">
        <v>341</v>
      </c>
      <c r="B77" s="375"/>
      <c r="C77" s="377"/>
      <c r="D77" s="377"/>
      <c r="E77" s="377"/>
      <c r="F77" s="374"/>
      <c r="G77" s="374"/>
      <c r="H77" s="374"/>
      <c r="I77" s="374"/>
      <c r="J77" s="374"/>
      <c r="K77" s="374"/>
      <c r="L77" s="374"/>
    </row>
    <row r="78" spans="1:12" ht="15" customHeight="1" x14ac:dyDescent="0.25">
      <c r="A78" s="378" t="s">
        <v>144</v>
      </c>
      <c r="B78" s="375"/>
      <c r="C78" s="377"/>
      <c r="D78" s="377"/>
      <c r="E78" s="377"/>
      <c r="F78" s="374"/>
      <c r="G78" s="374"/>
      <c r="H78" s="374"/>
      <c r="I78" s="374"/>
      <c r="J78" s="374"/>
      <c r="K78" s="374"/>
      <c r="L78" s="374"/>
    </row>
    <row r="79" spans="1:12" ht="15" customHeight="1" x14ac:dyDescent="0.25">
      <c r="A79" s="241"/>
      <c r="B79" s="301"/>
      <c r="C79" s="301"/>
      <c r="D79" s="301">
        <v>41640</v>
      </c>
      <c r="E79" s="301">
        <v>42004</v>
      </c>
      <c r="J79" s="241"/>
      <c r="K79" s="241"/>
      <c r="L79" s="241"/>
    </row>
    <row r="80" spans="1:12" ht="15" customHeight="1" x14ac:dyDescent="0.25">
      <c r="A80" s="241"/>
      <c r="B80" s="302" t="s">
        <v>353</v>
      </c>
      <c r="C80" s="303"/>
      <c r="D80" s="303" t="s">
        <v>25</v>
      </c>
      <c r="E80" s="303" t="s">
        <v>25</v>
      </c>
      <c r="J80" s="241"/>
      <c r="K80" s="241"/>
      <c r="L80" s="241"/>
    </row>
    <row r="81" spans="1:12" ht="15" customHeight="1" x14ac:dyDescent="0.25">
      <c r="A81" s="241"/>
      <c r="B81" s="304" t="s">
        <v>78</v>
      </c>
      <c r="C81" s="168"/>
      <c r="D81" s="309">
        <v>0</v>
      </c>
      <c r="E81" s="305">
        <v>1000000</v>
      </c>
      <c r="J81" s="241"/>
      <c r="K81" s="241"/>
      <c r="L81" s="241"/>
    </row>
    <row r="82" spans="1:12" ht="15" customHeight="1" x14ac:dyDescent="0.25">
      <c r="A82" s="241"/>
      <c r="B82" s="307" t="s">
        <v>51</v>
      </c>
      <c r="C82" s="168"/>
      <c r="D82" s="310">
        <f>+D81</f>
        <v>0</v>
      </c>
      <c r="E82" s="308">
        <f>+E81</f>
        <v>1000000</v>
      </c>
      <c r="J82" s="241"/>
      <c r="K82" s="241"/>
      <c r="L82" s="241"/>
    </row>
    <row r="83" spans="1:12" ht="15" customHeight="1" x14ac:dyDescent="0.25">
      <c r="A83" s="241"/>
      <c r="B83" s="169"/>
      <c r="J83" s="241"/>
      <c r="K83" s="241"/>
      <c r="L83" s="241"/>
    </row>
    <row r="84" spans="1:12" ht="15" customHeight="1" x14ac:dyDescent="0.25">
      <c r="A84" s="373" t="s">
        <v>345</v>
      </c>
      <c r="B84" s="375"/>
      <c r="C84" s="374"/>
      <c r="D84" s="374"/>
      <c r="E84" s="374"/>
      <c r="F84" s="374"/>
      <c r="G84" s="374"/>
      <c r="H84" s="374"/>
      <c r="I84" s="374"/>
      <c r="J84" s="374"/>
      <c r="K84" s="373"/>
      <c r="L84" s="374"/>
    </row>
    <row r="85" spans="1:12" s="87" customFormat="1" ht="15" customHeight="1" x14ac:dyDescent="0.25">
      <c r="A85" s="373" t="s">
        <v>11</v>
      </c>
      <c r="B85" s="379"/>
      <c r="C85" s="374"/>
      <c r="D85" s="374"/>
      <c r="E85" s="374"/>
      <c r="F85" s="374"/>
      <c r="G85" s="374"/>
      <c r="H85" s="374"/>
      <c r="I85" s="374"/>
      <c r="J85" s="374"/>
      <c r="K85" s="373"/>
      <c r="L85" s="374"/>
    </row>
    <row r="86" spans="1:12" s="12" customFormat="1" ht="17.100000000000001" customHeight="1" x14ac:dyDescent="0.25">
      <c r="A86" s="311"/>
      <c r="B86" s="312"/>
      <c r="C86" s="312"/>
      <c r="D86" s="450" t="s">
        <v>123</v>
      </c>
      <c r="E86" s="451"/>
      <c r="F86" s="450" t="s">
        <v>121</v>
      </c>
      <c r="G86" s="451"/>
      <c r="H86" s="450" t="s">
        <v>122</v>
      </c>
      <c r="I86" s="451"/>
      <c r="J86" s="311"/>
      <c r="K86" s="311"/>
      <c r="L86" s="311"/>
    </row>
    <row r="87" spans="1:12" ht="17.100000000000001" customHeight="1" x14ac:dyDescent="0.25">
      <c r="A87" s="241"/>
      <c r="B87" s="313"/>
      <c r="D87" s="314">
        <v>41640</v>
      </c>
      <c r="E87" s="314">
        <v>42004</v>
      </c>
      <c r="F87" s="314">
        <v>41640</v>
      </c>
      <c r="G87" s="314">
        <v>42004</v>
      </c>
      <c r="H87" s="314">
        <v>41640</v>
      </c>
      <c r="I87" s="314">
        <v>42004</v>
      </c>
      <c r="J87" s="311"/>
      <c r="K87" s="311"/>
      <c r="L87" s="241"/>
    </row>
    <row r="88" spans="1:12" ht="17.100000000000001" customHeight="1" x14ac:dyDescent="0.25">
      <c r="A88" s="241"/>
      <c r="B88" s="313"/>
      <c r="D88" s="315" t="s">
        <v>25</v>
      </c>
      <c r="E88" s="315" t="s">
        <v>25</v>
      </c>
      <c r="F88" s="315" t="s">
        <v>25</v>
      </c>
      <c r="G88" s="315" t="s">
        <v>25</v>
      </c>
      <c r="H88" s="315" t="s">
        <v>25</v>
      </c>
      <c r="I88" s="315" t="s">
        <v>25</v>
      </c>
      <c r="J88" s="311"/>
      <c r="K88" s="311"/>
      <c r="L88" s="241"/>
    </row>
    <row r="89" spans="1:12" ht="17.100000000000001" customHeight="1" x14ac:dyDescent="0.25">
      <c r="A89" s="241"/>
      <c r="B89" s="316" t="s">
        <v>49</v>
      </c>
      <c r="C89" s="317"/>
      <c r="D89" s="201"/>
      <c r="E89" s="201"/>
      <c r="F89" s="201"/>
      <c r="G89" s="201"/>
      <c r="H89" s="201"/>
      <c r="I89" s="201"/>
      <c r="J89" s="134" t="s">
        <v>128</v>
      </c>
    </row>
    <row r="90" spans="1:12" ht="17.100000000000001" customHeight="1" x14ac:dyDescent="0.25">
      <c r="A90" s="241"/>
      <c r="B90" s="318" t="s">
        <v>81</v>
      </c>
      <c r="D90" s="319"/>
      <c r="E90" s="319"/>
      <c r="F90" s="319"/>
      <c r="G90" s="319"/>
      <c r="H90" s="319"/>
      <c r="I90" s="319"/>
      <c r="J90" s="320"/>
    </row>
    <row r="91" spans="1:12" ht="17.100000000000001" customHeight="1" x14ac:dyDescent="0.25">
      <c r="A91" s="241"/>
      <c r="B91" s="321" t="s">
        <v>99</v>
      </c>
      <c r="D91" s="322">
        <v>400000</v>
      </c>
      <c r="E91" s="322">
        <v>400000</v>
      </c>
      <c r="F91" s="323">
        <v>0</v>
      </c>
      <c r="G91" s="323">
        <v>0</v>
      </c>
      <c r="H91" s="306">
        <f t="shared" ref="H91:I95" si="0">+F91-D91</f>
        <v>-400000</v>
      </c>
      <c r="I91" s="306">
        <f t="shared" si="0"/>
        <v>-400000</v>
      </c>
      <c r="J91" s="320" t="s">
        <v>117</v>
      </c>
    </row>
    <row r="92" spans="1:12" ht="17.100000000000001" customHeight="1" x14ac:dyDescent="0.25">
      <c r="A92" s="241"/>
      <c r="B92" s="321" t="s">
        <v>103</v>
      </c>
      <c r="D92" s="322">
        <v>600000</v>
      </c>
      <c r="E92" s="322">
        <v>600000</v>
      </c>
      <c r="F92" s="323">
        <v>1200000</v>
      </c>
      <c r="G92" s="323">
        <v>1200000</v>
      </c>
      <c r="H92" s="323">
        <f t="shared" si="0"/>
        <v>600000</v>
      </c>
      <c r="I92" s="323">
        <f t="shared" si="0"/>
        <v>600000</v>
      </c>
      <c r="J92" s="320" t="s">
        <v>118</v>
      </c>
    </row>
    <row r="93" spans="1:12" ht="17.100000000000001" customHeight="1" x14ac:dyDescent="0.25">
      <c r="A93" s="241"/>
      <c r="B93" s="318" t="s">
        <v>82</v>
      </c>
      <c r="D93" s="322">
        <v>3000000</v>
      </c>
      <c r="E93" s="322">
        <v>3000000</v>
      </c>
      <c r="F93" s="323">
        <v>3000000</v>
      </c>
      <c r="G93" s="323">
        <v>3000000</v>
      </c>
      <c r="H93" s="324">
        <f t="shared" si="0"/>
        <v>0</v>
      </c>
      <c r="I93" s="324">
        <f t="shared" si="0"/>
        <v>0</v>
      </c>
      <c r="J93" s="320"/>
    </row>
    <row r="94" spans="1:12" ht="17.100000000000001" customHeight="1" x14ac:dyDescent="0.25">
      <c r="A94" s="241"/>
      <c r="B94" s="318" t="s">
        <v>83</v>
      </c>
      <c r="D94" s="322">
        <v>7000000</v>
      </c>
      <c r="E94" s="322">
        <v>8000000</v>
      </c>
      <c r="F94" s="323">
        <v>7000000</v>
      </c>
      <c r="G94" s="323">
        <v>8000000</v>
      </c>
      <c r="H94" s="324">
        <f t="shared" si="0"/>
        <v>0</v>
      </c>
      <c r="I94" s="324">
        <f t="shared" si="0"/>
        <v>0</v>
      </c>
      <c r="J94" s="320"/>
    </row>
    <row r="95" spans="1:12" ht="17.100000000000001" customHeight="1" x14ac:dyDescent="0.25">
      <c r="A95" s="241"/>
      <c r="B95" s="318" t="s">
        <v>84</v>
      </c>
      <c r="D95" s="322">
        <v>400000</v>
      </c>
      <c r="E95" s="322">
        <v>500000</v>
      </c>
      <c r="F95" s="323">
        <v>400000</v>
      </c>
      <c r="G95" s="323">
        <v>500000</v>
      </c>
      <c r="H95" s="324">
        <f t="shared" si="0"/>
        <v>0</v>
      </c>
      <c r="I95" s="324">
        <f t="shared" si="0"/>
        <v>0</v>
      </c>
      <c r="J95" s="320"/>
    </row>
    <row r="96" spans="1:12" ht="17.100000000000001" customHeight="1" x14ac:dyDescent="0.25">
      <c r="A96" s="241"/>
      <c r="B96" s="325" t="s">
        <v>124</v>
      </c>
      <c r="C96" s="326"/>
      <c r="D96" s="327">
        <f>SUM(D91:D95)</f>
        <v>11400000</v>
      </c>
      <c r="E96" s="327">
        <f>SUM(E91:E95)</f>
        <v>12500000</v>
      </c>
      <c r="F96" s="327">
        <f>SUM(F91:F95)</f>
        <v>11600000</v>
      </c>
      <c r="G96" s="327">
        <f>SUM(G91:G95)</f>
        <v>12700000</v>
      </c>
      <c r="H96" s="328">
        <f>+F96-D96</f>
        <v>200000</v>
      </c>
      <c r="I96" s="328">
        <f>+G96-E96</f>
        <v>200000</v>
      </c>
      <c r="J96" s="320"/>
    </row>
    <row r="97" spans="1:12" ht="17.100000000000001" customHeight="1" x14ac:dyDescent="0.25">
      <c r="A97" s="241"/>
      <c r="B97" s="316" t="s">
        <v>125</v>
      </c>
      <c r="D97" s="317"/>
      <c r="E97" s="317"/>
      <c r="F97" s="317"/>
      <c r="G97" s="317"/>
      <c r="H97" s="317"/>
      <c r="I97" s="329"/>
      <c r="J97" s="320"/>
    </row>
    <row r="98" spans="1:12" ht="17.100000000000001" customHeight="1" x14ac:dyDescent="0.25">
      <c r="A98" s="241"/>
      <c r="B98" s="318" t="s">
        <v>82</v>
      </c>
      <c r="D98" s="330">
        <v>-2000000</v>
      </c>
      <c r="E98" s="330">
        <v>-2500000</v>
      </c>
      <c r="F98" s="330">
        <v>-1250000</v>
      </c>
      <c r="G98" s="330">
        <v>-1675000</v>
      </c>
      <c r="H98" s="306">
        <f t="shared" ref="H98:I100" si="1">+F98-D98</f>
        <v>750000</v>
      </c>
      <c r="I98" s="306">
        <f t="shared" si="1"/>
        <v>825000</v>
      </c>
      <c r="J98" s="320" t="s">
        <v>119</v>
      </c>
    </row>
    <row r="99" spans="1:12" ht="17.100000000000001" customHeight="1" x14ac:dyDescent="0.25">
      <c r="A99" s="241"/>
      <c r="B99" s="318" t="s">
        <v>83</v>
      </c>
      <c r="D99" s="330">
        <v>-1500000</v>
      </c>
      <c r="E99" s="330">
        <v>-1980000</v>
      </c>
      <c r="F99" s="330">
        <v>-750000</v>
      </c>
      <c r="G99" s="330">
        <v>-1080000</v>
      </c>
      <c r="H99" s="306">
        <f t="shared" si="1"/>
        <v>750000</v>
      </c>
      <c r="I99" s="306">
        <f t="shared" si="1"/>
        <v>900000</v>
      </c>
      <c r="J99" s="320" t="s">
        <v>120</v>
      </c>
    </row>
    <row r="100" spans="1:12" ht="17.100000000000001" customHeight="1" x14ac:dyDescent="0.25">
      <c r="A100" s="241"/>
      <c r="B100" s="318" t="s">
        <v>84</v>
      </c>
      <c r="D100" s="330">
        <v>-500000</v>
      </c>
      <c r="E100" s="330">
        <v>-520000</v>
      </c>
      <c r="F100" s="330">
        <v>-500000</v>
      </c>
      <c r="G100" s="330">
        <v>-520000</v>
      </c>
      <c r="H100" s="324">
        <f t="shared" si="1"/>
        <v>0</v>
      </c>
      <c r="I100" s="324">
        <f t="shared" si="1"/>
        <v>0</v>
      </c>
      <c r="J100" s="320"/>
    </row>
    <row r="101" spans="1:12" ht="17.100000000000001" customHeight="1" x14ac:dyDescent="0.25">
      <c r="A101" s="241"/>
      <c r="B101" s="325" t="s">
        <v>124</v>
      </c>
      <c r="C101" s="326"/>
      <c r="D101" s="331">
        <f>SUM(D98:D100)</f>
        <v>-4000000</v>
      </c>
      <c r="E101" s="331">
        <f>SUM(E98:E100)</f>
        <v>-5000000</v>
      </c>
      <c r="F101" s="331">
        <f>SUM(F98:F100)</f>
        <v>-2500000</v>
      </c>
      <c r="G101" s="331">
        <f>SUM(G98:G100)</f>
        <v>-3275000</v>
      </c>
      <c r="H101" s="328">
        <f>+F101-D101</f>
        <v>1500000</v>
      </c>
      <c r="I101" s="328">
        <f>+G101-E101</f>
        <v>1725000</v>
      </c>
      <c r="J101" s="332"/>
    </row>
    <row r="102" spans="1:12" ht="17.100000000000001" customHeight="1" x14ac:dyDescent="0.25">
      <c r="A102" s="241"/>
      <c r="B102" s="325" t="s">
        <v>85</v>
      </c>
      <c r="C102" s="326"/>
      <c r="D102" s="327">
        <f>+D96+D101</f>
        <v>7400000</v>
      </c>
      <c r="E102" s="327">
        <f>+E96+E101</f>
        <v>7500000</v>
      </c>
      <c r="F102" s="327">
        <f>+F96+F101</f>
        <v>9100000</v>
      </c>
      <c r="G102" s="327">
        <f>+G96+G101</f>
        <v>9425000</v>
      </c>
      <c r="H102" s="241"/>
      <c r="I102" s="333"/>
      <c r="J102" s="333"/>
      <c r="K102" s="311"/>
    </row>
    <row r="103" spans="1:12" ht="1.5" customHeight="1" x14ac:dyDescent="0.25">
      <c r="A103" s="241"/>
      <c r="B103" s="334"/>
      <c r="C103" s="241"/>
      <c r="D103" s="335"/>
      <c r="E103" s="335"/>
      <c r="F103" s="335"/>
      <c r="G103" s="335"/>
      <c r="H103" s="241"/>
      <c r="I103" s="333"/>
      <c r="J103" s="333"/>
      <c r="K103" s="311"/>
    </row>
    <row r="104" spans="1:12" ht="17.100000000000001" customHeight="1" x14ac:dyDescent="0.25">
      <c r="A104" s="241"/>
      <c r="B104" s="336"/>
      <c r="C104" s="241"/>
      <c r="D104" s="337" t="s">
        <v>101</v>
      </c>
      <c r="E104" s="338"/>
      <c r="F104" s="339">
        <f>+F102</f>
        <v>9100000</v>
      </c>
      <c r="G104" s="339">
        <f>+G102</f>
        <v>9425000</v>
      </c>
      <c r="H104" s="311" t="s">
        <v>126</v>
      </c>
      <c r="I104" s="333"/>
      <c r="J104" s="333"/>
      <c r="K104" s="311"/>
    </row>
    <row r="105" spans="1:12" ht="17.100000000000001" customHeight="1" x14ac:dyDescent="0.25">
      <c r="A105" s="241"/>
      <c r="B105" s="336"/>
      <c r="C105" s="241"/>
      <c r="D105" s="337" t="s">
        <v>102</v>
      </c>
      <c r="E105" s="338"/>
      <c r="F105" s="339">
        <f>+D102</f>
        <v>7400000</v>
      </c>
      <c r="G105" s="339">
        <f>+E102</f>
        <v>7500000</v>
      </c>
      <c r="H105" s="311" t="s">
        <v>127</v>
      </c>
      <c r="I105" s="333"/>
      <c r="J105" s="333"/>
      <c r="K105" s="311"/>
    </row>
    <row r="106" spans="1:12" ht="17.100000000000001" customHeight="1" x14ac:dyDescent="0.25">
      <c r="A106" s="241"/>
      <c r="B106" s="334"/>
      <c r="C106" s="241"/>
      <c r="D106" s="340" t="s">
        <v>90</v>
      </c>
      <c r="E106" s="341"/>
      <c r="F106" s="327">
        <f>+F104-F105</f>
        <v>1700000</v>
      </c>
      <c r="G106" s="327">
        <f>+G104-G105</f>
        <v>1925000</v>
      </c>
      <c r="H106" s="241"/>
      <c r="I106" s="333"/>
      <c r="J106" s="333"/>
      <c r="K106" s="311"/>
    </row>
    <row r="107" spans="1:12" ht="17.100000000000001" customHeight="1" x14ac:dyDescent="0.25">
      <c r="A107" s="241"/>
      <c r="B107" s="334"/>
      <c r="C107" s="342"/>
      <c r="D107" s="342"/>
      <c r="E107" s="241"/>
      <c r="F107" s="343" t="s">
        <v>52</v>
      </c>
      <c r="G107" s="343" t="s">
        <v>52</v>
      </c>
      <c r="H107" s="241"/>
      <c r="I107" s="333"/>
      <c r="J107" s="333"/>
      <c r="K107" s="311"/>
    </row>
    <row r="108" spans="1:12" ht="15" customHeight="1" x14ac:dyDescent="0.25">
      <c r="A108" s="241"/>
      <c r="B108" s="241"/>
      <c r="C108" s="241"/>
      <c r="D108" s="241"/>
      <c r="E108" s="241"/>
      <c r="K108" s="312"/>
    </row>
    <row r="109" spans="1:12" s="46" customFormat="1" ht="15" customHeight="1" x14ac:dyDescent="0.25">
      <c r="A109" s="241"/>
      <c r="B109" s="344" t="s">
        <v>88</v>
      </c>
      <c r="C109" s="169"/>
      <c r="D109" s="303" t="s">
        <v>0</v>
      </c>
      <c r="E109" s="303" t="s">
        <v>1</v>
      </c>
      <c r="F109" s="169"/>
      <c r="G109" s="169"/>
      <c r="H109" s="169"/>
      <c r="I109" s="169"/>
      <c r="J109" s="169"/>
      <c r="K109" s="312"/>
      <c r="L109" s="169"/>
    </row>
    <row r="110" spans="1:12" s="46" customFormat="1" ht="15" customHeight="1" x14ac:dyDescent="0.25">
      <c r="A110" s="241"/>
      <c r="B110" s="344" t="s">
        <v>89</v>
      </c>
      <c r="C110" s="169"/>
      <c r="D110" s="303" t="s">
        <v>25</v>
      </c>
      <c r="E110" s="303" t="s">
        <v>25</v>
      </c>
      <c r="F110" s="169"/>
      <c r="G110" s="169"/>
      <c r="H110" s="169"/>
      <c r="I110" s="169"/>
      <c r="J110" s="169"/>
      <c r="K110" s="312"/>
      <c r="L110" s="169"/>
    </row>
    <row r="111" spans="1:12" s="46" customFormat="1" ht="15" customHeight="1" x14ac:dyDescent="0.25">
      <c r="A111" s="241"/>
      <c r="B111" s="318" t="s">
        <v>86</v>
      </c>
      <c r="C111" s="169"/>
      <c r="D111" s="322">
        <v>750000</v>
      </c>
      <c r="E111" s="322">
        <v>825000</v>
      </c>
      <c r="F111" s="169"/>
      <c r="G111" s="169"/>
      <c r="H111" s="169"/>
      <c r="I111" s="169"/>
      <c r="J111" s="169"/>
      <c r="K111" s="312"/>
      <c r="L111" s="169"/>
    </row>
    <row r="112" spans="1:12" s="46" customFormat="1" ht="15" customHeight="1" x14ac:dyDescent="0.25">
      <c r="A112" s="241"/>
      <c r="B112" s="318" t="s">
        <v>87</v>
      </c>
      <c r="C112" s="169"/>
      <c r="D112" s="322">
        <v>750000</v>
      </c>
      <c r="E112" s="322">
        <v>900000</v>
      </c>
      <c r="F112" s="169"/>
      <c r="G112" s="169"/>
      <c r="H112" s="169"/>
      <c r="I112" s="169"/>
      <c r="J112" s="169"/>
      <c r="K112" s="312"/>
      <c r="L112" s="169"/>
    </row>
    <row r="113" spans="1:12" s="46" customFormat="1" ht="15" customHeight="1" x14ac:dyDescent="0.25">
      <c r="A113" s="241"/>
      <c r="B113" s="345"/>
      <c r="C113" s="169"/>
      <c r="D113" s="169"/>
      <c r="E113" s="169"/>
      <c r="F113" s="169"/>
      <c r="G113" s="169"/>
      <c r="H113" s="169"/>
      <c r="I113" s="169"/>
      <c r="J113" s="169"/>
      <c r="K113" s="312"/>
      <c r="L113" s="169"/>
    </row>
    <row r="114" spans="1:12" s="46" customFormat="1" ht="15" customHeight="1" x14ac:dyDescent="0.25">
      <c r="A114" s="241"/>
      <c r="B114" s="344"/>
      <c r="C114" s="169"/>
      <c r="D114" s="303" t="s">
        <v>0</v>
      </c>
      <c r="E114" s="303" t="s">
        <v>1</v>
      </c>
      <c r="F114" s="169"/>
      <c r="G114" s="169"/>
      <c r="H114" s="169"/>
      <c r="I114" s="169"/>
      <c r="J114" s="169"/>
      <c r="K114" s="312"/>
      <c r="L114" s="169"/>
    </row>
    <row r="115" spans="1:12" s="46" customFormat="1" ht="15" customHeight="1" x14ac:dyDescent="0.25">
      <c r="A115" s="241"/>
      <c r="B115" s="344" t="s">
        <v>90</v>
      </c>
      <c r="C115" s="169"/>
      <c r="D115" s="303" t="s">
        <v>25</v>
      </c>
      <c r="E115" s="303" t="s">
        <v>25</v>
      </c>
      <c r="F115" s="169"/>
      <c r="G115" s="169"/>
      <c r="H115" s="169"/>
      <c r="I115" s="169"/>
      <c r="J115" s="169"/>
      <c r="K115" s="312"/>
      <c r="L115" s="169"/>
    </row>
    <row r="116" spans="1:12" s="46" customFormat="1" ht="15" customHeight="1" x14ac:dyDescent="0.25">
      <c r="A116" s="241"/>
      <c r="B116" s="318" t="s">
        <v>91</v>
      </c>
      <c r="C116" s="169"/>
      <c r="D116" s="322">
        <f>+F104</f>
        <v>9100000</v>
      </c>
      <c r="E116" s="322">
        <f>+G104</f>
        <v>9425000</v>
      </c>
      <c r="F116" s="169"/>
      <c r="G116" s="169"/>
      <c r="H116" s="169"/>
      <c r="I116" s="169"/>
      <c r="J116" s="169"/>
      <c r="K116" s="312"/>
      <c r="L116" s="169"/>
    </row>
    <row r="117" spans="1:12" s="46" customFormat="1" ht="15" customHeight="1" x14ac:dyDescent="0.25">
      <c r="A117" s="241"/>
      <c r="B117" s="318" t="s">
        <v>92</v>
      </c>
      <c r="C117" s="169"/>
      <c r="D117" s="322">
        <f>+'Secc 6'!D102</f>
        <v>7400000</v>
      </c>
      <c r="E117" s="322">
        <f>+'Secc 6'!E102</f>
        <v>7500000</v>
      </c>
      <c r="F117" s="169"/>
      <c r="G117" s="169"/>
      <c r="H117" s="169"/>
      <c r="I117" s="169"/>
      <c r="J117" s="169"/>
      <c r="K117" s="312"/>
      <c r="L117" s="169"/>
    </row>
    <row r="118" spans="1:12" s="46" customFormat="1" ht="15" customHeight="1" x14ac:dyDescent="0.25">
      <c r="A118" s="241"/>
      <c r="B118" s="346" t="s">
        <v>9</v>
      </c>
      <c r="C118" s="169"/>
      <c r="D118" s="347">
        <f>+D116-D117</f>
        <v>1700000</v>
      </c>
      <c r="E118" s="347">
        <f>+E116-E117</f>
        <v>1925000</v>
      </c>
      <c r="F118" s="169"/>
      <c r="G118" s="169"/>
      <c r="H118" s="169"/>
      <c r="I118" s="169"/>
      <c r="J118" s="169"/>
      <c r="K118" s="312"/>
      <c r="L118" s="169"/>
    </row>
    <row r="119" spans="1:12" ht="15" customHeight="1" x14ac:dyDescent="0.25">
      <c r="A119" s="241"/>
      <c r="B119" s="169"/>
      <c r="K119" s="312"/>
    </row>
    <row r="120" spans="1:12" s="3" customFormat="1" ht="15" customHeight="1" x14ac:dyDescent="0.2">
      <c r="A120" s="241"/>
      <c r="B120" s="169"/>
      <c r="C120" s="169"/>
      <c r="D120" s="169"/>
      <c r="E120" s="169"/>
      <c r="F120" s="169"/>
      <c r="G120" s="169"/>
      <c r="H120" s="169"/>
      <c r="I120" s="169"/>
      <c r="J120" s="169"/>
      <c r="K120" s="169"/>
      <c r="L120" s="169"/>
    </row>
    <row r="121" spans="1:12" ht="15" customHeight="1" x14ac:dyDescent="0.25">
      <c r="A121" s="373" t="s">
        <v>346</v>
      </c>
      <c r="B121" s="375"/>
      <c r="C121" s="374"/>
      <c r="D121" s="374"/>
      <c r="E121" s="374"/>
      <c r="F121" s="374"/>
      <c r="G121" s="374"/>
      <c r="H121" s="374"/>
      <c r="I121" s="374"/>
      <c r="J121" s="374"/>
      <c r="K121" s="374"/>
      <c r="L121" s="374"/>
    </row>
    <row r="122" spans="1:12" s="87" customFormat="1" ht="15" customHeight="1" x14ac:dyDescent="0.25">
      <c r="A122" s="373" t="s">
        <v>347</v>
      </c>
      <c r="B122" s="379"/>
      <c r="C122" s="374"/>
      <c r="D122" s="374"/>
      <c r="E122" s="374"/>
      <c r="F122" s="374"/>
      <c r="G122" s="374"/>
      <c r="H122" s="374"/>
      <c r="I122" s="374"/>
      <c r="J122" s="374"/>
      <c r="K122" s="374"/>
      <c r="L122" s="374"/>
    </row>
    <row r="123" spans="1:12" s="88" customFormat="1" ht="15" customHeight="1" x14ac:dyDescent="0.2">
      <c r="A123" s="241"/>
      <c r="B123" s="241"/>
      <c r="C123" s="311" t="s">
        <v>348</v>
      </c>
      <c r="D123" s="241"/>
      <c r="E123" s="241"/>
      <c r="F123" s="241"/>
      <c r="G123" s="241"/>
      <c r="H123" s="241"/>
      <c r="I123" s="241"/>
      <c r="J123" s="241"/>
      <c r="K123" s="241"/>
      <c r="L123" s="241"/>
    </row>
    <row r="124" spans="1:12" s="57" customFormat="1" ht="30.75" customHeight="1" x14ac:dyDescent="0.2">
      <c r="A124" s="241"/>
      <c r="B124" s="241"/>
      <c r="C124" s="452" t="s">
        <v>104</v>
      </c>
      <c r="D124" s="295" t="s">
        <v>105</v>
      </c>
      <c r="E124" s="348" t="s">
        <v>106</v>
      </c>
      <c r="F124" s="295" t="s">
        <v>109</v>
      </c>
      <c r="G124" s="295" t="s">
        <v>107</v>
      </c>
      <c r="H124" s="349" t="s">
        <v>108</v>
      </c>
      <c r="I124" s="241"/>
      <c r="J124" s="241"/>
      <c r="K124" s="241"/>
      <c r="L124" s="241"/>
    </row>
    <row r="125" spans="1:12" s="57" customFormat="1" ht="15" customHeight="1" x14ac:dyDescent="0.2">
      <c r="A125" s="241"/>
      <c r="B125" s="241"/>
      <c r="C125" s="453"/>
      <c r="D125" s="296" t="s">
        <v>25</v>
      </c>
      <c r="E125" s="350" t="s">
        <v>25</v>
      </c>
      <c r="F125" s="296" t="s">
        <v>25</v>
      </c>
      <c r="G125" s="296" t="s">
        <v>25</v>
      </c>
      <c r="H125" s="351" t="s">
        <v>25</v>
      </c>
      <c r="I125" s="241"/>
      <c r="J125" s="241"/>
      <c r="K125" s="241"/>
      <c r="L125" s="241"/>
    </row>
    <row r="126" spans="1:12" s="57" customFormat="1" ht="15" customHeight="1" x14ac:dyDescent="0.2">
      <c r="A126" s="241"/>
      <c r="B126" s="241"/>
      <c r="C126" s="352">
        <v>0</v>
      </c>
      <c r="D126" s="353">
        <v>100000000</v>
      </c>
      <c r="E126" s="353">
        <v>-3000000</v>
      </c>
      <c r="F126" s="354">
        <v>0</v>
      </c>
      <c r="G126" s="354">
        <v>0</v>
      </c>
      <c r="H126" s="353">
        <f t="shared" ref="H126:H131" si="2">SUM(D126:G126)</f>
        <v>97000000</v>
      </c>
      <c r="I126" s="241"/>
      <c r="J126" s="241"/>
      <c r="K126" s="241"/>
      <c r="L126" s="241"/>
    </row>
    <row r="127" spans="1:12" s="57" customFormat="1" ht="15" customHeight="1" x14ac:dyDescent="0.2">
      <c r="A127" s="241"/>
      <c r="B127" s="241"/>
      <c r="C127" s="352">
        <v>1</v>
      </c>
      <c r="D127" s="354">
        <v>0</v>
      </c>
      <c r="E127" s="354">
        <v>0</v>
      </c>
      <c r="F127" s="353">
        <v>-6000000</v>
      </c>
      <c r="G127" s="354">
        <v>0</v>
      </c>
      <c r="H127" s="353">
        <f t="shared" si="2"/>
        <v>-6000000</v>
      </c>
      <c r="I127" s="241"/>
      <c r="J127" s="241"/>
      <c r="K127" s="241"/>
      <c r="L127" s="241"/>
    </row>
    <row r="128" spans="1:12" s="57" customFormat="1" ht="15" customHeight="1" x14ac:dyDescent="0.2">
      <c r="A128" s="241"/>
      <c r="B128" s="241"/>
      <c r="C128" s="352">
        <v>2</v>
      </c>
      <c r="D128" s="354">
        <v>0</v>
      </c>
      <c r="E128" s="354">
        <v>0</v>
      </c>
      <c r="F128" s="353">
        <v>-6000000</v>
      </c>
      <c r="G128" s="354">
        <v>0</v>
      </c>
      <c r="H128" s="353">
        <f t="shared" si="2"/>
        <v>-6000000</v>
      </c>
      <c r="I128" s="241"/>
      <c r="J128" s="241"/>
      <c r="K128" s="241"/>
      <c r="L128" s="241"/>
    </row>
    <row r="129" spans="1:12" s="57" customFormat="1" ht="15" customHeight="1" x14ac:dyDescent="0.2">
      <c r="A129" s="241"/>
      <c r="B129" s="241"/>
      <c r="C129" s="352">
        <v>3</v>
      </c>
      <c r="D129" s="354">
        <v>0</v>
      </c>
      <c r="E129" s="354">
        <v>0</v>
      </c>
      <c r="F129" s="353">
        <v>-6000000</v>
      </c>
      <c r="G129" s="354">
        <v>0</v>
      </c>
      <c r="H129" s="353">
        <f t="shared" si="2"/>
        <v>-6000000</v>
      </c>
      <c r="I129" s="241"/>
      <c r="J129" s="241"/>
      <c r="K129" s="241"/>
      <c r="L129" s="241"/>
    </row>
    <row r="130" spans="1:12" s="57" customFormat="1" ht="15" customHeight="1" x14ac:dyDescent="0.2">
      <c r="A130" s="241"/>
      <c r="B130" s="241"/>
      <c r="C130" s="352">
        <v>4</v>
      </c>
      <c r="D130" s="354">
        <v>0</v>
      </c>
      <c r="E130" s="354">
        <v>0</v>
      </c>
      <c r="F130" s="353">
        <v>-6000000</v>
      </c>
      <c r="G130" s="354">
        <v>0</v>
      </c>
      <c r="H130" s="353">
        <f t="shared" si="2"/>
        <v>-6000000</v>
      </c>
      <c r="I130" s="241"/>
      <c r="J130" s="241"/>
      <c r="K130" s="241"/>
      <c r="L130" s="241"/>
    </row>
    <row r="131" spans="1:12" s="57" customFormat="1" ht="15" customHeight="1" x14ac:dyDescent="0.2">
      <c r="A131" s="241"/>
      <c r="B131" s="241"/>
      <c r="C131" s="352">
        <v>5</v>
      </c>
      <c r="D131" s="354">
        <v>0</v>
      </c>
      <c r="E131" s="354">
        <v>0</v>
      </c>
      <c r="F131" s="353">
        <v>-6000000</v>
      </c>
      <c r="G131" s="353">
        <v>-100000000</v>
      </c>
      <c r="H131" s="353">
        <f t="shared" si="2"/>
        <v>-106000000</v>
      </c>
      <c r="I131" s="241"/>
      <c r="J131" s="241"/>
      <c r="K131" s="241"/>
      <c r="L131" s="241"/>
    </row>
    <row r="132" spans="1:12" s="57" customFormat="1" ht="15" customHeight="1" x14ac:dyDescent="0.2">
      <c r="A132" s="241"/>
      <c r="B132" s="241"/>
      <c r="C132" s="169"/>
      <c r="D132" s="355">
        <f>SUM(D126:D131)</f>
        <v>100000000</v>
      </c>
      <c r="E132" s="355">
        <f>SUM(E126:E131)</f>
        <v>-3000000</v>
      </c>
      <c r="F132" s="355">
        <f>SUM(F126:F131)</f>
        <v>-30000000</v>
      </c>
      <c r="G132" s="355">
        <f>SUM(G126:G131)</f>
        <v>-100000000</v>
      </c>
      <c r="H132" s="356">
        <f>IRR(H126:H131)</f>
        <v>6.726318515108809E-2</v>
      </c>
      <c r="I132" s="241"/>
      <c r="J132" s="241"/>
      <c r="K132" s="241"/>
      <c r="L132" s="241"/>
    </row>
    <row r="133" spans="1:12" s="57" customFormat="1" ht="15" customHeight="1" x14ac:dyDescent="0.2">
      <c r="A133" s="241"/>
      <c r="B133" s="241"/>
      <c r="C133" s="241"/>
      <c r="D133" s="241"/>
      <c r="E133" s="241"/>
      <c r="F133" s="241"/>
      <c r="G133" s="241"/>
      <c r="H133" s="241"/>
      <c r="I133" s="241"/>
      <c r="J133" s="241"/>
      <c r="K133" s="241"/>
      <c r="L133" s="241"/>
    </row>
    <row r="134" spans="1:12" s="88" customFormat="1" ht="15" customHeight="1" x14ac:dyDescent="0.2">
      <c r="A134" s="241"/>
      <c r="B134" s="241"/>
      <c r="C134" s="311" t="s">
        <v>349</v>
      </c>
      <c r="D134" s="241"/>
      <c r="E134" s="241"/>
      <c r="F134" s="241"/>
      <c r="G134" s="241"/>
      <c r="H134" s="241"/>
      <c r="I134" s="241"/>
      <c r="J134" s="169"/>
      <c r="K134" s="169"/>
      <c r="L134" s="169"/>
    </row>
    <row r="135" spans="1:12" s="3" customFormat="1" ht="15" customHeight="1" x14ac:dyDescent="0.2">
      <c r="A135" s="241"/>
      <c r="B135" s="311"/>
      <c r="C135" s="241"/>
      <c r="D135" s="241"/>
      <c r="E135" s="241"/>
      <c r="F135" s="241"/>
      <c r="G135" s="241"/>
      <c r="H135" s="241"/>
      <c r="I135" s="241"/>
      <c r="J135" s="169"/>
      <c r="K135" s="169"/>
      <c r="L135" s="169"/>
    </row>
    <row r="136" spans="1:12" s="57" customFormat="1" ht="15" customHeight="1" x14ac:dyDescent="0.2">
      <c r="A136" s="241"/>
      <c r="B136" s="311"/>
      <c r="C136" s="241"/>
      <c r="D136" s="357" t="s">
        <v>34</v>
      </c>
      <c r="E136" s="357" t="s">
        <v>111</v>
      </c>
      <c r="F136" s="358"/>
      <c r="G136" s="357" t="s">
        <v>34</v>
      </c>
      <c r="H136" s="357"/>
      <c r="I136" s="241"/>
      <c r="J136" s="169"/>
      <c r="K136" s="357" t="s">
        <v>115</v>
      </c>
      <c r="L136" s="169"/>
    </row>
    <row r="137" spans="1:12" s="57" customFormat="1" ht="15" customHeight="1" x14ac:dyDescent="0.2">
      <c r="A137" s="241"/>
      <c r="B137" s="311"/>
      <c r="C137" s="241"/>
      <c r="D137" s="357" t="s">
        <v>110</v>
      </c>
      <c r="E137" s="357" t="s">
        <v>112</v>
      </c>
      <c r="F137" s="358" t="s">
        <v>113</v>
      </c>
      <c r="G137" s="357" t="s">
        <v>114</v>
      </c>
      <c r="H137" s="357" t="s">
        <v>132</v>
      </c>
      <c r="I137" s="241"/>
      <c r="J137" s="169"/>
      <c r="K137" s="357" t="s">
        <v>116</v>
      </c>
      <c r="L137" s="169"/>
    </row>
    <row r="138" spans="1:12" s="57" customFormat="1" ht="15" customHeight="1" x14ac:dyDescent="0.2">
      <c r="A138" s="241"/>
      <c r="B138" s="311"/>
      <c r="C138" s="359" t="s">
        <v>104</v>
      </c>
      <c r="D138" s="296" t="s">
        <v>25</v>
      </c>
      <c r="E138" s="350" t="s">
        <v>25</v>
      </c>
      <c r="F138" s="296" t="s">
        <v>25</v>
      </c>
      <c r="G138" s="296" t="s">
        <v>25</v>
      </c>
      <c r="H138" s="296" t="s">
        <v>25</v>
      </c>
      <c r="I138" s="296" t="s">
        <v>128</v>
      </c>
      <c r="J138" s="169"/>
      <c r="K138" s="296" t="s">
        <v>25</v>
      </c>
      <c r="L138" s="169"/>
    </row>
    <row r="139" spans="1:12" s="57" customFormat="1" ht="15" customHeight="1" x14ac:dyDescent="0.2">
      <c r="A139" s="241"/>
      <c r="B139" s="311"/>
      <c r="C139" s="352">
        <v>1</v>
      </c>
      <c r="D139" s="360">
        <f>H126</f>
        <v>97000000</v>
      </c>
      <c r="E139" s="360">
        <f>D139*$H$132</f>
        <v>6524528.9596555447</v>
      </c>
      <c r="F139" s="361">
        <f>+H127</f>
        <v>-6000000</v>
      </c>
      <c r="G139" s="360">
        <f>+D139+E139+F139</f>
        <v>97524528.959655538</v>
      </c>
      <c r="H139" s="354">
        <f>+K139-G139</f>
        <v>2475471.0403444618</v>
      </c>
      <c r="I139" s="362" t="s">
        <v>131</v>
      </c>
      <c r="J139" s="169"/>
      <c r="K139" s="354">
        <f>+D126</f>
        <v>100000000</v>
      </c>
      <c r="L139" s="169"/>
    </row>
    <row r="140" spans="1:12" s="57" customFormat="1" ht="15" customHeight="1" x14ac:dyDescent="0.2">
      <c r="A140" s="241"/>
      <c r="B140" s="311"/>
      <c r="C140" s="352">
        <v>2</v>
      </c>
      <c r="D140" s="360">
        <f>+G139</f>
        <v>97524528.959655538</v>
      </c>
      <c r="E140" s="360">
        <f>D140*$H$132</f>
        <v>6559810.4481859626</v>
      </c>
      <c r="F140" s="361">
        <f>+H128</f>
        <v>-6000000</v>
      </c>
      <c r="G140" s="360">
        <f>+D140+E140+F140</f>
        <v>98084339.407841504</v>
      </c>
      <c r="H140" s="354">
        <f>+K140-G140</f>
        <v>1915660.5921584964</v>
      </c>
      <c r="I140" s="320" t="s">
        <v>131</v>
      </c>
      <c r="J140" s="169"/>
      <c r="K140" s="354">
        <f>+K139</f>
        <v>100000000</v>
      </c>
      <c r="L140" s="169"/>
    </row>
    <row r="141" spans="1:12" s="57" customFormat="1" ht="15" customHeight="1" x14ac:dyDescent="0.2">
      <c r="A141" s="241"/>
      <c r="B141" s="311"/>
      <c r="C141" s="352">
        <v>3</v>
      </c>
      <c r="D141" s="360">
        <f>+G140</f>
        <v>98084339.407841504</v>
      </c>
      <c r="E141" s="360">
        <f>D141*$H$132</f>
        <v>6597465.0820118086</v>
      </c>
      <c r="F141" s="361">
        <f>+H129</f>
        <v>-6000000</v>
      </c>
      <c r="G141" s="360">
        <f>+D141+E141+F141</f>
        <v>98681804.489853308</v>
      </c>
      <c r="H141" s="354">
        <f>+K141-G141</f>
        <v>1318195.5101466924</v>
      </c>
      <c r="I141" s="363"/>
      <c r="J141" s="169"/>
      <c r="K141" s="354">
        <f>+K140</f>
        <v>100000000</v>
      </c>
      <c r="L141" s="169"/>
    </row>
    <row r="142" spans="1:12" s="57" customFormat="1" ht="15" customHeight="1" x14ac:dyDescent="0.2">
      <c r="A142" s="241"/>
      <c r="B142" s="311"/>
      <c r="C142" s="352">
        <v>4</v>
      </c>
      <c r="D142" s="360">
        <f>+G141</f>
        <v>98681804.489853308</v>
      </c>
      <c r="E142" s="360">
        <f>D142*$H$132</f>
        <v>6637652.4864444789</v>
      </c>
      <c r="F142" s="361">
        <f>+H130</f>
        <v>-6000000</v>
      </c>
      <c r="G142" s="360">
        <f>+D142+E142+F142</f>
        <v>99319456.976297781</v>
      </c>
      <c r="H142" s="354">
        <f>+K142-G142</f>
        <v>680543.02370221913</v>
      </c>
      <c r="I142" s="364"/>
      <c r="J142" s="169"/>
      <c r="K142" s="354">
        <f>+K141</f>
        <v>100000000</v>
      </c>
      <c r="L142" s="169"/>
    </row>
    <row r="143" spans="1:12" s="57" customFormat="1" ht="15" customHeight="1" x14ac:dyDescent="0.2">
      <c r="A143" s="241"/>
      <c r="B143" s="311"/>
      <c r="C143" s="352">
        <v>5</v>
      </c>
      <c r="D143" s="360">
        <f>+G142</f>
        <v>99319456.976297781</v>
      </c>
      <c r="E143" s="360">
        <f>D143*$H$132</f>
        <v>6680543.0237022452</v>
      </c>
      <c r="F143" s="361">
        <f>+H131</f>
        <v>-106000000</v>
      </c>
      <c r="G143" s="360">
        <f>+D143+E143+F143</f>
        <v>0</v>
      </c>
      <c r="H143" s="241"/>
      <c r="I143" s="241"/>
      <c r="J143" s="241"/>
      <c r="K143" s="354">
        <v>0</v>
      </c>
      <c r="L143" s="169"/>
    </row>
    <row r="144" spans="1:12" s="57" customFormat="1" ht="15" customHeight="1" x14ac:dyDescent="0.2">
      <c r="A144" s="241"/>
      <c r="B144" s="311"/>
      <c r="C144" s="241"/>
      <c r="D144" s="241"/>
      <c r="E144" s="365">
        <f>SUM(E139:E143)</f>
        <v>33000000.000000041</v>
      </c>
      <c r="F144" s="241"/>
      <c r="G144" s="366"/>
      <c r="H144" s="241"/>
      <c r="I144" s="241"/>
      <c r="J144" s="241"/>
      <c r="K144" s="366" t="s">
        <v>19</v>
      </c>
      <c r="L144" s="241"/>
    </row>
    <row r="145" spans="1:12" s="3" customFormat="1" ht="15" customHeight="1" x14ac:dyDescent="0.2">
      <c r="A145" s="241"/>
      <c r="B145" s="311"/>
      <c r="C145" s="241"/>
      <c r="D145" s="241"/>
      <c r="E145" s="241"/>
      <c r="F145" s="241"/>
      <c r="G145" s="241"/>
      <c r="H145" s="241"/>
      <c r="I145" s="241"/>
      <c r="J145" s="241"/>
      <c r="K145" s="241"/>
      <c r="L145" s="241"/>
    </row>
    <row r="146" spans="1:12" ht="15" customHeight="1" x14ac:dyDescent="0.25">
      <c r="A146" s="373" t="s">
        <v>342</v>
      </c>
      <c r="B146" s="375"/>
      <c r="C146" s="373"/>
      <c r="D146" s="373"/>
      <c r="E146" s="374"/>
      <c r="F146" s="374"/>
      <c r="G146" s="374"/>
      <c r="H146" s="374"/>
      <c r="I146" s="374"/>
      <c r="J146" s="374"/>
      <c r="K146" s="374"/>
      <c r="L146" s="374"/>
    </row>
    <row r="147" spans="1:12" ht="15" customHeight="1" x14ac:dyDescent="0.25">
      <c r="A147" s="378" t="s">
        <v>343</v>
      </c>
      <c r="B147" s="375"/>
      <c r="C147" s="378"/>
      <c r="D147" s="378"/>
      <c r="E147" s="374"/>
      <c r="F147" s="374"/>
      <c r="G147" s="374"/>
      <c r="H147" s="374"/>
      <c r="I147" s="374"/>
      <c r="J147" s="374"/>
      <c r="K147" s="374"/>
      <c r="L147" s="374"/>
    </row>
    <row r="148" spans="1:12" ht="15" customHeight="1" x14ac:dyDescent="0.25">
      <c r="A148" s="241"/>
      <c r="B148" s="180" t="s">
        <v>344</v>
      </c>
      <c r="C148" s="181"/>
      <c r="D148" s="181"/>
      <c r="E148" s="301">
        <v>42004</v>
      </c>
      <c r="F148" s="241"/>
      <c r="G148" s="241"/>
      <c r="H148" s="241"/>
      <c r="I148" s="241"/>
      <c r="J148" s="241"/>
      <c r="K148" s="241"/>
      <c r="L148" s="241"/>
    </row>
    <row r="149" spans="1:12" ht="15" customHeight="1" x14ac:dyDescent="0.25">
      <c r="A149" s="241"/>
      <c r="B149" s="183"/>
      <c r="C149" s="184"/>
      <c r="D149" s="184"/>
      <c r="E149" s="303" t="s">
        <v>25</v>
      </c>
      <c r="F149" s="241"/>
      <c r="G149" s="241"/>
      <c r="H149" s="241"/>
      <c r="I149" s="241"/>
      <c r="J149" s="241"/>
      <c r="K149" s="241"/>
      <c r="L149" s="241"/>
    </row>
    <row r="150" spans="1:12" ht="15" customHeight="1" x14ac:dyDescent="0.25">
      <c r="A150" s="241"/>
      <c r="B150" s="367" t="s">
        <v>64</v>
      </c>
      <c r="C150" s="291"/>
      <c r="D150" s="292"/>
      <c r="E150" s="305">
        <v>2200000</v>
      </c>
      <c r="F150" s="241"/>
      <c r="G150" s="241"/>
      <c r="H150" s="241"/>
      <c r="I150" s="241"/>
      <c r="J150" s="241"/>
      <c r="K150" s="241"/>
      <c r="L150" s="241"/>
    </row>
    <row r="151" spans="1:12" ht="15" customHeight="1" x14ac:dyDescent="0.25">
      <c r="A151" s="241"/>
      <c r="B151" s="367" t="s">
        <v>70</v>
      </c>
      <c r="C151" s="291"/>
      <c r="D151" s="292"/>
      <c r="E151" s="305">
        <v>500000</v>
      </c>
      <c r="F151" s="241"/>
      <c r="G151" s="241"/>
      <c r="H151" s="241"/>
      <c r="I151" s="241"/>
      <c r="J151" s="241"/>
      <c r="K151" s="241"/>
      <c r="L151" s="241"/>
    </row>
    <row r="152" spans="1:12" ht="15" customHeight="1" x14ac:dyDescent="0.25">
      <c r="A152" s="241"/>
      <c r="B152" s="367" t="s">
        <v>71</v>
      </c>
      <c r="C152" s="291"/>
      <c r="D152" s="292"/>
      <c r="E152" s="305">
        <v>300000</v>
      </c>
      <c r="F152" s="241"/>
      <c r="G152" s="241"/>
      <c r="H152" s="241"/>
      <c r="I152" s="241"/>
      <c r="J152" s="241"/>
      <c r="K152" s="241"/>
      <c r="L152" s="241"/>
    </row>
    <row r="153" spans="1:12" ht="15" customHeight="1" x14ac:dyDescent="0.25">
      <c r="A153" s="241"/>
      <c r="B153" s="368" t="s">
        <v>67</v>
      </c>
      <c r="C153" s="369"/>
      <c r="D153" s="370"/>
      <c r="E153" s="371">
        <f>SUM(E150:E152)</f>
        <v>3000000</v>
      </c>
      <c r="F153" s="241"/>
      <c r="G153" s="241"/>
      <c r="H153" s="241"/>
      <c r="I153" s="241"/>
      <c r="J153" s="241"/>
      <c r="K153" s="241"/>
      <c r="L153" s="241"/>
    </row>
    <row r="154" spans="1:12" ht="15" customHeight="1" x14ac:dyDescent="0.25">
      <c r="A154" s="241"/>
      <c r="B154" s="270"/>
      <c r="C154" s="241"/>
      <c r="D154" s="241"/>
      <c r="E154" s="241"/>
      <c r="F154" s="241"/>
      <c r="G154" s="241"/>
      <c r="H154" s="241"/>
      <c r="I154" s="241"/>
      <c r="J154" s="241"/>
      <c r="K154" s="241"/>
      <c r="L154" s="241"/>
    </row>
    <row r="155" spans="1:12" ht="15" customHeight="1" x14ac:dyDescent="0.25">
      <c r="A155" s="241"/>
      <c r="B155" s="270"/>
      <c r="C155" s="241"/>
      <c r="D155" s="241"/>
      <c r="E155" s="241"/>
      <c r="F155" s="241"/>
      <c r="G155" s="241"/>
      <c r="H155" s="241"/>
      <c r="I155" s="241"/>
      <c r="J155" s="241"/>
      <c r="K155" s="241"/>
      <c r="L155" s="241"/>
    </row>
    <row r="156" spans="1:12" ht="15" customHeight="1" x14ac:dyDescent="0.25">
      <c r="A156" s="372"/>
      <c r="B156" s="376"/>
      <c r="C156" s="372"/>
      <c r="D156" s="372"/>
      <c r="E156" s="372"/>
      <c r="F156" s="372"/>
      <c r="G156" s="372"/>
      <c r="H156" s="372"/>
      <c r="I156" s="372"/>
      <c r="J156" s="372"/>
      <c r="K156" s="372"/>
      <c r="L156" s="372"/>
    </row>
    <row r="157" spans="1:12" ht="15" hidden="1" customHeight="1" x14ac:dyDescent="0.25">
      <c r="A157" s="241"/>
      <c r="B157" s="270"/>
      <c r="C157" s="241"/>
      <c r="D157" s="241"/>
      <c r="E157" s="241"/>
      <c r="F157" s="241"/>
      <c r="G157" s="241"/>
      <c r="H157" s="241"/>
      <c r="I157" s="241"/>
      <c r="J157" s="241"/>
      <c r="K157" s="241"/>
      <c r="L157" s="241"/>
    </row>
  </sheetData>
  <mergeCells count="5">
    <mergeCell ref="D86:E86"/>
    <mergeCell ref="F86:G86"/>
    <mergeCell ref="H86:I86"/>
    <mergeCell ref="C124:C125"/>
    <mergeCell ref="A1:XFD2"/>
  </mergeCells>
  <pageMargins left="0.7" right="0.7" top="0.75" bottom="0.75" header="0.3" footer="0.3"/>
  <pageSetup paperSize="9" orientation="portrait" horizontalDpi="200" verticalDpi="200" r:id="rId1"/>
  <ignoredErrors>
    <ignoredError sqref="F107:G10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30"/>
  <sheetViews>
    <sheetView zoomScale="90" zoomScaleNormal="90" workbookViewId="0">
      <selection activeCell="S2" sqref="S2"/>
    </sheetView>
  </sheetViews>
  <sheetFormatPr baseColWidth="10" defaultColWidth="0" defaultRowHeight="15" customHeight="1" zeroHeight="1" x14ac:dyDescent="0.25"/>
  <cols>
    <col min="1" max="1" width="11.42578125" style="57" customWidth="1"/>
    <col min="2" max="2" width="16.28515625" style="57" customWidth="1"/>
    <col min="3" max="3" width="8.140625" style="57" customWidth="1"/>
    <col min="4" max="4" width="15.85546875" style="57" bestFit="1" customWidth="1"/>
    <col min="5" max="5" width="13.7109375" style="57" bestFit="1" customWidth="1"/>
    <col min="6" max="6" width="0.7109375" style="57" customWidth="1"/>
    <col min="7" max="7" width="13.7109375" style="57" bestFit="1" customWidth="1"/>
    <col min="8" max="8" width="4.5703125" style="67" customWidth="1"/>
    <col min="9" max="9" width="11.42578125" style="57" customWidth="1"/>
    <col min="10" max="10" width="18" style="57" customWidth="1"/>
    <col min="11" max="11" width="13.42578125" style="57" customWidth="1"/>
    <col min="12" max="12" width="14.7109375" style="57" customWidth="1"/>
    <col min="13" max="13" width="1.28515625" style="57" customWidth="1"/>
    <col min="14" max="14" width="10.7109375" style="57" customWidth="1"/>
    <col min="15" max="15" width="0.7109375" style="57" customWidth="1"/>
    <col min="16" max="16" width="10.7109375" style="57" customWidth="1"/>
    <col min="17" max="17" width="4.5703125" style="67" customWidth="1"/>
    <col min="18" max="18" width="11.42578125" style="57" customWidth="1"/>
    <col min="19" max="19" width="3.85546875" style="3" customWidth="1"/>
    <col min="20" max="16384" width="11.42578125" style="3" hidden="1"/>
  </cols>
  <sheetData>
    <row r="1" spans="1:19" ht="15" customHeight="1" x14ac:dyDescent="0.2">
      <c r="A1" s="454" t="s">
        <v>367</v>
      </c>
      <c r="B1" s="454"/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454"/>
      <c r="Q1" s="454"/>
      <c r="R1" s="454"/>
      <c r="S1" s="380"/>
    </row>
    <row r="2" spans="1:19" ht="15" customHeight="1" x14ac:dyDescent="0.2">
      <c r="A2" s="454"/>
      <c r="B2" s="454"/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  <c r="O2" s="454"/>
      <c r="P2" s="454"/>
      <c r="Q2" s="454"/>
      <c r="R2" s="454"/>
      <c r="S2" s="380"/>
    </row>
    <row r="3" spans="1:19" ht="15" customHeight="1" x14ac:dyDescent="0.25">
      <c r="A3" s="58"/>
      <c r="B3" s="58"/>
      <c r="C3" s="58"/>
      <c r="D3" s="58"/>
      <c r="E3" s="58"/>
      <c r="F3" s="58"/>
      <c r="G3" s="58"/>
      <c r="H3" s="60"/>
      <c r="I3" s="58"/>
      <c r="J3" s="58"/>
      <c r="K3" s="58"/>
      <c r="L3" s="58"/>
      <c r="M3" s="58"/>
      <c r="N3" s="58"/>
      <c r="O3" s="58"/>
      <c r="P3" s="58"/>
      <c r="Q3" s="60"/>
      <c r="R3" s="58"/>
      <c r="S3" s="380"/>
    </row>
    <row r="4" spans="1:19" ht="15" hidden="1" customHeight="1" x14ac:dyDescent="0.25">
      <c r="A4" s="58"/>
      <c r="B4" s="58"/>
      <c r="C4" s="58"/>
      <c r="D4" s="58"/>
      <c r="E4" s="58"/>
      <c r="F4" s="58"/>
      <c r="G4" s="58"/>
      <c r="H4" s="60"/>
      <c r="I4" s="58"/>
      <c r="J4" s="58"/>
      <c r="K4" s="58"/>
      <c r="L4" s="58"/>
      <c r="M4" s="58"/>
      <c r="N4" s="58"/>
      <c r="O4" s="58"/>
      <c r="P4" s="58"/>
      <c r="Q4" s="60"/>
      <c r="R4" s="58"/>
      <c r="S4" s="380"/>
    </row>
    <row r="5" spans="1:19" ht="15" hidden="1" customHeight="1" x14ac:dyDescent="0.25">
      <c r="A5" s="58"/>
      <c r="B5" s="58"/>
      <c r="C5" s="58"/>
      <c r="D5" s="58"/>
      <c r="E5" s="58"/>
      <c r="F5" s="58"/>
      <c r="G5" s="58"/>
      <c r="H5" s="60"/>
      <c r="I5" s="58"/>
      <c r="J5" s="58"/>
      <c r="K5" s="58"/>
      <c r="L5" s="58"/>
      <c r="M5" s="58"/>
      <c r="N5" s="58"/>
      <c r="O5" s="58"/>
      <c r="P5" s="58"/>
      <c r="Q5" s="60"/>
      <c r="R5" s="58"/>
      <c r="S5" s="380"/>
    </row>
    <row r="6" spans="1:19" ht="15" customHeight="1" x14ac:dyDescent="0.25">
      <c r="A6" s="58"/>
      <c r="B6" s="71" t="s">
        <v>217</v>
      </c>
      <c r="C6" s="72"/>
      <c r="D6" s="72"/>
      <c r="E6" s="72"/>
      <c r="F6" s="72"/>
      <c r="G6" s="72"/>
      <c r="H6" s="60"/>
      <c r="I6" s="58"/>
      <c r="J6" s="71" t="s">
        <v>217</v>
      </c>
      <c r="K6" s="72"/>
      <c r="L6" s="72"/>
      <c r="M6" s="72"/>
      <c r="N6" s="72"/>
      <c r="O6" s="72"/>
      <c r="P6" s="72"/>
      <c r="Q6" s="60"/>
      <c r="R6" s="58"/>
      <c r="S6" s="380"/>
    </row>
    <row r="7" spans="1:19" ht="15" customHeight="1" x14ac:dyDescent="0.25">
      <c r="A7" s="58"/>
      <c r="B7" s="71" t="s">
        <v>291</v>
      </c>
      <c r="C7" s="72"/>
      <c r="D7" s="72"/>
      <c r="E7" s="382" t="s">
        <v>300</v>
      </c>
      <c r="F7" s="382"/>
      <c r="G7" s="382" t="s">
        <v>199</v>
      </c>
      <c r="H7" s="60"/>
      <c r="I7" s="58"/>
      <c r="J7" s="71" t="s">
        <v>291</v>
      </c>
      <c r="K7" s="72"/>
      <c r="L7" s="382" t="s">
        <v>300</v>
      </c>
      <c r="M7" s="72"/>
      <c r="N7" s="382" t="s">
        <v>199</v>
      </c>
      <c r="O7" s="382"/>
      <c r="P7" s="382" t="s">
        <v>301</v>
      </c>
      <c r="Q7" s="60"/>
      <c r="R7" s="58"/>
      <c r="S7" s="380"/>
    </row>
    <row r="8" spans="1:19" ht="15" customHeight="1" x14ac:dyDescent="0.25">
      <c r="A8" s="58"/>
      <c r="B8" s="58" t="s">
        <v>49</v>
      </c>
      <c r="C8" s="58"/>
      <c r="D8" s="58"/>
      <c r="E8" s="82">
        <v>100000</v>
      </c>
      <c r="F8" s="58"/>
      <c r="G8" s="82">
        <v>100000</v>
      </c>
      <c r="H8" s="60" t="s">
        <v>7</v>
      </c>
      <c r="I8" s="58"/>
      <c r="J8" s="58" t="s">
        <v>49</v>
      </c>
      <c r="K8" s="58"/>
      <c r="L8" s="82">
        <v>100000</v>
      </c>
      <c r="M8" s="58"/>
      <c r="N8" s="82">
        <v>100000</v>
      </c>
      <c r="O8" s="58"/>
      <c r="P8" s="82">
        <v>100000</v>
      </c>
      <c r="Q8" s="60" t="s">
        <v>7</v>
      </c>
      <c r="R8" s="58"/>
      <c r="S8" s="380"/>
    </row>
    <row r="9" spans="1:19" ht="15" customHeight="1" x14ac:dyDescent="0.25">
      <c r="A9" s="58"/>
      <c r="B9" s="58" t="s">
        <v>50</v>
      </c>
      <c r="C9" s="58"/>
      <c r="D9" s="58"/>
      <c r="E9" s="83">
        <v>-20000</v>
      </c>
      <c r="F9" s="58"/>
      <c r="G9" s="83">
        <v>-30000</v>
      </c>
      <c r="H9" s="60" t="s">
        <v>19</v>
      </c>
      <c r="I9" s="58"/>
      <c r="J9" s="58" t="s">
        <v>50</v>
      </c>
      <c r="K9" s="58"/>
      <c r="L9" s="83">
        <v>-20000</v>
      </c>
      <c r="M9" s="58"/>
      <c r="N9" s="83">
        <v>-30000</v>
      </c>
      <c r="O9" s="58"/>
      <c r="P9" s="83">
        <v>-32500</v>
      </c>
      <c r="Q9" s="60" t="s">
        <v>19</v>
      </c>
      <c r="R9" s="58"/>
      <c r="S9" s="380"/>
    </row>
    <row r="10" spans="1:19" s="10" customFormat="1" ht="15" customHeight="1" x14ac:dyDescent="0.25">
      <c r="A10" s="60"/>
      <c r="B10" s="60" t="s">
        <v>85</v>
      </c>
      <c r="C10" s="60"/>
      <c r="D10" s="60"/>
      <c r="E10" s="84">
        <f>+E8+E9</f>
        <v>80000</v>
      </c>
      <c r="F10" s="60"/>
      <c r="G10" s="84">
        <f>+G8+G9</f>
        <v>70000</v>
      </c>
      <c r="H10" s="60" t="s">
        <v>15</v>
      </c>
      <c r="I10" s="60"/>
      <c r="J10" s="60" t="s">
        <v>85</v>
      </c>
      <c r="K10" s="60"/>
      <c r="L10" s="84">
        <f>+L8+L9</f>
        <v>80000</v>
      </c>
      <c r="M10" s="60"/>
      <c r="N10" s="84">
        <f>+N8+N9</f>
        <v>70000</v>
      </c>
      <c r="O10" s="60"/>
      <c r="P10" s="84">
        <f>+P8+P9</f>
        <v>67500</v>
      </c>
      <c r="Q10" s="60" t="s">
        <v>15</v>
      </c>
      <c r="R10" s="60"/>
      <c r="S10" s="380"/>
    </row>
    <row r="11" spans="1:19" ht="15" customHeight="1" x14ac:dyDescent="0.25">
      <c r="A11" s="58"/>
      <c r="B11" s="58"/>
      <c r="C11" s="58"/>
      <c r="D11" s="58"/>
      <c r="E11" s="58"/>
      <c r="F11" s="58"/>
      <c r="G11" s="58"/>
      <c r="H11" s="60"/>
      <c r="I11" s="58"/>
      <c r="J11" s="58"/>
      <c r="K11" s="58"/>
      <c r="L11" s="58"/>
      <c r="M11" s="58"/>
      <c r="N11" s="58"/>
      <c r="O11" s="58"/>
      <c r="P11" s="58"/>
      <c r="Q11" s="60"/>
      <c r="R11" s="58"/>
      <c r="S11" s="380"/>
    </row>
    <row r="12" spans="1:19" ht="15" customHeight="1" x14ac:dyDescent="0.25">
      <c r="A12" s="58"/>
      <c r="B12" s="60" t="s">
        <v>292</v>
      </c>
      <c r="C12" s="58"/>
      <c r="D12" s="58"/>
      <c r="E12" s="69" t="s">
        <v>300</v>
      </c>
      <c r="F12" s="69"/>
      <c r="G12" s="69" t="s">
        <v>199</v>
      </c>
      <c r="H12" s="60"/>
      <c r="I12" s="58"/>
      <c r="J12" s="60" t="s">
        <v>292</v>
      </c>
      <c r="K12" s="58"/>
      <c r="L12" s="69" t="s">
        <v>300</v>
      </c>
      <c r="M12" s="58"/>
      <c r="N12" s="69" t="s">
        <v>199</v>
      </c>
      <c r="O12" s="69"/>
      <c r="P12" s="69" t="s">
        <v>301</v>
      </c>
      <c r="Q12" s="60"/>
      <c r="R12" s="58"/>
      <c r="S12" s="380"/>
    </row>
    <row r="13" spans="1:19" ht="15" customHeight="1" x14ac:dyDescent="0.25">
      <c r="A13" s="58"/>
      <c r="B13" s="58" t="s">
        <v>49</v>
      </c>
      <c r="C13" s="58"/>
      <c r="D13" s="58"/>
      <c r="E13" s="82">
        <v>100000</v>
      </c>
      <c r="F13" s="58"/>
      <c r="G13" s="82">
        <v>100000</v>
      </c>
      <c r="H13" s="60" t="s">
        <v>41</v>
      </c>
      <c r="I13" s="58"/>
      <c r="J13" s="58" t="s">
        <v>49</v>
      </c>
      <c r="K13" s="58"/>
      <c r="L13" s="82">
        <v>100000</v>
      </c>
      <c r="M13" s="58"/>
      <c r="N13" s="82">
        <v>100000</v>
      </c>
      <c r="O13" s="58"/>
      <c r="P13" s="82">
        <v>100000</v>
      </c>
      <c r="Q13" s="60" t="s">
        <v>41</v>
      </c>
      <c r="R13" s="58"/>
      <c r="S13" s="380"/>
    </row>
    <row r="14" spans="1:19" ht="15" customHeight="1" x14ac:dyDescent="0.25">
      <c r="A14" s="58"/>
      <c r="B14" s="58" t="s">
        <v>50</v>
      </c>
      <c r="C14" s="58"/>
      <c r="D14" s="58"/>
      <c r="E14" s="83">
        <v>-10000</v>
      </c>
      <c r="F14" s="58"/>
      <c r="G14" s="83">
        <v>-15000</v>
      </c>
      <c r="H14" s="60" t="s">
        <v>42</v>
      </c>
      <c r="I14" s="58"/>
      <c r="J14" s="58" t="s">
        <v>50</v>
      </c>
      <c r="K14" s="58"/>
      <c r="L14" s="83">
        <v>-10000</v>
      </c>
      <c r="M14" s="58"/>
      <c r="N14" s="83">
        <v>-15000</v>
      </c>
      <c r="O14" s="58"/>
      <c r="P14" s="83">
        <v>-16300</v>
      </c>
      <c r="Q14" s="60" t="s">
        <v>42</v>
      </c>
      <c r="R14" s="58"/>
      <c r="S14" s="380"/>
    </row>
    <row r="15" spans="1:19" s="10" customFormat="1" ht="15" customHeight="1" x14ac:dyDescent="0.25">
      <c r="A15" s="60"/>
      <c r="B15" s="60" t="s">
        <v>85</v>
      </c>
      <c r="C15" s="60"/>
      <c r="D15" s="60"/>
      <c r="E15" s="84">
        <f>+E13+E14</f>
        <v>90000</v>
      </c>
      <c r="F15" s="60"/>
      <c r="G15" s="84">
        <f>+G13+G14</f>
        <v>85000</v>
      </c>
      <c r="H15" s="60" t="s">
        <v>293</v>
      </c>
      <c r="I15" s="60"/>
      <c r="J15" s="60" t="s">
        <v>85</v>
      </c>
      <c r="K15" s="60"/>
      <c r="L15" s="84">
        <f>+L13+L14</f>
        <v>90000</v>
      </c>
      <c r="M15" s="60"/>
      <c r="N15" s="84">
        <f>+N13+N14</f>
        <v>85000</v>
      </c>
      <c r="O15" s="60"/>
      <c r="P15" s="84">
        <f>+P13+P14</f>
        <v>83700</v>
      </c>
      <c r="Q15" s="60" t="s">
        <v>293</v>
      </c>
      <c r="R15" s="60"/>
      <c r="S15" s="380"/>
    </row>
    <row r="16" spans="1:19" ht="15" customHeight="1" x14ac:dyDescent="0.25">
      <c r="A16" s="58"/>
      <c r="B16" s="58"/>
      <c r="C16" s="58"/>
      <c r="D16" s="58"/>
      <c r="E16" s="58"/>
      <c r="F16" s="58"/>
      <c r="G16" s="58"/>
      <c r="H16" s="60"/>
      <c r="I16" s="58"/>
      <c r="J16" s="58"/>
      <c r="K16" s="58"/>
      <c r="L16" s="58"/>
      <c r="M16" s="58"/>
      <c r="N16" s="58"/>
      <c r="O16" s="58"/>
      <c r="P16" s="58"/>
      <c r="Q16" s="60"/>
      <c r="R16" s="58"/>
      <c r="S16" s="380"/>
    </row>
    <row r="17" spans="1:19" ht="15" customHeight="1" x14ac:dyDescent="0.25">
      <c r="A17" s="58"/>
      <c r="B17" s="85"/>
      <c r="C17" s="85"/>
      <c r="D17" s="85"/>
      <c r="E17" s="86" t="s">
        <v>23</v>
      </c>
      <c r="F17" s="68"/>
      <c r="G17" s="86" t="s">
        <v>24</v>
      </c>
      <c r="H17" s="60"/>
      <c r="I17" s="58"/>
      <c r="J17" s="85"/>
      <c r="K17" s="85"/>
      <c r="L17" s="85"/>
      <c r="M17" s="85"/>
      <c r="N17" s="86" t="s">
        <v>23</v>
      </c>
      <c r="O17" s="68"/>
      <c r="P17" s="86" t="s">
        <v>24</v>
      </c>
      <c r="Q17" s="60"/>
      <c r="R17" s="58"/>
      <c r="S17" s="380"/>
    </row>
    <row r="18" spans="1:19" ht="15" customHeight="1" x14ac:dyDescent="0.25">
      <c r="A18" s="58"/>
      <c r="B18" s="58" t="s">
        <v>294</v>
      </c>
      <c r="C18" s="58"/>
      <c r="D18" s="60" t="s">
        <v>309</v>
      </c>
      <c r="E18" s="82">
        <f>+G15-G10</f>
        <v>15000</v>
      </c>
      <c r="F18" s="58"/>
      <c r="G18" s="82"/>
      <c r="H18" s="60"/>
      <c r="I18" s="58"/>
      <c r="J18" s="58" t="s">
        <v>294</v>
      </c>
      <c r="K18" s="58"/>
      <c r="L18" s="60" t="s">
        <v>311</v>
      </c>
      <c r="M18" s="60"/>
      <c r="N18" s="82">
        <f>+P15-P10</f>
        <v>16200</v>
      </c>
      <c r="O18" s="58"/>
      <c r="P18" s="82"/>
      <c r="Q18" s="60"/>
      <c r="R18" s="58"/>
      <c r="S18" s="380"/>
    </row>
    <row r="19" spans="1:19" ht="15" customHeight="1" x14ac:dyDescent="0.25">
      <c r="A19" s="58"/>
      <c r="B19" s="58" t="s">
        <v>179</v>
      </c>
      <c r="C19" s="58"/>
      <c r="D19" s="60" t="s">
        <v>309</v>
      </c>
      <c r="E19" s="82"/>
      <c r="F19" s="58"/>
      <c r="G19" s="82">
        <f>+E18</f>
        <v>15000</v>
      </c>
      <c r="H19" s="60"/>
      <c r="I19" s="58"/>
      <c r="J19" s="58" t="s">
        <v>273</v>
      </c>
      <c r="K19" s="58"/>
      <c r="L19" s="60"/>
      <c r="M19" s="60"/>
      <c r="N19" s="82"/>
      <c r="O19" s="58"/>
      <c r="P19" s="82">
        <f>+N18-P20</f>
        <v>1200</v>
      </c>
      <c r="Q19" s="60"/>
      <c r="R19" s="58"/>
      <c r="S19" s="380"/>
    </row>
    <row r="20" spans="1:19" ht="15" customHeight="1" x14ac:dyDescent="0.25">
      <c r="A20" s="58"/>
      <c r="B20" s="58"/>
      <c r="C20" s="58"/>
      <c r="D20" s="58"/>
      <c r="E20" s="82"/>
      <c r="F20" s="58"/>
      <c r="G20" s="82"/>
      <c r="H20" s="60"/>
      <c r="I20" s="58"/>
      <c r="J20" s="58" t="s">
        <v>179</v>
      </c>
      <c r="K20" s="58"/>
      <c r="L20" s="60" t="s">
        <v>309</v>
      </c>
      <c r="M20" s="60"/>
      <c r="N20" s="82"/>
      <c r="O20" s="58"/>
      <c r="P20" s="82">
        <f>+N15-N10</f>
        <v>15000</v>
      </c>
      <c r="Q20" s="60"/>
      <c r="R20" s="58"/>
      <c r="S20" s="380"/>
    </row>
    <row r="21" spans="1:19" ht="15" customHeight="1" x14ac:dyDescent="0.25">
      <c r="A21" s="58"/>
      <c r="B21" s="85"/>
      <c r="C21" s="85"/>
      <c r="D21" s="85"/>
      <c r="E21" s="86" t="s">
        <v>23</v>
      </c>
      <c r="F21" s="68"/>
      <c r="G21" s="86" t="s">
        <v>24</v>
      </c>
      <c r="H21" s="60"/>
      <c r="I21" s="58"/>
      <c r="J21" s="85"/>
      <c r="K21" s="85"/>
      <c r="L21" s="85"/>
      <c r="M21" s="85"/>
      <c r="N21" s="86" t="s">
        <v>23</v>
      </c>
      <c r="O21" s="68"/>
      <c r="P21" s="86" t="s">
        <v>24</v>
      </c>
      <c r="Q21" s="60"/>
      <c r="R21" s="58"/>
      <c r="S21" s="380"/>
    </row>
    <row r="22" spans="1:19" ht="15" customHeight="1" x14ac:dyDescent="0.25">
      <c r="A22" s="58"/>
      <c r="B22" s="58" t="s">
        <v>294</v>
      </c>
      <c r="C22" s="58"/>
      <c r="D22" s="60" t="s">
        <v>310</v>
      </c>
      <c r="E22" s="82">
        <f>+E15-E10</f>
        <v>10000</v>
      </c>
      <c r="F22" s="58"/>
      <c r="G22" s="82"/>
      <c r="H22" s="60"/>
      <c r="I22" s="58"/>
      <c r="J22" s="58" t="s">
        <v>294</v>
      </c>
      <c r="K22" s="58"/>
      <c r="L22" s="60" t="s">
        <v>310</v>
      </c>
      <c r="M22" s="60"/>
      <c r="N22" s="82">
        <f>+L15-L10</f>
        <v>10000</v>
      </c>
      <c r="O22" s="58"/>
      <c r="P22" s="82"/>
      <c r="Q22" s="60"/>
      <c r="R22" s="58"/>
      <c r="S22" s="380"/>
    </row>
    <row r="23" spans="1:19" ht="15" customHeight="1" x14ac:dyDescent="0.25">
      <c r="A23" s="58"/>
      <c r="B23" s="58" t="s">
        <v>179</v>
      </c>
      <c r="C23" s="58"/>
      <c r="D23" s="60" t="s">
        <v>310</v>
      </c>
      <c r="E23" s="82"/>
      <c r="F23" s="58"/>
      <c r="G23" s="82">
        <f>+E22</f>
        <v>10000</v>
      </c>
      <c r="H23" s="60"/>
      <c r="I23" s="58"/>
      <c r="J23" s="58" t="s">
        <v>179</v>
      </c>
      <c r="K23" s="58"/>
      <c r="L23" s="60" t="s">
        <v>310</v>
      </c>
      <c r="M23" s="60"/>
      <c r="N23" s="82"/>
      <c r="O23" s="58"/>
      <c r="P23" s="82">
        <f>+N22</f>
        <v>10000</v>
      </c>
      <c r="Q23" s="60"/>
      <c r="R23" s="58"/>
      <c r="S23" s="380"/>
    </row>
    <row r="24" spans="1:19" ht="15" customHeight="1" x14ac:dyDescent="0.25">
      <c r="A24" s="58"/>
      <c r="B24" s="85"/>
      <c r="C24" s="85"/>
      <c r="D24" s="85"/>
      <c r="E24" s="86" t="s">
        <v>23</v>
      </c>
      <c r="F24" s="68"/>
      <c r="G24" s="86" t="s">
        <v>24</v>
      </c>
      <c r="H24" s="60"/>
      <c r="I24" s="58"/>
      <c r="J24" s="85"/>
      <c r="K24" s="85"/>
      <c r="L24" s="85"/>
      <c r="M24" s="85"/>
      <c r="N24" s="86" t="s">
        <v>23</v>
      </c>
      <c r="O24" s="68"/>
      <c r="P24" s="86" t="s">
        <v>24</v>
      </c>
      <c r="Q24" s="60"/>
      <c r="R24" s="58"/>
      <c r="S24" s="380"/>
    </row>
    <row r="25" spans="1:19" ht="15" customHeight="1" x14ac:dyDescent="0.25">
      <c r="A25" s="58"/>
      <c r="B25" s="58" t="s">
        <v>294</v>
      </c>
      <c r="C25" s="58"/>
      <c r="D25" s="60" t="s">
        <v>309</v>
      </c>
      <c r="E25" s="82">
        <f>+G15-G10</f>
        <v>15000</v>
      </c>
      <c r="F25" s="58"/>
      <c r="G25" s="82"/>
      <c r="H25" s="60"/>
      <c r="I25" s="58"/>
      <c r="J25" s="58" t="s">
        <v>294</v>
      </c>
      <c r="K25" s="58"/>
      <c r="L25" s="60" t="s">
        <v>309</v>
      </c>
      <c r="M25" s="60"/>
      <c r="N25" s="82">
        <f>+N15-N10</f>
        <v>15000</v>
      </c>
      <c r="O25" s="58"/>
      <c r="P25" s="82"/>
      <c r="Q25" s="60"/>
      <c r="R25" s="58"/>
      <c r="S25" s="380"/>
    </row>
    <row r="26" spans="1:19" ht="15" customHeight="1" x14ac:dyDescent="0.25">
      <c r="A26" s="58"/>
      <c r="B26" s="58" t="s">
        <v>273</v>
      </c>
      <c r="C26" s="58"/>
      <c r="D26" s="60"/>
      <c r="E26" s="82"/>
      <c r="F26" s="58"/>
      <c r="G26" s="82">
        <f>+E25-G27</f>
        <v>5000</v>
      </c>
      <c r="H26" s="60"/>
      <c r="I26" s="58"/>
      <c r="J26" s="58" t="s">
        <v>273</v>
      </c>
      <c r="K26" s="58"/>
      <c r="L26" s="60"/>
      <c r="M26" s="60"/>
      <c r="N26" s="82"/>
      <c r="O26" s="58"/>
      <c r="P26" s="82">
        <f>+N25-P27</f>
        <v>5000</v>
      </c>
      <c r="Q26" s="60"/>
      <c r="R26" s="58"/>
      <c r="S26" s="380"/>
    </row>
    <row r="27" spans="1:19" ht="15" customHeight="1" x14ac:dyDescent="0.25">
      <c r="A27" s="58"/>
      <c r="B27" s="58" t="s">
        <v>179</v>
      </c>
      <c r="C27" s="58"/>
      <c r="D27" s="60" t="s">
        <v>310</v>
      </c>
      <c r="E27" s="82"/>
      <c r="F27" s="58"/>
      <c r="G27" s="82">
        <f>+E15-E10</f>
        <v>10000</v>
      </c>
      <c r="H27" s="60"/>
      <c r="I27" s="58"/>
      <c r="J27" s="58" t="s">
        <v>179</v>
      </c>
      <c r="K27" s="58"/>
      <c r="L27" s="60" t="s">
        <v>310</v>
      </c>
      <c r="M27" s="60"/>
      <c r="N27" s="82"/>
      <c r="O27" s="58"/>
      <c r="P27" s="82">
        <f>+L15-L10</f>
        <v>10000</v>
      </c>
      <c r="Q27" s="60"/>
      <c r="R27" s="58"/>
      <c r="S27" s="380"/>
    </row>
    <row r="28" spans="1:19" ht="15" customHeight="1" x14ac:dyDescent="0.25">
      <c r="A28" s="58"/>
      <c r="B28" s="58"/>
      <c r="C28" s="58"/>
      <c r="D28" s="58"/>
      <c r="E28" s="58"/>
      <c r="F28" s="58"/>
      <c r="G28" s="58"/>
      <c r="H28" s="60"/>
      <c r="I28" s="58"/>
      <c r="J28" s="58"/>
      <c r="K28" s="58"/>
      <c r="L28" s="58"/>
      <c r="M28" s="58"/>
      <c r="N28" s="58"/>
      <c r="O28" s="58"/>
      <c r="P28" s="58"/>
      <c r="Q28" s="60"/>
      <c r="R28" s="58"/>
      <c r="S28" s="380"/>
    </row>
    <row r="29" spans="1:19" ht="15" customHeight="1" x14ac:dyDescent="0.25">
      <c r="A29" s="58"/>
      <c r="B29" s="58"/>
      <c r="C29" s="58"/>
      <c r="D29" s="58"/>
      <c r="E29" s="58"/>
      <c r="F29" s="58"/>
      <c r="G29" s="58"/>
      <c r="H29" s="60"/>
      <c r="I29" s="58"/>
      <c r="J29" s="58"/>
      <c r="K29" s="58"/>
      <c r="L29" s="58"/>
      <c r="M29" s="58"/>
      <c r="N29" s="58"/>
      <c r="O29" s="58"/>
      <c r="P29" s="58"/>
      <c r="Q29" s="60"/>
      <c r="R29" s="58"/>
      <c r="S29" s="380"/>
    </row>
    <row r="30" spans="1:19" ht="15" customHeight="1" x14ac:dyDescent="0.25">
      <c r="A30" s="380"/>
      <c r="B30" s="380"/>
      <c r="C30" s="380"/>
      <c r="D30" s="380"/>
      <c r="E30" s="380"/>
      <c r="F30" s="380"/>
      <c r="G30" s="380"/>
      <c r="H30" s="381"/>
      <c r="I30" s="380"/>
      <c r="J30" s="380"/>
      <c r="K30" s="380"/>
      <c r="L30" s="380"/>
      <c r="M30" s="380"/>
      <c r="N30" s="380"/>
      <c r="O30" s="380"/>
      <c r="P30" s="380"/>
      <c r="Q30" s="381"/>
      <c r="R30" s="380"/>
      <c r="S30" s="380"/>
    </row>
  </sheetData>
  <mergeCells count="1">
    <mergeCell ref="A1:R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10"/>
  <sheetViews>
    <sheetView topLeftCell="A83" zoomScale="90" zoomScaleNormal="90" workbookViewId="0">
      <selection activeCell="I89" sqref="I89"/>
    </sheetView>
  </sheetViews>
  <sheetFormatPr baseColWidth="10" defaultColWidth="0" defaultRowHeight="15" zeroHeight="1" x14ac:dyDescent="0.25"/>
  <cols>
    <col min="1" max="1" width="11.42578125" style="70" customWidth="1"/>
    <col min="2" max="2" width="40.85546875" style="57" customWidth="1"/>
    <col min="3" max="3" width="3.7109375" style="57" bestFit="1" customWidth="1"/>
    <col min="4" max="5" width="11.28515625" style="57" bestFit="1" customWidth="1"/>
    <col min="6" max="6" width="3.140625" style="57" bestFit="1" customWidth="1"/>
    <col min="7" max="7" width="11.28515625" style="57" bestFit="1" customWidth="1"/>
    <col min="8" max="8" width="11.42578125" style="57" bestFit="1" customWidth="1"/>
    <col min="9" max="9" width="11.42578125" customWidth="1"/>
    <col min="10" max="10" width="3.85546875" customWidth="1"/>
    <col min="11" max="16384" width="11.42578125" hidden="1"/>
  </cols>
  <sheetData>
    <row r="1" spans="1:10" ht="53.25" customHeight="1" x14ac:dyDescent="0.4">
      <c r="A1" s="455" t="s">
        <v>143</v>
      </c>
      <c r="B1" s="455"/>
      <c r="C1" s="455"/>
      <c r="D1" s="455"/>
      <c r="E1" s="455"/>
      <c r="F1" s="455"/>
      <c r="G1" s="455"/>
      <c r="H1" s="455"/>
      <c r="I1" s="455"/>
      <c r="J1" s="380"/>
    </row>
    <row r="2" spans="1:10" x14ac:dyDescent="0.25">
      <c r="A2" s="383"/>
      <c r="B2" s="383"/>
      <c r="C2" s="383"/>
      <c r="D2" s="383"/>
      <c r="E2" s="383"/>
      <c r="F2" s="383"/>
      <c r="G2" s="383"/>
      <c r="H2" s="383"/>
      <c r="I2" s="383"/>
      <c r="J2" s="380"/>
    </row>
    <row r="3" spans="1:10" s="46" customFormat="1" x14ac:dyDescent="0.25">
      <c r="A3" s="383"/>
      <c r="B3" s="58"/>
      <c r="C3" s="58"/>
      <c r="D3" s="456" t="s">
        <v>0</v>
      </c>
      <c r="E3" s="456"/>
      <c r="F3" s="58"/>
      <c r="G3" s="456" t="s">
        <v>1</v>
      </c>
      <c r="H3" s="456"/>
      <c r="I3" s="383"/>
      <c r="J3" s="380"/>
    </row>
    <row r="4" spans="1:10" s="46" customFormat="1" x14ac:dyDescent="0.25">
      <c r="A4" s="383"/>
      <c r="B4" s="58"/>
      <c r="C4" s="58"/>
      <c r="D4" s="73" t="s">
        <v>23</v>
      </c>
      <c r="E4" s="73" t="s">
        <v>24</v>
      </c>
      <c r="F4" s="58"/>
      <c r="G4" s="73" t="s">
        <v>23</v>
      </c>
      <c r="H4" s="73" t="s">
        <v>24</v>
      </c>
      <c r="I4" s="383"/>
      <c r="J4" s="380"/>
    </row>
    <row r="5" spans="1:10" s="46" customFormat="1" x14ac:dyDescent="0.25">
      <c r="A5" s="384">
        <v>8.1</v>
      </c>
      <c r="B5" s="64" t="s">
        <v>22</v>
      </c>
      <c r="C5" s="58"/>
      <c r="D5" s="73" t="s">
        <v>25</v>
      </c>
      <c r="E5" s="73" t="s">
        <v>25</v>
      </c>
      <c r="F5" s="58"/>
      <c r="G5" s="73" t="s">
        <v>25</v>
      </c>
      <c r="H5" s="73" t="s">
        <v>25</v>
      </c>
      <c r="I5" s="384"/>
      <c r="J5" s="380"/>
    </row>
    <row r="6" spans="1:10" s="46" customFormat="1" x14ac:dyDescent="0.25">
      <c r="A6" s="383"/>
      <c r="B6" s="66" t="s">
        <v>299</v>
      </c>
      <c r="C6" s="73" t="s">
        <v>31</v>
      </c>
      <c r="D6" s="74">
        <f>+'Secc 6'!E23</f>
        <v>363300</v>
      </c>
      <c r="E6" s="66"/>
      <c r="F6" s="73" t="s">
        <v>32</v>
      </c>
      <c r="G6" s="74">
        <f>+'Secc 6'!F23</f>
        <v>865658.70000000019</v>
      </c>
      <c r="H6" s="66"/>
      <c r="I6" s="383"/>
      <c r="J6" s="380"/>
    </row>
    <row r="7" spans="1:10" s="46" customFormat="1" x14ac:dyDescent="0.25">
      <c r="A7" s="383"/>
      <c r="B7" s="66" t="s">
        <v>27</v>
      </c>
      <c r="C7" s="75"/>
      <c r="D7" s="66"/>
      <c r="E7" s="76">
        <v>0</v>
      </c>
      <c r="F7" s="73" t="s">
        <v>33</v>
      </c>
      <c r="G7" s="66"/>
      <c r="H7" s="74">
        <f>+'Secc 6'!F25</f>
        <v>502359</v>
      </c>
      <c r="I7" s="383"/>
      <c r="J7" s="380"/>
    </row>
    <row r="8" spans="1:10" s="46" customFormat="1" x14ac:dyDescent="0.25">
      <c r="A8" s="383"/>
      <c r="B8" s="66" t="s">
        <v>28</v>
      </c>
      <c r="C8" s="73" t="s">
        <v>31</v>
      </c>
      <c r="D8" s="66"/>
      <c r="E8" s="74">
        <f>+D6</f>
        <v>363300</v>
      </c>
      <c r="F8" s="73" t="s">
        <v>31</v>
      </c>
      <c r="G8" s="66"/>
      <c r="H8" s="74">
        <f>+E8</f>
        <v>363300</v>
      </c>
      <c r="I8" s="383"/>
      <c r="J8" s="380"/>
    </row>
    <row r="9" spans="1:10" x14ac:dyDescent="0.25">
      <c r="A9" s="383"/>
      <c r="B9" s="58"/>
      <c r="C9" s="58"/>
      <c r="D9" s="58"/>
      <c r="E9" s="58"/>
      <c r="F9" s="58"/>
      <c r="G9" s="58"/>
      <c r="H9" s="58"/>
      <c r="I9" s="383"/>
      <c r="J9" s="380"/>
    </row>
    <row r="10" spans="1:10" x14ac:dyDescent="0.25">
      <c r="A10" s="383"/>
      <c r="B10" s="58"/>
      <c r="C10" s="58"/>
      <c r="D10" s="456" t="s">
        <v>0</v>
      </c>
      <c r="E10" s="456"/>
      <c r="F10" s="58"/>
      <c r="G10" s="456" t="s">
        <v>1</v>
      </c>
      <c r="H10" s="456"/>
      <c r="I10" s="383"/>
      <c r="J10" s="380"/>
    </row>
    <row r="11" spans="1:10" x14ac:dyDescent="0.25">
      <c r="A11" s="383"/>
      <c r="B11" s="58"/>
      <c r="C11" s="58"/>
      <c r="D11" s="73" t="s">
        <v>23</v>
      </c>
      <c r="E11" s="73" t="s">
        <v>24</v>
      </c>
      <c r="F11" s="58"/>
      <c r="G11" s="73" t="s">
        <v>23</v>
      </c>
      <c r="H11" s="73" t="s">
        <v>24</v>
      </c>
      <c r="I11" s="383"/>
      <c r="J11" s="380"/>
    </row>
    <row r="12" spans="1:10" x14ac:dyDescent="0.25">
      <c r="A12" s="384">
        <v>8.1999999999999993</v>
      </c>
      <c r="B12" s="64" t="s">
        <v>53</v>
      </c>
      <c r="C12" s="58"/>
      <c r="D12" s="73" t="s">
        <v>25</v>
      </c>
      <c r="E12" s="73" t="s">
        <v>25</v>
      </c>
      <c r="F12" s="58"/>
      <c r="G12" s="73" t="s">
        <v>25</v>
      </c>
      <c r="H12" s="73" t="s">
        <v>25</v>
      </c>
      <c r="I12" s="384"/>
      <c r="J12" s="380"/>
    </row>
    <row r="13" spans="1:10" x14ac:dyDescent="0.25">
      <c r="A13" s="383"/>
      <c r="B13" s="66" t="s">
        <v>56</v>
      </c>
      <c r="C13" s="73" t="s">
        <v>41</v>
      </c>
      <c r="D13" s="74">
        <f>+'Secc 6'!G46</f>
        <v>12000000</v>
      </c>
      <c r="E13" s="74"/>
      <c r="F13" s="73" t="s">
        <v>41</v>
      </c>
      <c r="G13" s="74">
        <f>+D13</f>
        <v>12000000</v>
      </c>
      <c r="H13" s="74"/>
      <c r="I13" s="383"/>
      <c r="J13" s="380"/>
    </row>
    <row r="14" spans="1:10" x14ac:dyDescent="0.25">
      <c r="A14" s="383"/>
      <c r="B14" s="66" t="s">
        <v>57</v>
      </c>
      <c r="C14" s="209"/>
      <c r="D14" s="74"/>
      <c r="E14" s="74">
        <f>-'Secc 6'!G47</f>
        <v>1920000</v>
      </c>
      <c r="F14" s="209"/>
      <c r="G14" s="74"/>
      <c r="H14" s="74">
        <f>+-'Secc 6'!H47</f>
        <v>2400000</v>
      </c>
      <c r="I14" s="383"/>
      <c r="J14" s="380"/>
    </row>
    <row r="15" spans="1:10" x14ac:dyDescent="0.25">
      <c r="A15" s="383"/>
      <c r="B15" s="66" t="s">
        <v>28</v>
      </c>
      <c r="C15" s="209"/>
      <c r="D15" s="74">
        <f>+E18+E14-D13</f>
        <v>3811000</v>
      </c>
      <c r="E15" s="74"/>
      <c r="F15" s="209"/>
      <c r="G15" s="74">
        <f>+D15</f>
        <v>3811000</v>
      </c>
      <c r="H15" s="74"/>
      <c r="I15" s="383"/>
      <c r="J15" s="380"/>
    </row>
    <row r="16" spans="1:10" x14ac:dyDescent="0.25">
      <c r="A16" s="383"/>
      <c r="B16" s="66" t="s">
        <v>55</v>
      </c>
      <c r="C16" s="75"/>
      <c r="D16" s="76">
        <v>0</v>
      </c>
      <c r="E16" s="76"/>
      <c r="F16" s="73"/>
      <c r="G16" s="74">
        <f>+'Secc 6'!F38</f>
        <v>695000</v>
      </c>
      <c r="H16" s="74"/>
      <c r="I16" s="383"/>
      <c r="J16" s="380"/>
    </row>
    <row r="17" spans="1:10" x14ac:dyDescent="0.25">
      <c r="A17" s="383"/>
      <c r="B17" s="66" t="s">
        <v>58</v>
      </c>
      <c r="C17" s="75"/>
      <c r="D17" s="76"/>
      <c r="E17" s="76"/>
      <c r="F17" s="209"/>
      <c r="G17" s="74">
        <f>+-('Secc 6'!H47-'Secc 6'!G47)</f>
        <v>480000</v>
      </c>
      <c r="H17" s="74"/>
      <c r="I17" s="383"/>
      <c r="J17" s="380"/>
    </row>
    <row r="18" spans="1:10" x14ac:dyDescent="0.25">
      <c r="A18" s="383"/>
      <c r="B18" s="66" t="s">
        <v>54</v>
      </c>
      <c r="C18" s="73" t="s">
        <v>41</v>
      </c>
      <c r="D18" s="74"/>
      <c r="E18" s="74">
        <v>13891000</v>
      </c>
      <c r="F18" s="73" t="s">
        <v>42</v>
      </c>
      <c r="G18" s="74"/>
      <c r="H18" s="74">
        <f>+'Secc 6'!E38</f>
        <v>14586000</v>
      </c>
      <c r="I18" s="383"/>
      <c r="J18" s="380"/>
    </row>
    <row r="19" spans="1:10" x14ac:dyDescent="0.25">
      <c r="A19" s="383"/>
      <c r="B19" s="58"/>
      <c r="C19" s="58"/>
      <c r="D19" s="58"/>
      <c r="E19" s="58"/>
      <c r="F19" s="58"/>
      <c r="G19" s="58"/>
      <c r="H19" s="58"/>
      <c r="I19" s="383"/>
      <c r="J19" s="380"/>
    </row>
    <row r="20" spans="1:10" hidden="1" x14ac:dyDescent="0.25">
      <c r="A20" s="383"/>
      <c r="B20" s="58"/>
      <c r="C20" s="58"/>
      <c r="D20" s="458" t="s">
        <v>0</v>
      </c>
      <c r="E20" s="458"/>
      <c r="F20" s="58"/>
      <c r="G20" s="458" t="s">
        <v>1</v>
      </c>
      <c r="H20" s="458"/>
      <c r="I20" s="383"/>
      <c r="J20" s="380"/>
    </row>
    <row r="21" spans="1:10" hidden="1" x14ac:dyDescent="0.25">
      <c r="A21" s="383"/>
      <c r="B21" s="58"/>
      <c r="C21" s="58"/>
      <c r="D21" s="386" t="s">
        <v>23</v>
      </c>
      <c r="E21" s="386" t="s">
        <v>24</v>
      </c>
      <c r="F21" s="58"/>
      <c r="G21" s="386" t="s">
        <v>23</v>
      </c>
      <c r="H21" s="386" t="s">
        <v>24</v>
      </c>
      <c r="I21" s="383"/>
      <c r="J21" s="380"/>
    </row>
    <row r="22" spans="1:10" hidden="1" x14ac:dyDescent="0.25">
      <c r="A22" s="383"/>
      <c r="B22" s="387"/>
      <c r="C22" s="58"/>
      <c r="D22" s="386" t="s">
        <v>25</v>
      </c>
      <c r="E22" s="386" t="s">
        <v>25</v>
      </c>
      <c r="F22" s="58"/>
      <c r="G22" s="386" t="s">
        <v>25</v>
      </c>
      <c r="H22" s="386" t="s">
        <v>25</v>
      </c>
      <c r="I22" s="383"/>
      <c r="J22" s="380"/>
    </row>
    <row r="23" spans="1:10" hidden="1" x14ac:dyDescent="0.25">
      <c r="A23" s="383"/>
      <c r="B23" s="388"/>
      <c r="C23" s="386"/>
      <c r="D23" s="389"/>
      <c r="E23" s="389"/>
      <c r="F23" s="386"/>
      <c r="G23" s="389"/>
      <c r="H23" s="389"/>
      <c r="I23" s="383"/>
      <c r="J23" s="380"/>
    </row>
    <row r="24" spans="1:10" hidden="1" x14ac:dyDescent="0.25">
      <c r="A24" s="383"/>
      <c r="B24" s="388"/>
      <c r="C24" s="390"/>
      <c r="D24" s="391"/>
      <c r="E24" s="391"/>
      <c r="F24" s="386"/>
      <c r="G24" s="389"/>
      <c r="H24" s="389"/>
      <c r="I24" s="383"/>
      <c r="J24" s="380"/>
    </row>
    <row r="25" spans="1:10" hidden="1" x14ac:dyDescent="0.25">
      <c r="A25" s="383"/>
      <c r="B25" s="388"/>
      <c r="C25" s="386"/>
      <c r="D25" s="389"/>
      <c r="E25" s="389"/>
      <c r="F25" s="386"/>
      <c r="G25" s="389"/>
      <c r="H25" s="389"/>
      <c r="I25" s="383"/>
      <c r="J25" s="380"/>
    </row>
    <row r="26" spans="1:10" hidden="1" x14ac:dyDescent="0.25">
      <c r="A26" s="383"/>
      <c r="B26" s="388"/>
      <c r="C26" s="386"/>
      <c r="D26" s="389"/>
      <c r="E26" s="389"/>
      <c r="F26" s="386"/>
      <c r="G26" s="389"/>
      <c r="H26" s="389"/>
      <c r="I26" s="383"/>
      <c r="J26" s="380"/>
    </row>
    <row r="27" spans="1:10" x14ac:dyDescent="0.25">
      <c r="A27" s="383"/>
      <c r="B27" s="58"/>
      <c r="C27" s="58"/>
      <c r="D27" s="58"/>
      <c r="E27" s="58"/>
      <c r="F27" s="58"/>
      <c r="G27" s="58"/>
      <c r="H27" s="58"/>
      <c r="I27" s="383"/>
      <c r="J27" s="380"/>
    </row>
    <row r="28" spans="1:10" x14ac:dyDescent="0.25">
      <c r="A28" s="383"/>
      <c r="B28" s="58"/>
      <c r="C28" s="58"/>
      <c r="D28" s="456" t="s">
        <v>0</v>
      </c>
      <c r="E28" s="456"/>
      <c r="F28" s="58"/>
      <c r="G28" s="456" t="s">
        <v>1</v>
      </c>
      <c r="H28" s="456"/>
      <c r="I28" s="383"/>
      <c r="J28" s="380"/>
    </row>
    <row r="29" spans="1:10" x14ac:dyDescent="0.25">
      <c r="A29" s="383"/>
      <c r="B29" s="58"/>
      <c r="C29" s="58"/>
      <c r="D29" s="73" t="s">
        <v>23</v>
      </c>
      <c r="E29" s="73" t="s">
        <v>24</v>
      </c>
      <c r="F29" s="58"/>
      <c r="G29" s="73" t="s">
        <v>23</v>
      </c>
      <c r="H29" s="73" t="s">
        <v>24</v>
      </c>
      <c r="I29" s="383"/>
      <c r="J29" s="380"/>
    </row>
    <row r="30" spans="1:10" x14ac:dyDescent="0.25">
      <c r="A30" s="383"/>
      <c r="B30" s="64" t="s">
        <v>68</v>
      </c>
      <c r="C30" s="58"/>
      <c r="D30" s="73" t="s">
        <v>25</v>
      </c>
      <c r="E30" s="73" t="s">
        <v>25</v>
      </c>
      <c r="F30" s="58"/>
      <c r="G30" s="73" t="s">
        <v>25</v>
      </c>
      <c r="H30" s="73" t="s">
        <v>25</v>
      </c>
      <c r="I30" s="383"/>
      <c r="J30" s="380"/>
    </row>
    <row r="31" spans="1:10" x14ac:dyDescent="0.25">
      <c r="A31" s="384">
        <v>8.3000000000000007</v>
      </c>
      <c r="B31" s="66" t="s">
        <v>28</v>
      </c>
      <c r="C31" s="73"/>
      <c r="D31" s="74">
        <f>+'Secc 6'!D57</f>
        <v>2000000</v>
      </c>
      <c r="E31" s="74"/>
      <c r="F31" s="73"/>
      <c r="G31" s="74">
        <f>+'Secc 6'!D57</f>
        <v>2000000</v>
      </c>
      <c r="H31" s="74"/>
      <c r="I31" s="384"/>
      <c r="J31" s="380"/>
    </row>
    <row r="32" spans="1:10" x14ac:dyDescent="0.25">
      <c r="A32" s="383"/>
      <c r="B32" s="66" t="s">
        <v>69</v>
      </c>
      <c r="C32" s="75"/>
      <c r="D32" s="76"/>
      <c r="E32" s="76"/>
      <c r="F32" s="73"/>
      <c r="G32" s="74"/>
      <c r="H32" s="74"/>
      <c r="I32" s="383"/>
      <c r="J32" s="380"/>
    </row>
    <row r="33" spans="1:10" x14ac:dyDescent="0.25">
      <c r="A33" s="383"/>
      <c r="B33" s="77" t="s">
        <v>139</v>
      </c>
      <c r="C33" s="75"/>
      <c r="D33" s="76"/>
      <c r="E33" s="76">
        <v>0</v>
      </c>
      <c r="F33" s="73"/>
      <c r="G33" s="74">
        <f>+'Secc 6'!D63</f>
        <v>250000</v>
      </c>
      <c r="H33" s="74"/>
      <c r="I33" s="383"/>
      <c r="J33" s="380"/>
    </row>
    <row r="34" spans="1:10" x14ac:dyDescent="0.25">
      <c r="A34" s="383"/>
      <c r="B34" s="77" t="s">
        <v>140</v>
      </c>
      <c r="C34" s="75"/>
      <c r="D34" s="76"/>
      <c r="E34" s="76">
        <v>0</v>
      </c>
      <c r="F34" s="73"/>
      <c r="G34" s="74">
        <f>+'Secc 6'!D64</f>
        <v>100000</v>
      </c>
      <c r="H34" s="74"/>
      <c r="I34" s="383"/>
      <c r="J34" s="380"/>
    </row>
    <row r="35" spans="1:10" x14ac:dyDescent="0.25">
      <c r="A35" s="383"/>
      <c r="B35" s="77" t="s">
        <v>141</v>
      </c>
      <c r="C35" s="75"/>
      <c r="D35" s="76"/>
      <c r="E35" s="76">
        <v>0</v>
      </c>
      <c r="F35" s="73"/>
      <c r="G35" s="74">
        <f>+'Secc 6'!D65</f>
        <v>50000</v>
      </c>
      <c r="H35" s="74"/>
      <c r="I35" s="383"/>
      <c r="J35" s="380"/>
    </row>
    <row r="36" spans="1:10" x14ac:dyDescent="0.25">
      <c r="A36" s="383"/>
      <c r="B36" s="66" t="s">
        <v>72</v>
      </c>
      <c r="C36" s="73"/>
      <c r="D36" s="74"/>
      <c r="E36" s="74">
        <f>+'Secc 6'!D57</f>
        <v>2000000</v>
      </c>
      <c r="F36" s="73"/>
      <c r="G36" s="74"/>
      <c r="H36" s="74">
        <f>+'Secc 6'!D59</f>
        <v>2400000</v>
      </c>
      <c r="I36" s="383"/>
      <c r="J36" s="380"/>
    </row>
    <row r="37" spans="1:10" x14ac:dyDescent="0.25">
      <c r="A37" s="383"/>
      <c r="B37" s="58"/>
      <c r="C37" s="58"/>
      <c r="D37" s="58"/>
      <c r="E37" s="58"/>
      <c r="F37" s="58"/>
      <c r="G37" s="58"/>
      <c r="H37" s="58"/>
      <c r="I37" s="383"/>
      <c r="J37" s="380"/>
    </row>
    <row r="38" spans="1:10" x14ac:dyDescent="0.25">
      <c r="A38" s="383"/>
      <c r="B38" s="58"/>
      <c r="C38" s="58"/>
      <c r="D38" s="456" t="s">
        <v>0</v>
      </c>
      <c r="E38" s="456"/>
      <c r="F38" s="58"/>
      <c r="G38" s="456" t="s">
        <v>1</v>
      </c>
      <c r="H38" s="456"/>
      <c r="I38" s="383"/>
      <c r="J38" s="380"/>
    </row>
    <row r="39" spans="1:10" x14ac:dyDescent="0.25">
      <c r="A39" s="383"/>
      <c r="B39" s="58"/>
      <c r="C39" s="58"/>
      <c r="D39" s="73" t="s">
        <v>23</v>
      </c>
      <c r="E39" s="73" t="s">
        <v>24</v>
      </c>
      <c r="F39" s="58"/>
      <c r="G39" s="73" t="s">
        <v>23</v>
      </c>
      <c r="H39" s="73" t="s">
        <v>24</v>
      </c>
      <c r="I39" s="383"/>
      <c r="J39" s="380"/>
    </row>
    <row r="40" spans="1:10" x14ac:dyDescent="0.25">
      <c r="A40" s="383"/>
      <c r="B40" s="64" t="s">
        <v>74</v>
      </c>
      <c r="C40" s="58"/>
      <c r="D40" s="73" t="s">
        <v>25</v>
      </c>
      <c r="E40" s="73" t="s">
        <v>25</v>
      </c>
      <c r="F40" s="58"/>
      <c r="G40" s="73" t="s">
        <v>25</v>
      </c>
      <c r="H40" s="73" t="s">
        <v>25</v>
      </c>
      <c r="I40" s="383"/>
      <c r="J40" s="380"/>
    </row>
    <row r="41" spans="1:10" x14ac:dyDescent="0.25">
      <c r="A41" s="384">
        <v>8.4</v>
      </c>
      <c r="B41" s="66" t="s">
        <v>28</v>
      </c>
      <c r="C41" s="73"/>
      <c r="D41" s="74">
        <f>+'Secc 6'!D74</f>
        <v>700000</v>
      </c>
      <c r="E41" s="74"/>
      <c r="F41" s="73"/>
      <c r="G41" s="74">
        <f>+D41</f>
        <v>700000</v>
      </c>
      <c r="H41" s="74"/>
      <c r="I41" s="384"/>
      <c r="J41" s="380"/>
    </row>
    <row r="42" spans="1:10" x14ac:dyDescent="0.25">
      <c r="A42" s="383"/>
      <c r="B42" s="66" t="s">
        <v>76</v>
      </c>
      <c r="C42" s="73"/>
      <c r="D42" s="74">
        <f>-'Secc 6'!D73</f>
        <v>300000</v>
      </c>
      <c r="E42" s="76"/>
      <c r="F42" s="73"/>
      <c r="G42" s="74">
        <f>-'Secc 6'!E73</f>
        <v>400000</v>
      </c>
      <c r="H42" s="74"/>
      <c r="I42" s="383"/>
      <c r="J42" s="380"/>
    </row>
    <row r="43" spans="1:10" x14ac:dyDescent="0.25">
      <c r="A43" s="383"/>
      <c r="B43" s="66" t="s">
        <v>75</v>
      </c>
      <c r="C43" s="75"/>
      <c r="D43" s="76">
        <v>0</v>
      </c>
      <c r="E43" s="76"/>
      <c r="F43" s="73"/>
      <c r="G43" s="74"/>
      <c r="H43" s="74">
        <f>+G41+G42-H44</f>
        <v>100000</v>
      </c>
      <c r="I43" s="383"/>
      <c r="J43" s="380"/>
    </row>
    <row r="44" spans="1:10" x14ac:dyDescent="0.25">
      <c r="A44" s="383"/>
      <c r="B44" s="66" t="s">
        <v>77</v>
      </c>
      <c r="C44" s="73"/>
      <c r="D44" s="74"/>
      <c r="E44" s="74">
        <f>+'Secc 6'!D72</f>
        <v>1000000</v>
      </c>
      <c r="F44" s="73"/>
      <c r="G44" s="74"/>
      <c r="H44" s="74">
        <f>+'Secc 6'!E72</f>
        <v>1000000</v>
      </c>
      <c r="I44" s="383"/>
      <c r="J44" s="380"/>
    </row>
    <row r="45" spans="1:10" x14ac:dyDescent="0.25">
      <c r="A45" s="383"/>
      <c r="B45" s="58"/>
      <c r="C45" s="58"/>
      <c r="D45" s="58"/>
      <c r="E45" s="58"/>
      <c r="F45" s="58"/>
      <c r="G45" s="58"/>
      <c r="H45" s="58"/>
      <c r="I45" s="383"/>
      <c r="J45" s="380"/>
    </row>
    <row r="46" spans="1:10" x14ac:dyDescent="0.25">
      <c r="A46" s="383"/>
      <c r="B46" s="58"/>
      <c r="C46" s="58"/>
      <c r="D46" s="456" t="s">
        <v>0</v>
      </c>
      <c r="E46" s="456"/>
      <c r="F46" s="58"/>
      <c r="G46" s="456" t="s">
        <v>1</v>
      </c>
      <c r="H46" s="456"/>
      <c r="I46" s="383"/>
      <c r="J46" s="380"/>
    </row>
    <row r="47" spans="1:10" x14ac:dyDescent="0.25">
      <c r="A47" s="383"/>
      <c r="B47" s="58"/>
      <c r="C47" s="58"/>
      <c r="D47" s="73" t="s">
        <v>23</v>
      </c>
      <c r="E47" s="73" t="s">
        <v>24</v>
      </c>
      <c r="F47" s="58"/>
      <c r="G47" s="73" t="s">
        <v>23</v>
      </c>
      <c r="H47" s="73" t="s">
        <v>24</v>
      </c>
      <c r="I47" s="383"/>
      <c r="J47" s="380"/>
    </row>
    <row r="48" spans="1:10" x14ac:dyDescent="0.25">
      <c r="A48" s="383"/>
      <c r="B48" s="64" t="s">
        <v>79</v>
      </c>
      <c r="C48" s="58"/>
      <c r="D48" s="73" t="s">
        <v>25</v>
      </c>
      <c r="E48" s="73" t="s">
        <v>25</v>
      </c>
      <c r="F48" s="58"/>
      <c r="G48" s="73" t="s">
        <v>25</v>
      </c>
      <c r="H48" s="73" t="s">
        <v>25</v>
      </c>
      <c r="I48" s="383"/>
      <c r="J48" s="380"/>
    </row>
    <row r="49" spans="1:10" x14ac:dyDescent="0.25">
      <c r="A49" s="384">
        <v>8.5</v>
      </c>
      <c r="B49" s="66" t="s">
        <v>28</v>
      </c>
      <c r="C49" s="73"/>
      <c r="D49" s="76">
        <v>0</v>
      </c>
      <c r="E49" s="74"/>
      <c r="F49" s="73"/>
      <c r="G49" s="74">
        <f>+'Secc 6'!E81</f>
        <v>1000000</v>
      </c>
      <c r="H49" s="74"/>
      <c r="I49" s="384"/>
      <c r="J49" s="380"/>
    </row>
    <row r="50" spans="1:10" x14ac:dyDescent="0.25">
      <c r="A50" s="383"/>
      <c r="B50" s="66" t="s">
        <v>80</v>
      </c>
      <c r="C50" s="75"/>
      <c r="D50" s="76"/>
      <c r="E50" s="76">
        <v>0</v>
      </c>
      <c r="F50" s="73"/>
      <c r="G50" s="74"/>
      <c r="H50" s="74">
        <f>+G49</f>
        <v>1000000</v>
      </c>
      <c r="I50" s="383"/>
      <c r="J50" s="380"/>
    </row>
    <row r="51" spans="1:10" x14ac:dyDescent="0.25">
      <c r="A51" s="383"/>
      <c r="B51" s="58"/>
      <c r="C51" s="58"/>
      <c r="D51" s="58"/>
      <c r="E51" s="58"/>
      <c r="F51" s="58"/>
      <c r="G51" s="58"/>
      <c r="H51" s="58"/>
      <c r="I51" s="383"/>
      <c r="J51" s="380"/>
    </row>
    <row r="52" spans="1:10" x14ac:dyDescent="0.25">
      <c r="A52" s="383"/>
      <c r="B52" s="58"/>
      <c r="C52" s="58"/>
      <c r="D52" s="456" t="s">
        <v>0</v>
      </c>
      <c r="E52" s="456"/>
      <c r="F52" s="58"/>
      <c r="G52" s="456" t="s">
        <v>1</v>
      </c>
      <c r="H52" s="456"/>
      <c r="I52" s="383"/>
      <c r="J52" s="380"/>
    </row>
    <row r="53" spans="1:10" x14ac:dyDescent="0.25">
      <c r="A53" s="383"/>
      <c r="B53" s="58"/>
      <c r="C53" s="58"/>
      <c r="D53" s="73" t="s">
        <v>23</v>
      </c>
      <c r="E53" s="73" t="s">
        <v>24</v>
      </c>
      <c r="F53" s="58"/>
      <c r="G53" s="73" t="s">
        <v>23</v>
      </c>
      <c r="H53" s="73" t="s">
        <v>24</v>
      </c>
      <c r="I53" s="383"/>
      <c r="J53" s="380"/>
    </row>
    <row r="54" spans="1:10" x14ac:dyDescent="0.25">
      <c r="A54" s="383"/>
      <c r="B54" s="64" t="s">
        <v>93</v>
      </c>
      <c r="C54" s="58"/>
      <c r="D54" s="73" t="s">
        <v>25</v>
      </c>
      <c r="E54" s="73" t="s">
        <v>25</v>
      </c>
      <c r="F54" s="58"/>
      <c r="G54" s="73" t="s">
        <v>25</v>
      </c>
      <c r="H54" s="73" t="s">
        <v>25</v>
      </c>
      <c r="I54" s="383"/>
      <c r="J54" s="380"/>
    </row>
    <row r="55" spans="1:10" x14ac:dyDescent="0.25">
      <c r="A55" s="384" t="s">
        <v>117</v>
      </c>
      <c r="B55" s="66" t="s">
        <v>94</v>
      </c>
      <c r="C55" s="73"/>
      <c r="D55" s="78">
        <f>+-'Secc 6'!H91</f>
        <v>400000</v>
      </c>
      <c r="E55" s="79"/>
      <c r="F55" s="80"/>
      <c r="G55" s="78">
        <f>+-'Secc 6'!H91</f>
        <v>400000</v>
      </c>
      <c r="H55" s="79"/>
      <c r="I55" s="384"/>
      <c r="J55" s="380"/>
    </row>
    <row r="56" spans="1:10" x14ac:dyDescent="0.25">
      <c r="A56" s="383"/>
      <c r="B56" s="66" t="s">
        <v>95</v>
      </c>
      <c r="C56" s="75"/>
      <c r="D56" s="78"/>
      <c r="E56" s="78">
        <f>+D55</f>
        <v>400000</v>
      </c>
      <c r="F56" s="80"/>
      <c r="G56" s="78"/>
      <c r="H56" s="78">
        <f>+G55</f>
        <v>400000</v>
      </c>
      <c r="I56" s="383"/>
      <c r="J56" s="380"/>
    </row>
    <row r="57" spans="1:10" x14ac:dyDescent="0.25">
      <c r="A57" s="383"/>
      <c r="B57" s="58"/>
      <c r="C57" s="58"/>
      <c r="D57" s="81"/>
      <c r="E57" s="81"/>
      <c r="F57" s="81"/>
      <c r="G57" s="81"/>
      <c r="H57" s="81"/>
      <c r="I57" s="383"/>
      <c r="J57" s="380"/>
    </row>
    <row r="58" spans="1:10" x14ac:dyDescent="0.25">
      <c r="A58" s="383"/>
      <c r="B58" s="58"/>
      <c r="C58" s="58"/>
      <c r="D58" s="457" t="s">
        <v>0</v>
      </c>
      <c r="E58" s="457"/>
      <c r="F58" s="81"/>
      <c r="G58" s="457" t="s">
        <v>1</v>
      </c>
      <c r="H58" s="457"/>
      <c r="I58" s="383"/>
      <c r="J58" s="380"/>
    </row>
    <row r="59" spans="1:10" x14ac:dyDescent="0.25">
      <c r="A59" s="383"/>
      <c r="B59" s="58"/>
      <c r="C59" s="58"/>
      <c r="D59" s="80" t="s">
        <v>23</v>
      </c>
      <c r="E59" s="80" t="s">
        <v>24</v>
      </c>
      <c r="F59" s="81"/>
      <c r="G59" s="80" t="s">
        <v>23</v>
      </c>
      <c r="H59" s="80" t="s">
        <v>24</v>
      </c>
      <c r="I59" s="383"/>
      <c r="J59" s="380"/>
    </row>
    <row r="60" spans="1:10" x14ac:dyDescent="0.25">
      <c r="A60" s="383"/>
      <c r="B60" s="64" t="s">
        <v>93</v>
      </c>
      <c r="C60" s="58"/>
      <c r="D60" s="80" t="s">
        <v>25</v>
      </c>
      <c r="E60" s="80" t="s">
        <v>25</v>
      </c>
      <c r="F60" s="81"/>
      <c r="G60" s="80" t="s">
        <v>25</v>
      </c>
      <c r="H60" s="80" t="s">
        <v>25</v>
      </c>
      <c r="I60" s="383"/>
      <c r="J60" s="380"/>
    </row>
    <row r="61" spans="1:10" x14ac:dyDescent="0.25">
      <c r="A61" s="384" t="s">
        <v>118</v>
      </c>
      <c r="B61" s="66" t="s">
        <v>95</v>
      </c>
      <c r="C61" s="73"/>
      <c r="D61" s="78">
        <f>+'Secc 6'!H92</f>
        <v>600000</v>
      </c>
      <c r="E61" s="79"/>
      <c r="F61" s="80"/>
      <c r="G61" s="78">
        <f>+'Secc 6'!I92</f>
        <v>600000</v>
      </c>
      <c r="H61" s="79"/>
      <c r="I61" s="384"/>
      <c r="J61" s="380"/>
    </row>
    <row r="62" spans="1:10" x14ac:dyDescent="0.25">
      <c r="A62" s="383"/>
      <c r="B62" s="66" t="s">
        <v>96</v>
      </c>
      <c r="C62" s="75"/>
      <c r="D62" s="78"/>
      <c r="E62" s="78">
        <f>+D61</f>
        <v>600000</v>
      </c>
      <c r="F62" s="80"/>
      <c r="G62" s="78"/>
      <c r="H62" s="78">
        <f>+G61</f>
        <v>600000</v>
      </c>
      <c r="I62" s="383"/>
      <c r="J62" s="380"/>
    </row>
    <row r="63" spans="1:10" x14ac:dyDescent="0.25">
      <c r="A63" s="383"/>
      <c r="B63" s="58"/>
      <c r="C63" s="58"/>
      <c r="D63" s="58"/>
      <c r="E63" s="58"/>
      <c r="F63" s="58"/>
      <c r="G63" s="58"/>
      <c r="H63" s="58"/>
      <c r="I63" s="383"/>
      <c r="J63" s="380"/>
    </row>
    <row r="64" spans="1:10" x14ac:dyDescent="0.25">
      <c r="A64" s="383"/>
      <c r="B64" s="58"/>
      <c r="C64" s="58"/>
      <c r="D64" s="457" t="s">
        <v>0</v>
      </c>
      <c r="E64" s="457"/>
      <c r="F64" s="81"/>
      <c r="G64" s="457" t="s">
        <v>1</v>
      </c>
      <c r="H64" s="457"/>
      <c r="I64" s="383"/>
      <c r="J64" s="380"/>
    </row>
    <row r="65" spans="1:10" x14ac:dyDescent="0.25">
      <c r="A65" s="383"/>
      <c r="B65" s="58"/>
      <c r="C65" s="58"/>
      <c r="D65" s="80" t="s">
        <v>23</v>
      </c>
      <c r="E65" s="80" t="s">
        <v>24</v>
      </c>
      <c r="F65" s="81"/>
      <c r="G65" s="80" t="s">
        <v>23</v>
      </c>
      <c r="H65" s="80" t="s">
        <v>24</v>
      </c>
      <c r="I65" s="383"/>
      <c r="J65" s="380"/>
    </row>
    <row r="66" spans="1:10" x14ac:dyDescent="0.25">
      <c r="A66" s="384" t="s">
        <v>119</v>
      </c>
      <c r="B66" s="64" t="s">
        <v>93</v>
      </c>
      <c r="C66" s="58"/>
      <c r="D66" s="80" t="s">
        <v>25</v>
      </c>
      <c r="E66" s="80" t="s">
        <v>25</v>
      </c>
      <c r="F66" s="81"/>
      <c r="G66" s="80" t="s">
        <v>25</v>
      </c>
      <c r="H66" s="80" t="s">
        <v>25</v>
      </c>
      <c r="I66" s="384"/>
      <c r="J66" s="380"/>
    </row>
    <row r="67" spans="1:10" x14ac:dyDescent="0.25">
      <c r="A67" s="383"/>
      <c r="B67" s="66" t="s">
        <v>28</v>
      </c>
      <c r="C67" s="73"/>
      <c r="D67" s="78"/>
      <c r="E67" s="79">
        <f>+'Secc 6'!H98</f>
        <v>750000</v>
      </c>
      <c r="F67" s="80"/>
      <c r="G67" s="78"/>
      <c r="H67" s="79">
        <f>+E67</f>
        <v>750000</v>
      </c>
      <c r="I67" s="383"/>
      <c r="J67" s="380"/>
    </row>
    <row r="68" spans="1:10" x14ac:dyDescent="0.25">
      <c r="A68" s="383"/>
      <c r="B68" s="66" t="s">
        <v>97</v>
      </c>
      <c r="C68" s="73"/>
      <c r="D68" s="78"/>
      <c r="E68" s="79">
        <v>0</v>
      </c>
      <c r="F68" s="80"/>
      <c r="G68" s="78"/>
      <c r="H68" s="79">
        <f>+G69-H67</f>
        <v>75000</v>
      </c>
      <c r="I68" s="383"/>
      <c r="J68" s="380"/>
    </row>
    <row r="69" spans="1:10" x14ac:dyDescent="0.25">
      <c r="A69" s="383"/>
      <c r="B69" s="66" t="s">
        <v>98</v>
      </c>
      <c r="C69" s="73"/>
      <c r="D69" s="78">
        <f>+'Secc 6'!H98</f>
        <v>750000</v>
      </c>
      <c r="E69" s="79"/>
      <c r="F69" s="80"/>
      <c r="G69" s="78">
        <f>+'Secc 6'!I98</f>
        <v>825000</v>
      </c>
      <c r="H69" s="79"/>
      <c r="I69" s="383"/>
      <c r="J69" s="380"/>
    </row>
    <row r="70" spans="1:10" x14ac:dyDescent="0.25">
      <c r="A70" s="383"/>
      <c r="B70" s="58"/>
      <c r="C70" s="58"/>
      <c r="D70" s="58"/>
      <c r="E70" s="58"/>
      <c r="F70" s="58"/>
      <c r="G70" s="58"/>
      <c r="H70" s="58"/>
      <c r="I70" s="383"/>
      <c r="J70" s="380"/>
    </row>
    <row r="71" spans="1:10" x14ac:dyDescent="0.25">
      <c r="A71" s="383"/>
      <c r="B71" s="58"/>
      <c r="C71" s="58"/>
      <c r="D71" s="457" t="s">
        <v>0</v>
      </c>
      <c r="E71" s="457"/>
      <c r="F71" s="81"/>
      <c r="G71" s="457" t="s">
        <v>1</v>
      </c>
      <c r="H71" s="457"/>
      <c r="I71" s="383"/>
      <c r="J71" s="380"/>
    </row>
    <row r="72" spans="1:10" x14ac:dyDescent="0.25">
      <c r="A72" s="383"/>
      <c r="B72" s="58"/>
      <c r="C72" s="58"/>
      <c r="D72" s="80" t="s">
        <v>23</v>
      </c>
      <c r="E72" s="80" t="s">
        <v>24</v>
      </c>
      <c r="F72" s="81"/>
      <c r="G72" s="80" t="s">
        <v>23</v>
      </c>
      <c r="H72" s="80" t="s">
        <v>24</v>
      </c>
      <c r="I72" s="383"/>
      <c r="J72" s="380"/>
    </row>
    <row r="73" spans="1:10" x14ac:dyDescent="0.25">
      <c r="A73" s="384" t="s">
        <v>120</v>
      </c>
      <c r="B73" s="64" t="s">
        <v>93</v>
      </c>
      <c r="C73" s="58"/>
      <c r="D73" s="80" t="s">
        <v>25</v>
      </c>
      <c r="E73" s="80" t="s">
        <v>25</v>
      </c>
      <c r="F73" s="81"/>
      <c r="G73" s="80" t="s">
        <v>25</v>
      </c>
      <c r="H73" s="80" t="s">
        <v>25</v>
      </c>
      <c r="I73" s="384"/>
      <c r="J73" s="380"/>
    </row>
    <row r="74" spans="1:10" x14ac:dyDescent="0.25">
      <c r="A74" s="383"/>
      <c r="B74" s="66" t="s">
        <v>28</v>
      </c>
      <c r="C74" s="73"/>
      <c r="D74" s="78"/>
      <c r="E74" s="79">
        <f>+D76</f>
        <v>750000</v>
      </c>
      <c r="F74" s="80"/>
      <c r="G74" s="78"/>
      <c r="H74" s="79">
        <f>+E74</f>
        <v>750000</v>
      </c>
      <c r="I74" s="383"/>
      <c r="J74" s="380"/>
    </row>
    <row r="75" spans="1:10" x14ac:dyDescent="0.25">
      <c r="A75" s="383"/>
      <c r="B75" s="66" t="s">
        <v>97</v>
      </c>
      <c r="C75" s="73"/>
      <c r="D75" s="78"/>
      <c r="E75" s="79">
        <v>0</v>
      </c>
      <c r="F75" s="80"/>
      <c r="G75" s="78"/>
      <c r="H75" s="79">
        <f>+G76-H74</f>
        <v>150000</v>
      </c>
      <c r="I75" s="383"/>
      <c r="J75" s="380"/>
    </row>
    <row r="76" spans="1:10" x14ac:dyDescent="0.25">
      <c r="A76" s="383"/>
      <c r="B76" s="66" t="s">
        <v>98</v>
      </c>
      <c r="C76" s="73"/>
      <c r="D76" s="78">
        <f>+'Secc 6'!H99</f>
        <v>750000</v>
      </c>
      <c r="E76" s="79"/>
      <c r="F76" s="80"/>
      <c r="G76" s="78">
        <f>+'Secc 6'!I99</f>
        <v>900000</v>
      </c>
      <c r="H76" s="79"/>
      <c r="I76" s="383"/>
      <c r="J76" s="380"/>
    </row>
    <row r="77" spans="1:10" x14ac:dyDescent="0.25">
      <c r="A77" s="383"/>
      <c r="B77" s="58"/>
      <c r="C77" s="58"/>
      <c r="D77" s="58"/>
      <c r="E77" s="58"/>
      <c r="F77" s="58"/>
      <c r="G77" s="58"/>
      <c r="H77" s="58"/>
      <c r="I77" s="383"/>
      <c r="J77" s="380"/>
    </row>
    <row r="78" spans="1:10" x14ac:dyDescent="0.25">
      <c r="A78" s="384">
        <v>8.6999999999999993</v>
      </c>
      <c r="B78" s="58"/>
      <c r="C78" s="58"/>
      <c r="D78" s="457" t="s">
        <v>0</v>
      </c>
      <c r="E78" s="457"/>
      <c r="F78" s="81"/>
      <c r="G78" s="457" t="s">
        <v>1</v>
      </c>
      <c r="H78" s="457"/>
      <c r="I78" s="384"/>
      <c r="J78" s="380"/>
    </row>
    <row r="79" spans="1:10" x14ac:dyDescent="0.25">
      <c r="A79" s="383"/>
      <c r="B79" s="58"/>
      <c r="C79" s="58"/>
      <c r="D79" s="80" t="s">
        <v>23</v>
      </c>
      <c r="E79" s="80" t="s">
        <v>24</v>
      </c>
      <c r="F79" s="81"/>
      <c r="G79" s="80" t="s">
        <v>23</v>
      </c>
      <c r="H79" s="80" t="s">
        <v>24</v>
      </c>
      <c r="I79" s="383"/>
      <c r="J79" s="380"/>
    </row>
    <row r="80" spans="1:10" x14ac:dyDescent="0.25">
      <c r="A80" s="383"/>
      <c r="B80" s="64" t="s">
        <v>312</v>
      </c>
      <c r="C80" s="58"/>
      <c r="D80" s="80" t="s">
        <v>25</v>
      </c>
      <c r="E80" s="80" t="s">
        <v>25</v>
      </c>
      <c r="F80" s="81"/>
      <c r="G80" s="80" t="s">
        <v>25</v>
      </c>
      <c r="H80" s="80" t="s">
        <v>25</v>
      </c>
      <c r="I80" s="383"/>
      <c r="J80" s="380"/>
    </row>
    <row r="81" spans="1:10" x14ac:dyDescent="0.25">
      <c r="A81" s="383"/>
      <c r="B81" s="66" t="s">
        <v>130</v>
      </c>
      <c r="C81" s="73"/>
      <c r="D81" s="78">
        <f>+'Secc 6'!H139</f>
        <v>2475471.0403444618</v>
      </c>
      <c r="E81" s="79"/>
      <c r="F81" s="80"/>
      <c r="G81" s="78">
        <f>+'Secc 6'!H140</f>
        <v>1915660.5921584964</v>
      </c>
      <c r="H81" s="79"/>
      <c r="I81" s="383"/>
      <c r="J81" s="380"/>
    </row>
    <row r="82" spans="1:10" x14ac:dyDescent="0.25">
      <c r="A82" s="383"/>
      <c r="B82" s="66" t="s">
        <v>129</v>
      </c>
      <c r="C82" s="73"/>
      <c r="D82" s="78"/>
      <c r="E82" s="79">
        <v>0</v>
      </c>
      <c r="F82" s="80"/>
      <c r="G82" s="78">
        <f>+H83-G81</f>
        <v>559810.44818596542</v>
      </c>
      <c r="H82" s="79"/>
      <c r="I82" s="383"/>
      <c r="J82" s="380"/>
    </row>
    <row r="83" spans="1:10" x14ac:dyDescent="0.25">
      <c r="A83" s="383"/>
      <c r="B83" s="66" t="s">
        <v>28</v>
      </c>
      <c r="C83" s="73"/>
      <c r="D83" s="78"/>
      <c r="E83" s="79">
        <f>+D81</f>
        <v>2475471.0403444618</v>
      </c>
      <c r="F83" s="80"/>
      <c r="G83" s="78"/>
      <c r="H83" s="79">
        <f>+E83</f>
        <v>2475471.0403444618</v>
      </c>
      <c r="I83" s="383"/>
      <c r="J83" s="380"/>
    </row>
    <row r="84" spans="1:10" x14ac:dyDescent="0.25">
      <c r="A84" s="383"/>
      <c r="B84" s="58"/>
      <c r="C84" s="58"/>
      <c r="D84" s="58"/>
      <c r="E84" s="58"/>
      <c r="F84" s="58"/>
      <c r="G84" s="58"/>
      <c r="H84" s="58"/>
      <c r="I84" s="383"/>
      <c r="J84" s="380"/>
    </row>
    <row r="85" spans="1:10" x14ac:dyDescent="0.25">
      <c r="A85" s="383"/>
      <c r="B85" s="58"/>
      <c r="C85" s="58"/>
      <c r="D85" s="457" t="s">
        <v>0</v>
      </c>
      <c r="E85" s="457"/>
      <c r="F85" s="81"/>
      <c r="G85" s="457" t="s">
        <v>1</v>
      </c>
      <c r="H85" s="457"/>
      <c r="I85" s="383"/>
      <c r="J85" s="380"/>
    </row>
    <row r="86" spans="1:10" x14ac:dyDescent="0.25">
      <c r="A86" s="383"/>
      <c r="B86" s="58"/>
      <c r="C86" s="58"/>
      <c r="D86" s="80" t="s">
        <v>23</v>
      </c>
      <c r="E86" s="80" t="s">
        <v>24</v>
      </c>
      <c r="F86" s="81"/>
      <c r="G86" s="80" t="s">
        <v>23</v>
      </c>
      <c r="H86" s="80" t="s">
        <v>24</v>
      </c>
      <c r="I86" s="383"/>
      <c r="J86" s="380"/>
    </row>
    <row r="87" spans="1:10" x14ac:dyDescent="0.25">
      <c r="A87" s="383"/>
      <c r="B87" s="64" t="s">
        <v>133</v>
      </c>
      <c r="C87" s="58"/>
      <c r="D87" s="80" t="s">
        <v>25</v>
      </c>
      <c r="E87" s="80" t="s">
        <v>25</v>
      </c>
      <c r="F87" s="81"/>
      <c r="G87" s="80" t="s">
        <v>25</v>
      </c>
      <c r="H87" s="80" t="s">
        <v>25</v>
      </c>
      <c r="I87" s="383"/>
      <c r="J87" s="380"/>
    </row>
    <row r="88" spans="1:10" x14ac:dyDescent="0.25">
      <c r="A88" s="384">
        <v>8.8000000000000007</v>
      </c>
      <c r="B88" s="66" t="s">
        <v>94</v>
      </c>
      <c r="C88" s="73"/>
      <c r="D88" s="78">
        <v>600000</v>
      </c>
      <c r="E88" s="79"/>
      <c r="F88" s="80"/>
      <c r="G88" s="78">
        <v>700000</v>
      </c>
      <c r="H88" s="79"/>
      <c r="I88" s="384"/>
      <c r="J88" s="380"/>
    </row>
    <row r="89" spans="1:10" x14ac:dyDescent="0.25">
      <c r="A89" s="383"/>
      <c r="B89" s="66" t="s">
        <v>134</v>
      </c>
      <c r="C89" s="73"/>
      <c r="D89" s="78"/>
      <c r="E89" s="79">
        <v>0</v>
      </c>
      <c r="F89" s="80"/>
      <c r="G89" s="78"/>
      <c r="H89" s="79">
        <f>+G88-H90</f>
        <v>100000</v>
      </c>
      <c r="I89" s="383"/>
      <c r="J89" s="380"/>
    </row>
    <row r="90" spans="1:10" x14ac:dyDescent="0.25">
      <c r="A90" s="383"/>
      <c r="B90" s="66" t="s">
        <v>28</v>
      </c>
      <c r="C90" s="73"/>
      <c r="D90" s="78"/>
      <c r="E90" s="79">
        <f>+D88</f>
        <v>600000</v>
      </c>
      <c r="F90" s="80"/>
      <c r="G90" s="78"/>
      <c r="H90" s="79">
        <f>+E90</f>
        <v>600000</v>
      </c>
      <c r="I90" s="383"/>
      <c r="J90" s="380"/>
    </row>
    <row r="91" spans="1:10" x14ac:dyDescent="0.25">
      <c r="A91" s="383"/>
      <c r="B91" s="58"/>
      <c r="C91" s="58"/>
      <c r="D91" s="58"/>
      <c r="E91" s="58"/>
      <c r="F91" s="58"/>
      <c r="G91" s="58"/>
      <c r="H91" s="58"/>
      <c r="I91" s="383"/>
      <c r="J91" s="380"/>
    </row>
    <row r="92" spans="1:10" x14ac:dyDescent="0.25">
      <c r="A92" s="383"/>
      <c r="B92" s="58"/>
      <c r="C92" s="58"/>
      <c r="D92" s="457" t="s">
        <v>0</v>
      </c>
      <c r="E92" s="457"/>
      <c r="F92" s="81"/>
      <c r="G92" s="457" t="s">
        <v>1</v>
      </c>
      <c r="H92" s="457"/>
      <c r="I92" s="383"/>
      <c r="J92" s="380"/>
    </row>
    <row r="93" spans="1:10" x14ac:dyDescent="0.25">
      <c r="A93" s="383"/>
      <c r="B93" s="58"/>
      <c r="C93" s="58"/>
      <c r="D93" s="80" t="s">
        <v>23</v>
      </c>
      <c r="E93" s="80" t="s">
        <v>24</v>
      </c>
      <c r="F93" s="81"/>
      <c r="G93" s="80" t="s">
        <v>23</v>
      </c>
      <c r="H93" s="80" t="s">
        <v>24</v>
      </c>
      <c r="I93" s="383"/>
      <c r="J93" s="380"/>
    </row>
    <row r="94" spans="1:10" x14ac:dyDescent="0.25">
      <c r="A94" s="384">
        <v>8.9</v>
      </c>
      <c r="B94" s="64" t="s">
        <v>135</v>
      </c>
      <c r="C94" s="58"/>
      <c r="D94" s="80" t="s">
        <v>25</v>
      </c>
      <c r="E94" s="80" t="s">
        <v>25</v>
      </c>
      <c r="F94" s="81"/>
      <c r="G94" s="80" t="s">
        <v>25</v>
      </c>
      <c r="H94" s="80" t="s">
        <v>25</v>
      </c>
      <c r="I94" s="384"/>
      <c r="J94" s="380"/>
    </row>
    <row r="95" spans="1:10" x14ac:dyDescent="0.25">
      <c r="A95" s="383"/>
      <c r="B95" s="66" t="s">
        <v>136</v>
      </c>
      <c r="C95" s="73"/>
      <c r="D95" s="78">
        <v>2500000</v>
      </c>
      <c r="E95" s="79"/>
      <c r="F95" s="80"/>
      <c r="G95" s="78">
        <v>3200000</v>
      </c>
      <c r="H95" s="79"/>
      <c r="I95" s="383"/>
      <c r="J95" s="380"/>
    </row>
    <row r="96" spans="1:10" x14ac:dyDescent="0.25">
      <c r="A96" s="383"/>
      <c r="B96" s="66" t="s">
        <v>137</v>
      </c>
      <c r="C96" s="73"/>
      <c r="D96" s="78"/>
      <c r="E96" s="79">
        <f>+D95</f>
        <v>2500000</v>
      </c>
      <c r="F96" s="80"/>
      <c r="G96" s="78"/>
      <c r="H96" s="79">
        <f>+G95</f>
        <v>3200000</v>
      </c>
      <c r="I96" s="383"/>
      <c r="J96" s="380"/>
    </row>
    <row r="97" spans="1:10" x14ac:dyDescent="0.25">
      <c r="A97" s="383"/>
      <c r="B97" s="58"/>
      <c r="C97" s="58"/>
      <c r="D97" s="58"/>
      <c r="E97" s="58"/>
      <c r="F97" s="58"/>
      <c r="G97" s="58"/>
      <c r="H97" s="58"/>
      <c r="I97" s="383"/>
      <c r="J97" s="380"/>
    </row>
    <row r="98" spans="1:10" x14ac:dyDescent="0.25">
      <c r="A98" s="383"/>
      <c r="B98" s="58"/>
      <c r="C98" s="58"/>
      <c r="D98" s="457" t="s">
        <v>0</v>
      </c>
      <c r="E98" s="457"/>
      <c r="F98" s="81"/>
      <c r="G98" s="457" t="s">
        <v>1</v>
      </c>
      <c r="H98" s="457"/>
      <c r="I98" s="383"/>
      <c r="J98" s="380"/>
    </row>
    <row r="99" spans="1:10" x14ac:dyDescent="0.25">
      <c r="A99" s="383"/>
      <c r="B99" s="58"/>
      <c r="C99" s="58"/>
      <c r="D99" s="80" t="s">
        <v>23</v>
      </c>
      <c r="E99" s="80" t="s">
        <v>24</v>
      </c>
      <c r="F99" s="81"/>
      <c r="G99" s="80" t="s">
        <v>23</v>
      </c>
      <c r="H99" s="80" t="s">
        <v>24</v>
      </c>
      <c r="I99" s="383"/>
      <c r="J99" s="380"/>
    </row>
    <row r="100" spans="1:10" x14ac:dyDescent="0.25">
      <c r="A100" s="385">
        <v>8.1</v>
      </c>
      <c r="B100" s="64" t="s">
        <v>138</v>
      </c>
      <c r="C100" s="58"/>
      <c r="D100" s="80" t="s">
        <v>25</v>
      </c>
      <c r="E100" s="80" t="s">
        <v>25</v>
      </c>
      <c r="F100" s="81"/>
      <c r="G100" s="80" t="s">
        <v>25</v>
      </c>
      <c r="H100" s="80" t="s">
        <v>25</v>
      </c>
      <c r="I100" s="385"/>
      <c r="J100" s="380"/>
    </row>
    <row r="101" spans="1:10" x14ac:dyDescent="0.25">
      <c r="A101" s="383"/>
      <c r="B101" s="66" t="s">
        <v>139</v>
      </c>
      <c r="C101" s="73"/>
      <c r="D101" s="78">
        <v>0</v>
      </c>
      <c r="E101" s="79"/>
      <c r="F101" s="80"/>
      <c r="G101" s="78">
        <v>2200000</v>
      </c>
      <c r="H101" s="79"/>
      <c r="I101" s="383"/>
      <c r="J101" s="380"/>
    </row>
    <row r="102" spans="1:10" x14ac:dyDescent="0.25">
      <c r="A102" s="383"/>
      <c r="B102" s="66" t="s">
        <v>140</v>
      </c>
      <c r="C102" s="73"/>
      <c r="D102" s="78">
        <v>0</v>
      </c>
      <c r="E102" s="79"/>
      <c r="F102" s="80"/>
      <c r="G102" s="78">
        <v>500000</v>
      </c>
      <c r="H102" s="79"/>
      <c r="I102" s="383"/>
      <c r="J102" s="380"/>
    </row>
    <row r="103" spans="1:10" x14ac:dyDescent="0.25">
      <c r="A103" s="383"/>
      <c r="B103" s="66" t="s">
        <v>141</v>
      </c>
      <c r="C103" s="73"/>
      <c r="D103" s="78">
        <v>0</v>
      </c>
      <c r="E103" s="79"/>
      <c r="F103" s="80"/>
      <c r="G103" s="78">
        <v>300000</v>
      </c>
      <c r="H103" s="79"/>
      <c r="I103" s="383"/>
      <c r="J103" s="380"/>
    </row>
    <row r="104" spans="1:10" x14ac:dyDescent="0.25">
      <c r="A104" s="383"/>
      <c r="B104" s="66" t="s">
        <v>142</v>
      </c>
      <c r="C104" s="73"/>
      <c r="D104" s="78"/>
      <c r="E104" s="79">
        <f>+D101</f>
        <v>0</v>
      </c>
      <c r="F104" s="80"/>
      <c r="G104" s="78"/>
      <c r="H104" s="79">
        <f>SUM(G101:G103)</f>
        <v>3000000</v>
      </c>
      <c r="I104" s="383"/>
      <c r="J104" s="380"/>
    </row>
    <row r="105" spans="1:10" x14ac:dyDescent="0.25">
      <c r="A105" s="383"/>
      <c r="B105" s="58"/>
      <c r="C105" s="58"/>
      <c r="D105" s="58"/>
      <c r="E105" s="58"/>
      <c r="F105" s="58"/>
      <c r="G105" s="58"/>
      <c r="H105" s="58"/>
      <c r="I105" s="383"/>
      <c r="J105" s="380"/>
    </row>
    <row r="106" spans="1:10" x14ac:dyDescent="0.25">
      <c r="A106" s="380"/>
      <c r="B106" s="380"/>
      <c r="C106" s="380"/>
      <c r="D106" s="380"/>
      <c r="E106" s="380"/>
      <c r="F106" s="380"/>
      <c r="G106" s="380"/>
      <c r="H106" s="380"/>
      <c r="I106" s="380"/>
      <c r="J106" s="380"/>
    </row>
    <row r="107" spans="1:10" hidden="1" x14ac:dyDescent="0.25"/>
    <row r="108" spans="1:10" hidden="1" x14ac:dyDescent="0.25"/>
    <row r="109" spans="1:10" hidden="1" x14ac:dyDescent="0.25"/>
    <row r="110" spans="1:10" hidden="1" x14ac:dyDescent="0.25">
      <c r="B110" s="67"/>
    </row>
  </sheetData>
  <mergeCells count="29">
    <mergeCell ref="D92:E92"/>
    <mergeCell ref="G92:H92"/>
    <mergeCell ref="D98:E98"/>
    <mergeCell ref="G98:H98"/>
    <mergeCell ref="D71:E71"/>
    <mergeCell ref="G71:H71"/>
    <mergeCell ref="D78:E78"/>
    <mergeCell ref="G78:H78"/>
    <mergeCell ref="D85:E85"/>
    <mergeCell ref="G85:H85"/>
    <mergeCell ref="D64:E64"/>
    <mergeCell ref="G64:H64"/>
    <mergeCell ref="D28:E28"/>
    <mergeCell ref="G28:H28"/>
    <mergeCell ref="D38:E38"/>
    <mergeCell ref="G38:H38"/>
    <mergeCell ref="D46:E46"/>
    <mergeCell ref="G46:H46"/>
    <mergeCell ref="A1:I1"/>
    <mergeCell ref="D52:E52"/>
    <mergeCell ref="G52:H52"/>
    <mergeCell ref="D58:E58"/>
    <mergeCell ref="G58:H58"/>
    <mergeCell ref="D3:E3"/>
    <mergeCell ref="G3:H3"/>
    <mergeCell ref="D10:E10"/>
    <mergeCell ref="G10:H10"/>
    <mergeCell ref="D20:E20"/>
    <mergeCell ref="G20:H20"/>
  </mergeCell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93"/>
  <sheetViews>
    <sheetView topLeftCell="A24" zoomScale="90" zoomScaleNormal="90" workbookViewId="0">
      <selection activeCell="B40" sqref="B40"/>
    </sheetView>
  </sheetViews>
  <sheetFormatPr baseColWidth="10" defaultColWidth="0" defaultRowHeight="15" x14ac:dyDescent="0.25"/>
  <cols>
    <col min="1" max="1" width="3.5703125" customWidth="1"/>
    <col min="2" max="2" width="37.42578125" customWidth="1"/>
    <col min="3" max="3" width="3.140625" hidden="1" customWidth="1"/>
    <col min="4" max="5" width="12.42578125" bestFit="1" customWidth="1"/>
    <col min="6" max="6" width="1" customWidth="1"/>
    <col min="7" max="8" width="12.42578125" bestFit="1" customWidth="1"/>
    <col min="9" max="9" width="11.42578125" customWidth="1"/>
    <col min="10" max="10" width="42" hidden="1" customWidth="1"/>
    <col min="11" max="11" width="3.140625" hidden="1" customWidth="1"/>
    <col min="12" max="13" width="12.42578125" hidden="1" customWidth="1"/>
    <col min="14" max="14" width="11.42578125" hidden="1" customWidth="1"/>
    <col min="15" max="15" width="2.140625" customWidth="1"/>
    <col min="16" max="16" width="0" hidden="1" customWidth="1"/>
    <col min="17" max="16384" width="11.42578125" hidden="1"/>
  </cols>
  <sheetData>
    <row r="1" spans="1:15" x14ac:dyDescent="0.25">
      <c r="A1" s="2"/>
      <c r="B1" s="2"/>
      <c r="C1" s="2"/>
      <c r="D1" s="2"/>
      <c r="E1" s="2"/>
      <c r="F1" s="2"/>
      <c r="G1" s="2"/>
      <c r="H1" s="2"/>
      <c r="I1" s="2"/>
      <c r="O1" s="392"/>
    </row>
    <row r="2" spans="1:15" ht="48.75" customHeight="1" x14ac:dyDescent="0.4">
      <c r="A2" s="459" t="s">
        <v>143</v>
      </c>
      <c r="B2" s="459"/>
      <c r="C2" s="459"/>
      <c r="D2" s="459"/>
      <c r="E2" s="459"/>
      <c r="F2" s="459"/>
      <c r="G2" s="459"/>
      <c r="H2" s="459"/>
      <c r="I2" s="459"/>
      <c r="O2" s="392"/>
    </row>
    <row r="3" spans="1:15" x14ac:dyDescent="0.25">
      <c r="A3" s="2"/>
      <c r="B3" s="11"/>
      <c r="C3" s="2"/>
      <c r="D3" s="2"/>
      <c r="E3" s="2"/>
      <c r="F3" s="2"/>
      <c r="G3" s="2"/>
      <c r="H3" s="2"/>
      <c r="I3" s="2"/>
      <c r="N3" s="2"/>
      <c r="O3" s="392"/>
    </row>
    <row r="4" spans="1:15" ht="18.75" x14ac:dyDescent="0.3">
      <c r="A4" s="2"/>
      <c r="B4" s="405">
        <v>8.11</v>
      </c>
      <c r="C4" s="65"/>
      <c r="D4" s="458" t="s">
        <v>0</v>
      </c>
      <c r="E4" s="458"/>
      <c r="F4" s="65"/>
      <c r="G4" s="458" t="s">
        <v>1</v>
      </c>
      <c r="H4" s="458"/>
      <c r="I4" s="2"/>
      <c r="N4" s="2"/>
      <c r="O4" s="392"/>
    </row>
    <row r="5" spans="1:15" x14ac:dyDescent="0.25">
      <c r="A5" s="2"/>
      <c r="B5" s="65"/>
      <c r="C5" s="65"/>
      <c r="D5" s="386" t="s">
        <v>23</v>
      </c>
      <c r="E5" s="386" t="s">
        <v>24</v>
      </c>
      <c r="F5" s="65"/>
      <c r="G5" s="386" t="s">
        <v>23</v>
      </c>
      <c r="H5" s="386" t="s">
        <v>24</v>
      </c>
      <c r="I5" s="2"/>
      <c r="N5" s="2"/>
      <c r="O5" s="392"/>
    </row>
    <row r="6" spans="1:15" x14ac:dyDescent="0.25">
      <c r="A6" s="2"/>
      <c r="B6" s="65"/>
      <c r="C6" s="65"/>
      <c r="D6" s="386" t="s">
        <v>25</v>
      </c>
      <c r="E6" s="386" t="s">
        <v>25</v>
      </c>
      <c r="F6" s="65"/>
      <c r="G6" s="386" t="s">
        <v>25</v>
      </c>
      <c r="H6" s="386" t="s">
        <v>25</v>
      </c>
      <c r="I6" s="2"/>
      <c r="N6" s="2"/>
      <c r="O6" s="392"/>
    </row>
    <row r="7" spans="1:15" x14ac:dyDescent="0.25">
      <c r="A7" s="2"/>
      <c r="B7" s="388" t="s">
        <v>80</v>
      </c>
      <c r="C7" s="386"/>
      <c r="D7" s="394">
        <f ca="1">SUMIF('Secc 8.1 -8.10'!B:H,'Secc 8.11-8.12'!B7,'Secc 8.1 -8.10'!D:D)</f>
        <v>0</v>
      </c>
      <c r="E7" s="394">
        <f ca="1">SUMIF('Secc 8.1 -8.10'!B:H,'Secc 8.11-8.12'!B7,'Secc 8.1 -8.10'!E:E)</f>
        <v>0</v>
      </c>
      <c r="F7" s="395"/>
      <c r="G7" s="394">
        <f ca="1">SUMIF('Secc 8.1 -8.10'!B:H,'Secc 8.11-8.12'!B7,'Secc 8.1 -8.10'!G:G)</f>
        <v>0</v>
      </c>
      <c r="H7" s="394">
        <f ca="1">SUMIF('Secc 8.1 -8.10'!B:H,'Secc 8.11-8.12'!B7,'Secc 8.1 -8.10'!H:H)</f>
        <v>1000000</v>
      </c>
      <c r="I7" s="2"/>
      <c r="N7" s="2"/>
      <c r="O7" s="392"/>
    </row>
    <row r="8" spans="1:15" x14ac:dyDescent="0.25">
      <c r="A8" s="2"/>
      <c r="B8" s="388" t="s">
        <v>94</v>
      </c>
      <c r="C8" s="390"/>
      <c r="D8" s="394">
        <f ca="1">SUMIF('Secc 8.1 -8.10'!B:H,'Secc 8.11-8.12'!B8,'Secc 8.1 -8.10'!D:D)</f>
        <v>1000000</v>
      </c>
      <c r="E8" s="394">
        <f ca="1">SUMIF('Secc 8.1 -8.10'!B:H,'Secc 8.11-8.12'!B8,'Secc 8.1 -8.10'!E:E)</f>
        <v>0</v>
      </c>
      <c r="F8" s="395"/>
      <c r="G8" s="394">
        <f ca="1">SUMIF('Secc 8.1 -8.10'!B:H,'Secc 8.11-8.12'!B8,'Secc 8.1 -8.10'!G:G)</f>
        <v>1100000</v>
      </c>
      <c r="H8" s="394">
        <f ca="1">SUMIF('Secc 8.1 -8.10'!B:H,'Secc 8.11-8.12'!B8,'Secc 8.1 -8.10'!H:H)</f>
        <v>0</v>
      </c>
      <c r="I8" s="2"/>
      <c r="N8" s="2"/>
      <c r="O8" s="392"/>
    </row>
    <row r="9" spans="1:15" x14ac:dyDescent="0.25">
      <c r="A9" s="2"/>
      <c r="B9" s="388" t="s">
        <v>95</v>
      </c>
      <c r="C9" s="386"/>
      <c r="D9" s="394">
        <f ca="1">SUMIF('Secc 8.1 -8.10'!B:H,'Secc 8.11-8.12'!B9,'Secc 8.1 -8.10'!D:D)</f>
        <v>600000</v>
      </c>
      <c r="E9" s="394">
        <f ca="1">SUMIF('Secc 8.1 -8.10'!B:H,'Secc 8.11-8.12'!B9,'Secc 8.1 -8.10'!E:E)</f>
        <v>400000</v>
      </c>
      <c r="F9" s="395"/>
      <c r="G9" s="394">
        <f ca="1">SUMIF('Secc 8.1 -8.10'!B:H,'Secc 8.11-8.12'!B9,'Secc 8.1 -8.10'!G:G)</f>
        <v>600000</v>
      </c>
      <c r="H9" s="394">
        <f ca="1">SUMIF('Secc 8.1 -8.10'!B:H,'Secc 8.11-8.12'!B9,'Secc 8.1 -8.10'!H:H)</f>
        <v>400000</v>
      </c>
      <c r="I9" s="2"/>
      <c r="N9" s="2"/>
      <c r="O9" s="392"/>
    </row>
    <row r="10" spans="1:15" x14ac:dyDescent="0.25">
      <c r="A10" s="2"/>
      <c r="B10" s="388" t="s">
        <v>56</v>
      </c>
      <c r="C10" s="386"/>
      <c r="D10" s="394">
        <f ca="1">SUMIF('Secc 8.1 -8.10'!B:H,'Secc 8.11-8.12'!B10,'Secc 8.1 -8.10'!D:D)</f>
        <v>12000000</v>
      </c>
      <c r="E10" s="394">
        <f ca="1">SUMIF('Secc 8.1 -8.10'!B:H,'Secc 8.11-8.12'!B10,'Secc 8.1 -8.10'!E:E)</f>
        <v>0</v>
      </c>
      <c r="F10" s="395"/>
      <c r="G10" s="394">
        <f ca="1">SUMIF('Secc 8.1 -8.10'!B:H,'Secc 8.11-8.12'!B10,'Secc 8.1 -8.10'!G:G)</f>
        <v>12000000</v>
      </c>
      <c r="H10" s="394">
        <f ca="1">SUMIF('Secc 8.1 -8.10'!B:H,'Secc 8.11-8.12'!B10,'Secc 8.1 -8.10'!H:H)</f>
        <v>0</v>
      </c>
      <c r="I10" s="2"/>
      <c r="N10" s="2"/>
      <c r="O10" s="392"/>
    </row>
    <row r="11" spans="1:15" x14ac:dyDescent="0.25">
      <c r="A11" s="2"/>
      <c r="B11" s="388" t="s">
        <v>57</v>
      </c>
      <c r="C11" s="390"/>
      <c r="D11" s="394">
        <f ca="1">SUMIF('Secc 8.1 -8.10'!B:H,'Secc 8.11-8.12'!B11,'Secc 8.1 -8.10'!D:D)</f>
        <v>0</v>
      </c>
      <c r="E11" s="394">
        <f ca="1">SUMIF('Secc 8.1 -8.10'!B:H,'Secc 8.11-8.12'!B11,'Secc 8.1 -8.10'!E:E)</f>
        <v>1920000</v>
      </c>
      <c r="F11" s="395"/>
      <c r="G11" s="394">
        <f ca="1">SUMIF('Secc 8.1 -8.10'!B:H,'Secc 8.11-8.12'!B11,'Secc 8.1 -8.10'!G:G)</f>
        <v>0</v>
      </c>
      <c r="H11" s="394">
        <f ca="1">SUMIF('Secc 8.1 -8.10'!B:H,'Secc 8.11-8.12'!B11,'Secc 8.1 -8.10'!H:H)</f>
        <v>2400000</v>
      </c>
      <c r="I11" s="2"/>
      <c r="N11" s="2"/>
      <c r="O11" s="392"/>
    </row>
    <row r="12" spans="1:15" x14ac:dyDescent="0.25">
      <c r="A12" s="2"/>
      <c r="B12" s="388" t="s">
        <v>77</v>
      </c>
      <c r="C12" s="386"/>
      <c r="D12" s="394">
        <f ca="1">SUMIF('Secc 8.1 -8.10'!B:H,'Secc 8.11-8.12'!B12,'Secc 8.1 -8.10'!D:D)</f>
        <v>0</v>
      </c>
      <c r="E12" s="394">
        <f ca="1">SUMIF('Secc 8.1 -8.10'!B:H,'Secc 8.11-8.12'!B12,'Secc 8.1 -8.10'!E:E)</f>
        <v>1000000</v>
      </c>
      <c r="F12" s="395"/>
      <c r="G12" s="394">
        <f ca="1">SUMIF('Secc 8.1 -8.10'!B:H,'Secc 8.11-8.12'!B12,'Secc 8.1 -8.10'!G:G)</f>
        <v>0</v>
      </c>
      <c r="H12" s="394">
        <f ca="1">SUMIF('Secc 8.1 -8.10'!B:H,'Secc 8.11-8.12'!B12,'Secc 8.1 -8.10'!H:H)</f>
        <v>1000000</v>
      </c>
      <c r="I12" s="2"/>
      <c r="N12" s="2"/>
      <c r="O12" s="392"/>
    </row>
    <row r="13" spans="1:15" x14ac:dyDescent="0.25">
      <c r="A13" s="2"/>
      <c r="B13" s="388" t="s">
        <v>76</v>
      </c>
      <c r="C13" s="386"/>
      <c r="D13" s="394">
        <f ca="1">SUMIF('Secc 8.1 -8.10'!B:H,'Secc 8.11-8.12'!B13,'Secc 8.1 -8.10'!D:D)</f>
        <v>300000</v>
      </c>
      <c r="E13" s="394">
        <f ca="1">SUMIF('Secc 8.1 -8.10'!B:H,'Secc 8.11-8.12'!B13,'Secc 8.1 -8.10'!E:E)</f>
        <v>0</v>
      </c>
      <c r="F13" s="395"/>
      <c r="G13" s="394">
        <f ca="1">SUMIF('Secc 8.1 -8.10'!B:H,'Secc 8.11-8.12'!B13,'Secc 8.1 -8.10'!G:G)</f>
        <v>400000</v>
      </c>
      <c r="H13" s="394">
        <f ca="1">SUMIF('Secc 8.1 -8.10'!B:H,'Secc 8.11-8.12'!B13,'Secc 8.1 -8.10'!H:H)</f>
        <v>0</v>
      </c>
      <c r="I13" s="2"/>
      <c r="N13" s="2"/>
      <c r="O13" s="392"/>
    </row>
    <row r="14" spans="1:15" x14ac:dyDescent="0.25">
      <c r="A14" s="2"/>
      <c r="B14" s="388" t="s">
        <v>98</v>
      </c>
      <c r="C14" s="386"/>
      <c r="D14" s="394">
        <f ca="1">SUMIF('Secc 8.1 -8.10'!B:H,'Secc 8.11-8.12'!B14,'Secc 8.1 -8.10'!D:D)</f>
        <v>1500000</v>
      </c>
      <c r="E14" s="394">
        <f ca="1">SUMIF('Secc 8.1 -8.10'!B:H,'Secc 8.11-8.12'!B14,'Secc 8.1 -8.10'!E:E)</f>
        <v>0</v>
      </c>
      <c r="F14" s="395"/>
      <c r="G14" s="394">
        <f ca="1">SUMIF('Secc 8.1 -8.10'!B:H,'Secc 8.11-8.12'!B14,'Secc 8.1 -8.10'!G:G)</f>
        <v>1725000</v>
      </c>
      <c r="H14" s="394">
        <f ca="1">SUMIF('Secc 8.1 -8.10'!B:H,'Secc 8.11-8.12'!B14,'Secc 8.1 -8.10'!H:H)</f>
        <v>0</v>
      </c>
      <c r="I14" s="2"/>
      <c r="N14" s="2"/>
      <c r="O14" s="392"/>
    </row>
    <row r="15" spans="1:15" x14ac:dyDescent="0.25">
      <c r="A15" s="2"/>
      <c r="B15" s="388" t="s">
        <v>299</v>
      </c>
      <c r="C15" s="390"/>
      <c r="D15" s="394">
        <f ca="1">SUMIF('Secc 8.1 -8.10'!B:H,'Secc 8.11-8.12'!B15,'Secc 8.1 -8.10'!D:D)</f>
        <v>363300</v>
      </c>
      <c r="E15" s="394">
        <f ca="1">SUMIF('Secc 8.1 -8.10'!B:H,'Secc 8.11-8.12'!B15,'Secc 8.1 -8.10'!E:E)</f>
        <v>0</v>
      </c>
      <c r="F15" s="395"/>
      <c r="G15" s="394">
        <f ca="1">SUMIF('Secc 8.1 -8.10'!B:H,'Secc 8.11-8.12'!B15,'Secc 8.1 -8.10'!G:G)</f>
        <v>865658.70000000019</v>
      </c>
      <c r="H15" s="394">
        <f ca="1">SUMIF('Secc 8.1 -8.10'!B:H,'Secc 8.11-8.12'!B15,'Secc 8.1 -8.10'!H:H)</f>
        <v>0</v>
      </c>
      <c r="I15" s="2"/>
      <c r="N15" s="2"/>
      <c r="O15" s="392"/>
    </row>
    <row r="16" spans="1:15" x14ac:dyDescent="0.25">
      <c r="A16" s="2"/>
      <c r="B16" s="388" t="s">
        <v>130</v>
      </c>
      <c r="C16" s="386"/>
      <c r="D16" s="394">
        <f ca="1">SUMIF('Secc 8.1 -8.10'!B:H,'Secc 8.11-8.12'!B16,'Secc 8.1 -8.10'!D:D)</f>
        <v>2475471.0403444618</v>
      </c>
      <c r="E16" s="394">
        <f ca="1">SUMIF('Secc 8.1 -8.10'!B:H,'Secc 8.11-8.12'!B16,'Secc 8.1 -8.10'!E:E)</f>
        <v>0</v>
      </c>
      <c r="F16" s="395"/>
      <c r="G16" s="394">
        <f ca="1">SUMIF('Secc 8.1 -8.10'!B:H,'Secc 8.11-8.12'!B16,'Secc 8.1 -8.10'!G:G)</f>
        <v>1915660.5921584964</v>
      </c>
      <c r="H16" s="394">
        <f ca="1">SUMIF('Secc 8.1 -8.10'!B:H,'Secc 8.11-8.12'!B16,'Secc 8.1 -8.10'!H:H)</f>
        <v>0</v>
      </c>
      <c r="I16" s="2"/>
      <c r="N16" s="2"/>
      <c r="O16" s="392"/>
    </row>
    <row r="17" spans="1:15" x14ac:dyDescent="0.25">
      <c r="A17" s="2"/>
      <c r="B17" s="388" t="s">
        <v>136</v>
      </c>
      <c r="C17" s="386"/>
      <c r="D17" s="394">
        <f ca="1">SUMIF('Secc 8.1 -8.10'!B:H,'Secc 8.11-8.12'!B17,'Secc 8.1 -8.10'!D:D)</f>
        <v>2500000</v>
      </c>
      <c r="E17" s="394">
        <f ca="1">SUMIF('Secc 8.1 -8.10'!B:H,'Secc 8.11-8.12'!B17,'Secc 8.1 -8.10'!E:E)</f>
        <v>0</v>
      </c>
      <c r="F17" s="395"/>
      <c r="G17" s="394">
        <f ca="1">SUMIF('Secc 8.1 -8.10'!B:H,'Secc 8.11-8.12'!B17,'Secc 8.1 -8.10'!G:G)</f>
        <v>3200000</v>
      </c>
      <c r="H17" s="394">
        <f ca="1">SUMIF('Secc 8.1 -8.10'!B:H,'Secc 8.11-8.12'!B17,'Secc 8.1 -8.10'!H:H)</f>
        <v>0</v>
      </c>
      <c r="I17" s="2"/>
      <c r="N17" s="2"/>
      <c r="O17" s="392"/>
    </row>
    <row r="18" spans="1:15" x14ac:dyDescent="0.25">
      <c r="A18" s="2"/>
      <c r="B18" s="388" t="s">
        <v>72</v>
      </c>
      <c r="C18" s="390"/>
      <c r="D18" s="394">
        <f ca="1">SUMIF('Secc 8.1 -8.10'!B:H,'Secc 8.11-8.12'!B18,'Secc 8.1 -8.10'!D:D)</f>
        <v>0</v>
      </c>
      <c r="E18" s="394">
        <f ca="1">SUMIF('Secc 8.1 -8.10'!B:H,'Secc 8.11-8.12'!B18,'Secc 8.1 -8.10'!E:E)</f>
        <v>2000000</v>
      </c>
      <c r="F18" s="395"/>
      <c r="G18" s="394">
        <f ca="1">SUMIF('Secc 8.1 -8.10'!B:H,'Secc 8.11-8.12'!B18,'Secc 8.1 -8.10'!G:G)</f>
        <v>0</v>
      </c>
      <c r="H18" s="394">
        <f ca="1">SUMIF('Secc 8.1 -8.10'!B:H,'Secc 8.11-8.12'!B18,'Secc 8.1 -8.10'!H:H)</f>
        <v>2400000</v>
      </c>
      <c r="I18" s="2"/>
      <c r="N18" s="2"/>
      <c r="O18" s="392"/>
    </row>
    <row r="19" spans="1:15" x14ac:dyDescent="0.25">
      <c r="A19" s="2"/>
      <c r="B19" s="388" t="s">
        <v>137</v>
      </c>
      <c r="C19" s="390"/>
      <c r="D19" s="394">
        <f ca="1">SUMIF('Secc 8.1 -8.10'!B:H,'Secc 8.11-8.12'!B19,'Secc 8.1 -8.10'!D:D)</f>
        <v>0</v>
      </c>
      <c r="E19" s="394">
        <f ca="1">SUMIF('Secc 8.1 -8.10'!B:H,'Secc 8.11-8.12'!B19,'Secc 8.1 -8.10'!E:E)</f>
        <v>2500000</v>
      </c>
      <c r="F19" s="395"/>
      <c r="G19" s="394">
        <f ca="1">SUMIF('Secc 8.1 -8.10'!B:H,'Secc 8.11-8.12'!B19,'Secc 8.1 -8.10'!G:G)</f>
        <v>0</v>
      </c>
      <c r="H19" s="394">
        <f ca="1">SUMIF('Secc 8.1 -8.10'!B:H,'Secc 8.11-8.12'!B19,'Secc 8.1 -8.10'!H:H)</f>
        <v>3200000</v>
      </c>
      <c r="I19" s="2"/>
      <c r="N19" s="2"/>
      <c r="O19" s="392"/>
    </row>
    <row r="20" spans="1:15" x14ac:dyDescent="0.25">
      <c r="A20" s="2"/>
      <c r="B20" s="388" t="s">
        <v>54</v>
      </c>
      <c r="C20" s="390"/>
      <c r="D20" s="394">
        <f ca="1">SUMIF('Secc 8.1 -8.10'!B:H,'Secc 8.11-8.12'!B20,'Secc 8.1 -8.10'!D:D)</f>
        <v>0</v>
      </c>
      <c r="E20" s="394">
        <f ca="1">SUMIF('Secc 8.1 -8.10'!B:H,'Secc 8.11-8.12'!B20,'Secc 8.1 -8.10'!E:E)</f>
        <v>13891000</v>
      </c>
      <c r="F20" s="395"/>
      <c r="G20" s="394">
        <f ca="1">SUMIF('Secc 8.1 -8.10'!B:H,'Secc 8.11-8.12'!B20,'Secc 8.1 -8.10'!G:G)</f>
        <v>0</v>
      </c>
      <c r="H20" s="394">
        <f ca="1">SUMIF('Secc 8.1 -8.10'!B:H,'Secc 8.11-8.12'!B20,'Secc 8.1 -8.10'!H:H)</f>
        <v>14586000</v>
      </c>
      <c r="I20" s="2"/>
      <c r="N20" s="2"/>
      <c r="O20" s="392"/>
    </row>
    <row r="21" spans="1:15" x14ac:dyDescent="0.25">
      <c r="A21" s="2"/>
      <c r="B21" s="388" t="s">
        <v>96</v>
      </c>
      <c r="C21" s="390"/>
      <c r="D21" s="394">
        <f ca="1">SUMIF('Secc 8.1 -8.10'!B:H,'Secc 8.11-8.12'!B21,'Secc 8.1 -8.10'!D:D)</f>
        <v>0</v>
      </c>
      <c r="E21" s="394">
        <f ca="1">SUMIF('Secc 8.1 -8.10'!B:H,'Secc 8.11-8.12'!B21,'Secc 8.1 -8.10'!E:E)</f>
        <v>600000</v>
      </c>
      <c r="F21" s="395"/>
      <c r="G21" s="394">
        <f ca="1">SUMIF('Secc 8.1 -8.10'!B:H,'Secc 8.11-8.12'!B21,'Secc 8.1 -8.10'!G:G)</f>
        <v>0</v>
      </c>
      <c r="H21" s="394">
        <f ca="1">SUMIF('Secc 8.1 -8.10'!B:H,'Secc 8.11-8.12'!B21,'Secc 8.1 -8.10'!H:H)</f>
        <v>600000</v>
      </c>
      <c r="I21" s="2"/>
      <c r="N21" s="2"/>
      <c r="O21" s="392"/>
    </row>
    <row r="22" spans="1:15" x14ac:dyDescent="0.25">
      <c r="A22" s="2"/>
      <c r="B22" s="388" t="s">
        <v>134</v>
      </c>
      <c r="C22" s="386"/>
      <c r="D22" s="394">
        <f ca="1">SUMIF('Secc 8.1 -8.10'!B:H,'Secc 8.11-8.12'!B22,'Secc 8.1 -8.10'!D:D)</f>
        <v>0</v>
      </c>
      <c r="E22" s="394">
        <f ca="1">SUMIF('Secc 8.1 -8.10'!B:H,'Secc 8.11-8.12'!B22,'Secc 8.1 -8.10'!E:E)</f>
        <v>0</v>
      </c>
      <c r="F22" s="395"/>
      <c r="G22" s="394">
        <f ca="1">SUMIF('Secc 8.1 -8.10'!B:H,'Secc 8.11-8.12'!B22,'Secc 8.1 -8.10'!G:G)</f>
        <v>0</v>
      </c>
      <c r="H22" s="394">
        <f ca="1">SUMIF('Secc 8.1 -8.10'!B:H,'Secc 8.11-8.12'!B22,'Secc 8.1 -8.10'!H:H)</f>
        <v>100000</v>
      </c>
      <c r="I22" s="2"/>
      <c r="N22" s="2"/>
      <c r="O22" s="392"/>
    </row>
    <row r="23" spans="1:15" x14ac:dyDescent="0.25">
      <c r="A23" s="2"/>
      <c r="B23" s="388" t="s">
        <v>55</v>
      </c>
      <c r="C23" s="390"/>
      <c r="D23" s="394">
        <f ca="1">SUMIF('Secc 8.1 -8.10'!B:H,'Secc 8.11-8.12'!B23,'Secc 8.1 -8.10'!D:D)</f>
        <v>0</v>
      </c>
      <c r="E23" s="394">
        <f ca="1">SUMIF('Secc 8.1 -8.10'!B:H,'Secc 8.11-8.12'!B23,'Secc 8.1 -8.10'!E:E)</f>
        <v>0</v>
      </c>
      <c r="F23" s="395"/>
      <c r="G23" s="394">
        <f ca="1">SUMIF('Secc 8.1 -8.10'!B:H,'Secc 8.11-8.12'!B23,'Secc 8.1 -8.10'!G:G)</f>
        <v>695000</v>
      </c>
      <c r="H23" s="394">
        <f ca="1">SUMIF('Secc 8.1 -8.10'!B:H,'Secc 8.11-8.12'!B23,'Secc 8.1 -8.10'!H:H)</f>
        <v>0</v>
      </c>
      <c r="I23" s="2"/>
      <c r="N23" s="2"/>
      <c r="O23" s="392"/>
    </row>
    <row r="24" spans="1:15" x14ac:dyDescent="0.25">
      <c r="A24" s="2"/>
      <c r="B24" s="388" t="s">
        <v>58</v>
      </c>
      <c r="C24" s="386"/>
      <c r="D24" s="394">
        <f ca="1">SUMIF('Secc 8.1 -8.10'!B:H,'Secc 8.11-8.12'!B24,'Secc 8.1 -8.10'!D:D)</f>
        <v>0</v>
      </c>
      <c r="E24" s="394">
        <f ca="1">SUMIF('Secc 8.1 -8.10'!B:H,'Secc 8.11-8.12'!B24,'Secc 8.1 -8.10'!E:E)</f>
        <v>0</v>
      </c>
      <c r="F24" s="395"/>
      <c r="G24" s="394">
        <f ca="1">SUMIF('Secc 8.1 -8.10'!B:H,'Secc 8.11-8.12'!B24,'Secc 8.1 -8.10'!G:G)</f>
        <v>480000</v>
      </c>
      <c r="H24" s="394">
        <f ca="1">SUMIF('Secc 8.1 -8.10'!B:H,'Secc 8.11-8.12'!B24,'Secc 8.1 -8.10'!H:H)</f>
        <v>0</v>
      </c>
      <c r="I24" s="2"/>
      <c r="J24" s="2"/>
      <c r="K24" s="397"/>
      <c r="L24" s="397"/>
      <c r="M24" s="397"/>
      <c r="N24" s="2"/>
      <c r="O24" s="392"/>
    </row>
    <row r="25" spans="1:15" x14ac:dyDescent="0.25">
      <c r="A25" s="2"/>
      <c r="B25" s="388" t="s">
        <v>139</v>
      </c>
      <c r="C25" s="386"/>
      <c r="D25" s="394">
        <f ca="1">SUMIF('Secc 8.1 -8.10'!B:H,'Secc 8.11-8.12'!B25,'Secc 8.1 -8.10'!D:D)</f>
        <v>0</v>
      </c>
      <c r="E25" s="394">
        <f ca="1">SUMIF('Secc 8.1 -8.10'!B:H,'Secc 8.11-8.12'!B25,'Secc 8.1 -8.10'!E:E)</f>
        <v>0</v>
      </c>
      <c r="F25" s="395"/>
      <c r="G25" s="394">
        <f ca="1">SUMIF('Secc 8.1 -8.10'!B:H,'Secc 8.11-8.12'!B25,'Secc 8.1 -8.10'!G:G)</f>
        <v>2450000</v>
      </c>
      <c r="H25" s="394">
        <f ca="1">SUMIF('Secc 8.1 -8.10'!B:H,'Secc 8.11-8.12'!B25,'Secc 8.1 -8.10'!H:H)</f>
        <v>0</v>
      </c>
      <c r="I25" s="2"/>
      <c r="J25" s="2"/>
      <c r="K25" s="397"/>
      <c r="L25" s="397"/>
      <c r="M25" s="397"/>
      <c r="N25" s="2"/>
      <c r="O25" s="392"/>
    </row>
    <row r="26" spans="1:15" x14ac:dyDescent="0.25">
      <c r="A26" s="2"/>
      <c r="B26" s="388" t="s">
        <v>140</v>
      </c>
      <c r="C26" s="390"/>
      <c r="D26" s="394">
        <f ca="1">SUMIF('Secc 8.1 -8.10'!B:H,'Secc 8.11-8.12'!B26,'Secc 8.1 -8.10'!D:D)</f>
        <v>0</v>
      </c>
      <c r="E26" s="394">
        <f ca="1">SUMIF('Secc 8.1 -8.10'!B:H,'Secc 8.11-8.12'!B26,'Secc 8.1 -8.10'!E:E)</f>
        <v>0</v>
      </c>
      <c r="F26" s="395"/>
      <c r="G26" s="394">
        <f ca="1">SUMIF('Secc 8.1 -8.10'!B:H,'Secc 8.11-8.12'!B26,'Secc 8.1 -8.10'!G:G)</f>
        <v>600000</v>
      </c>
      <c r="H26" s="394">
        <f ca="1">SUMIF('Secc 8.1 -8.10'!B:H,'Secc 8.11-8.12'!B26,'Secc 8.1 -8.10'!H:H)</f>
        <v>0</v>
      </c>
      <c r="I26" s="2"/>
      <c r="J26" s="2"/>
      <c r="K26" s="397"/>
      <c r="L26" s="397"/>
      <c r="M26" s="397"/>
      <c r="N26" s="2"/>
      <c r="O26" s="392"/>
    </row>
    <row r="27" spans="1:15" x14ac:dyDescent="0.25">
      <c r="A27" s="2"/>
      <c r="B27" s="388" t="s">
        <v>141</v>
      </c>
      <c r="C27" s="386"/>
      <c r="D27" s="394">
        <f ca="1">SUMIF('Secc 8.1 -8.10'!B:H,'Secc 8.11-8.12'!B27,'Secc 8.1 -8.10'!D:D)</f>
        <v>0</v>
      </c>
      <c r="E27" s="394">
        <f ca="1">SUMIF('Secc 8.1 -8.10'!B:H,'Secc 8.11-8.12'!B27,'Secc 8.1 -8.10'!E:E)</f>
        <v>0</v>
      </c>
      <c r="F27" s="395"/>
      <c r="G27" s="394">
        <f ca="1">SUMIF('Secc 8.1 -8.10'!B:H,'Secc 8.11-8.12'!B27,'Secc 8.1 -8.10'!G:G)</f>
        <v>350000</v>
      </c>
      <c r="H27" s="394">
        <f ca="1">SUMIF('Secc 8.1 -8.10'!B:H,'Secc 8.11-8.12'!B27,'Secc 8.1 -8.10'!H:H)</f>
        <v>0</v>
      </c>
      <c r="I27" s="2"/>
      <c r="J27" s="2"/>
      <c r="K27" s="397"/>
      <c r="L27" s="397"/>
      <c r="M27" s="397"/>
      <c r="N27" s="2"/>
      <c r="O27" s="392"/>
    </row>
    <row r="28" spans="1:15" x14ac:dyDescent="0.25">
      <c r="A28" s="2"/>
      <c r="B28" s="388" t="s">
        <v>75</v>
      </c>
      <c r="C28" s="390"/>
      <c r="D28" s="394">
        <f ca="1">SUMIF('Secc 8.1 -8.10'!B:H,'Secc 8.11-8.12'!B28,'Secc 8.1 -8.10'!D:D)</f>
        <v>0</v>
      </c>
      <c r="E28" s="394">
        <f ca="1">SUMIF('Secc 8.1 -8.10'!B:H,'Secc 8.11-8.12'!B28,'Secc 8.1 -8.10'!E:E)</f>
        <v>0</v>
      </c>
      <c r="F28" s="395"/>
      <c r="G28" s="394">
        <f ca="1">SUMIF('Secc 8.1 -8.10'!B:H,'Secc 8.11-8.12'!B28,'Secc 8.1 -8.10'!G:G)</f>
        <v>0</v>
      </c>
      <c r="H28" s="394">
        <f ca="1">SUMIF('Secc 8.1 -8.10'!B:H,'Secc 8.11-8.12'!B28,'Secc 8.1 -8.10'!H:H)</f>
        <v>100000</v>
      </c>
      <c r="I28" s="2"/>
      <c r="J28" s="2"/>
      <c r="K28" s="397"/>
      <c r="L28" s="397"/>
      <c r="M28" s="397"/>
      <c r="N28" s="2"/>
      <c r="O28" s="392"/>
    </row>
    <row r="29" spans="1:15" x14ac:dyDescent="0.25">
      <c r="A29" s="2"/>
      <c r="B29" s="388" t="s">
        <v>97</v>
      </c>
      <c r="C29" s="386"/>
      <c r="D29" s="394">
        <f ca="1">SUMIF('Secc 8.1 -8.10'!B:H,'Secc 8.11-8.12'!B29,'Secc 8.1 -8.10'!D:D)</f>
        <v>0</v>
      </c>
      <c r="E29" s="394">
        <f ca="1">SUMIF('Secc 8.1 -8.10'!B:H,'Secc 8.11-8.12'!B29,'Secc 8.1 -8.10'!E:E)</f>
        <v>0</v>
      </c>
      <c r="F29" s="395"/>
      <c r="G29" s="394">
        <f ca="1">SUMIF('Secc 8.1 -8.10'!B:H,'Secc 8.11-8.12'!B29,'Secc 8.1 -8.10'!G:G)</f>
        <v>0</v>
      </c>
      <c r="H29" s="394">
        <f ca="1">SUMIF('Secc 8.1 -8.10'!B:H,'Secc 8.11-8.12'!B29,'Secc 8.1 -8.10'!H:H)</f>
        <v>225000</v>
      </c>
      <c r="I29" s="2"/>
      <c r="J29" s="2"/>
      <c r="K29" s="2"/>
      <c r="L29" s="2"/>
      <c r="M29" s="2"/>
      <c r="N29" s="2"/>
      <c r="O29" s="392"/>
    </row>
    <row r="30" spans="1:15" x14ac:dyDescent="0.25">
      <c r="A30" s="2"/>
      <c r="B30" s="388" t="s">
        <v>129</v>
      </c>
      <c r="C30" s="390"/>
      <c r="D30" s="394">
        <f ca="1">SUMIF('Secc 8.1 -8.10'!B:H,'Secc 8.11-8.12'!B30,'Secc 8.1 -8.10'!D:D)</f>
        <v>0</v>
      </c>
      <c r="E30" s="394">
        <f ca="1">SUMIF('Secc 8.1 -8.10'!B:H,'Secc 8.11-8.12'!B30,'Secc 8.1 -8.10'!E:E)</f>
        <v>0</v>
      </c>
      <c r="F30" s="395"/>
      <c r="G30" s="394">
        <f ca="1">SUMIF('Secc 8.1 -8.10'!B:H,'Secc 8.11-8.12'!B30,'Secc 8.1 -8.10'!G:G)</f>
        <v>559810.44818596542</v>
      </c>
      <c r="H30" s="394">
        <f ca="1">SUMIF('Secc 8.1 -8.10'!B:H,'Secc 8.11-8.12'!B30,'Secc 8.1 -8.10'!H:H)</f>
        <v>0</v>
      </c>
      <c r="I30" s="2"/>
      <c r="J30" s="2"/>
      <c r="K30" s="2"/>
      <c r="L30" s="2"/>
      <c r="M30" s="2"/>
      <c r="N30" s="2"/>
      <c r="O30" s="392"/>
    </row>
    <row r="31" spans="1:15" x14ac:dyDescent="0.25">
      <c r="A31" s="2"/>
      <c r="B31" s="388" t="s">
        <v>142</v>
      </c>
      <c r="C31" s="386"/>
      <c r="D31" s="394">
        <f ca="1">SUMIF('Secc 8.1 -8.10'!B:H,'Secc 8.11-8.12'!B31,'Secc 8.1 -8.10'!D:D)</f>
        <v>0</v>
      </c>
      <c r="E31" s="394">
        <f ca="1">SUMIF('Secc 8.1 -8.10'!B:H,'Secc 8.11-8.12'!B31,'Secc 8.1 -8.10'!E:E)</f>
        <v>0</v>
      </c>
      <c r="F31" s="395"/>
      <c r="G31" s="394">
        <f ca="1">SUMIF('Secc 8.1 -8.10'!B:H,'Secc 8.11-8.12'!B31,'Secc 8.1 -8.10'!G:G)</f>
        <v>0</v>
      </c>
      <c r="H31" s="394">
        <f ca="1">SUMIF('Secc 8.1 -8.10'!B:H,'Secc 8.11-8.12'!B31,'Secc 8.1 -8.10'!H:H)</f>
        <v>3000000</v>
      </c>
      <c r="I31" s="2"/>
      <c r="J31" s="2"/>
      <c r="K31" s="2"/>
      <c r="L31" s="2"/>
      <c r="M31" s="2"/>
      <c r="N31" s="2"/>
      <c r="O31" s="392"/>
    </row>
    <row r="32" spans="1:15" x14ac:dyDescent="0.25">
      <c r="A32" s="2"/>
      <c r="B32" s="388" t="s">
        <v>27</v>
      </c>
      <c r="C32" s="386"/>
      <c r="D32" s="394">
        <f ca="1">SUMIF('Secc 8.1 -8.10'!B:H,'Secc 8.11-8.12'!B32,'Secc 8.1 -8.10'!D:D)</f>
        <v>0</v>
      </c>
      <c r="E32" s="394">
        <f ca="1">SUMIF('Secc 8.1 -8.10'!B:H,'Secc 8.11-8.12'!B32,'Secc 8.1 -8.10'!E:E)</f>
        <v>0</v>
      </c>
      <c r="F32" s="395"/>
      <c r="G32" s="394">
        <f ca="1">SUMIF('Secc 8.1 -8.10'!B:H,'Secc 8.11-8.12'!B32,'Secc 8.1 -8.10'!G:G)</f>
        <v>0</v>
      </c>
      <c r="H32" s="394">
        <f ca="1">SUMIF('Secc 8.1 -8.10'!B:H,'Secc 8.11-8.12'!B32,'Secc 8.1 -8.10'!H:H)</f>
        <v>502359</v>
      </c>
      <c r="I32" s="2"/>
      <c r="J32" s="2"/>
      <c r="K32" s="2"/>
      <c r="L32" s="2"/>
      <c r="M32" s="2"/>
      <c r="N32" s="2"/>
      <c r="O32" s="392"/>
    </row>
    <row r="33" spans="1:15" x14ac:dyDescent="0.25">
      <c r="A33" s="2"/>
      <c r="B33" s="388" t="s">
        <v>28</v>
      </c>
      <c r="C33" s="386"/>
      <c r="D33" s="394">
        <f ca="1">SUMIF('Secc 8.1 -8.10'!B:H,'Secc 8.11-8.12'!B33,'Secc 8.1 -8.10'!D:D)</f>
        <v>6511000</v>
      </c>
      <c r="E33" s="394">
        <f ca="1">SUMIF('Secc 8.1 -8.10'!B:H,'Secc 8.11-8.12'!B33,'Secc 8.1 -8.10'!E:E)</f>
        <v>4938771.0403444618</v>
      </c>
      <c r="F33" s="395"/>
      <c r="G33" s="394">
        <f ca="1">SUMIF('Secc 8.1 -8.10'!B:H,'Secc 8.11-8.12'!B33,'Secc 8.1 -8.10'!G:G)</f>
        <v>7511000</v>
      </c>
      <c r="H33" s="394">
        <f ca="1">SUMIF('Secc 8.1 -8.10'!B:H,'Secc 8.11-8.12'!B33,'Secc 8.1 -8.10'!H:H)</f>
        <v>4938771.0403444618</v>
      </c>
      <c r="I33" s="2"/>
      <c r="J33" s="2"/>
      <c r="K33" s="2"/>
      <c r="L33" s="2"/>
      <c r="M33" s="2"/>
      <c r="N33" s="2"/>
      <c r="O33" s="392"/>
    </row>
    <row r="34" spans="1:15" s="12" customFormat="1" x14ac:dyDescent="0.25">
      <c r="A34" s="11"/>
      <c r="B34" s="11"/>
      <c r="C34" s="11"/>
      <c r="D34" s="396">
        <f ca="1">SUM(D7:D33)</f>
        <v>27249771.040344462</v>
      </c>
      <c r="E34" s="396">
        <f t="shared" ref="E34" ca="1" si="0">SUM(E7:E33)</f>
        <v>27249771.040344462</v>
      </c>
      <c r="F34" s="398"/>
      <c r="G34" s="396">
        <f t="shared" ref="G34" ca="1" si="1">SUM(G7:G33)</f>
        <v>34452129.740344465</v>
      </c>
      <c r="H34" s="396">
        <f t="shared" ref="H34" ca="1" si="2">SUM(H7:H33)</f>
        <v>34452130.040344462</v>
      </c>
      <c r="I34" s="399">
        <f ca="1">+G34-H34</f>
        <v>-0.29999999701976776</v>
      </c>
      <c r="J34" s="2"/>
      <c r="K34" s="2"/>
      <c r="L34" s="11"/>
      <c r="M34" s="2"/>
      <c r="N34" s="399">
        <f ca="1">+D34-E34</f>
        <v>0</v>
      </c>
      <c r="O34" s="392"/>
    </row>
    <row r="35" spans="1:15" x14ac:dyDescent="0.25">
      <c r="A35" s="2"/>
      <c r="B35" s="2"/>
      <c r="C35" s="2"/>
      <c r="D35" s="397"/>
      <c r="E35" s="397"/>
      <c r="F35" s="397"/>
      <c r="G35" s="397"/>
      <c r="H35" s="397"/>
      <c r="I35" s="2"/>
      <c r="J35" s="2"/>
      <c r="K35" s="2"/>
      <c r="L35" s="2"/>
      <c r="M35" s="2"/>
      <c r="N35" s="2"/>
      <c r="O35" s="392"/>
    </row>
    <row r="36" spans="1:15" x14ac:dyDescent="0.25">
      <c r="A36" s="2"/>
      <c r="B36" s="2"/>
      <c r="C36" s="2"/>
      <c r="D36" s="397"/>
      <c r="E36" s="397"/>
      <c r="F36" s="397"/>
      <c r="G36" s="397"/>
      <c r="H36" s="397"/>
      <c r="I36" s="2"/>
      <c r="J36" s="2"/>
      <c r="K36" s="2"/>
      <c r="L36" s="2"/>
      <c r="M36" s="2"/>
      <c r="N36" s="2"/>
      <c r="O36" s="392"/>
    </row>
    <row r="37" spans="1:15" ht="30" customHeight="1" x14ac:dyDescent="0.4">
      <c r="A37" s="459" t="s">
        <v>368</v>
      </c>
      <c r="B37" s="459"/>
      <c r="C37" s="459"/>
      <c r="D37" s="459"/>
      <c r="E37" s="459"/>
      <c r="F37" s="459"/>
      <c r="G37" s="459"/>
      <c r="H37" s="459"/>
      <c r="I37" s="459"/>
      <c r="J37" s="2"/>
      <c r="K37" s="2"/>
      <c r="L37" s="2"/>
      <c r="M37" s="2"/>
      <c r="N37" s="2"/>
      <c r="O37" s="392"/>
    </row>
    <row r="38" spans="1:15" x14ac:dyDescent="0.25">
      <c r="A38" s="2"/>
      <c r="B38" s="11"/>
      <c r="C38" s="2"/>
      <c r="D38" s="2"/>
      <c r="E38" s="2"/>
      <c r="F38" s="397"/>
      <c r="G38" s="397"/>
      <c r="H38" s="397"/>
      <c r="I38" s="2"/>
      <c r="J38" s="2"/>
      <c r="K38" s="2"/>
      <c r="L38" s="2"/>
      <c r="M38" s="2"/>
      <c r="N38" s="2"/>
      <c r="O38" s="392"/>
    </row>
    <row r="39" spans="1:15" ht="18.75" x14ac:dyDescent="0.3">
      <c r="A39" s="2"/>
      <c r="B39" s="405">
        <v>8.1199999999999992</v>
      </c>
      <c r="C39" s="58"/>
      <c r="D39" s="2"/>
      <c r="E39" s="2"/>
      <c r="F39" s="397"/>
      <c r="G39" s="458" t="s">
        <v>321</v>
      </c>
      <c r="H39" s="458"/>
      <c r="I39" s="2"/>
      <c r="J39" s="2"/>
      <c r="K39" s="2"/>
      <c r="L39" s="2"/>
      <c r="M39" s="2"/>
      <c r="N39" s="2"/>
      <c r="O39" s="392"/>
    </row>
    <row r="40" spans="1:15" x14ac:dyDescent="0.25">
      <c r="A40" s="2"/>
      <c r="B40" s="58"/>
      <c r="C40" s="58"/>
      <c r="D40" s="2"/>
      <c r="E40" s="2"/>
      <c r="F40" s="397"/>
      <c r="G40" s="386" t="s">
        <v>23</v>
      </c>
      <c r="H40" s="386" t="s">
        <v>24</v>
      </c>
      <c r="I40" s="2"/>
      <c r="J40" s="2"/>
      <c r="K40" s="2"/>
      <c r="L40" s="2"/>
      <c r="M40" s="2"/>
      <c r="N40" s="2"/>
      <c r="O40" s="392"/>
    </row>
    <row r="41" spans="1:15" x14ac:dyDescent="0.25">
      <c r="A41" s="2"/>
      <c r="B41" s="58"/>
      <c r="C41" s="58"/>
      <c r="D41" s="2"/>
      <c r="E41" s="2"/>
      <c r="F41" s="397"/>
      <c r="G41" s="386" t="s">
        <v>25</v>
      </c>
      <c r="H41" s="386" t="s">
        <v>25</v>
      </c>
      <c r="I41" s="2"/>
      <c r="J41" s="2"/>
      <c r="K41" s="2"/>
      <c r="L41" s="2"/>
      <c r="M41" s="2"/>
      <c r="N41" s="2"/>
      <c r="O41" s="392"/>
    </row>
    <row r="42" spans="1:15" x14ac:dyDescent="0.25">
      <c r="A42" s="2"/>
      <c r="B42" s="400" t="s">
        <v>80</v>
      </c>
      <c r="C42" s="401"/>
      <c r="D42" s="402"/>
      <c r="E42" s="232"/>
      <c r="F42" s="397"/>
      <c r="G42" s="394">
        <f t="shared" ref="G42:H56" ca="1" si="3">+G7</f>
        <v>0</v>
      </c>
      <c r="H42" s="394">
        <f t="shared" ca="1" si="3"/>
        <v>1000000</v>
      </c>
      <c r="I42" s="2"/>
      <c r="J42" s="2"/>
      <c r="K42" s="2"/>
      <c r="L42" s="2"/>
      <c r="M42" s="2"/>
      <c r="N42" s="2"/>
      <c r="O42" s="392"/>
    </row>
    <row r="43" spans="1:15" x14ac:dyDescent="0.25">
      <c r="A43" s="2"/>
      <c r="B43" s="400" t="s">
        <v>94</v>
      </c>
      <c r="C43" s="401"/>
      <c r="D43" s="402"/>
      <c r="E43" s="232"/>
      <c r="F43" s="397"/>
      <c r="G43" s="394">
        <f t="shared" ca="1" si="3"/>
        <v>1100000</v>
      </c>
      <c r="H43" s="394">
        <f t="shared" ca="1" si="3"/>
        <v>0</v>
      </c>
      <c r="I43" s="2"/>
      <c r="J43" s="2"/>
      <c r="K43" s="2"/>
      <c r="L43" s="2"/>
      <c r="M43" s="2"/>
      <c r="N43" s="2"/>
      <c r="O43" s="392"/>
    </row>
    <row r="44" spans="1:15" x14ac:dyDescent="0.25">
      <c r="A44" s="2"/>
      <c r="B44" s="400" t="s">
        <v>95</v>
      </c>
      <c r="C44" s="401"/>
      <c r="D44" s="402"/>
      <c r="E44" s="232"/>
      <c r="F44" s="397"/>
      <c r="G44" s="394">
        <f t="shared" ca="1" si="3"/>
        <v>600000</v>
      </c>
      <c r="H44" s="394">
        <f t="shared" ca="1" si="3"/>
        <v>400000</v>
      </c>
      <c r="I44" s="2"/>
      <c r="J44" s="2"/>
      <c r="K44" s="2"/>
      <c r="L44" s="2"/>
      <c r="M44" s="2"/>
      <c r="N44" s="2"/>
      <c r="O44" s="392"/>
    </row>
    <row r="45" spans="1:15" x14ac:dyDescent="0.25">
      <c r="A45" s="2"/>
      <c r="B45" s="400" t="s">
        <v>56</v>
      </c>
      <c r="C45" s="401"/>
      <c r="D45" s="402"/>
      <c r="E45" s="232"/>
      <c r="F45" s="397"/>
      <c r="G45" s="394">
        <f t="shared" ca="1" si="3"/>
        <v>12000000</v>
      </c>
      <c r="H45" s="394">
        <f t="shared" ca="1" si="3"/>
        <v>0</v>
      </c>
      <c r="I45" s="2"/>
      <c r="J45" s="2"/>
      <c r="K45" s="2"/>
      <c r="L45" s="2"/>
      <c r="M45" s="2"/>
      <c r="N45" s="2"/>
      <c r="O45" s="392"/>
    </row>
    <row r="46" spans="1:15" x14ac:dyDescent="0.25">
      <c r="A46" s="2"/>
      <c r="B46" s="400" t="s">
        <v>57</v>
      </c>
      <c r="C46" s="401"/>
      <c r="D46" s="402"/>
      <c r="E46" s="232"/>
      <c r="F46" s="397"/>
      <c r="G46" s="394">
        <f t="shared" ca="1" si="3"/>
        <v>0</v>
      </c>
      <c r="H46" s="394">
        <f t="shared" ca="1" si="3"/>
        <v>2400000</v>
      </c>
      <c r="I46" s="2"/>
      <c r="J46" s="2"/>
      <c r="K46" s="2"/>
      <c r="L46" s="2"/>
      <c r="M46" s="2"/>
      <c r="N46" s="2"/>
      <c r="O46" s="392"/>
    </row>
    <row r="47" spans="1:15" x14ac:dyDescent="0.25">
      <c r="A47" s="2"/>
      <c r="B47" s="400" t="s">
        <v>77</v>
      </c>
      <c r="C47" s="401"/>
      <c r="D47" s="402"/>
      <c r="E47" s="232"/>
      <c r="F47" s="397"/>
      <c r="G47" s="394">
        <f t="shared" ca="1" si="3"/>
        <v>0</v>
      </c>
      <c r="H47" s="394">
        <f t="shared" ca="1" si="3"/>
        <v>1000000</v>
      </c>
      <c r="I47" s="2"/>
      <c r="J47" s="2"/>
      <c r="K47" s="2"/>
      <c r="L47" s="2"/>
      <c r="M47" s="2"/>
      <c r="N47" s="2"/>
      <c r="O47" s="392"/>
    </row>
    <row r="48" spans="1:15" x14ac:dyDescent="0.25">
      <c r="A48" s="2"/>
      <c r="B48" s="400" t="s">
        <v>76</v>
      </c>
      <c r="C48" s="401"/>
      <c r="D48" s="402"/>
      <c r="E48" s="232"/>
      <c r="F48" s="397"/>
      <c r="G48" s="394">
        <f t="shared" ca="1" si="3"/>
        <v>400000</v>
      </c>
      <c r="H48" s="394">
        <f t="shared" ca="1" si="3"/>
        <v>0</v>
      </c>
      <c r="I48" s="2"/>
      <c r="J48" s="2"/>
      <c r="K48" s="2"/>
      <c r="L48" s="2"/>
      <c r="M48" s="2"/>
      <c r="N48" s="2"/>
      <c r="O48" s="392"/>
    </row>
    <row r="49" spans="1:15" x14ac:dyDescent="0.25">
      <c r="A49" s="2"/>
      <c r="B49" s="400" t="s">
        <v>98</v>
      </c>
      <c r="C49" s="401"/>
      <c r="D49" s="402"/>
      <c r="E49" s="232"/>
      <c r="F49" s="397"/>
      <c r="G49" s="394">
        <f t="shared" ca="1" si="3"/>
        <v>1725000</v>
      </c>
      <c r="H49" s="394">
        <f t="shared" ca="1" si="3"/>
        <v>0</v>
      </c>
      <c r="I49" s="2"/>
      <c r="J49" s="2"/>
      <c r="K49" s="2"/>
      <c r="L49" s="2"/>
      <c r="M49" s="2"/>
      <c r="N49" s="2"/>
      <c r="O49" s="392"/>
    </row>
    <row r="50" spans="1:15" x14ac:dyDescent="0.25">
      <c r="A50" s="2"/>
      <c r="B50" s="400" t="s">
        <v>26</v>
      </c>
      <c r="C50" s="401"/>
      <c r="D50" s="402"/>
      <c r="E50" s="232"/>
      <c r="F50" s="397"/>
      <c r="G50" s="394">
        <f t="shared" ca="1" si="3"/>
        <v>865658.70000000019</v>
      </c>
      <c r="H50" s="394">
        <f t="shared" ca="1" si="3"/>
        <v>0</v>
      </c>
      <c r="I50" s="2"/>
      <c r="J50" s="2"/>
      <c r="K50" s="2"/>
      <c r="L50" s="2"/>
      <c r="M50" s="2"/>
      <c r="N50" s="2"/>
      <c r="O50" s="392"/>
    </row>
    <row r="51" spans="1:15" x14ac:dyDescent="0.25">
      <c r="A51" s="2"/>
      <c r="B51" s="400" t="s">
        <v>130</v>
      </c>
      <c r="C51" s="401"/>
      <c r="D51" s="402"/>
      <c r="E51" s="232"/>
      <c r="F51" s="397"/>
      <c r="G51" s="394">
        <f t="shared" ca="1" si="3"/>
        <v>1915660.5921584964</v>
      </c>
      <c r="H51" s="394">
        <f t="shared" ca="1" si="3"/>
        <v>0</v>
      </c>
      <c r="I51" s="2"/>
      <c r="J51" s="2"/>
      <c r="K51" s="2"/>
      <c r="L51" s="2"/>
      <c r="M51" s="2"/>
      <c r="N51" s="2"/>
      <c r="O51" s="392"/>
    </row>
    <row r="52" spans="1:15" x14ac:dyDescent="0.25">
      <c r="A52" s="2"/>
      <c r="B52" s="400" t="s">
        <v>136</v>
      </c>
      <c r="C52" s="401"/>
      <c r="D52" s="402"/>
      <c r="E52" s="232"/>
      <c r="F52" s="397"/>
      <c r="G52" s="394">
        <f t="shared" ca="1" si="3"/>
        <v>3200000</v>
      </c>
      <c r="H52" s="394">
        <f t="shared" ca="1" si="3"/>
        <v>0</v>
      </c>
      <c r="I52" s="2"/>
      <c r="J52" s="2"/>
      <c r="K52" s="2"/>
      <c r="L52" s="2"/>
      <c r="M52" s="2"/>
      <c r="N52" s="2"/>
      <c r="O52" s="392"/>
    </row>
    <row r="53" spans="1:15" x14ac:dyDescent="0.25">
      <c r="A53" s="2"/>
      <c r="B53" s="400" t="s">
        <v>72</v>
      </c>
      <c r="C53" s="401"/>
      <c r="D53" s="402"/>
      <c r="E53" s="232"/>
      <c r="F53" s="397"/>
      <c r="G53" s="394">
        <f t="shared" ca="1" si="3"/>
        <v>0</v>
      </c>
      <c r="H53" s="394">
        <f t="shared" ca="1" si="3"/>
        <v>2400000</v>
      </c>
      <c r="I53" s="2"/>
      <c r="J53" s="2"/>
      <c r="K53" s="2"/>
      <c r="L53" s="2"/>
      <c r="M53" s="2"/>
      <c r="N53" s="2"/>
      <c r="O53" s="392"/>
    </row>
    <row r="54" spans="1:15" x14ac:dyDescent="0.25">
      <c r="A54" s="2"/>
      <c r="B54" s="400" t="s">
        <v>137</v>
      </c>
      <c r="C54" s="401"/>
      <c r="D54" s="402"/>
      <c r="E54" s="232"/>
      <c r="F54" s="397"/>
      <c r="G54" s="394">
        <f t="shared" ca="1" si="3"/>
        <v>0</v>
      </c>
      <c r="H54" s="394">
        <f t="shared" ca="1" si="3"/>
        <v>3200000</v>
      </c>
      <c r="I54" s="2"/>
      <c r="J54" s="2"/>
      <c r="K54" s="2"/>
      <c r="L54" s="2"/>
      <c r="M54" s="2"/>
      <c r="N54" s="2"/>
      <c r="O54" s="392"/>
    </row>
    <row r="55" spans="1:15" x14ac:dyDescent="0.25">
      <c r="A55" s="2"/>
      <c r="B55" s="400" t="s">
        <v>54</v>
      </c>
      <c r="C55" s="401"/>
      <c r="D55" s="402"/>
      <c r="E55" s="232"/>
      <c r="F55" s="397"/>
      <c r="G55" s="394">
        <f t="shared" ca="1" si="3"/>
        <v>0</v>
      </c>
      <c r="H55" s="394">
        <f t="shared" ca="1" si="3"/>
        <v>14586000</v>
      </c>
      <c r="I55" s="2"/>
      <c r="J55" s="2"/>
      <c r="K55" s="2"/>
      <c r="L55" s="2"/>
      <c r="M55" s="2"/>
      <c r="N55" s="2"/>
      <c r="O55" s="392"/>
    </row>
    <row r="56" spans="1:15" x14ac:dyDescent="0.25">
      <c r="A56" s="2"/>
      <c r="B56" s="400" t="s">
        <v>96</v>
      </c>
      <c r="C56" s="401"/>
      <c r="D56" s="402"/>
      <c r="E56" s="232"/>
      <c r="F56" s="397"/>
      <c r="G56" s="394">
        <f t="shared" ca="1" si="3"/>
        <v>0</v>
      </c>
      <c r="H56" s="394">
        <f t="shared" ca="1" si="3"/>
        <v>600000</v>
      </c>
      <c r="I56" s="2"/>
      <c r="J56" s="2"/>
      <c r="K56" s="2"/>
      <c r="L56" s="2"/>
      <c r="M56" s="2"/>
      <c r="N56" s="2"/>
      <c r="O56" s="392"/>
    </row>
    <row r="57" spans="1:15" x14ac:dyDescent="0.25">
      <c r="A57" s="2"/>
      <c r="B57" s="400" t="s">
        <v>28</v>
      </c>
      <c r="C57" s="401"/>
      <c r="D57" s="402"/>
      <c r="E57" s="232"/>
      <c r="F57" s="397"/>
      <c r="G57" s="394">
        <f ca="1">SUM(G22:G33)</f>
        <v>12645810.448185965</v>
      </c>
      <c r="H57" s="394">
        <f ca="1">SUM(H22:H33)</f>
        <v>8866130.0403444618</v>
      </c>
      <c r="I57" s="2"/>
      <c r="J57" s="2"/>
      <c r="K57" s="2"/>
      <c r="L57" s="2"/>
      <c r="M57" s="2"/>
      <c r="N57" s="2"/>
      <c r="O57" s="392"/>
    </row>
    <row r="58" spans="1:15" x14ac:dyDescent="0.25">
      <c r="A58" s="2"/>
      <c r="B58" s="60"/>
      <c r="C58" s="89"/>
      <c r="D58" s="2"/>
      <c r="E58" s="2"/>
      <c r="F58" s="397"/>
      <c r="G58" s="396">
        <f ca="1">SUM(G42:G57)</f>
        <v>34452129.740344465</v>
      </c>
      <c r="H58" s="396">
        <f ca="1">SUM(H42:H57)</f>
        <v>34452130.040344462</v>
      </c>
      <c r="I58" s="2"/>
      <c r="J58" s="2"/>
      <c r="K58" s="2"/>
      <c r="L58" s="2"/>
      <c r="M58" s="2"/>
      <c r="N58" s="2"/>
      <c r="O58" s="392"/>
    </row>
    <row r="59" spans="1:15" x14ac:dyDescent="0.25">
      <c r="A59" s="2"/>
      <c r="B59" s="2"/>
      <c r="C59" s="2"/>
      <c r="D59" s="397"/>
      <c r="E59" s="397"/>
      <c r="F59" s="397"/>
      <c r="G59" s="397"/>
      <c r="H59" s="397"/>
      <c r="I59" s="2"/>
      <c r="J59" s="2"/>
      <c r="K59" s="2"/>
      <c r="L59" s="2"/>
      <c r="M59" s="2"/>
      <c r="N59" s="2"/>
      <c r="O59" s="392"/>
    </row>
    <row r="60" spans="1:15" hidden="1" x14ac:dyDescent="0.25">
      <c r="A60" s="2"/>
      <c r="B60" s="2"/>
      <c r="C60" s="2"/>
      <c r="D60" s="397"/>
      <c r="E60" s="397"/>
      <c r="F60" s="397"/>
      <c r="G60" s="397"/>
      <c r="H60" s="397"/>
      <c r="I60" s="2"/>
      <c r="J60" s="2"/>
      <c r="K60" s="2"/>
      <c r="L60" s="2"/>
      <c r="M60" s="2"/>
      <c r="N60" s="2"/>
      <c r="O60" s="392"/>
    </row>
    <row r="61" spans="1:15" hidden="1" x14ac:dyDescent="0.25">
      <c r="A61" s="2"/>
      <c r="B61" s="2"/>
      <c r="C61" s="2"/>
      <c r="D61" s="397"/>
      <c r="E61" s="397"/>
      <c r="F61" s="397"/>
      <c r="G61" s="397"/>
      <c r="H61" s="397"/>
      <c r="I61" s="2"/>
      <c r="J61" s="2"/>
      <c r="K61" s="2"/>
      <c r="L61" s="2"/>
      <c r="M61" s="2"/>
      <c r="N61" s="2"/>
      <c r="O61" s="392"/>
    </row>
    <row r="62" spans="1:15" hidden="1" x14ac:dyDescent="0.25">
      <c r="A62" s="2"/>
      <c r="B62" s="2"/>
      <c r="C62" s="2"/>
      <c r="D62" s="397"/>
      <c r="E62" s="397"/>
      <c r="F62" s="397"/>
      <c r="G62" s="397"/>
      <c r="H62" s="397"/>
      <c r="I62" s="2"/>
      <c r="J62" s="2"/>
      <c r="K62" s="2"/>
      <c r="L62" s="2"/>
      <c r="M62" s="2"/>
      <c r="N62" s="2"/>
      <c r="O62" s="392"/>
    </row>
    <row r="63" spans="1:15" hidden="1" x14ac:dyDescent="0.25">
      <c r="A63" s="2"/>
      <c r="B63" s="2"/>
      <c r="C63" s="2"/>
      <c r="D63" s="397"/>
      <c r="E63" s="397"/>
      <c r="F63" s="397"/>
      <c r="G63" s="397"/>
      <c r="H63" s="397"/>
      <c r="I63" s="2"/>
      <c r="J63" s="2"/>
      <c r="K63" s="2"/>
      <c r="L63" s="2"/>
      <c r="M63" s="2"/>
      <c r="N63" s="2"/>
      <c r="O63" s="392"/>
    </row>
    <row r="64" spans="1:15" hidden="1" x14ac:dyDescent="0.25">
      <c r="A64" s="2"/>
      <c r="B64" s="2"/>
      <c r="C64" s="2"/>
      <c r="D64" s="397"/>
      <c r="E64" s="397"/>
      <c r="F64" s="397"/>
      <c r="G64" s="397"/>
      <c r="H64" s="397"/>
      <c r="I64" s="2"/>
      <c r="J64" s="2"/>
      <c r="K64" s="2"/>
      <c r="L64" s="2"/>
      <c r="M64" s="2"/>
      <c r="N64" s="2"/>
      <c r="O64" s="392"/>
    </row>
    <row r="65" spans="1:15" hidden="1" x14ac:dyDescent="0.25">
      <c r="A65" s="2"/>
      <c r="B65" s="2"/>
      <c r="C65" s="2"/>
      <c r="D65" s="397"/>
      <c r="E65" s="397"/>
      <c r="F65" s="397"/>
      <c r="G65" s="397"/>
      <c r="H65" s="397"/>
      <c r="I65" s="2"/>
      <c r="J65" s="2"/>
      <c r="K65" s="2"/>
      <c r="L65" s="2"/>
      <c r="M65" s="2"/>
      <c r="N65" s="2"/>
      <c r="O65" s="392"/>
    </row>
    <row r="66" spans="1:15" hidden="1" x14ac:dyDescent="0.25">
      <c r="A66" s="2"/>
      <c r="B66" s="2"/>
      <c r="C66" s="2"/>
      <c r="D66" s="397"/>
      <c r="E66" s="397"/>
      <c r="F66" s="397"/>
      <c r="G66" s="397"/>
      <c r="H66" s="397"/>
      <c r="I66" s="2"/>
      <c r="J66" s="2"/>
      <c r="K66" s="2"/>
      <c r="L66" s="2"/>
      <c r="M66" s="2"/>
      <c r="N66" s="2"/>
      <c r="O66" s="392"/>
    </row>
    <row r="67" spans="1:15" hidden="1" x14ac:dyDescent="0.25">
      <c r="A67" s="2"/>
      <c r="B67" s="2"/>
      <c r="C67" s="2"/>
      <c r="D67" s="397"/>
      <c r="E67" s="397"/>
      <c r="F67" s="397"/>
      <c r="G67" s="397"/>
      <c r="H67" s="397"/>
      <c r="I67" s="2"/>
      <c r="J67" s="2"/>
      <c r="K67" s="2"/>
      <c r="L67" s="2"/>
      <c r="M67" s="2"/>
      <c r="N67" s="2"/>
      <c r="O67" s="392"/>
    </row>
    <row r="68" spans="1:15" hidden="1" x14ac:dyDescent="0.25">
      <c r="A68" s="2"/>
      <c r="B68" s="2"/>
      <c r="C68" s="2"/>
      <c r="D68" s="397"/>
      <c r="E68" s="397"/>
      <c r="F68" s="397"/>
      <c r="G68" s="397"/>
      <c r="H68" s="397"/>
      <c r="I68" s="2"/>
      <c r="J68" s="2"/>
      <c r="K68" s="2"/>
      <c r="L68" s="2"/>
      <c r="M68" s="2"/>
      <c r="N68" s="2"/>
      <c r="O68" s="392"/>
    </row>
    <row r="69" spans="1:15" hidden="1" x14ac:dyDescent="0.25">
      <c r="A69" s="2"/>
      <c r="B69" s="2"/>
      <c r="C69" s="2"/>
      <c r="D69" s="397"/>
      <c r="E69" s="397"/>
      <c r="F69" s="397"/>
      <c r="G69" s="397"/>
      <c r="H69" s="397"/>
      <c r="I69" s="2"/>
      <c r="J69" s="2"/>
      <c r="K69" s="2"/>
      <c r="L69" s="2"/>
      <c r="M69" s="2"/>
      <c r="N69" s="2"/>
      <c r="O69" s="392"/>
    </row>
    <row r="70" spans="1:15" hidden="1" x14ac:dyDescent="0.25">
      <c r="A70" s="2"/>
      <c r="B70" s="2"/>
      <c r="C70" s="2"/>
      <c r="D70" s="397"/>
      <c r="E70" s="397"/>
      <c r="F70" s="397"/>
      <c r="G70" s="397"/>
      <c r="H70" s="397"/>
      <c r="I70" s="2"/>
      <c r="J70" s="2"/>
      <c r="K70" s="2"/>
      <c r="L70" s="2"/>
      <c r="M70" s="2"/>
      <c r="N70" s="2"/>
      <c r="O70" s="392"/>
    </row>
    <row r="71" spans="1:15" hidden="1" x14ac:dyDescent="0.25">
      <c r="A71" s="2"/>
      <c r="B71" s="2"/>
      <c r="C71" s="2"/>
      <c r="D71" s="397"/>
      <c r="E71" s="397"/>
      <c r="F71" s="397"/>
      <c r="G71" s="397"/>
      <c r="H71" s="397"/>
      <c r="I71" s="2"/>
      <c r="J71" s="2"/>
      <c r="K71" s="2"/>
      <c r="L71" s="2"/>
      <c r="M71" s="2"/>
      <c r="N71" s="2"/>
      <c r="O71" s="392"/>
    </row>
    <row r="72" spans="1:15" hidden="1" x14ac:dyDescent="0.25">
      <c r="A72" s="2"/>
      <c r="B72" s="2"/>
      <c r="C72" s="2"/>
      <c r="D72" s="397"/>
      <c r="E72" s="397"/>
      <c r="F72" s="397"/>
      <c r="G72" s="397"/>
      <c r="H72" s="397"/>
      <c r="I72" s="2"/>
      <c r="J72" s="2"/>
      <c r="K72" s="2"/>
      <c r="L72" s="2"/>
      <c r="M72" s="2"/>
      <c r="N72" s="2"/>
      <c r="O72" s="392"/>
    </row>
    <row r="73" spans="1:15" hidden="1" x14ac:dyDescent="0.25">
      <c r="A73" s="2"/>
      <c r="B73" s="2"/>
      <c r="C73" s="2"/>
      <c r="D73" s="397"/>
      <c r="E73" s="397"/>
      <c r="F73" s="397"/>
      <c r="G73" s="397"/>
      <c r="H73" s="397"/>
      <c r="I73" s="2"/>
      <c r="J73" s="2"/>
      <c r="K73" s="2"/>
      <c r="L73" s="2"/>
      <c r="M73" s="2"/>
      <c r="N73" s="2"/>
      <c r="O73" s="392"/>
    </row>
    <row r="74" spans="1:15" hidden="1" x14ac:dyDescent="0.25">
      <c r="A74" s="2"/>
      <c r="B74" s="2"/>
      <c r="C74" s="2"/>
      <c r="D74" s="397"/>
      <c r="E74" s="397"/>
      <c r="F74" s="397"/>
      <c r="G74" s="397"/>
      <c r="H74" s="397"/>
      <c r="I74" s="2"/>
      <c r="J74" s="2"/>
      <c r="K74" s="2"/>
      <c r="L74" s="2"/>
      <c r="M74" s="2"/>
      <c r="N74" s="2"/>
      <c r="O74" s="392"/>
    </row>
    <row r="75" spans="1:15" hidden="1" x14ac:dyDescent="0.25">
      <c r="A75" s="2"/>
      <c r="B75" s="2"/>
      <c r="C75" s="2"/>
      <c r="D75" s="397"/>
      <c r="E75" s="397"/>
      <c r="F75" s="397"/>
      <c r="G75" s="397"/>
      <c r="H75" s="397"/>
      <c r="I75" s="2"/>
      <c r="J75" s="2"/>
      <c r="K75" s="2"/>
      <c r="L75" s="2"/>
      <c r="M75" s="2"/>
      <c r="N75" s="2"/>
      <c r="O75" s="392"/>
    </row>
    <row r="76" spans="1:15" hidden="1" x14ac:dyDescent="0.25">
      <c r="A76" s="2"/>
      <c r="B76" s="2"/>
      <c r="C76" s="2"/>
      <c r="D76" s="397"/>
      <c r="E76" s="397"/>
      <c r="F76" s="397"/>
      <c r="G76" s="397"/>
      <c r="H76" s="397"/>
      <c r="I76" s="2"/>
      <c r="J76" s="2"/>
      <c r="K76" s="2"/>
      <c r="L76" s="2"/>
      <c r="M76" s="2"/>
      <c r="N76" s="2"/>
      <c r="O76" s="392"/>
    </row>
    <row r="77" spans="1:15" hidden="1" x14ac:dyDescent="0.25">
      <c r="A77" s="2"/>
      <c r="B77" s="2"/>
      <c r="C77" s="2"/>
      <c r="D77" s="397"/>
      <c r="E77" s="397"/>
      <c r="F77" s="397"/>
      <c r="G77" s="397"/>
      <c r="H77" s="397"/>
      <c r="I77" s="2"/>
      <c r="J77" s="2"/>
      <c r="K77" s="2"/>
      <c r="L77" s="2"/>
      <c r="M77" s="2"/>
      <c r="N77" s="2"/>
      <c r="O77" s="392"/>
    </row>
    <row r="78" spans="1:15" hidden="1" x14ac:dyDescent="0.25">
      <c r="A78" s="2"/>
      <c r="B78" s="2"/>
      <c r="C78" s="2"/>
      <c r="D78" s="397"/>
      <c r="E78" s="397"/>
      <c r="F78" s="397"/>
      <c r="G78" s="397"/>
      <c r="H78" s="397"/>
      <c r="I78" s="2"/>
      <c r="J78" s="2"/>
      <c r="K78" s="2"/>
      <c r="L78" s="2"/>
      <c r="M78" s="2"/>
      <c r="N78" s="2"/>
      <c r="O78" s="392"/>
    </row>
    <row r="79" spans="1:15" hidden="1" x14ac:dyDescent="0.25">
      <c r="A79" s="2"/>
      <c r="B79" s="2"/>
      <c r="C79" s="2"/>
      <c r="D79" s="397"/>
      <c r="E79" s="397"/>
      <c r="F79" s="397"/>
      <c r="G79" s="397"/>
      <c r="H79" s="397"/>
      <c r="I79" s="2"/>
      <c r="J79" s="2"/>
      <c r="K79" s="2"/>
      <c r="L79" s="2"/>
      <c r="M79" s="2"/>
      <c r="N79" s="2"/>
      <c r="O79" s="392"/>
    </row>
    <row r="80" spans="1:15" hidden="1" x14ac:dyDescent="0.25">
      <c r="A80" s="2"/>
      <c r="B80" s="2"/>
      <c r="C80" s="2"/>
      <c r="D80" s="397"/>
      <c r="E80" s="397"/>
      <c r="F80" s="397"/>
      <c r="G80" s="397"/>
      <c r="H80" s="397"/>
      <c r="I80" s="2"/>
      <c r="J80" s="2"/>
      <c r="K80" s="2"/>
      <c r="L80" s="2"/>
      <c r="M80" s="2"/>
      <c r="N80" s="2"/>
      <c r="O80" s="392"/>
    </row>
    <row r="81" spans="1:15" hidden="1" x14ac:dyDescent="0.25">
      <c r="A81" s="2"/>
      <c r="B81" s="2"/>
      <c r="C81" s="2"/>
      <c r="D81" s="397"/>
      <c r="E81" s="397"/>
      <c r="F81" s="397"/>
      <c r="G81" s="397"/>
      <c r="H81" s="397"/>
      <c r="I81" s="2"/>
      <c r="J81" s="2"/>
      <c r="K81" s="2"/>
      <c r="L81" s="2"/>
      <c r="M81" s="2"/>
      <c r="N81" s="2"/>
      <c r="O81" s="392"/>
    </row>
    <row r="82" spans="1:15" hidden="1" x14ac:dyDescent="0.25">
      <c r="A82" s="2"/>
      <c r="B82" s="2"/>
      <c r="C82" s="2"/>
      <c r="D82" s="397"/>
      <c r="E82" s="397"/>
      <c r="F82" s="397"/>
      <c r="G82" s="397"/>
      <c r="H82" s="397"/>
      <c r="I82" s="2"/>
      <c r="J82" s="2"/>
      <c r="K82" s="2"/>
      <c r="L82" s="2"/>
      <c r="M82" s="2"/>
      <c r="N82" s="2"/>
      <c r="O82" s="392"/>
    </row>
    <row r="83" spans="1:15" hidden="1" x14ac:dyDescent="0.25">
      <c r="A83" s="2"/>
      <c r="B83" s="2"/>
      <c r="C83" s="2"/>
      <c r="D83" s="397"/>
      <c r="E83" s="397"/>
      <c r="F83" s="397"/>
      <c r="G83" s="397"/>
      <c r="H83" s="397"/>
      <c r="I83" s="2"/>
      <c r="J83" s="2"/>
      <c r="K83" s="2"/>
      <c r="L83" s="2"/>
      <c r="M83" s="2"/>
      <c r="N83" s="2"/>
      <c r="O83" s="392"/>
    </row>
    <row r="84" spans="1:15" hidden="1" x14ac:dyDescent="0.25">
      <c r="A84" s="2"/>
      <c r="B84" s="2"/>
      <c r="C84" s="2"/>
      <c r="D84" s="397"/>
      <c r="E84" s="397"/>
      <c r="F84" s="397"/>
      <c r="G84" s="397"/>
      <c r="H84" s="397"/>
      <c r="I84" s="2"/>
      <c r="J84" s="2"/>
      <c r="K84" s="2"/>
      <c r="L84" s="2"/>
      <c r="M84" s="2"/>
      <c r="N84" s="2"/>
      <c r="O84" s="392"/>
    </row>
    <row r="85" spans="1:15" hidden="1" x14ac:dyDescent="0.25">
      <c r="A85" s="2"/>
      <c r="B85" s="2"/>
      <c r="C85" s="2"/>
      <c r="D85" s="397"/>
      <c r="E85" s="397"/>
      <c r="F85" s="397"/>
      <c r="G85" s="397"/>
      <c r="H85" s="397"/>
      <c r="I85" s="2"/>
      <c r="J85" s="2"/>
      <c r="K85" s="2"/>
      <c r="L85" s="2"/>
      <c r="M85" s="2"/>
      <c r="N85" s="2"/>
      <c r="O85" s="392"/>
    </row>
    <row r="86" spans="1:15" hidden="1" x14ac:dyDescent="0.25">
      <c r="A86" s="2"/>
      <c r="B86" s="2"/>
      <c r="C86" s="2"/>
      <c r="D86" s="397"/>
      <c r="E86" s="397"/>
      <c r="F86" s="397"/>
      <c r="G86" s="397"/>
      <c r="H86" s="397"/>
      <c r="I86" s="2"/>
      <c r="J86" s="2"/>
      <c r="K86" s="2"/>
      <c r="L86" s="2"/>
      <c r="M86" s="2"/>
      <c r="N86" s="2"/>
      <c r="O86" s="392"/>
    </row>
    <row r="87" spans="1:15" hidden="1" x14ac:dyDescent="0.25">
      <c r="A87" s="2"/>
      <c r="B87" s="2"/>
      <c r="C87" s="2"/>
      <c r="D87" s="397"/>
      <c r="E87" s="397"/>
      <c r="F87" s="397"/>
      <c r="G87" s="397"/>
      <c r="H87" s="397"/>
      <c r="I87" s="2"/>
      <c r="J87" s="2"/>
      <c r="K87" s="2"/>
      <c r="L87" s="2"/>
      <c r="M87" s="2"/>
      <c r="N87" s="2"/>
      <c r="O87" s="392"/>
    </row>
    <row r="88" spans="1:15" hidden="1" x14ac:dyDescent="0.25">
      <c r="A88" s="2"/>
      <c r="B88" s="2"/>
      <c r="C88" s="2"/>
      <c r="D88" s="397"/>
      <c r="E88" s="397"/>
      <c r="F88" s="397"/>
      <c r="G88" s="397"/>
      <c r="H88" s="397"/>
      <c r="I88" s="2"/>
      <c r="J88" s="2"/>
      <c r="K88" s="2"/>
      <c r="L88" s="2"/>
      <c r="M88" s="2"/>
      <c r="N88" s="2"/>
      <c r="O88" s="392"/>
    </row>
    <row r="89" spans="1:15" hidden="1" x14ac:dyDescent="0.25">
      <c r="A89" s="2"/>
      <c r="B89" s="2"/>
      <c r="C89" s="2"/>
      <c r="D89" s="397"/>
      <c r="E89" s="397"/>
      <c r="F89" s="397"/>
      <c r="G89" s="397"/>
      <c r="H89" s="397"/>
      <c r="I89" s="2"/>
      <c r="J89" s="2"/>
      <c r="K89" s="2"/>
      <c r="L89" s="2"/>
      <c r="M89" s="2"/>
      <c r="N89" s="2"/>
      <c r="O89" s="392"/>
    </row>
    <row r="90" spans="1:15" x14ac:dyDescent="0.25">
      <c r="A90" s="392"/>
      <c r="B90" s="392"/>
      <c r="C90" s="392"/>
      <c r="D90" s="393"/>
      <c r="E90" s="393"/>
      <c r="F90" s="393"/>
      <c r="G90" s="393"/>
      <c r="H90" s="393"/>
      <c r="I90" s="392"/>
      <c r="J90" s="392"/>
      <c r="K90" s="392"/>
      <c r="L90" s="392"/>
      <c r="M90" s="392"/>
      <c r="N90" s="392"/>
      <c r="O90" s="392"/>
    </row>
    <row r="91" spans="1:15" x14ac:dyDescent="0.25">
      <c r="D91" s="14"/>
      <c r="E91" s="14"/>
      <c r="F91" s="14"/>
      <c r="G91" s="14"/>
      <c r="H91" s="14"/>
    </row>
    <row r="92" spans="1:15" x14ac:dyDescent="0.25">
      <c r="D92" s="14"/>
      <c r="E92" s="14"/>
      <c r="F92" s="14"/>
      <c r="G92" s="14"/>
      <c r="H92" s="14"/>
    </row>
    <row r="93" spans="1:15" x14ac:dyDescent="0.25">
      <c r="D93" s="14"/>
      <c r="E93" s="14"/>
      <c r="F93" s="14"/>
      <c r="G93" s="14"/>
      <c r="H93" s="14"/>
    </row>
  </sheetData>
  <mergeCells count="5">
    <mergeCell ref="G39:H39"/>
    <mergeCell ref="D4:E4"/>
    <mergeCell ref="G4:H4"/>
    <mergeCell ref="A2:I2"/>
    <mergeCell ref="A37:I37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7"/>
  <sheetViews>
    <sheetView workbookViewId="0">
      <selection activeCell="A2" sqref="A2"/>
    </sheetView>
  </sheetViews>
  <sheetFormatPr baseColWidth="10" defaultColWidth="0" defaultRowHeight="15" zeroHeight="1" x14ac:dyDescent="0.25"/>
  <cols>
    <col min="1" max="1" width="35.85546875" style="1" customWidth="1"/>
    <col min="2" max="2" width="13.5703125" style="14" bestFit="1" customWidth="1"/>
    <col min="3" max="3" width="0.85546875" style="14" customWidth="1"/>
    <col min="4" max="4" width="13.5703125" style="14" bestFit="1" customWidth="1"/>
    <col min="5" max="5" width="11.42578125" customWidth="1"/>
    <col min="6" max="6" width="3.7109375" customWidth="1"/>
    <col min="7" max="16384" width="11.42578125" hidden="1"/>
  </cols>
  <sheetData>
    <row r="1" spans="1:6" ht="54" customHeight="1" x14ac:dyDescent="0.25">
      <c r="A1" s="461" t="s">
        <v>369</v>
      </c>
      <c r="B1" s="461"/>
      <c r="C1" s="461"/>
      <c r="D1" s="461"/>
      <c r="E1" s="461"/>
      <c r="F1" s="392"/>
    </row>
    <row r="2" spans="1:6" x14ac:dyDescent="0.25">
      <c r="A2" s="406">
        <v>9.1</v>
      </c>
      <c r="B2" s="460" t="s">
        <v>335</v>
      </c>
      <c r="C2" s="460"/>
      <c r="D2" s="460"/>
      <c r="E2" s="2"/>
      <c r="F2" s="392"/>
    </row>
    <row r="3" spans="1:6" x14ac:dyDescent="0.25">
      <c r="A3" s="147"/>
      <c r="B3" s="230" t="s">
        <v>334</v>
      </c>
      <c r="C3" s="230"/>
      <c r="D3" s="230" t="s">
        <v>333</v>
      </c>
      <c r="E3" s="2"/>
      <c r="F3" s="392"/>
    </row>
    <row r="4" spans="1:6" x14ac:dyDescent="0.25">
      <c r="A4" s="147"/>
      <c r="B4" s="230" t="s">
        <v>25</v>
      </c>
      <c r="C4" s="171"/>
      <c r="D4" s="230" t="s">
        <v>25</v>
      </c>
      <c r="E4" s="2"/>
      <c r="F4" s="392"/>
    </row>
    <row r="5" spans="1:6" x14ac:dyDescent="0.25">
      <c r="A5" s="147" t="s">
        <v>155</v>
      </c>
      <c r="B5" s="172"/>
      <c r="C5" s="172"/>
      <c r="D5" s="172"/>
      <c r="E5" s="2"/>
      <c r="F5" s="392"/>
    </row>
    <row r="6" spans="1:6" x14ac:dyDescent="0.25">
      <c r="A6" s="100" t="s">
        <v>156</v>
      </c>
      <c r="B6" s="172">
        <f>+'Secc 9.3'!B6</f>
        <v>85030000</v>
      </c>
      <c r="C6" s="172"/>
      <c r="D6" s="172">
        <f>+'Secc-9.2'!B7</f>
        <v>75369000</v>
      </c>
      <c r="E6" s="2"/>
      <c r="F6" s="392"/>
    </row>
    <row r="7" spans="1:6" x14ac:dyDescent="0.25">
      <c r="A7" s="100" t="s">
        <v>157</v>
      </c>
      <c r="B7" s="172">
        <f>+'Secc 9.3'!B7</f>
        <v>3000000</v>
      </c>
      <c r="C7" s="172"/>
      <c r="D7" s="172">
        <f>+'Secc-9.2'!B8</f>
        <v>4474000</v>
      </c>
      <c r="E7" s="2"/>
      <c r="F7" s="392"/>
    </row>
    <row r="8" spans="1:6" x14ac:dyDescent="0.25">
      <c r="A8" s="100" t="s">
        <v>158</v>
      </c>
      <c r="B8" s="172">
        <f>+'Secc 9.3'!B8</f>
        <v>6000000</v>
      </c>
      <c r="C8" s="172"/>
      <c r="D8" s="172">
        <f>+'Secc-9.2'!B9</f>
        <v>6746000</v>
      </c>
      <c r="E8" s="2"/>
      <c r="F8" s="392"/>
    </row>
    <row r="9" spans="1:6" x14ac:dyDescent="0.25">
      <c r="A9" s="100" t="s">
        <v>159</v>
      </c>
      <c r="B9" s="173">
        <f>+'Secc 9.3'!B9</f>
        <v>26000000</v>
      </c>
      <c r="C9" s="172"/>
      <c r="D9" s="173">
        <f>+'Secc-9.2'!B10</f>
        <v>26018000</v>
      </c>
      <c r="E9" s="2"/>
      <c r="F9" s="392"/>
    </row>
    <row r="10" spans="1:6" x14ac:dyDescent="0.25">
      <c r="A10" s="147" t="s">
        <v>160</v>
      </c>
      <c r="B10" s="174">
        <f>SUM(B6:B9)</f>
        <v>120030000</v>
      </c>
      <c r="C10" s="172"/>
      <c r="D10" s="174">
        <f>SUM(D6:D9)</f>
        <v>112607000</v>
      </c>
      <c r="E10" s="2"/>
      <c r="F10" s="392"/>
    </row>
    <row r="11" spans="1:6" x14ac:dyDescent="0.25">
      <c r="A11" s="100" t="s">
        <v>161</v>
      </c>
      <c r="B11" s="172">
        <f>+'Secc 9.3'!B11</f>
        <v>0</v>
      </c>
      <c r="C11" s="172"/>
      <c r="D11" s="172">
        <f>+'Secc-9.2'!B12</f>
        <v>0</v>
      </c>
      <c r="E11" s="2"/>
      <c r="F11" s="392"/>
    </row>
    <row r="12" spans="1:6" x14ac:dyDescent="0.25">
      <c r="A12" s="100" t="s">
        <v>332</v>
      </c>
      <c r="B12" s="172">
        <f>+'Secc 9.3'!B12</f>
        <v>7500000</v>
      </c>
      <c r="C12" s="172"/>
      <c r="D12" s="172">
        <f>+'Secc-9.2'!B13</f>
        <v>7400000</v>
      </c>
      <c r="E12" s="2"/>
      <c r="F12" s="392"/>
    </row>
    <row r="13" spans="1:6" x14ac:dyDescent="0.25">
      <c r="A13" s="100" t="s">
        <v>164</v>
      </c>
      <c r="B13" s="172">
        <f>+'Secc 9.3'!B14</f>
        <v>600000</v>
      </c>
      <c r="C13" s="172"/>
      <c r="D13" s="172">
        <f>+'Secc-9.2'!B15</f>
        <v>700000</v>
      </c>
      <c r="E13" s="2"/>
      <c r="F13" s="392"/>
    </row>
    <row r="14" spans="1:6" x14ac:dyDescent="0.25">
      <c r="A14" s="100" t="s">
        <v>165</v>
      </c>
      <c r="B14" s="175">
        <f>SUM(B11:B13)</f>
        <v>8100000</v>
      </c>
      <c r="C14" s="172"/>
      <c r="D14" s="175">
        <f>SUM(D11:D13)</f>
        <v>8100000</v>
      </c>
      <c r="E14" s="2"/>
      <c r="F14" s="392"/>
    </row>
    <row r="15" spans="1:6" x14ac:dyDescent="0.25">
      <c r="A15" s="147" t="s">
        <v>166</v>
      </c>
      <c r="B15" s="175">
        <f>+B10+B14</f>
        <v>128130000</v>
      </c>
      <c r="C15" s="172"/>
      <c r="D15" s="175">
        <f>+D10+D14</f>
        <v>120707000</v>
      </c>
      <c r="E15" s="2"/>
      <c r="F15" s="392"/>
    </row>
    <row r="16" spans="1:6" x14ac:dyDescent="0.25">
      <c r="A16" s="147" t="s">
        <v>167</v>
      </c>
      <c r="B16" s="172"/>
      <c r="C16" s="172"/>
      <c r="D16" s="172"/>
      <c r="E16" s="2"/>
      <c r="F16" s="392"/>
    </row>
    <row r="17" spans="1:6" x14ac:dyDescent="0.25">
      <c r="A17" s="100" t="s">
        <v>168</v>
      </c>
      <c r="B17" s="172">
        <f>+'Secc 9.3'!B19</f>
        <v>10000000</v>
      </c>
      <c r="C17" s="172"/>
      <c r="D17" s="172">
        <f>+'Secc-9.2'!B20</f>
        <v>9415000</v>
      </c>
      <c r="E17" s="2"/>
      <c r="F17" s="392"/>
    </row>
    <row r="18" spans="1:6" x14ac:dyDescent="0.25">
      <c r="A18" s="100" t="s">
        <v>170</v>
      </c>
      <c r="B18" s="173">
        <f>+'Secc 9.3'!B21</f>
        <v>6000000</v>
      </c>
      <c r="C18" s="172"/>
      <c r="D18" s="173">
        <f>+'Secc-9.2'!B22</f>
        <v>5355000</v>
      </c>
      <c r="E18" s="2"/>
      <c r="F18" s="392"/>
    </row>
    <row r="19" spans="1:6" x14ac:dyDescent="0.25">
      <c r="A19" s="147" t="s">
        <v>171</v>
      </c>
      <c r="B19" s="176">
        <f>SUM(B17:B18)</f>
        <v>16000000</v>
      </c>
      <c r="C19" s="172"/>
      <c r="D19" s="176">
        <f>SUM(D17:D18)</f>
        <v>14770000</v>
      </c>
      <c r="E19" s="2"/>
      <c r="F19" s="392"/>
    </row>
    <row r="20" spans="1:6" x14ac:dyDescent="0.25">
      <c r="A20" s="100" t="s">
        <v>173</v>
      </c>
      <c r="B20" s="173">
        <f>+'Secc 9.3'!B24</f>
        <v>100000000</v>
      </c>
      <c r="C20" s="172"/>
      <c r="D20" s="173">
        <f>+'Secc-9.2'!B25</f>
        <v>100000000</v>
      </c>
      <c r="E20" s="2"/>
      <c r="F20" s="392"/>
    </row>
    <row r="21" spans="1:6" x14ac:dyDescent="0.25">
      <c r="A21" s="147" t="s">
        <v>174</v>
      </c>
      <c r="B21" s="176">
        <f>SUM(B20:B20)</f>
        <v>100000000</v>
      </c>
      <c r="C21" s="172"/>
      <c r="D21" s="176">
        <f>SUM(D20:D20)</f>
        <v>100000000</v>
      </c>
      <c r="E21" s="2"/>
      <c r="F21" s="392"/>
    </row>
    <row r="22" spans="1:6" x14ac:dyDescent="0.25">
      <c r="A22" s="147" t="s">
        <v>175</v>
      </c>
      <c r="B22" s="176">
        <f>+B19+B21</f>
        <v>116000000</v>
      </c>
      <c r="C22" s="172"/>
      <c r="D22" s="176">
        <f>+D19+D21</f>
        <v>114770000</v>
      </c>
      <c r="E22" s="2"/>
      <c r="F22" s="392"/>
    </row>
    <row r="23" spans="1:6" x14ac:dyDescent="0.25">
      <c r="A23" s="147"/>
      <c r="B23" s="174"/>
      <c r="C23" s="172"/>
      <c r="D23" s="174"/>
      <c r="E23" s="2"/>
      <c r="F23" s="392"/>
    </row>
    <row r="24" spans="1:6" x14ac:dyDescent="0.25">
      <c r="A24" s="147" t="s">
        <v>249</v>
      </c>
      <c r="B24" s="174"/>
      <c r="C24" s="172"/>
      <c r="D24" s="174"/>
      <c r="E24" s="2"/>
      <c r="F24" s="392"/>
    </row>
    <row r="25" spans="1:6" x14ac:dyDescent="0.25">
      <c r="A25" s="100" t="s">
        <v>176</v>
      </c>
      <c r="B25" s="172">
        <f>+'Secc 9.3'!B28</f>
        <v>4022000</v>
      </c>
      <c r="C25" s="172"/>
      <c r="D25" s="172">
        <f>+'Secc-9.2'!B29</f>
        <v>4022000</v>
      </c>
      <c r="E25" s="2"/>
      <c r="F25" s="392"/>
    </row>
    <row r="26" spans="1:6" x14ac:dyDescent="0.25">
      <c r="A26" s="100" t="s">
        <v>177</v>
      </c>
      <c r="B26" s="172">
        <f>+'Secc 9.3'!B29</f>
        <v>1786000</v>
      </c>
      <c r="C26" s="172"/>
      <c r="D26" s="172">
        <f>+'Secc-9.2'!B30</f>
        <v>593000</v>
      </c>
      <c r="E26" s="2"/>
      <c r="F26" s="392"/>
    </row>
    <row r="27" spans="1:6" x14ac:dyDescent="0.25">
      <c r="A27" s="100" t="s">
        <v>179</v>
      </c>
      <c r="B27" s="173">
        <f>+'Secc 9.3'!B31+'Secc 9.3'!B32</f>
        <v>6322000</v>
      </c>
      <c r="C27" s="172"/>
      <c r="D27" s="173">
        <f>+'Secc-9.2'!B32</f>
        <v>1322000</v>
      </c>
      <c r="E27" s="2"/>
      <c r="F27" s="392"/>
    </row>
    <row r="28" spans="1:6" x14ac:dyDescent="0.25">
      <c r="A28" s="147" t="s">
        <v>180</v>
      </c>
      <c r="B28" s="176">
        <f>SUM(B25:B27)</f>
        <v>12130000</v>
      </c>
      <c r="C28" s="172"/>
      <c r="D28" s="176">
        <f>SUM(D25:D27)</f>
        <v>5937000</v>
      </c>
      <c r="E28" s="2"/>
      <c r="F28" s="392"/>
    </row>
    <row r="29" spans="1:6" x14ac:dyDescent="0.25">
      <c r="A29" s="147" t="s">
        <v>181</v>
      </c>
      <c r="B29" s="175">
        <f>+B22+B28</f>
        <v>128130000</v>
      </c>
      <c r="C29" s="172"/>
      <c r="D29" s="175">
        <f>+D22+D28</f>
        <v>120707000</v>
      </c>
      <c r="E29" s="2"/>
      <c r="F29" s="392"/>
    </row>
    <row r="30" spans="1:6" x14ac:dyDescent="0.25">
      <c r="A30" s="2"/>
      <c r="B30" s="397"/>
      <c r="C30" s="397"/>
      <c r="D30" s="397"/>
      <c r="E30" s="2"/>
      <c r="F30" s="392"/>
    </row>
    <row r="31" spans="1:6" hidden="1" x14ac:dyDescent="0.25">
      <c r="A31" s="2"/>
      <c r="E31" s="2"/>
      <c r="F31" s="392"/>
    </row>
    <row r="32" spans="1:6" hidden="1" x14ac:dyDescent="0.25">
      <c r="A32" s="2"/>
      <c r="E32" s="2"/>
      <c r="F32" s="392"/>
    </row>
    <row r="33" spans="1:6" hidden="1" x14ac:dyDescent="0.25">
      <c r="A33" s="2"/>
      <c r="E33" s="2"/>
      <c r="F33" s="392"/>
    </row>
    <row r="34" spans="1:6" ht="15.75" thickBot="1" x14ac:dyDescent="0.3">
      <c r="A34" s="403"/>
      <c r="B34" s="54">
        <f>+B15-B29</f>
        <v>0</v>
      </c>
      <c r="C34" s="231"/>
      <c r="D34" s="54">
        <f>+D15-D29</f>
        <v>0</v>
      </c>
      <c r="E34" s="2"/>
      <c r="F34" s="392"/>
    </row>
    <row r="35" spans="1:6" x14ac:dyDescent="0.25">
      <c r="A35" s="403"/>
      <c r="B35" s="397"/>
      <c r="C35" s="397"/>
      <c r="D35" s="397"/>
      <c r="E35" s="2"/>
      <c r="F35" s="392"/>
    </row>
    <row r="36" spans="1:6" hidden="1" x14ac:dyDescent="0.25">
      <c r="A36" s="403"/>
      <c r="B36" s="397"/>
      <c r="C36" s="397"/>
      <c r="D36" s="397"/>
      <c r="E36" s="2"/>
      <c r="F36" s="392"/>
    </row>
    <row r="37" spans="1:6" x14ac:dyDescent="0.25">
      <c r="A37" s="392"/>
      <c r="B37" s="392"/>
      <c r="C37" s="392"/>
      <c r="D37" s="392"/>
      <c r="E37" s="392"/>
      <c r="F37" s="392"/>
    </row>
  </sheetData>
  <mergeCells count="2">
    <mergeCell ref="B2:D2"/>
    <mergeCell ref="A1:E1"/>
  </mergeCells>
  <pageMargins left="0.7" right="0.7" top="0.75" bottom="0.75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8"/>
  <sheetViews>
    <sheetView workbookViewId="0">
      <selection sqref="A1:P1"/>
    </sheetView>
  </sheetViews>
  <sheetFormatPr baseColWidth="10" defaultColWidth="0" defaultRowHeight="15" zeroHeight="1" x14ac:dyDescent="0.25"/>
  <cols>
    <col min="1" max="1" width="30" customWidth="1"/>
    <col min="2" max="2" width="9.28515625" customWidth="1"/>
    <col min="3" max="3" width="8.28515625" customWidth="1"/>
    <col min="4" max="4" width="9.5703125" customWidth="1"/>
    <col min="5" max="5" width="9.28515625" hidden="1" customWidth="1"/>
    <col min="6" max="6" width="9.28515625" customWidth="1"/>
    <col min="7" max="7" width="7.7109375" bestFit="1" customWidth="1"/>
    <col min="8" max="11" width="8.28515625" customWidth="1"/>
    <col min="12" max="12" width="9" bestFit="1" customWidth="1"/>
    <col min="13" max="13" width="8.28515625" customWidth="1"/>
    <col min="14" max="14" width="9" bestFit="1" customWidth="1"/>
    <col min="15" max="15" width="9.28515625" customWidth="1"/>
    <col min="16" max="16" width="6.28515625" customWidth="1"/>
    <col min="17" max="17" width="4.28515625" customWidth="1"/>
    <col min="18" max="16384" width="11.42578125" hidden="1"/>
  </cols>
  <sheetData>
    <row r="1" spans="1:17" ht="26.25" x14ac:dyDescent="0.4">
      <c r="A1" s="462" t="s">
        <v>370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392"/>
    </row>
    <row r="2" spans="1:17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392"/>
    </row>
    <row r="3" spans="1:17" ht="15" customHeight="1" x14ac:dyDescent="0.25">
      <c r="A3" s="40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2"/>
      <c r="Q3" s="392"/>
    </row>
    <row r="4" spans="1:17" ht="15" customHeight="1" x14ac:dyDescent="0.25">
      <c r="A4" s="15" t="s">
        <v>149</v>
      </c>
      <c r="B4" s="8" t="s">
        <v>150</v>
      </c>
      <c r="C4" s="16" t="s">
        <v>151</v>
      </c>
      <c r="D4" s="16" t="s">
        <v>151</v>
      </c>
      <c r="E4" s="16" t="s">
        <v>151</v>
      </c>
      <c r="F4" s="16" t="s">
        <v>151</v>
      </c>
      <c r="G4" s="16" t="s">
        <v>151</v>
      </c>
      <c r="H4" s="16" t="s">
        <v>151</v>
      </c>
      <c r="I4" s="16" t="s">
        <v>151</v>
      </c>
      <c r="J4" s="16" t="s">
        <v>151</v>
      </c>
      <c r="K4" s="16" t="s">
        <v>151</v>
      </c>
      <c r="L4" s="16" t="s">
        <v>151</v>
      </c>
      <c r="M4" s="16" t="s">
        <v>151</v>
      </c>
      <c r="N4" s="16" t="s">
        <v>151</v>
      </c>
      <c r="O4" s="8" t="s">
        <v>100</v>
      </c>
      <c r="P4" s="2"/>
      <c r="Q4" s="392"/>
    </row>
    <row r="5" spans="1:17" ht="15" customHeight="1" x14ac:dyDescent="0.25">
      <c r="A5" s="17" t="s">
        <v>152</v>
      </c>
      <c r="B5" s="9" t="s">
        <v>153</v>
      </c>
      <c r="C5" s="18">
        <v>8.1</v>
      </c>
      <c r="D5" s="18">
        <v>8.1999999999999993</v>
      </c>
      <c r="E5" s="18" t="s">
        <v>183</v>
      </c>
      <c r="F5" s="18">
        <v>8.3000000000000007</v>
      </c>
      <c r="G5" s="18">
        <v>8.4</v>
      </c>
      <c r="H5" s="18" t="s">
        <v>117</v>
      </c>
      <c r="I5" s="18" t="s">
        <v>118</v>
      </c>
      <c r="J5" s="18" t="s">
        <v>119</v>
      </c>
      <c r="K5" s="18" t="s">
        <v>120</v>
      </c>
      <c r="L5" s="18">
        <v>8.6999999999999993</v>
      </c>
      <c r="M5" s="18">
        <v>8.8000000000000007</v>
      </c>
      <c r="N5" s="18">
        <v>8.9</v>
      </c>
      <c r="O5" s="9" t="s">
        <v>154</v>
      </c>
      <c r="P5" s="2"/>
      <c r="Q5" s="392"/>
    </row>
    <row r="6" spans="1:17" ht="12.95" customHeight="1" x14ac:dyDescent="0.25">
      <c r="A6" s="19" t="s">
        <v>155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"/>
      <c r="Q6" s="392"/>
    </row>
    <row r="7" spans="1:17" ht="12.95" customHeight="1" x14ac:dyDescent="0.25">
      <c r="A7" s="21" t="s">
        <v>156</v>
      </c>
      <c r="B7" s="22">
        <v>75369000</v>
      </c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>
        <f>SUM(B7:N7)</f>
        <v>75369000</v>
      </c>
      <c r="P7" s="2"/>
      <c r="Q7" s="392"/>
    </row>
    <row r="8" spans="1:17" ht="12.95" customHeight="1" x14ac:dyDescent="0.25">
      <c r="A8" s="21" t="s">
        <v>157</v>
      </c>
      <c r="B8" s="22">
        <v>4474000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>
        <f>SUM(B8:N8)</f>
        <v>4474000</v>
      </c>
      <c r="P8" s="2"/>
      <c r="Q8" s="392"/>
    </row>
    <row r="9" spans="1:17" ht="12.95" customHeight="1" x14ac:dyDescent="0.25">
      <c r="A9" s="21" t="s">
        <v>158</v>
      </c>
      <c r="B9" s="22">
        <v>6746000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>
        <f>SUM(B9:N9)</f>
        <v>6746000</v>
      </c>
      <c r="P9" s="2"/>
      <c r="Q9" s="392"/>
    </row>
    <row r="10" spans="1:17" ht="12.95" customHeight="1" x14ac:dyDescent="0.25">
      <c r="A10" s="23" t="s">
        <v>159</v>
      </c>
      <c r="B10" s="24">
        <v>26018000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>
        <f>SUM(B10:N10)</f>
        <v>26018000</v>
      </c>
      <c r="P10" s="2"/>
      <c r="Q10" s="392"/>
    </row>
    <row r="11" spans="1:17" ht="12.95" customHeight="1" x14ac:dyDescent="0.25">
      <c r="A11" s="5" t="s">
        <v>160</v>
      </c>
      <c r="B11" s="25">
        <f>SUM(B7:B10)</f>
        <v>112607000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>
        <f>SUM(O7:O10)</f>
        <v>112607000</v>
      </c>
      <c r="P11" s="2"/>
      <c r="Q11" s="392"/>
    </row>
    <row r="12" spans="1:17" ht="12.95" customHeight="1" x14ac:dyDescent="0.25">
      <c r="A12" s="21" t="s">
        <v>161</v>
      </c>
      <c r="B12" s="49">
        <v>0</v>
      </c>
      <c r="C12" s="22"/>
      <c r="D12" s="22"/>
      <c r="E12" s="22"/>
      <c r="F12" s="22"/>
      <c r="G12" s="22"/>
      <c r="H12" s="22">
        <f>+'Secc 8.1 -8.10'!D55</f>
        <v>400000</v>
      </c>
      <c r="I12" s="22"/>
      <c r="J12" s="22"/>
      <c r="K12" s="22"/>
      <c r="L12" s="22"/>
      <c r="M12" s="22">
        <f>+'Secc 8.1 -8.10'!D88</f>
        <v>600000</v>
      </c>
      <c r="N12" s="22"/>
      <c r="O12" s="22">
        <f>SUM(B12:N12)</f>
        <v>1000000</v>
      </c>
      <c r="P12" s="2"/>
      <c r="Q12" s="392"/>
    </row>
    <row r="13" spans="1:17" ht="12.95" customHeight="1" x14ac:dyDescent="0.25">
      <c r="A13" s="21" t="s">
        <v>162</v>
      </c>
      <c r="B13" s="49">
        <v>7400000</v>
      </c>
      <c r="C13" s="22"/>
      <c r="D13" s="22">
        <f>+'Secc 8.1 -8.10'!D13-'Secc 8.1 -8.10'!E14</f>
        <v>10080000</v>
      </c>
      <c r="E13" s="22"/>
      <c r="F13" s="22"/>
      <c r="G13" s="22"/>
      <c r="H13" s="22">
        <f>-'Secc 8.1 -8.10'!E56</f>
        <v>-400000</v>
      </c>
      <c r="I13" s="22">
        <f>+'Secc 8.1 -8.10'!D61</f>
        <v>600000</v>
      </c>
      <c r="J13" s="22">
        <f>+'Secc 8.1 -8.10'!D69</f>
        <v>750000</v>
      </c>
      <c r="K13" s="22">
        <f>+'Secc 8.1 -8.10'!D76</f>
        <v>750000</v>
      </c>
      <c r="L13" s="22"/>
      <c r="M13" s="22"/>
      <c r="N13" s="22"/>
      <c r="O13" s="22">
        <f>SUM(B13:N13)</f>
        <v>19180000</v>
      </c>
      <c r="P13" s="2"/>
      <c r="Q13" s="392"/>
    </row>
    <row r="14" spans="1:17" ht="12.95" customHeight="1" x14ac:dyDescent="0.25">
      <c r="A14" s="21" t="s">
        <v>163</v>
      </c>
      <c r="B14" s="49">
        <v>0</v>
      </c>
      <c r="C14" s="22">
        <f>+'Secc 8.1 -8.10'!D6</f>
        <v>363300</v>
      </c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>
        <f>SUM(B14:N14)</f>
        <v>363300</v>
      </c>
      <c r="P14" s="2"/>
      <c r="Q14" s="392"/>
    </row>
    <row r="15" spans="1:17" ht="12.95" customHeight="1" x14ac:dyDescent="0.25">
      <c r="A15" s="23" t="s">
        <v>164</v>
      </c>
      <c r="B15" s="24">
        <v>700000</v>
      </c>
      <c r="C15" s="24"/>
      <c r="D15" s="24"/>
      <c r="E15" s="24"/>
      <c r="F15" s="24"/>
      <c r="G15" s="24">
        <f>-'Secc 8.1 -8.10'!E44+'Secc 8.1 -8.10'!D42</f>
        <v>-700000</v>
      </c>
      <c r="H15" s="24"/>
      <c r="I15" s="24"/>
      <c r="J15" s="24"/>
      <c r="K15" s="24"/>
      <c r="L15" s="24"/>
      <c r="M15" s="24"/>
      <c r="N15" s="24"/>
      <c r="O15" s="30">
        <f>SUM(B15:N15)</f>
        <v>0</v>
      </c>
      <c r="P15" s="2"/>
      <c r="Q15" s="392"/>
    </row>
    <row r="16" spans="1:17" ht="12.95" customHeight="1" x14ac:dyDescent="0.25">
      <c r="A16" s="26" t="s">
        <v>165</v>
      </c>
      <c r="B16" s="25">
        <f>SUM(B12:B15)</f>
        <v>8100000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5">
        <f>SUM(O12:O15)</f>
        <v>20543300</v>
      </c>
      <c r="P16" s="2"/>
      <c r="Q16" s="392"/>
    </row>
    <row r="17" spans="1:17" ht="12.95" customHeight="1" x14ac:dyDescent="0.25">
      <c r="A17" s="5" t="s">
        <v>166</v>
      </c>
      <c r="B17" s="25">
        <f>+B11+B16</f>
        <v>120707000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>
        <f>+O11+O16</f>
        <v>133150300</v>
      </c>
      <c r="P17" s="2"/>
      <c r="Q17" s="392"/>
    </row>
    <row r="18" spans="1:17" ht="3" customHeight="1" x14ac:dyDescent="0.25">
      <c r="A18" s="21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"/>
      <c r="Q18" s="392"/>
    </row>
    <row r="19" spans="1:17" ht="12.95" customHeight="1" x14ac:dyDescent="0.25">
      <c r="A19" s="28" t="s">
        <v>167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"/>
      <c r="Q19" s="392"/>
    </row>
    <row r="20" spans="1:17" ht="12.95" customHeight="1" x14ac:dyDescent="0.25">
      <c r="A20" s="21" t="s">
        <v>168</v>
      </c>
      <c r="B20" s="22">
        <v>9415000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>
        <f t="shared" ref="O20:O25" si="0">SUM(B20:N20)</f>
        <v>9415000</v>
      </c>
      <c r="P20" s="2"/>
      <c r="Q20" s="392"/>
    </row>
    <row r="21" spans="1:17" ht="12.95" customHeight="1" x14ac:dyDescent="0.25">
      <c r="A21" s="21" t="s">
        <v>169</v>
      </c>
      <c r="B21" s="49">
        <v>0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>
        <f>+'Secc 8.1 -8.10'!D95</f>
        <v>2500000</v>
      </c>
      <c r="O21" s="22">
        <f t="shared" si="0"/>
        <v>2500000</v>
      </c>
      <c r="P21" s="2"/>
      <c r="Q21" s="392"/>
    </row>
    <row r="22" spans="1:17" ht="12.95" customHeight="1" x14ac:dyDescent="0.25">
      <c r="A22" s="21" t="s">
        <v>170</v>
      </c>
      <c r="B22" s="22">
        <v>5355000</v>
      </c>
      <c r="C22" s="22"/>
      <c r="D22" s="22"/>
      <c r="E22" s="22"/>
      <c r="F22" s="22">
        <f>+'Secc 8.1 -8.10'!E36</f>
        <v>2000000</v>
      </c>
      <c r="G22" s="22"/>
      <c r="H22" s="22"/>
      <c r="I22" s="22"/>
      <c r="J22" s="22"/>
      <c r="K22" s="22"/>
      <c r="L22" s="22"/>
      <c r="M22" s="22"/>
      <c r="N22" s="22">
        <f>-'Secc 8.1 -8.10'!E96</f>
        <v>-2500000</v>
      </c>
      <c r="O22" s="22">
        <f t="shared" si="0"/>
        <v>4855000</v>
      </c>
      <c r="P22" s="2"/>
      <c r="Q22" s="392"/>
    </row>
    <row r="23" spans="1:17" ht="12.95" customHeight="1" x14ac:dyDescent="0.25">
      <c r="A23" s="5" t="s">
        <v>171</v>
      </c>
      <c r="B23" s="25">
        <f>SUM(B20:B22)</f>
        <v>14770000</v>
      </c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5">
        <f>SUM(O20:O22)</f>
        <v>16770000</v>
      </c>
      <c r="P23" s="2"/>
      <c r="Q23" s="392"/>
    </row>
    <row r="24" spans="1:17" ht="12.95" customHeight="1" x14ac:dyDescent="0.25">
      <c r="A24" s="21" t="s">
        <v>172</v>
      </c>
      <c r="B24" s="49">
        <v>0</v>
      </c>
      <c r="C24" s="22"/>
      <c r="D24" s="22">
        <f>+'Secc 8.1 -8.10'!E18</f>
        <v>13891000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>
        <f t="shared" si="0"/>
        <v>13891000</v>
      </c>
      <c r="P24" s="2"/>
      <c r="Q24" s="392"/>
    </row>
    <row r="25" spans="1:17" ht="12.95" customHeight="1" x14ac:dyDescent="0.25">
      <c r="A25" s="21" t="s">
        <v>173</v>
      </c>
      <c r="B25" s="22">
        <v>100000000</v>
      </c>
      <c r="C25" s="22"/>
      <c r="D25" s="22"/>
      <c r="E25" s="22"/>
      <c r="F25" s="22"/>
      <c r="G25" s="22"/>
      <c r="H25" s="22"/>
      <c r="I25" s="22"/>
      <c r="J25" s="22"/>
      <c r="K25" s="22"/>
      <c r="L25" s="22">
        <f>-'Secc 8.1 -8.10'!D81</f>
        <v>-2475471.0403444618</v>
      </c>
      <c r="M25" s="22"/>
      <c r="N25" s="22"/>
      <c r="O25" s="22">
        <f t="shared" si="0"/>
        <v>97524528.959655538</v>
      </c>
      <c r="P25" s="2"/>
      <c r="Q25" s="392"/>
    </row>
    <row r="26" spans="1:17" ht="12.95" customHeight="1" x14ac:dyDescent="0.25">
      <c r="A26" s="5" t="s">
        <v>174</v>
      </c>
      <c r="B26" s="25">
        <f>SUM(B24:B25)</f>
        <v>100000000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>
        <f>SUM(O24:O25)</f>
        <v>111415528.95965554</v>
      </c>
      <c r="P26" s="2"/>
      <c r="Q26" s="392"/>
    </row>
    <row r="27" spans="1:17" ht="12.95" customHeight="1" x14ac:dyDescent="0.25">
      <c r="A27" s="5" t="s">
        <v>175</v>
      </c>
      <c r="B27" s="25">
        <f>+B23+B26</f>
        <v>114770000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>
        <f>+O23+O26</f>
        <v>128185528.95965554</v>
      </c>
      <c r="P27" s="2"/>
      <c r="Q27" s="392"/>
    </row>
    <row r="28" spans="1:17" ht="3" customHeight="1" x14ac:dyDescent="0.25">
      <c r="A28" s="21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"/>
      <c r="Q28" s="392"/>
    </row>
    <row r="29" spans="1:17" ht="12.95" customHeight="1" x14ac:dyDescent="0.25">
      <c r="A29" s="21" t="s">
        <v>176</v>
      </c>
      <c r="B29" s="22">
        <v>4022000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>
        <f t="shared" ref="O29:O32" si="1">SUM(B29:N29)</f>
        <v>4022000</v>
      </c>
      <c r="P29" s="2"/>
      <c r="Q29" s="392"/>
    </row>
    <row r="30" spans="1:17" ht="12.95" customHeight="1" x14ac:dyDescent="0.25">
      <c r="A30" s="21" t="s">
        <v>177</v>
      </c>
      <c r="B30" s="22">
        <v>593000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>
        <f t="shared" si="1"/>
        <v>593000</v>
      </c>
      <c r="P30" s="2"/>
      <c r="Q30" s="392"/>
    </row>
    <row r="31" spans="1:17" ht="12.95" customHeight="1" x14ac:dyDescent="0.25">
      <c r="A31" s="21" t="s">
        <v>178</v>
      </c>
      <c r="B31" s="49">
        <v>0</v>
      </c>
      <c r="C31" s="22"/>
      <c r="D31" s="22"/>
      <c r="E31" s="22"/>
      <c r="F31" s="22"/>
      <c r="G31" s="22"/>
      <c r="H31" s="22"/>
      <c r="I31" s="22">
        <f>+'Secc 8.1 -8.10'!E62</f>
        <v>600000</v>
      </c>
      <c r="J31" s="22"/>
      <c r="K31" s="22"/>
      <c r="L31" s="22"/>
      <c r="M31" s="22"/>
      <c r="N31" s="22"/>
      <c r="O31" s="22">
        <f t="shared" si="1"/>
        <v>600000</v>
      </c>
      <c r="P31" s="2"/>
      <c r="Q31" s="392"/>
    </row>
    <row r="32" spans="1:17" ht="12.95" customHeight="1" x14ac:dyDescent="0.25">
      <c r="A32" s="21" t="s">
        <v>179</v>
      </c>
      <c r="B32" s="22">
        <v>1322000</v>
      </c>
      <c r="C32" s="22">
        <f>+C14</f>
        <v>363300</v>
      </c>
      <c r="D32" s="22">
        <f>-'Secc 8.1 -8.10'!D15</f>
        <v>-3811000</v>
      </c>
      <c r="E32" s="22">
        <f>+'Secc 8.1 -8.10'!E26</f>
        <v>0</v>
      </c>
      <c r="F32" s="22">
        <f>+-'Secc 8.1 -8.10'!D31</f>
        <v>-2000000</v>
      </c>
      <c r="G32" s="22">
        <f>-'Secc 8.1 -8.10'!D41</f>
        <v>-700000</v>
      </c>
      <c r="H32" s="22"/>
      <c r="I32" s="22"/>
      <c r="J32" s="22">
        <f>+'Secc 8.1 -8.10'!E67</f>
        <v>750000</v>
      </c>
      <c r="K32" s="22">
        <f>+'Secc 8.1 -8.10'!E74</f>
        <v>750000</v>
      </c>
      <c r="L32" s="22">
        <f>+'Secc 8.1 -8.10'!E83</f>
        <v>2475471.0403444618</v>
      </c>
      <c r="M32" s="22">
        <f>+'Secc 8.1 -8.10'!E90</f>
        <v>600000</v>
      </c>
      <c r="N32" s="22"/>
      <c r="O32" s="22">
        <f t="shared" si="1"/>
        <v>-250228.9596555382</v>
      </c>
      <c r="P32" s="2"/>
      <c r="Q32" s="392"/>
    </row>
    <row r="33" spans="1:17" ht="12.95" customHeight="1" x14ac:dyDescent="0.25">
      <c r="A33" s="26" t="s">
        <v>180</v>
      </c>
      <c r="B33" s="25">
        <f>SUM(B29:B32)</f>
        <v>5937000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5"/>
      <c r="N33" s="25"/>
      <c r="O33" s="25">
        <f>SUM(O29:O32)</f>
        <v>4964771.0403444618</v>
      </c>
      <c r="P33" s="2"/>
      <c r="Q33" s="392"/>
    </row>
    <row r="34" spans="1:17" ht="12.95" customHeight="1" x14ac:dyDescent="0.25">
      <c r="A34" s="26" t="s">
        <v>181</v>
      </c>
      <c r="B34" s="25">
        <f>+B27+B33</f>
        <v>120707000</v>
      </c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5"/>
      <c r="N34" s="25"/>
      <c r="O34" s="25">
        <f>+O27+O33</f>
        <v>133150300</v>
      </c>
      <c r="P34" s="2"/>
      <c r="Q34" s="392"/>
    </row>
    <row r="35" spans="1:17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392"/>
    </row>
    <row r="36" spans="1:17" x14ac:dyDescent="0.25">
      <c r="A36" s="2"/>
      <c r="B36" s="404">
        <f>+B17-B34</f>
        <v>0</v>
      </c>
      <c r="C36" s="404">
        <f>SUM(C19:C32)-SUM(C6:C17)</f>
        <v>0</v>
      </c>
      <c r="D36" s="404">
        <f t="shared" ref="D36:N36" si="2">SUM(D19:D32)-SUM(D6:D17)</f>
        <v>0</v>
      </c>
      <c r="E36" s="404">
        <f t="shared" si="2"/>
        <v>0</v>
      </c>
      <c r="F36" s="404">
        <f t="shared" si="2"/>
        <v>0</v>
      </c>
      <c r="G36" s="404">
        <f t="shared" si="2"/>
        <v>0</v>
      </c>
      <c r="H36" s="404">
        <f t="shared" si="2"/>
        <v>0</v>
      </c>
      <c r="I36" s="404">
        <f t="shared" si="2"/>
        <v>0</v>
      </c>
      <c r="J36" s="404">
        <f t="shared" si="2"/>
        <v>0</v>
      </c>
      <c r="K36" s="404">
        <f t="shared" si="2"/>
        <v>0</v>
      </c>
      <c r="L36" s="404">
        <f t="shared" si="2"/>
        <v>0</v>
      </c>
      <c r="M36" s="404">
        <f t="shared" si="2"/>
        <v>0</v>
      </c>
      <c r="N36" s="404">
        <f t="shared" si="2"/>
        <v>0</v>
      </c>
      <c r="O36" s="404">
        <f>+O17-O34</f>
        <v>0</v>
      </c>
      <c r="P36" s="2"/>
      <c r="Q36" s="392"/>
    </row>
    <row r="37" spans="1:17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392"/>
    </row>
    <row r="38" spans="1:17" x14ac:dyDescent="0.25">
      <c r="A38" s="392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</row>
  </sheetData>
  <mergeCells count="1">
    <mergeCell ref="A1:P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38"/>
  <sheetViews>
    <sheetView workbookViewId="0">
      <selection sqref="A1:XFD1"/>
    </sheetView>
  </sheetViews>
  <sheetFormatPr baseColWidth="10" defaultColWidth="0" defaultRowHeight="15" zeroHeight="1" x14ac:dyDescent="0.25"/>
  <cols>
    <col min="1" max="1" width="21" customWidth="1"/>
    <col min="2" max="2" width="10.42578125" style="14" bestFit="1" customWidth="1"/>
    <col min="3" max="3" width="7.7109375" customWidth="1"/>
    <col min="4" max="4" width="9.85546875" bestFit="1" customWidth="1"/>
    <col min="5" max="5" width="8.7109375" hidden="1" customWidth="1"/>
    <col min="6" max="6" width="9" bestFit="1" customWidth="1"/>
    <col min="7" max="7" width="7.7109375" bestFit="1" customWidth="1"/>
    <col min="8" max="8" width="9" bestFit="1" customWidth="1"/>
    <col min="9" max="9" width="7.7109375" customWidth="1"/>
    <col min="10" max="12" width="6.5703125" bestFit="1" customWidth="1"/>
    <col min="13" max="13" width="9" bestFit="1" customWidth="1"/>
    <col min="14" max="14" width="6.5703125" bestFit="1" customWidth="1"/>
    <col min="15" max="15" width="9" bestFit="1" customWidth="1"/>
    <col min="16" max="16" width="9.5703125" customWidth="1"/>
    <col min="17" max="17" width="3.42578125" customWidth="1"/>
    <col min="18" max="16384" width="11.42578125" hidden="1"/>
  </cols>
  <sheetData>
    <row r="1" spans="1:17" ht="26.25" x14ac:dyDescent="0.4">
      <c r="A1" s="462" t="s">
        <v>371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392"/>
    </row>
    <row r="2" spans="1:17" ht="15" customHeight="1" x14ac:dyDescent="0.25">
      <c r="A2" s="407"/>
      <c r="B2" s="40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392"/>
    </row>
    <row r="3" spans="1:17" ht="15" customHeight="1" x14ac:dyDescent="0.25">
      <c r="A3" s="15" t="s">
        <v>149</v>
      </c>
      <c r="B3" s="51" t="s">
        <v>150</v>
      </c>
      <c r="C3" s="16" t="s">
        <v>151</v>
      </c>
      <c r="D3" s="16" t="s">
        <v>151</v>
      </c>
      <c r="E3" s="16"/>
      <c r="F3" s="16" t="s">
        <v>151</v>
      </c>
      <c r="G3" s="16" t="s">
        <v>151</v>
      </c>
      <c r="H3" s="16" t="s">
        <v>151</v>
      </c>
      <c r="I3" s="16" t="s">
        <v>151</v>
      </c>
      <c r="J3" s="16" t="s">
        <v>151</v>
      </c>
      <c r="K3" s="16" t="s">
        <v>151</v>
      </c>
      <c r="L3" s="16" t="s">
        <v>151</v>
      </c>
      <c r="M3" s="16" t="s">
        <v>151</v>
      </c>
      <c r="N3" s="16" t="s">
        <v>151</v>
      </c>
      <c r="O3" s="16" t="s">
        <v>151</v>
      </c>
      <c r="P3" s="8" t="s">
        <v>100</v>
      </c>
      <c r="Q3" s="392"/>
    </row>
    <row r="4" spans="1:17" ht="15" customHeight="1" x14ac:dyDescent="0.25">
      <c r="A4" s="17" t="s">
        <v>326</v>
      </c>
      <c r="B4" s="52" t="s">
        <v>153</v>
      </c>
      <c r="C4" s="18">
        <v>8.1</v>
      </c>
      <c r="D4" s="18">
        <v>8.1999999999999993</v>
      </c>
      <c r="E4" s="18"/>
      <c r="F4" s="18">
        <v>8.3000000000000007</v>
      </c>
      <c r="G4" s="18">
        <v>8.4</v>
      </c>
      <c r="H4" s="18">
        <v>8.5</v>
      </c>
      <c r="I4" s="18" t="s">
        <v>117</v>
      </c>
      <c r="J4" s="18" t="s">
        <v>118</v>
      </c>
      <c r="K4" s="18" t="s">
        <v>119</v>
      </c>
      <c r="L4" s="18" t="s">
        <v>120</v>
      </c>
      <c r="M4" s="18">
        <v>8.6999999999999993</v>
      </c>
      <c r="N4" s="18">
        <v>8.8000000000000007</v>
      </c>
      <c r="O4" s="18">
        <v>8.9</v>
      </c>
      <c r="P4" s="9" t="s">
        <v>154</v>
      </c>
      <c r="Q4" s="392"/>
    </row>
    <row r="5" spans="1:17" ht="15" customHeight="1" x14ac:dyDescent="0.25">
      <c r="A5" s="19" t="s">
        <v>155</v>
      </c>
      <c r="B5" s="4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392"/>
    </row>
    <row r="6" spans="1:17" ht="12.95" customHeight="1" x14ac:dyDescent="0.25">
      <c r="A6" s="21" t="s">
        <v>156</v>
      </c>
      <c r="B6" s="49">
        <v>85030000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>
        <f>SUM(B6:O6)</f>
        <v>85030000</v>
      </c>
      <c r="Q6" s="392"/>
    </row>
    <row r="7" spans="1:17" ht="12.95" customHeight="1" x14ac:dyDescent="0.25">
      <c r="A7" s="21" t="s">
        <v>157</v>
      </c>
      <c r="B7" s="49">
        <v>3000000</v>
      </c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>
        <f>SUM(B7:O7)</f>
        <v>3000000</v>
      </c>
      <c r="Q7" s="392"/>
    </row>
    <row r="8" spans="1:17" ht="12.95" customHeight="1" x14ac:dyDescent="0.25">
      <c r="A8" s="21" t="s">
        <v>158</v>
      </c>
      <c r="B8" s="49">
        <v>6000000</v>
      </c>
      <c r="C8" s="22"/>
      <c r="D8" s="22"/>
      <c r="E8" s="22"/>
      <c r="F8" s="22"/>
      <c r="G8" s="22"/>
      <c r="H8" s="22">
        <f>-'Secc 8.1 -8.10'!H50</f>
        <v>-1000000</v>
      </c>
      <c r="I8" s="22"/>
      <c r="J8" s="22"/>
      <c r="K8" s="22"/>
      <c r="L8" s="22"/>
      <c r="M8" s="22"/>
      <c r="N8" s="22"/>
      <c r="O8" s="22"/>
      <c r="P8" s="22">
        <f>SUM(B8:O8)</f>
        <v>5000000</v>
      </c>
      <c r="Q8" s="392"/>
    </row>
    <row r="9" spans="1:17" ht="12.95" customHeight="1" x14ac:dyDescent="0.25">
      <c r="A9" s="23" t="s">
        <v>159</v>
      </c>
      <c r="B9" s="53">
        <v>26000000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>
        <f>SUM(B9:O9)</f>
        <v>26000000</v>
      </c>
      <c r="Q9" s="392"/>
    </row>
    <row r="10" spans="1:17" ht="12.95" customHeight="1" x14ac:dyDescent="0.25">
      <c r="A10" s="5" t="s">
        <v>160</v>
      </c>
      <c r="B10" s="54">
        <f>SUM(B6:B9)</f>
        <v>120030000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>
        <f>SUM(P6:P9)</f>
        <v>119030000</v>
      </c>
      <c r="Q10" s="392"/>
    </row>
    <row r="11" spans="1:17" ht="12.95" customHeight="1" x14ac:dyDescent="0.25">
      <c r="A11" s="21" t="s">
        <v>161</v>
      </c>
      <c r="B11" s="49">
        <v>0</v>
      </c>
      <c r="C11" s="22"/>
      <c r="D11" s="22"/>
      <c r="E11" s="22"/>
      <c r="F11" s="22"/>
      <c r="G11" s="22"/>
      <c r="H11" s="22"/>
      <c r="I11" s="22">
        <f>+'Secc 8.1 -8.10'!G55</f>
        <v>400000</v>
      </c>
      <c r="J11" s="22"/>
      <c r="K11" s="22"/>
      <c r="L11" s="22"/>
      <c r="M11" s="22"/>
      <c r="N11" s="22">
        <f>+'Secc 8.1 -8.10'!G88</f>
        <v>700000</v>
      </c>
      <c r="O11" s="22"/>
      <c r="P11" s="22">
        <f>SUM(B11:O11)</f>
        <v>1100000</v>
      </c>
      <c r="Q11" s="392"/>
    </row>
    <row r="12" spans="1:17" ht="12.95" customHeight="1" x14ac:dyDescent="0.25">
      <c r="A12" s="21" t="s">
        <v>162</v>
      </c>
      <c r="B12" s="49">
        <v>7500000</v>
      </c>
      <c r="C12" s="22"/>
      <c r="D12" s="22">
        <f>+'Secc 8.1 -8.10'!G13-'Secc 8.1 -8.10'!H14</f>
        <v>9600000</v>
      </c>
      <c r="E12" s="22"/>
      <c r="F12" s="22"/>
      <c r="G12" s="22"/>
      <c r="H12" s="22"/>
      <c r="I12" s="22">
        <f>-'Secc 8.1 -8.10'!H56</f>
        <v>-400000</v>
      </c>
      <c r="J12" s="22">
        <f>+'Secc 8.1 -8.10'!G61</f>
        <v>600000</v>
      </c>
      <c r="K12" s="22">
        <f>+'Secc 8.1 -8.10'!G69</f>
        <v>825000</v>
      </c>
      <c r="L12" s="22">
        <f>+'Secc 8.1 -8.10'!G76</f>
        <v>900000</v>
      </c>
      <c r="M12" s="22"/>
      <c r="N12" s="22"/>
      <c r="O12" s="22"/>
      <c r="P12" s="22">
        <f>SUM(B12:O12)</f>
        <v>19025000</v>
      </c>
      <c r="Q12" s="392"/>
    </row>
    <row r="13" spans="1:17" ht="12.95" customHeight="1" x14ac:dyDescent="0.25">
      <c r="A13" s="21" t="s">
        <v>163</v>
      </c>
      <c r="B13" s="49">
        <v>0</v>
      </c>
      <c r="C13" s="22">
        <f>+'Secc 8.1 -8.10'!G6</f>
        <v>865658.70000000019</v>
      </c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>
        <f>SUM(B13:O13)</f>
        <v>865658.70000000019</v>
      </c>
      <c r="Q13" s="392"/>
    </row>
    <row r="14" spans="1:17" ht="12.95" customHeight="1" x14ac:dyDescent="0.25">
      <c r="A14" s="23" t="s">
        <v>164</v>
      </c>
      <c r="B14" s="53">
        <v>600000</v>
      </c>
      <c r="C14" s="24"/>
      <c r="D14" s="24"/>
      <c r="E14" s="24"/>
      <c r="F14" s="24"/>
      <c r="G14" s="24">
        <f>+-'Secc 8.1 -8.10'!H44+'Secc 8.1 -8.10'!G42</f>
        <v>-600000</v>
      </c>
      <c r="H14" s="24"/>
      <c r="I14" s="24"/>
      <c r="J14" s="24"/>
      <c r="K14" s="24"/>
      <c r="L14" s="24"/>
      <c r="M14" s="24"/>
      <c r="N14" s="24"/>
      <c r="O14" s="24"/>
      <c r="P14" s="30">
        <f>SUM(B14:O14)</f>
        <v>0</v>
      </c>
      <c r="Q14" s="392"/>
    </row>
    <row r="15" spans="1:17" ht="12.95" customHeight="1" x14ac:dyDescent="0.25">
      <c r="A15" s="26" t="s">
        <v>165</v>
      </c>
      <c r="B15" s="54">
        <f>SUM(B11:B14)</f>
        <v>8100000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5">
        <f>SUM(P11:P14)</f>
        <v>20990658.699999999</v>
      </c>
      <c r="Q15" s="392"/>
    </row>
    <row r="16" spans="1:17" ht="12.95" customHeight="1" x14ac:dyDescent="0.25">
      <c r="A16" s="5" t="s">
        <v>166</v>
      </c>
      <c r="B16" s="54">
        <f>+B10+B15</f>
        <v>128130000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>
        <f>+P10+P15</f>
        <v>140020658.69999999</v>
      </c>
      <c r="Q16" s="392"/>
    </row>
    <row r="17" spans="1:17" ht="6" customHeight="1" x14ac:dyDescent="0.25">
      <c r="A17" s="21"/>
      <c r="B17" s="49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392"/>
    </row>
    <row r="18" spans="1:17" ht="12.95" customHeight="1" x14ac:dyDescent="0.25">
      <c r="A18" s="28" t="s">
        <v>167</v>
      </c>
      <c r="B18" s="49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392"/>
    </row>
    <row r="19" spans="1:17" ht="12.95" customHeight="1" x14ac:dyDescent="0.25">
      <c r="A19" s="21" t="s">
        <v>168</v>
      </c>
      <c r="B19" s="49">
        <v>10000000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>
        <f t="shared" ref="P19:P24" si="0">SUM(B19:O19)</f>
        <v>10000000</v>
      </c>
      <c r="Q19" s="392"/>
    </row>
    <row r="20" spans="1:17" ht="12.95" customHeight="1" x14ac:dyDescent="0.25">
      <c r="A20" s="21" t="s">
        <v>169</v>
      </c>
      <c r="B20" s="49">
        <v>0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>
        <f>+'Secc 8.1 -8.10'!G95</f>
        <v>3200000</v>
      </c>
      <c r="P20" s="22">
        <f t="shared" si="0"/>
        <v>3200000</v>
      </c>
      <c r="Q20" s="392"/>
    </row>
    <row r="21" spans="1:17" ht="12.95" customHeight="1" x14ac:dyDescent="0.25">
      <c r="A21" s="21" t="s">
        <v>170</v>
      </c>
      <c r="B21" s="49">
        <v>6000000</v>
      </c>
      <c r="C21" s="22"/>
      <c r="D21" s="22"/>
      <c r="E21" s="22"/>
      <c r="F21" s="22">
        <f>+'Secc 8.1 -8.10'!H36</f>
        <v>2400000</v>
      </c>
      <c r="G21" s="22"/>
      <c r="H21" s="22"/>
      <c r="I21" s="22"/>
      <c r="J21" s="22"/>
      <c r="K21" s="22"/>
      <c r="L21" s="22"/>
      <c r="M21" s="22"/>
      <c r="N21" s="22"/>
      <c r="O21" s="22">
        <f>-'Secc 8.1 -8.10'!H96</f>
        <v>-3200000</v>
      </c>
      <c r="P21" s="22">
        <f t="shared" si="0"/>
        <v>5200000</v>
      </c>
      <c r="Q21" s="392"/>
    </row>
    <row r="22" spans="1:17" ht="12.95" customHeight="1" x14ac:dyDescent="0.25">
      <c r="A22" s="5" t="s">
        <v>171</v>
      </c>
      <c r="B22" s="54">
        <f>SUM(B19:B21)</f>
        <v>16000000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5">
        <f>SUM(P19:P21)</f>
        <v>18400000</v>
      </c>
      <c r="Q22" s="392"/>
    </row>
    <row r="23" spans="1:17" ht="12.95" customHeight="1" x14ac:dyDescent="0.25">
      <c r="A23" s="21" t="s">
        <v>172</v>
      </c>
      <c r="B23" s="49">
        <v>0</v>
      </c>
      <c r="C23" s="22"/>
      <c r="D23" s="22">
        <f>+'Secc 8.1 -8.10'!H18</f>
        <v>14586000</v>
      </c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>
        <f t="shared" si="0"/>
        <v>14586000</v>
      </c>
      <c r="Q23" s="392"/>
    </row>
    <row r="24" spans="1:17" ht="12.95" customHeight="1" x14ac:dyDescent="0.25">
      <c r="A24" s="21" t="s">
        <v>173</v>
      </c>
      <c r="B24" s="49">
        <v>100000000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>
        <f>-'Secc 8.1 -8.10'!G81</f>
        <v>-1915660.5921584964</v>
      </c>
      <c r="N24" s="22"/>
      <c r="O24" s="22"/>
      <c r="P24" s="22">
        <f t="shared" si="0"/>
        <v>98084339.407841504</v>
      </c>
      <c r="Q24" s="392"/>
    </row>
    <row r="25" spans="1:17" ht="12.95" customHeight="1" x14ac:dyDescent="0.25">
      <c r="A25" s="5" t="s">
        <v>174</v>
      </c>
      <c r="B25" s="54">
        <f>SUM(B23:B24)</f>
        <v>100000000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>
        <f>SUM(P23:P24)</f>
        <v>112670339.4078415</v>
      </c>
      <c r="Q25" s="392"/>
    </row>
    <row r="26" spans="1:17" ht="12.95" customHeight="1" x14ac:dyDescent="0.25">
      <c r="A26" s="5" t="s">
        <v>175</v>
      </c>
      <c r="B26" s="54">
        <f>+B22+B25</f>
        <v>116000000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>
        <f>+P22+P25</f>
        <v>131070339.4078415</v>
      </c>
      <c r="Q26" s="392"/>
    </row>
    <row r="27" spans="1:17" ht="3.75" customHeight="1" x14ac:dyDescent="0.25">
      <c r="A27" s="21"/>
      <c r="B27" s="49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392"/>
    </row>
    <row r="28" spans="1:17" ht="12.95" customHeight="1" x14ac:dyDescent="0.25">
      <c r="A28" s="21" t="s">
        <v>176</v>
      </c>
      <c r="B28" s="49">
        <v>4022000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>
        <f t="shared" ref="P28:P32" si="1">SUM(B28:O28)</f>
        <v>4022000</v>
      </c>
      <c r="Q28" s="392"/>
    </row>
    <row r="29" spans="1:17" ht="12.95" customHeight="1" x14ac:dyDescent="0.25">
      <c r="A29" s="21" t="s">
        <v>177</v>
      </c>
      <c r="B29" s="49">
        <v>1786000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f t="shared" si="1"/>
        <v>1786000</v>
      </c>
      <c r="Q29" s="392"/>
    </row>
    <row r="30" spans="1:17" ht="12.95" customHeight="1" x14ac:dyDescent="0.25">
      <c r="A30" s="21" t="s">
        <v>178</v>
      </c>
      <c r="B30" s="49">
        <v>0</v>
      </c>
      <c r="C30" s="22"/>
      <c r="D30" s="22"/>
      <c r="E30" s="22"/>
      <c r="F30" s="22"/>
      <c r="G30" s="22"/>
      <c r="H30" s="22"/>
      <c r="I30" s="22"/>
      <c r="J30" s="22">
        <f>+'Secc 8.1 -8.10'!H62</f>
        <v>600000</v>
      </c>
      <c r="K30" s="22"/>
      <c r="L30" s="22"/>
      <c r="M30" s="22"/>
      <c r="O30" s="22"/>
      <c r="P30" s="22">
        <f t="shared" si="1"/>
        <v>600000</v>
      </c>
      <c r="Q30" s="392"/>
    </row>
    <row r="31" spans="1:17" ht="12.95" customHeight="1" x14ac:dyDescent="0.25">
      <c r="A31" s="21" t="s">
        <v>179</v>
      </c>
      <c r="B31" s="49">
        <v>1322000</v>
      </c>
      <c r="C31" s="22">
        <f>+'Secc 8.1 -8.10'!H8</f>
        <v>363300</v>
      </c>
      <c r="D31" s="22">
        <f>-'Secc 8.1 -8.10'!G15</f>
        <v>-3811000</v>
      </c>
      <c r="E31" s="22"/>
      <c r="F31" s="22">
        <f>-'Secc 8.1 -8.10'!G31</f>
        <v>-2000000</v>
      </c>
      <c r="G31" s="22">
        <f>-'Secc 8.1 -8.10'!G41</f>
        <v>-700000</v>
      </c>
      <c r="H31" s="22">
        <f>+-'Secc 8.1 -8.10'!G49</f>
        <v>-1000000</v>
      </c>
      <c r="I31" s="22"/>
      <c r="J31" s="22"/>
      <c r="K31" s="22">
        <f>+'Secc 8.1 -8.10'!H67</f>
        <v>750000</v>
      </c>
      <c r="L31" s="22">
        <f>+'Secc 8.1 -8.10'!H74</f>
        <v>750000</v>
      </c>
      <c r="M31" s="22">
        <f>+'Secc 8.1 -8.10'!H83</f>
        <v>2475471.0403444618</v>
      </c>
      <c r="N31" s="22">
        <f>+'Secc 8.1 -8.10'!H90</f>
        <v>600000</v>
      </c>
      <c r="O31" s="22"/>
      <c r="P31" s="22">
        <f t="shared" si="1"/>
        <v>-1250228.9596555382</v>
      </c>
      <c r="Q31" s="392"/>
    </row>
    <row r="32" spans="1:17" ht="12.95" customHeight="1" x14ac:dyDescent="0.25">
      <c r="A32" s="21" t="s">
        <v>184</v>
      </c>
      <c r="B32" s="49">
        <v>5000000</v>
      </c>
      <c r="C32" s="22">
        <f>+'Secc 8.1 -8.10'!H7</f>
        <v>502359</v>
      </c>
      <c r="D32" s="22">
        <f>-'Secc 8.1 -8.10'!G16-'Secc 8.1 -8.10'!G17</f>
        <v>-1175000</v>
      </c>
      <c r="E32" s="22"/>
      <c r="F32" s="22">
        <f>-'Secc 8.1 -8.10'!G33-'Secc 8.1 -8.10'!G34-'Secc 8.1 -8.10'!G35</f>
        <v>-400000</v>
      </c>
      <c r="G32" s="22">
        <f>+'Secc 8.1 -8.10'!H43</f>
        <v>100000</v>
      </c>
      <c r="H32" s="22"/>
      <c r="I32" s="22"/>
      <c r="J32" s="22"/>
      <c r="K32" s="22">
        <f>+'Secc 8.1 -8.10'!H68</f>
        <v>75000</v>
      </c>
      <c r="L32" s="22">
        <f>+'Secc 8.1 -8.10'!H75</f>
        <v>150000</v>
      </c>
      <c r="M32" s="22">
        <f>+-'Secc 8.1 -8.10'!G82</f>
        <v>-559810.44818596542</v>
      </c>
      <c r="N32" s="22">
        <f>+'Secc 8.1 -8.10'!H89</f>
        <v>100000</v>
      </c>
      <c r="O32" s="22"/>
      <c r="P32" s="22">
        <f t="shared" si="1"/>
        <v>3792548.5518140346</v>
      </c>
      <c r="Q32" s="392"/>
    </row>
    <row r="33" spans="1:17" ht="12.95" customHeight="1" x14ac:dyDescent="0.25">
      <c r="A33" s="26" t="s">
        <v>180</v>
      </c>
      <c r="B33" s="54">
        <f>SUM(B28:B32)</f>
        <v>12130000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5"/>
      <c r="O33" s="25"/>
      <c r="P33" s="25">
        <f>SUM(P28:P32)</f>
        <v>8950319.5921584964</v>
      </c>
      <c r="Q33" s="392"/>
    </row>
    <row r="34" spans="1:17" ht="12.95" customHeight="1" x14ac:dyDescent="0.25">
      <c r="A34" s="26" t="s">
        <v>181</v>
      </c>
      <c r="B34" s="54">
        <f>+B26+B33</f>
        <v>128130000</v>
      </c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5"/>
      <c r="O34" s="25"/>
      <c r="P34" s="25">
        <f>+P26+P33</f>
        <v>140020659</v>
      </c>
      <c r="Q34" s="392"/>
    </row>
    <row r="35" spans="1:17" x14ac:dyDescent="0.25">
      <c r="A35" s="2"/>
      <c r="B35" s="397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392"/>
    </row>
    <row r="36" spans="1:17" x14ac:dyDescent="0.25">
      <c r="A36" s="2"/>
      <c r="B36" s="397">
        <f>+B16-B34</f>
        <v>0</v>
      </c>
      <c r="C36" s="397">
        <f t="shared" ref="C36:P36" si="2">+C16-C34</f>
        <v>0</v>
      </c>
      <c r="D36" s="397">
        <f t="shared" si="2"/>
        <v>0</v>
      </c>
      <c r="E36" s="397"/>
      <c r="F36" s="397">
        <f t="shared" si="2"/>
        <v>0</v>
      </c>
      <c r="G36" s="397">
        <f t="shared" si="2"/>
        <v>0</v>
      </c>
      <c r="H36" s="397">
        <f t="shared" si="2"/>
        <v>0</v>
      </c>
      <c r="I36" s="397">
        <f t="shared" si="2"/>
        <v>0</v>
      </c>
      <c r="J36" s="397">
        <f t="shared" si="2"/>
        <v>0</v>
      </c>
      <c r="K36" s="397">
        <f t="shared" si="2"/>
        <v>0</v>
      </c>
      <c r="L36" s="397">
        <f t="shared" si="2"/>
        <v>0</v>
      </c>
      <c r="M36" s="397">
        <f t="shared" si="2"/>
        <v>0</v>
      </c>
      <c r="N36" s="397">
        <f t="shared" si="2"/>
        <v>0</v>
      </c>
      <c r="O36" s="397">
        <f t="shared" si="2"/>
        <v>0</v>
      </c>
      <c r="P36" s="397">
        <f t="shared" si="2"/>
        <v>-0.30000001192092896</v>
      </c>
      <c r="Q36" s="392"/>
    </row>
    <row r="37" spans="1:17" x14ac:dyDescent="0.25">
      <c r="A37" s="2"/>
      <c r="B37" s="397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392"/>
    </row>
    <row r="38" spans="1:17" x14ac:dyDescent="0.25">
      <c r="A38" s="392"/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</row>
  </sheetData>
  <mergeCells count="1">
    <mergeCell ref="A1:P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4"/>
  <sheetViews>
    <sheetView workbookViewId="0">
      <selection activeCell="Q12" sqref="Q12"/>
    </sheetView>
  </sheetViews>
  <sheetFormatPr baseColWidth="10" defaultRowHeight="15" x14ac:dyDescent="0.25"/>
  <cols>
    <col min="1" max="1" width="24.5703125" bestFit="1" customWidth="1"/>
    <col min="2" max="4" width="7.5703125" customWidth="1"/>
    <col min="5" max="5" width="7.5703125" hidden="1" customWidth="1"/>
    <col min="6" max="15" width="7.5703125" customWidth="1"/>
  </cols>
  <sheetData>
    <row r="1" spans="1:15" ht="15" customHeight="1" x14ac:dyDescent="0.25">
      <c r="A1" s="29" t="s">
        <v>185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2" customHeight="1" x14ac:dyDescent="0.25">
      <c r="A2" s="15" t="s">
        <v>149</v>
      </c>
      <c r="B2" s="8" t="s">
        <v>150</v>
      </c>
      <c r="C2" s="16" t="s">
        <v>151</v>
      </c>
      <c r="D2" s="16" t="s">
        <v>151</v>
      </c>
      <c r="E2" s="16" t="s">
        <v>151</v>
      </c>
      <c r="F2" s="16" t="s">
        <v>151</v>
      </c>
      <c r="G2" s="16" t="s">
        <v>151</v>
      </c>
      <c r="H2" s="16" t="s">
        <v>151</v>
      </c>
      <c r="I2" s="16" t="s">
        <v>151</v>
      </c>
      <c r="J2" s="16" t="s">
        <v>151</v>
      </c>
      <c r="K2" s="16" t="s">
        <v>151</v>
      </c>
      <c r="L2" s="16" t="s">
        <v>151</v>
      </c>
      <c r="M2" s="16" t="s">
        <v>151</v>
      </c>
      <c r="N2" s="16" t="s">
        <v>151</v>
      </c>
      <c r="O2" s="8" t="s">
        <v>100</v>
      </c>
    </row>
    <row r="3" spans="1:15" ht="10.5" customHeight="1" x14ac:dyDescent="0.25">
      <c r="A3" s="17" t="s">
        <v>152</v>
      </c>
      <c r="B3" s="9" t="s">
        <v>153</v>
      </c>
      <c r="C3" s="18">
        <v>8.1</v>
      </c>
      <c r="D3" s="18">
        <v>8.1999999999999993</v>
      </c>
      <c r="E3" s="18" t="s">
        <v>183</v>
      </c>
      <c r="F3" s="18">
        <v>8.3000000000000007</v>
      </c>
      <c r="G3" s="18">
        <v>8.4</v>
      </c>
      <c r="H3" s="18" t="s">
        <v>117</v>
      </c>
      <c r="I3" s="18" t="s">
        <v>118</v>
      </c>
      <c r="J3" s="18" t="s">
        <v>119</v>
      </c>
      <c r="K3" s="18" t="s">
        <v>120</v>
      </c>
      <c r="L3" s="18">
        <v>8.6999999999999993</v>
      </c>
      <c r="M3" s="18">
        <v>8.8000000000000007</v>
      </c>
      <c r="N3" s="18">
        <v>8.9</v>
      </c>
      <c r="O3" s="9" t="s">
        <v>154</v>
      </c>
    </row>
    <row r="4" spans="1:15" ht="12" customHeight="1" x14ac:dyDescent="0.25">
      <c r="A4" s="19" t="s">
        <v>155</v>
      </c>
      <c r="B4" s="90" t="s">
        <v>302</v>
      </c>
      <c r="C4" s="90" t="s">
        <v>302</v>
      </c>
      <c r="D4" s="90" t="s">
        <v>302</v>
      </c>
      <c r="E4" s="90" t="s">
        <v>302</v>
      </c>
      <c r="F4" s="90" t="s">
        <v>302</v>
      </c>
      <c r="G4" s="90" t="s">
        <v>302</v>
      </c>
      <c r="H4" s="90" t="s">
        <v>302</v>
      </c>
      <c r="I4" s="90" t="s">
        <v>302</v>
      </c>
      <c r="J4" s="90" t="s">
        <v>302</v>
      </c>
      <c r="K4" s="90" t="s">
        <v>302</v>
      </c>
      <c r="L4" s="90" t="s">
        <v>302</v>
      </c>
      <c r="M4" s="90" t="s">
        <v>302</v>
      </c>
      <c r="N4" s="90" t="s">
        <v>302</v>
      </c>
      <c r="O4" s="90" t="s">
        <v>302</v>
      </c>
    </row>
    <row r="5" spans="1:15" ht="12" customHeight="1" x14ac:dyDescent="0.25">
      <c r="A5" s="21" t="s">
        <v>156</v>
      </c>
      <c r="B5" s="49">
        <f>ROUND('Secc-9.2'!B7/1000,0)</f>
        <v>75369</v>
      </c>
      <c r="C5" s="49">
        <f>ROUND('Secc-9.2'!C7/1000,0)</f>
        <v>0</v>
      </c>
      <c r="D5" s="49">
        <f>ROUND('Secc-9.2'!D7/1000,0)</f>
        <v>0</v>
      </c>
      <c r="E5" s="49">
        <f>ROUND('Secc-9.2'!E7/1000,0)</f>
        <v>0</v>
      </c>
      <c r="F5" s="49">
        <f>ROUND('Secc-9.2'!F7/1000,0)</f>
        <v>0</v>
      </c>
      <c r="G5" s="49">
        <f>ROUND('Secc-9.2'!G7/1000,0)</f>
        <v>0</v>
      </c>
      <c r="H5" s="49">
        <f>ROUND('Secc-9.2'!H7/1000,0)</f>
        <v>0</v>
      </c>
      <c r="I5" s="49">
        <f>ROUND('Secc-9.2'!I7/1000,0)</f>
        <v>0</v>
      </c>
      <c r="J5" s="49">
        <f>ROUND('Secc-9.2'!J7/1000,0)</f>
        <v>0</v>
      </c>
      <c r="K5" s="49">
        <f>ROUND('Secc-9.2'!K7/1000,0)</f>
        <v>0</v>
      </c>
      <c r="L5" s="49">
        <f>ROUND('Secc-9.2'!L7/1000,0)</f>
        <v>0</v>
      </c>
      <c r="M5" s="49">
        <f>ROUND('Secc-9.2'!M7/1000,0)</f>
        <v>0</v>
      </c>
      <c r="N5" s="49">
        <f>ROUND('Secc-9.2'!N7/1000,0)</f>
        <v>0</v>
      </c>
      <c r="O5" s="22">
        <f>SUM(B5:N5)</f>
        <v>75369</v>
      </c>
    </row>
    <row r="6" spans="1:15" ht="12" customHeight="1" x14ac:dyDescent="0.25">
      <c r="A6" s="21" t="s">
        <v>157</v>
      </c>
      <c r="B6" s="49">
        <f>ROUND('Secc-9.2'!B8/1000,0)</f>
        <v>4474</v>
      </c>
      <c r="C6" s="49">
        <f>ROUND('Secc-9.2'!C8/1000,0)</f>
        <v>0</v>
      </c>
      <c r="D6" s="49">
        <f>ROUND('Secc-9.2'!D8/1000,0)</f>
        <v>0</v>
      </c>
      <c r="E6" s="49">
        <f>ROUND('Secc-9.2'!E8/1000,0)</f>
        <v>0</v>
      </c>
      <c r="F6" s="49">
        <f>ROUND('Secc-9.2'!F8/1000,0)</f>
        <v>0</v>
      </c>
      <c r="G6" s="49">
        <f>ROUND('Secc-9.2'!G8/1000,0)</f>
        <v>0</v>
      </c>
      <c r="H6" s="49">
        <f>ROUND('Secc-9.2'!H8/1000,0)</f>
        <v>0</v>
      </c>
      <c r="I6" s="49">
        <f>ROUND('Secc-9.2'!I8/1000,0)</f>
        <v>0</v>
      </c>
      <c r="J6" s="49">
        <f>ROUND('Secc-9.2'!J8/1000,0)</f>
        <v>0</v>
      </c>
      <c r="K6" s="49">
        <f>ROUND('Secc-9.2'!K8/1000,0)</f>
        <v>0</v>
      </c>
      <c r="L6" s="49">
        <f>ROUND('Secc-9.2'!L8/1000,0)</f>
        <v>0</v>
      </c>
      <c r="M6" s="49">
        <f>ROUND('Secc-9.2'!M8/1000,0)</f>
        <v>0</v>
      </c>
      <c r="N6" s="49">
        <f>ROUND('Secc-9.2'!N8/1000,0)</f>
        <v>0</v>
      </c>
      <c r="O6" s="22">
        <f>SUM(B6:N6)</f>
        <v>4474</v>
      </c>
    </row>
    <row r="7" spans="1:15" ht="12" customHeight="1" x14ac:dyDescent="0.25">
      <c r="A7" s="21" t="s">
        <v>158</v>
      </c>
      <c r="B7" s="49">
        <f>ROUND('Secc-9.2'!B9/1000,0)</f>
        <v>6746</v>
      </c>
      <c r="C7" s="49">
        <f>ROUND('Secc-9.2'!C9/1000,0)</f>
        <v>0</v>
      </c>
      <c r="D7" s="49">
        <f>ROUND('Secc-9.2'!D9/1000,0)</f>
        <v>0</v>
      </c>
      <c r="E7" s="49">
        <f>ROUND('Secc-9.2'!E9/1000,0)</f>
        <v>0</v>
      </c>
      <c r="F7" s="49">
        <f>ROUND('Secc-9.2'!F9/1000,0)</f>
        <v>0</v>
      </c>
      <c r="G7" s="49">
        <f>ROUND('Secc-9.2'!G9/1000,0)</f>
        <v>0</v>
      </c>
      <c r="H7" s="49">
        <f>ROUND('Secc-9.2'!H9/1000,0)</f>
        <v>0</v>
      </c>
      <c r="I7" s="49">
        <f>ROUND('Secc-9.2'!I9/1000,0)</f>
        <v>0</v>
      </c>
      <c r="J7" s="49">
        <f>ROUND('Secc-9.2'!J9/1000,0)</f>
        <v>0</v>
      </c>
      <c r="K7" s="49">
        <f>ROUND('Secc-9.2'!K9/1000,0)</f>
        <v>0</v>
      </c>
      <c r="L7" s="49">
        <f>ROUND('Secc-9.2'!L9/1000,0)</f>
        <v>0</v>
      </c>
      <c r="M7" s="49">
        <f>ROUND('Secc-9.2'!M9/1000,0)</f>
        <v>0</v>
      </c>
      <c r="N7" s="49">
        <f>ROUND('Secc-9.2'!N9/1000,0)</f>
        <v>0</v>
      </c>
      <c r="O7" s="22">
        <f>SUM(B7:N7)</f>
        <v>6746</v>
      </c>
    </row>
    <row r="8" spans="1:15" ht="12" customHeight="1" x14ac:dyDescent="0.25">
      <c r="A8" s="23" t="s">
        <v>159</v>
      </c>
      <c r="B8" s="49">
        <f>ROUND('Secc-9.2'!B10/1000,0)</f>
        <v>26018</v>
      </c>
      <c r="C8" s="49">
        <f>ROUND('Secc-9.2'!C10/1000,0)</f>
        <v>0</v>
      </c>
      <c r="D8" s="49">
        <f>ROUND('Secc-9.2'!D10/1000,0)</f>
        <v>0</v>
      </c>
      <c r="E8" s="49">
        <f>ROUND('Secc-9.2'!E10/1000,0)</f>
        <v>0</v>
      </c>
      <c r="F8" s="49">
        <f>ROUND('Secc-9.2'!F10/1000,0)</f>
        <v>0</v>
      </c>
      <c r="G8" s="49">
        <f>ROUND('Secc-9.2'!G10/1000,0)</f>
        <v>0</v>
      </c>
      <c r="H8" s="49">
        <f>ROUND('Secc-9.2'!H10/1000,0)</f>
        <v>0</v>
      </c>
      <c r="I8" s="49">
        <f>ROUND('Secc-9.2'!I10/1000,0)</f>
        <v>0</v>
      </c>
      <c r="J8" s="49">
        <f>ROUND('Secc-9.2'!J10/1000,0)</f>
        <v>0</v>
      </c>
      <c r="K8" s="49">
        <f>ROUND('Secc-9.2'!K10/1000,0)</f>
        <v>0</v>
      </c>
      <c r="L8" s="49">
        <f>ROUND('Secc-9.2'!L10/1000,0)</f>
        <v>0</v>
      </c>
      <c r="M8" s="49">
        <f>ROUND('Secc-9.2'!M10/1000,0)</f>
        <v>0</v>
      </c>
      <c r="N8" s="49">
        <f>ROUND('Secc-9.2'!N10/1000,0)</f>
        <v>0</v>
      </c>
      <c r="O8" s="24">
        <f>SUM(B8:N8)</f>
        <v>26018</v>
      </c>
    </row>
    <row r="9" spans="1:15" ht="12" customHeight="1" x14ac:dyDescent="0.25">
      <c r="A9" s="5" t="s">
        <v>160</v>
      </c>
      <c r="B9" s="25">
        <f>SUM(B5:B8)</f>
        <v>112607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>
        <f>SUM(O5:O8)</f>
        <v>112607</v>
      </c>
    </row>
    <row r="10" spans="1:15" ht="12" customHeight="1" x14ac:dyDescent="0.25">
      <c r="A10" s="21" t="s">
        <v>161</v>
      </c>
      <c r="B10" s="49">
        <f>ROUND('Secc-9.2'!B12/1000,0)</f>
        <v>0</v>
      </c>
      <c r="C10" s="49">
        <f>ROUND('Secc-9.2'!C12/1000,0)</f>
        <v>0</v>
      </c>
      <c r="D10" s="49">
        <f>ROUND('Secc-9.2'!D12/1000,0)</f>
        <v>0</v>
      </c>
      <c r="E10" s="49">
        <f>ROUND('Secc-9.2'!E12/1000,0)</f>
        <v>0</v>
      </c>
      <c r="F10" s="49">
        <f>ROUND('Secc-9.2'!F12/1000,0)</f>
        <v>0</v>
      </c>
      <c r="G10" s="49">
        <f>ROUND('Secc-9.2'!G12/1000,0)</f>
        <v>0</v>
      </c>
      <c r="H10" s="49">
        <f>ROUND('Secc-9.2'!H12/1000,0)</f>
        <v>400</v>
      </c>
      <c r="I10" s="49">
        <f>ROUND('Secc-9.2'!I12/1000,0)</f>
        <v>0</v>
      </c>
      <c r="J10" s="49">
        <f>ROUND('Secc-9.2'!J12/1000,0)</f>
        <v>0</v>
      </c>
      <c r="K10" s="49">
        <f>ROUND('Secc-9.2'!K12/1000,0)</f>
        <v>0</v>
      </c>
      <c r="L10" s="49">
        <f>ROUND('Secc-9.2'!L12/1000,0)</f>
        <v>0</v>
      </c>
      <c r="M10" s="49">
        <f>ROUND('Secc-9.2'!M12/1000,0)</f>
        <v>600</v>
      </c>
      <c r="N10" s="49">
        <f>ROUND('Secc-9.2'!N12/1000,0)</f>
        <v>0</v>
      </c>
      <c r="O10" s="22">
        <f>SUM(B10:N10)</f>
        <v>1000</v>
      </c>
    </row>
    <row r="11" spans="1:15" ht="12" customHeight="1" x14ac:dyDescent="0.25">
      <c r="A11" s="21" t="s">
        <v>162</v>
      </c>
      <c r="B11" s="49">
        <f>ROUND('Secc-9.2'!B13/1000,0)</f>
        <v>7400</v>
      </c>
      <c r="C11" s="49">
        <f>ROUND('Secc-9.2'!C13/1000,0)</f>
        <v>0</v>
      </c>
      <c r="D11" s="49">
        <f>ROUND('Secc-9.2'!D13/1000,0)</f>
        <v>10080</v>
      </c>
      <c r="E11" s="49">
        <f>ROUND('Secc-9.2'!E13/1000,0)</f>
        <v>0</v>
      </c>
      <c r="F11" s="49">
        <f>ROUND('Secc-9.2'!F13/1000,0)</f>
        <v>0</v>
      </c>
      <c r="G11" s="49">
        <f>ROUND('Secc-9.2'!G13/1000,0)</f>
        <v>0</v>
      </c>
      <c r="H11" s="22">
        <f>ROUND('Secc-9.2'!H13/1000,0)</f>
        <v>-400</v>
      </c>
      <c r="I11" s="49">
        <f>ROUND('Secc-9.2'!I13/1000,0)</f>
        <v>600</v>
      </c>
      <c r="J11" s="49">
        <f>ROUND('Secc-9.2'!J13/1000,0)</f>
        <v>750</v>
      </c>
      <c r="K11" s="49">
        <f>ROUND('Secc-9.2'!K13/1000,0)</f>
        <v>750</v>
      </c>
      <c r="L11" s="49">
        <f>ROUND('Secc-9.2'!L13/1000,0)</f>
        <v>0</v>
      </c>
      <c r="M11" s="49">
        <f>ROUND('Secc-9.2'!M13/1000,0)</f>
        <v>0</v>
      </c>
      <c r="N11" s="49">
        <f>ROUND('Secc-9.2'!N13/1000,0)</f>
        <v>0</v>
      </c>
      <c r="O11" s="22">
        <f>SUM(B11:N11)</f>
        <v>19180</v>
      </c>
    </row>
    <row r="12" spans="1:15" ht="12" customHeight="1" x14ac:dyDescent="0.25">
      <c r="A12" s="21" t="s">
        <v>163</v>
      </c>
      <c r="B12" s="49">
        <f>ROUND('Secc-9.2'!B14/1000,0)</f>
        <v>0</v>
      </c>
      <c r="C12" s="49">
        <f>ROUND('Secc-9.2'!C14/1000,0)</f>
        <v>363</v>
      </c>
      <c r="D12" s="49">
        <f>ROUND('Secc-9.2'!D14/1000,0)</f>
        <v>0</v>
      </c>
      <c r="E12" s="49">
        <f>ROUND('Secc-9.2'!E14/1000,0)</f>
        <v>0</v>
      </c>
      <c r="F12" s="49">
        <f>ROUND('Secc-9.2'!F14/1000,0)</f>
        <v>0</v>
      </c>
      <c r="G12" s="49">
        <f>ROUND('Secc-9.2'!G14/1000,0)</f>
        <v>0</v>
      </c>
      <c r="H12" s="49">
        <f>ROUND('Secc-9.2'!H14/1000,0)</f>
        <v>0</v>
      </c>
      <c r="I12" s="49">
        <f>ROUND('Secc-9.2'!I14/1000,0)</f>
        <v>0</v>
      </c>
      <c r="J12" s="49">
        <f>ROUND('Secc-9.2'!J14/1000,0)</f>
        <v>0</v>
      </c>
      <c r="K12" s="49">
        <f>ROUND('Secc-9.2'!K14/1000,0)</f>
        <v>0</v>
      </c>
      <c r="L12" s="49">
        <f>ROUND('Secc-9.2'!L14/1000,0)</f>
        <v>0</v>
      </c>
      <c r="M12" s="49">
        <f>ROUND('Secc-9.2'!M14/1000,0)</f>
        <v>0</v>
      </c>
      <c r="N12" s="49">
        <f>ROUND('Secc-9.2'!N14/1000,0)</f>
        <v>0</v>
      </c>
      <c r="O12" s="22">
        <f>SUM(B12:N12)</f>
        <v>363</v>
      </c>
    </row>
    <row r="13" spans="1:15" ht="12" customHeight="1" x14ac:dyDescent="0.25">
      <c r="A13" s="23" t="s">
        <v>164</v>
      </c>
      <c r="B13" s="49">
        <f>ROUND('Secc-9.2'!B15/1000,0)</f>
        <v>700</v>
      </c>
      <c r="C13" s="49">
        <f>ROUND('Secc-9.2'!C15/1000,0)</f>
        <v>0</v>
      </c>
      <c r="D13" s="49">
        <f>ROUND('Secc-9.2'!D15/1000,0)</f>
        <v>0</v>
      </c>
      <c r="E13" s="49">
        <f>ROUND('Secc-9.2'!E15/1000,0)</f>
        <v>0</v>
      </c>
      <c r="F13" s="49">
        <f>ROUND('Secc-9.2'!F15/1000,0)</f>
        <v>0</v>
      </c>
      <c r="G13" s="22">
        <f>ROUND('Secc-9.2'!G15/1000,0)</f>
        <v>-700</v>
      </c>
      <c r="H13" s="49">
        <f>ROUND('Secc-9.2'!H15/1000,0)</f>
        <v>0</v>
      </c>
      <c r="I13" s="49">
        <f>ROUND('Secc-9.2'!I15/1000,0)</f>
        <v>0</v>
      </c>
      <c r="J13" s="49">
        <f>ROUND('Secc-9.2'!J15/1000,0)</f>
        <v>0</v>
      </c>
      <c r="K13" s="49">
        <f>ROUND('Secc-9.2'!K15/1000,0)</f>
        <v>0</v>
      </c>
      <c r="L13" s="49">
        <f>ROUND('Secc-9.2'!L15/1000,0)</f>
        <v>0</v>
      </c>
      <c r="M13" s="49">
        <f>ROUND('Secc-9.2'!M15/1000,0)</f>
        <v>0</v>
      </c>
      <c r="N13" s="49">
        <f>ROUND('Secc-9.2'!N15/1000,0)</f>
        <v>0</v>
      </c>
      <c r="O13" s="30">
        <f>SUM(B13:N13)</f>
        <v>0</v>
      </c>
    </row>
    <row r="14" spans="1:15" ht="12" customHeight="1" x14ac:dyDescent="0.25">
      <c r="A14" s="26" t="s">
        <v>165</v>
      </c>
      <c r="B14" s="25">
        <f>SUM(B10:B13)</f>
        <v>8100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5">
        <f>SUM(O10:O13)</f>
        <v>20543</v>
      </c>
    </row>
    <row r="15" spans="1:15" ht="12" customHeight="1" x14ac:dyDescent="0.25">
      <c r="A15" s="5" t="s">
        <v>166</v>
      </c>
      <c r="B15" s="25">
        <f>+B9+B14</f>
        <v>120707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>
        <f>+O9+O14</f>
        <v>133150</v>
      </c>
    </row>
    <row r="16" spans="1:15" ht="5.25" customHeight="1" x14ac:dyDescent="0.25">
      <c r="A16" s="21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</row>
    <row r="17" spans="1:15" ht="12" customHeight="1" x14ac:dyDescent="0.25">
      <c r="A17" s="28" t="s">
        <v>167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</row>
    <row r="18" spans="1:15" ht="12" customHeight="1" x14ac:dyDescent="0.25">
      <c r="A18" s="21" t="s">
        <v>168</v>
      </c>
      <c r="B18" s="49">
        <f>ROUND('Secc-9.2'!B20/1000,0)</f>
        <v>9415</v>
      </c>
      <c r="C18" s="49">
        <f>ROUND('Secc-9.2'!C20/1000,0)</f>
        <v>0</v>
      </c>
      <c r="D18" s="49">
        <f>ROUND('Secc-9.2'!D20/1000,0)</f>
        <v>0</v>
      </c>
      <c r="E18" s="49">
        <f>ROUND('Secc-9.2'!E20/1000,0)</f>
        <v>0</v>
      </c>
      <c r="F18" s="49">
        <f>ROUND('Secc-9.2'!F20/1000,0)</f>
        <v>0</v>
      </c>
      <c r="G18" s="49">
        <f>ROUND('Secc-9.2'!G20/1000,0)</f>
        <v>0</v>
      </c>
      <c r="H18" s="49">
        <f>ROUND('Secc-9.2'!H20/1000,0)</f>
        <v>0</v>
      </c>
      <c r="I18" s="49">
        <f>ROUND('Secc-9.2'!I20/1000,0)</f>
        <v>0</v>
      </c>
      <c r="J18" s="49">
        <f>ROUND('Secc-9.2'!J20/1000,0)</f>
        <v>0</v>
      </c>
      <c r="K18" s="49">
        <f>ROUND('Secc-9.2'!K20/1000,0)</f>
        <v>0</v>
      </c>
      <c r="L18" s="49">
        <f>ROUND('Secc-9.2'!L20/1000,0)</f>
        <v>0</v>
      </c>
      <c r="M18" s="49">
        <f>ROUND('Secc-9.2'!M20/1000,0)</f>
        <v>0</v>
      </c>
      <c r="N18" s="49">
        <f>ROUND('Secc-9.2'!N20/1000,0)</f>
        <v>0</v>
      </c>
      <c r="O18" s="22">
        <f t="shared" ref="O18:O23" si="0">SUM(B18:N18)</f>
        <v>9415</v>
      </c>
    </row>
    <row r="19" spans="1:15" ht="12" customHeight="1" x14ac:dyDescent="0.25">
      <c r="A19" s="21" t="s">
        <v>169</v>
      </c>
      <c r="B19" s="49">
        <f>ROUND('Secc-9.2'!B21/1000,0)</f>
        <v>0</v>
      </c>
      <c r="C19" s="49">
        <f>ROUND('Secc-9.2'!C21/1000,0)</f>
        <v>0</v>
      </c>
      <c r="D19" s="49">
        <f>ROUND('Secc-9.2'!D21/1000,0)</f>
        <v>0</v>
      </c>
      <c r="E19" s="49">
        <f>ROUND('Secc-9.2'!E21/1000,0)</f>
        <v>0</v>
      </c>
      <c r="F19" s="49">
        <f>ROUND('Secc-9.2'!F21/1000,0)</f>
        <v>0</v>
      </c>
      <c r="G19" s="49">
        <f>ROUND('Secc-9.2'!G21/1000,0)</f>
        <v>0</v>
      </c>
      <c r="H19" s="49">
        <f>ROUND('Secc-9.2'!H21/1000,0)</f>
        <v>0</v>
      </c>
      <c r="I19" s="49">
        <f>ROUND('Secc-9.2'!I21/1000,0)</f>
        <v>0</v>
      </c>
      <c r="J19" s="49">
        <f>ROUND('Secc-9.2'!J21/1000,0)</f>
        <v>0</v>
      </c>
      <c r="K19" s="49">
        <f>ROUND('Secc-9.2'!K21/1000,0)</f>
        <v>0</v>
      </c>
      <c r="L19" s="49">
        <f>ROUND('Secc-9.2'!L21/1000,0)</f>
        <v>0</v>
      </c>
      <c r="M19" s="49">
        <f>ROUND('Secc-9.2'!M21/1000,0)</f>
        <v>0</v>
      </c>
      <c r="N19" s="22">
        <f>ROUND('Secc-9.2'!N21/1000,0)</f>
        <v>2500</v>
      </c>
      <c r="O19" s="22">
        <f t="shared" si="0"/>
        <v>2500</v>
      </c>
    </row>
    <row r="20" spans="1:15" ht="12" customHeight="1" x14ac:dyDescent="0.25">
      <c r="A20" s="21" t="s">
        <v>170</v>
      </c>
      <c r="B20" s="49">
        <f>ROUND('Secc-9.2'!B22/1000,0)</f>
        <v>5355</v>
      </c>
      <c r="C20" s="49">
        <f>ROUND('Secc-9.2'!C22/1000,0)</f>
        <v>0</v>
      </c>
      <c r="D20" s="49">
        <f>ROUND('Secc-9.2'!D22/1000,0)</f>
        <v>0</v>
      </c>
      <c r="E20" s="49">
        <f>ROUND('Secc-9.2'!E22/1000,0)</f>
        <v>0</v>
      </c>
      <c r="F20" s="49">
        <f>ROUND('Secc-9.2'!F22/1000,0)</f>
        <v>2000</v>
      </c>
      <c r="G20" s="49">
        <f>ROUND('Secc-9.2'!G22/1000,0)</f>
        <v>0</v>
      </c>
      <c r="H20" s="49">
        <f>ROUND('Secc-9.2'!H22/1000,0)</f>
        <v>0</v>
      </c>
      <c r="I20" s="49">
        <f>ROUND('Secc-9.2'!I22/1000,0)</f>
        <v>0</v>
      </c>
      <c r="J20" s="49">
        <f>ROUND('Secc-9.2'!J22/1000,0)</f>
        <v>0</v>
      </c>
      <c r="K20" s="49">
        <f>ROUND('Secc-9.2'!K22/1000,0)</f>
        <v>0</v>
      </c>
      <c r="L20" s="49">
        <f>ROUND('Secc-9.2'!L22/1000,0)</f>
        <v>0</v>
      </c>
      <c r="M20" s="49">
        <f>ROUND('Secc-9.2'!M22/1000,0)</f>
        <v>0</v>
      </c>
      <c r="N20" s="22">
        <f>ROUND('Secc-9.2'!N22/1000,0)</f>
        <v>-2500</v>
      </c>
      <c r="O20" s="22">
        <f t="shared" si="0"/>
        <v>4855</v>
      </c>
    </row>
    <row r="21" spans="1:15" ht="12" customHeight="1" x14ac:dyDescent="0.25">
      <c r="A21" s="5" t="s">
        <v>171</v>
      </c>
      <c r="B21" s="25">
        <f>SUM(B18:B20)</f>
        <v>14770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5">
        <f>SUM(O18:O20)</f>
        <v>16770</v>
      </c>
    </row>
    <row r="22" spans="1:15" ht="12" customHeight="1" x14ac:dyDescent="0.25">
      <c r="A22" s="21" t="s">
        <v>172</v>
      </c>
      <c r="B22" s="49">
        <f>ROUND('Secc-9.2'!B24/1000,0)</f>
        <v>0</v>
      </c>
      <c r="C22" s="49">
        <f>ROUND('Secc-9.2'!C24/1000,0)</f>
        <v>0</v>
      </c>
      <c r="D22" s="49">
        <f>ROUND('Secc-9.2'!D24/1000,0)</f>
        <v>13891</v>
      </c>
      <c r="E22" s="49">
        <f>ROUND('Secc-9.2'!E24/1000,0)</f>
        <v>0</v>
      </c>
      <c r="F22" s="49">
        <f>ROUND('Secc-9.2'!F24/1000,0)</f>
        <v>0</v>
      </c>
      <c r="G22" s="49">
        <f>ROUND('Secc-9.2'!G24/1000,0)</f>
        <v>0</v>
      </c>
      <c r="H22" s="49">
        <f>ROUND('Secc-9.2'!H24/1000,0)</f>
        <v>0</v>
      </c>
      <c r="I22" s="49">
        <f>ROUND('Secc-9.2'!I24/1000,0)</f>
        <v>0</v>
      </c>
      <c r="J22" s="49">
        <f>ROUND('Secc-9.2'!J24/1000,0)</f>
        <v>0</v>
      </c>
      <c r="K22" s="49">
        <f>ROUND('Secc-9.2'!K24/1000,0)</f>
        <v>0</v>
      </c>
      <c r="L22" s="49">
        <f>ROUND('Secc-9.2'!L24/1000,0)</f>
        <v>0</v>
      </c>
      <c r="M22" s="49">
        <f>ROUND('Secc-9.2'!M24/1000,0)</f>
        <v>0</v>
      </c>
      <c r="N22" s="49">
        <f>ROUND('Secc-9.2'!N24/1000,0)</f>
        <v>0</v>
      </c>
      <c r="O22" s="22">
        <f t="shared" si="0"/>
        <v>13891</v>
      </c>
    </row>
    <row r="23" spans="1:15" ht="12" customHeight="1" x14ac:dyDescent="0.25">
      <c r="A23" s="21" t="s">
        <v>173</v>
      </c>
      <c r="B23" s="49">
        <f>ROUND('Secc-9.2'!B25/1000,0)</f>
        <v>100000</v>
      </c>
      <c r="C23" s="49">
        <f>ROUND('Secc-9.2'!C25/1000,0)</f>
        <v>0</v>
      </c>
      <c r="D23" s="49">
        <f>ROUND('Secc-9.2'!D25/1000,0)</f>
        <v>0</v>
      </c>
      <c r="E23" s="49">
        <f>ROUND('Secc-9.2'!E25/1000,0)</f>
        <v>0</v>
      </c>
      <c r="F23" s="49">
        <f>ROUND('Secc-9.2'!F25/1000,0)</f>
        <v>0</v>
      </c>
      <c r="G23" s="49">
        <f>ROUND('Secc-9.2'!G25/1000,0)</f>
        <v>0</v>
      </c>
      <c r="H23" s="49">
        <f>ROUND('Secc-9.2'!H25/1000,0)</f>
        <v>0</v>
      </c>
      <c r="I23" s="49">
        <f>ROUND('Secc-9.2'!I25/1000,0)</f>
        <v>0</v>
      </c>
      <c r="J23" s="49">
        <f>ROUND('Secc-9.2'!J25/1000,0)</f>
        <v>0</v>
      </c>
      <c r="K23" s="49">
        <f>ROUND('Secc-9.2'!K25/1000,0)</f>
        <v>0</v>
      </c>
      <c r="L23" s="22">
        <f>ROUND('Secc-9.2'!L25/1000,0)</f>
        <v>-2475</v>
      </c>
      <c r="M23" s="49">
        <f>ROUND('Secc-9.2'!M25/1000,0)</f>
        <v>0</v>
      </c>
      <c r="N23" s="49">
        <f>ROUND('Secc-9.2'!N25/1000,0)</f>
        <v>0</v>
      </c>
      <c r="O23" s="22">
        <f t="shared" si="0"/>
        <v>97525</v>
      </c>
    </row>
    <row r="24" spans="1:15" ht="12" customHeight="1" x14ac:dyDescent="0.25">
      <c r="A24" s="5" t="s">
        <v>174</v>
      </c>
      <c r="B24" s="25">
        <f>SUM(B22:B23)</f>
        <v>100000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>
        <f>SUM(O22:O23)</f>
        <v>111416</v>
      </c>
    </row>
    <row r="25" spans="1:15" ht="12" customHeight="1" x14ac:dyDescent="0.25">
      <c r="A25" s="5" t="s">
        <v>175</v>
      </c>
      <c r="B25" s="25">
        <f>+B21+B24</f>
        <v>114770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>
        <f>+O21+O24</f>
        <v>128186</v>
      </c>
    </row>
    <row r="26" spans="1:15" ht="6" customHeight="1" x14ac:dyDescent="0.25">
      <c r="A26" s="21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</row>
    <row r="27" spans="1:15" ht="12" customHeight="1" x14ac:dyDescent="0.25">
      <c r="A27" s="21" t="s">
        <v>176</v>
      </c>
      <c r="B27" s="49">
        <f>ROUND('Secc-9.2'!B29/1000,0)</f>
        <v>4022</v>
      </c>
      <c r="C27" s="49">
        <f>ROUND('Secc-9.2'!C29/1000,0)</f>
        <v>0</v>
      </c>
      <c r="D27" s="49">
        <f>ROUND('Secc-9.2'!D29/1000,0)</f>
        <v>0</v>
      </c>
      <c r="E27" s="49">
        <f>ROUND('Secc-9.2'!E29/1000,0)</f>
        <v>0</v>
      </c>
      <c r="F27" s="49">
        <f>ROUND('Secc-9.2'!F29/1000,0)</f>
        <v>0</v>
      </c>
      <c r="G27" s="49">
        <f>ROUND('Secc-9.2'!G29/1000,0)</f>
        <v>0</v>
      </c>
      <c r="H27" s="49">
        <f>ROUND('Secc-9.2'!H29/1000,0)</f>
        <v>0</v>
      </c>
      <c r="I27" s="49">
        <f>ROUND('Secc-9.2'!I29/1000,0)</f>
        <v>0</v>
      </c>
      <c r="J27" s="49">
        <f>ROUND('Secc-9.2'!J29/1000,0)</f>
        <v>0</v>
      </c>
      <c r="K27" s="49">
        <f>ROUND('Secc-9.2'!K29/1000,0)</f>
        <v>0</v>
      </c>
      <c r="L27" s="49">
        <f>ROUND('Secc-9.2'!L29/1000,0)</f>
        <v>0</v>
      </c>
      <c r="M27" s="49">
        <f>ROUND('Secc-9.2'!M29/1000,0)</f>
        <v>0</v>
      </c>
      <c r="N27" s="49">
        <f>ROUND('Secc-9.2'!N29/1000,0)</f>
        <v>0</v>
      </c>
      <c r="O27" s="22">
        <f t="shared" ref="O27:O30" si="1">SUM(B27:N27)</f>
        <v>4022</v>
      </c>
    </row>
    <row r="28" spans="1:15" ht="12" customHeight="1" x14ac:dyDescent="0.25">
      <c r="A28" s="21" t="s">
        <v>177</v>
      </c>
      <c r="B28" s="49">
        <f>ROUND('Secc-9.2'!B30/1000,0)</f>
        <v>593</v>
      </c>
      <c r="C28" s="49">
        <f>ROUND('Secc-9.2'!C30/1000,0)</f>
        <v>0</v>
      </c>
      <c r="D28" s="49">
        <f>ROUND('Secc-9.2'!D30/1000,0)</f>
        <v>0</v>
      </c>
      <c r="E28" s="49">
        <f>ROUND('Secc-9.2'!E30/1000,0)</f>
        <v>0</v>
      </c>
      <c r="F28" s="49">
        <f>ROUND('Secc-9.2'!F30/1000,0)</f>
        <v>0</v>
      </c>
      <c r="G28" s="49">
        <f>ROUND('Secc-9.2'!G30/1000,0)</f>
        <v>0</v>
      </c>
      <c r="H28" s="49">
        <f>ROUND('Secc-9.2'!H30/1000,0)</f>
        <v>0</v>
      </c>
      <c r="I28" s="49">
        <f>ROUND('Secc-9.2'!I30/1000,0)</f>
        <v>0</v>
      </c>
      <c r="J28" s="49">
        <f>ROUND('Secc-9.2'!J30/1000,0)</f>
        <v>0</v>
      </c>
      <c r="K28" s="49">
        <f>ROUND('Secc-9.2'!K30/1000,0)</f>
        <v>0</v>
      </c>
      <c r="L28" s="49">
        <f>ROUND('Secc-9.2'!L30/1000,0)</f>
        <v>0</v>
      </c>
      <c r="M28" s="49">
        <f>ROUND('Secc-9.2'!M30/1000,0)</f>
        <v>0</v>
      </c>
      <c r="N28" s="49">
        <f>ROUND('Secc-9.2'!N30/1000,0)</f>
        <v>0</v>
      </c>
      <c r="O28" s="22">
        <f t="shared" si="1"/>
        <v>593</v>
      </c>
    </row>
    <row r="29" spans="1:15" ht="12" customHeight="1" x14ac:dyDescent="0.25">
      <c r="A29" s="21" t="s">
        <v>178</v>
      </c>
      <c r="B29" s="49">
        <f>ROUND('Secc-9.2'!B31/1000,0)</f>
        <v>0</v>
      </c>
      <c r="C29" s="49">
        <f>ROUND('Secc-9.2'!C31/1000,0)</f>
        <v>0</v>
      </c>
      <c r="D29" s="49">
        <f>ROUND('Secc-9.2'!D31/1000,0)</f>
        <v>0</v>
      </c>
      <c r="E29" s="49">
        <f>ROUND('Secc-9.2'!E31/1000,0)</f>
        <v>0</v>
      </c>
      <c r="F29" s="49">
        <f>ROUND('Secc-9.2'!F31/1000,0)</f>
        <v>0</v>
      </c>
      <c r="G29" s="49">
        <f>ROUND('Secc-9.2'!G31/1000,0)</f>
        <v>0</v>
      </c>
      <c r="H29" s="49">
        <f>ROUND('Secc-9.2'!H31/1000,0)</f>
        <v>0</v>
      </c>
      <c r="I29" s="49">
        <f>ROUND('Secc-9.2'!I31/1000,0)</f>
        <v>600</v>
      </c>
      <c r="J29" s="49">
        <f>ROUND('Secc-9.2'!J31/1000,0)</f>
        <v>0</v>
      </c>
      <c r="K29" s="49">
        <f>ROUND('Secc-9.2'!K31/1000,0)</f>
        <v>0</v>
      </c>
      <c r="L29" s="49">
        <f>ROUND('Secc-9.2'!L31/1000,0)</f>
        <v>0</v>
      </c>
      <c r="M29" s="49">
        <f>ROUND('Secc-9.2'!M31/1000,0)</f>
        <v>0</v>
      </c>
      <c r="N29" s="49">
        <f>ROUND('Secc-9.2'!N31/1000,0)</f>
        <v>0</v>
      </c>
      <c r="O29" s="22">
        <f t="shared" si="1"/>
        <v>600</v>
      </c>
    </row>
    <row r="30" spans="1:15" ht="12" customHeight="1" x14ac:dyDescent="0.25">
      <c r="A30" s="21" t="s">
        <v>179</v>
      </c>
      <c r="B30" s="49">
        <f>ROUND('Secc-9.2'!B32/1000,0)</f>
        <v>1322</v>
      </c>
      <c r="C30" s="49">
        <f>ROUND('Secc-9.2'!C32/1000,0)</f>
        <v>363</v>
      </c>
      <c r="D30" s="22">
        <f>ROUND('Secc-9.2'!D32/1000,0)</f>
        <v>-3811</v>
      </c>
      <c r="E30" s="49">
        <f>ROUND('Secc-9.2'!E32/1000,0)</f>
        <v>0</v>
      </c>
      <c r="F30" s="22">
        <f>ROUND('Secc-9.2'!F32/1000,0)</f>
        <v>-2000</v>
      </c>
      <c r="G30" s="22">
        <f>ROUND('Secc-9.2'!G32/1000,0)</f>
        <v>-700</v>
      </c>
      <c r="H30" s="49">
        <f>ROUND('Secc-9.2'!H32/1000,0)</f>
        <v>0</v>
      </c>
      <c r="I30" s="49">
        <f>ROUND('Secc-9.2'!I32/1000,0)</f>
        <v>0</v>
      </c>
      <c r="J30" s="49">
        <f>ROUND('Secc-9.2'!J32/1000,0)</f>
        <v>750</v>
      </c>
      <c r="K30" s="49">
        <f>ROUND('Secc-9.2'!K32/1000,0)</f>
        <v>750</v>
      </c>
      <c r="L30" s="49">
        <f>ROUND('Secc-9.2'!L32/1000,0)</f>
        <v>2475</v>
      </c>
      <c r="M30" s="49">
        <f>ROUND('Secc-9.2'!M32/1000,0)</f>
        <v>600</v>
      </c>
      <c r="N30" s="49">
        <f>ROUND('Secc-9.2'!N32/1000,0)</f>
        <v>0</v>
      </c>
      <c r="O30" s="22">
        <f t="shared" si="1"/>
        <v>-251</v>
      </c>
    </row>
    <row r="31" spans="1:15" ht="12" customHeight="1" x14ac:dyDescent="0.25">
      <c r="A31" s="5" t="s">
        <v>180</v>
      </c>
      <c r="B31" s="25">
        <f>SUM(B27:B30)</f>
        <v>5937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5"/>
      <c r="N31" s="25"/>
      <c r="O31" s="25">
        <f>SUM(O27:O30)</f>
        <v>4964</v>
      </c>
    </row>
    <row r="32" spans="1:15" ht="12" customHeight="1" x14ac:dyDescent="0.25">
      <c r="A32" s="5" t="s">
        <v>181</v>
      </c>
      <c r="B32" s="25">
        <f>+B25+B31</f>
        <v>120707</v>
      </c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5"/>
      <c r="N32" s="25"/>
      <c r="O32" s="25">
        <f>+O25+O31</f>
        <v>133150</v>
      </c>
    </row>
    <row r="34" spans="2:15" x14ac:dyDescent="0.25">
      <c r="B34" s="14">
        <f>+B15-B32</f>
        <v>0</v>
      </c>
      <c r="C34" s="14">
        <f>SUM(C17:C30)-SUM(C5:C13)</f>
        <v>0</v>
      </c>
      <c r="D34" s="14">
        <f t="shared" ref="D34:N34" si="2">SUM(D17:D30)-SUM(D5:D13)</f>
        <v>0</v>
      </c>
      <c r="E34" s="14">
        <f t="shared" si="2"/>
        <v>0</v>
      </c>
      <c r="F34" s="14">
        <f t="shared" si="2"/>
        <v>0</v>
      </c>
      <c r="G34" s="14">
        <f t="shared" si="2"/>
        <v>0</v>
      </c>
      <c r="H34" s="14">
        <f t="shared" si="2"/>
        <v>0</v>
      </c>
      <c r="I34" s="14">
        <f t="shared" si="2"/>
        <v>0</v>
      </c>
      <c r="J34" s="14">
        <f t="shared" si="2"/>
        <v>0</v>
      </c>
      <c r="K34" s="14">
        <f t="shared" si="2"/>
        <v>0</v>
      </c>
      <c r="L34" s="14">
        <f t="shared" si="2"/>
        <v>0</v>
      </c>
      <c r="M34" s="14">
        <f t="shared" si="2"/>
        <v>0</v>
      </c>
      <c r="N34" s="14">
        <f t="shared" si="2"/>
        <v>0</v>
      </c>
      <c r="O34" s="14">
        <f>+O15-O32</f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TAPA</vt:lpstr>
      <vt:lpstr>Secc 6</vt:lpstr>
      <vt:lpstr>Secc 7</vt:lpstr>
      <vt:lpstr>Secc 8.1 -8.10</vt:lpstr>
      <vt:lpstr>Secc 8.11-8.12</vt:lpstr>
      <vt:lpstr>Secc -9.1</vt:lpstr>
      <vt:lpstr>Secc-9.2</vt:lpstr>
      <vt:lpstr>Secc 9.3</vt:lpstr>
      <vt:lpstr>EEFF 01 01 2014 (000)</vt:lpstr>
      <vt:lpstr>EEFF 31 12 2014 (3)</vt:lpstr>
      <vt:lpstr>EEFF 31 12 2014 (000)</vt:lpstr>
      <vt:lpstr>Secc 9.4</vt:lpstr>
      <vt:lpstr>ERI 2014 (2)</vt:lpstr>
      <vt:lpstr>Secc 9.5-9-6</vt:lpstr>
      <vt:lpstr>Secc 10.1-10.3</vt:lpstr>
      <vt:lpstr>Secc 10.4-</vt:lpstr>
      <vt:lpstr>Anexo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2020-02-13T17:22:40Z</dcterms:modified>
</cp:coreProperties>
</file>