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F3FFFDB0-4032-4354-811C-8CA23A0F4237}" xr6:coauthVersionLast="47" xr6:coauthVersionMax="47" xr10:uidLastSave="{00000000-0000-0000-0000-000000000000}"/>
  <bookViews>
    <workbookView xWindow="-120" yWindow="-120" windowWidth="29040" windowHeight="15720" xr2:uid="{CED44A7F-01AD-460A-A6F3-EB80F0CDE085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14" i="1" l="1"/>
  <c r="AJ113" i="1"/>
  <c r="Y133" i="1"/>
  <c r="Z133" i="1"/>
  <c r="AA133" i="1"/>
  <c r="AC133" i="1" s="1"/>
  <c r="Z134" i="1" s="1"/>
  <c r="AB133" i="1"/>
  <c r="Y134" i="1"/>
  <c r="AB134" i="1"/>
  <c r="Y135" i="1"/>
  <c r="Y136" i="1" s="1"/>
  <c r="Y137" i="1" s="1"/>
  <c r="Y138" i="1" s="1"/>
  <c r="Y139" i="1" s="1"/>
  <c r="Y140" i="1" s="1"/>
  <c r="AB135" i="1"/>
  <c r="AB136" i="1"/>
  <c r="AB137" i="1"/>
  <c r="AB138" i="1"/>
  <c r="AB139" i="1"/>
  <c r="AB140" i="1"/>
  <c r="AA94" i="1"/>
  <c r="Y113" i="1"/>
  <c r="AB113" i="1"/>
  <c r="Y114" i="1"/>
  <c r="AB114" i="1"/>
  <c r="Y115" i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Y98" i="1"/>
  <c r="AB98" i="1"/>
  <c r="Y99" i="1"/>
  <c r="AB99" i="1"/>
  <c r="Y100" i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A93" i="1"/>
  <c r="W141" i="1"/>
  <c r="V136" i="1"/>
  <c r="V137" i="1" s="1"/>
  <c r="V138" i="1" s="1"/>
  <c r="V139" i="1" s="1"/>
  <c r="V140" i="1" s="1"/>
  <c r="W136" i="1"/>
  <c r="W137" i="1"/>
  <c r="W138" i="1"/>
  <c r="W139" i="1"/>
  <c r="W140" i="1"/>
  <c r="V120" i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V98" i="1"/>
  <c r="W98" i="1"/>
  <c r="V99" i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K99" i="1"/>
  <c r="J99" i="1"/>
  <c r="I100" i="1"/>
  <c r="K100" i="1" s="1"/>
  <c r="N95" i="1"/>
  <c r="T94" i="1"/>
  <c r="S91" i="1" s="1"/>
  <c r="T92" i="1" s="1"/>
  <c r="Y93" i="1"/>
  <c r="Y94" i="1" s="1"/>
  <c r="Y95" i="1" s="1"/>
  <c r="Y96" i="1" s="1"/>
  <c r="Y97" i="1" s="1"/>
  <c r="V93" i="1"/>
  <c r="V94" i="1" s="1"/>
  <c r="V95" i="1" s="1"/>
  <c r="V96" i="1" s="1"/>
  <c r="V97" i="1" s="1"/>
  <c r="I72" i="1"/>
  <c r="I73" i="1" s="1"/>
  <c r="L67" i="1"/>
  <c r="R66" i="1"/>
  <c r="Q63" i="1" s="1"/>
  <c r="W65" i="1"/>
  <c r="W66" i="1" s="1"/>
  <c r="W67" i="1" s="1"/>
  <c r="W68" i="1" s="1"/>
  <c r="W69" i="1" s="1"/>
  <c r="T65" i="1"/>
  <c r="T66" i="1" s="1"/>
  <c r="T67" i="1" s="1"/>
  <c r="T68" i="1" s="1"/>
  <c r="T69" i="1" s="1"/>
  <c r="R32" i="1"/>
  <c r="Q29" i="1" s="1"/>
  <c r="L35" i="1"/>
  <c r="K37" i="1"/>
  <c r="K38" i="1" s="1"/>
  <c r="L38" i="1" s="1"/>
  <c r="U32" i="1" s="1"/>
  <c r="I40" i="1"/>
  <c r="I41" i="1" s="1"/>
  <c r="I42" i="1" s="1"/>
  <c r="L33" i="1"/>
  <c r="W31" i="1"/>
  <c r="W32" i="1" s="1"/>
  <c r="W33" i="1" s="1"/>
  <c r="W34" i="1" s="1"/>
  <c r="W35" i="1" s="1"/>
  <c r="W36" i="1" s="1"/>
  <c r="W37" i="1" s="1"/>
  <c r="T31" i="1"/>
  <c r="T32" i="1" s="1"/>
  <c r="T33" i="1" s="1"/>
  <c r="T34" i="1" s="1"/>
  <c r="T35" i="1" s="1"/>
  <c r="T36" i="1" s="1"/>
  <c r="T37" i="1" s="1"/>
  <c r="W7" i="1"/>
  <c r="W8" i="1" s="1"/>
  <c r="W9" i="1" s="1"/>
  <c r="W10" i="1" s="1"/>
  <c r="W11" i="1" s="1"/>
  <c r="T7" i="1"/>
  <c r="T8" i="1" s="1"/>
  <c r="T9" i="1" s="1"/>
  <c r="T10" i="1" s="1"/>
  <c r="T11" i="1" s="1"/>
  <c r="Q5" i="1"/>
  <c r="U6" i="1" s="1"/>
  <c r="X7" i="1" s="1"/>
  <c r="I13" i="1"/>
  <c r="I14" i="1" s="1"/>
  <c r="I15" i="1" s="1"/>
  <c r="I16" i="1" s="1"/>
  <c r="K12" i="1" s="1"/>
  <c r="L9" i="1"/>
  <c r="AH115" i="1" l="1"/>
  <c r="AH116" i="1" s="1"/>
  <c r="AA134" i="1"/>
  <c r="AC134" i="1"/>
  <c r="Z135" i="1" s="1"/>
  <c r="K13" i="1"/>
  <c r="J100" i="1"/>
  <c r="K14" i="1"/>
  <c r="J15" i="1"/>
  <c r="J14" i="1"/>
  <c r="L46" i="1"/>
  <c r="R30" i="1"/>
  <c r="W92" i="1"/>
  <c r="Z93" i="1" s="1"/>
  <c r="J16" i="1"/>
  <c r="K16" i="1"/>
  <c r="L37" i="1"/>
  <c r="J12" i="1"/>
  <c r="L12" i="1" s="1"/>
  <c r="U7" i="1" s="1"/>
  <c r="Z7" i="1" s="1"/>
  <c r="AG9" i="1" s="1"/>
  <c r="K15" i="1"/>
  <c r="J13" i="1"/>
  <c r="I101" i="1"/>
  <c r="I74" i="1"/>
  <c r="R64" i="1"/>
  <c r="U64" i="1"/>
  <c r="U30" i="1"/>
  <c r="I43" i="1"/>
  <c r="R6" i="1"/>
  <c r="AA135" i="1" l="1"/>
  <c r="AC135" i="1" s="1"/>
  <c r="Z136" i="1" s="1"/>
  <c r="J101" i="1"/>
  <c r="K101" i="1"/>
  <c r="U31" i="1"/>
  <c r="I102" i="1"/>
  <c r="X65" i="1"/>
  <c r="I75" i="1"/>
  <c r="J74" i="1"/>
  <c r="J39" i="1"/>
  <c r="K43" i="1"/>
  <c r="J43" i="1"/>
  <c r="J40" i="1"/>
  <c r="K39" i="1"/>
  <c r="J42" i="1"/>
  <c r="X31" i="1"/>
  <c r="K42" i="1"/>
  <c r="K41" i="1"/>
  <c r="K40" i="1"/>
  <c r="J41" i="1"/>
  <c r="L41" i="1" s="1"/>
  <c r="AG13" i="1"/>
  <c r="L13" i="1"/>
  <c r="U8" i="1" s="1"/>
  <c r="Z8" i="1" s="1"/>
  <c r="L15" i="1"/>
  <c r="U10" i="1" s="1"/>
  <c r="Z10" i="1" s="1"/>
  <c r="K17" i="1"/>
  <c r="L16" i="1"/>
  <c r="U11" i="1" s="1"/>
  <c r="Z11" i="1" s="1"/>
  <c r="L14" i="1"/>
  <c r="J17" i="1"/>
  <c r="AA136" i="1" l="1"/>
  <c r="AC136" i="1"/>
  <c r="Z137" i="1" s="1"/>
  <c r="U35" i="1"/>
  <c r="J102" i="1"/>
  <c r="K102" i="1"/>
  <c r="K44" i="1"/>
  <c r="J44" i="1"/>
  <c r="L40" i="1"/>
  <c r="I103" i="1"/>
  <c r="J71" i="1"/>
  <c r="K75" i="1"/>
  <c r="K71" i="1"/>
  <c r="J75" i="1"/>
  <c r="M75" i="1" s="1"/>
  <c r="K72" i="1"/>
  <c r="J72" i="1"/>
  <c r="J73" i="1"/>
  <c r="K73" i="1"/>
  <c r="K74" i="1"/>
  <c r="L74" i="1" s="1"/>
  <c r="L43" i="1"/>
  <c r="L39" i="1"/>
  <c r="L42" i="1"/>
  <c r="AG17" i="1"/>
  <c r="L17" i="1"/>
  <c r="U9" i="1"/>
  <c r="AC137" i="1" l="1"/>
  <c r="Z138" i="1" s="1"/>
  <c r="AA137" i="1"/>
  <c r="U36" i="1"/>
  <c r="Z36" i="1" s="1"/>
  <c r="U33" i="1"/>
  <c r="L44" i="1"/>
  <c r="L47" i="1" s="1"/>
  <c r="L48" i="1" s="1"/>
  <c r="Z32" i="1"/>
  <c r="AG37" i="1" s="1"/>
  <c r="U34" i="1"/>
  <c r="Z34" i="1" s="1"/>
  <c r="Z35" i="1"/>
  <c r="U37" i="1"/>
  <c r="Z37" i="1" s="1"/>
  <c r="M73" i="1"/>
  <c r="K103" i="1"/>
  <c r="I104" i="1"/>
  <c r="J103" i="1"/>
  <c r="L102" i="1"/>
  <c r="M72" i="1"/>
  <c r="M71" i="1"/>
  <c r="M74" i="1"/>
  <c r="U68" i="1" s="1"/>
  <c r="L73" i="1"/>
  <c r="L72" i="1"/>
  <c r="L75" i="1"/>
  <c r="U69" i="1" s="1"/>
  <c r="K76" i="1"/>
  <c r="L71" i="1"/>
  <c r="J76" i="1"/>
  <c r="U12" i="1"/>
  <c r="Y7" i="1" s="1"/>
  <c r="Z9" i="1"/>
  <c r="AG21" i="1"/>
  <c r="AG25" i="1" s="1"/>
  <c r="AA138" i="1" l="1"/>
  <c r="AC138" i="1"/>
  <c r="Z139" i="1" s="1"/>
  <c r="U38" i="1"/>
  <c r="Y31" i="1" s="1"/>
  <c r="Z33" i="1"/>
  <c r="AG41" i="1" s="1"/>
  <c r="J104" i="1"/>
  <c r="K104" i="1"/>
  <c r="I105" i="1"/>
  <c r="U65" i="1"/>
  <c r="Z68" i="1"/>
  <c r="AG79" i="1" s="1"/>
  <c r="U66" i="1"/>
  <c r="Z66" i="1" s="1"/>
  <c r="AG71" i="1" s="1"/>
  <c r="Z69" i="1"/>
  <c r="AG83" i="1" s="1"/>
  <c r="U67" i="1"/>
  <c r="L99" i="1"/>
  <c r="L101" i="1"/>
  <c r="L100" i="1"/>
  <c r="L103" i="1"/>
  <c r="L76" i="1"/>
  <c r="Z31" i="1"/>
  <c r="AG33" i="1" s="1"/>
  <c r="AF8" i="1"/>
  <c r="AF7" i="1" s="1"/>
  <c r="AH7" i="1" s="1"/>
  <c r="AA7" i="1"/>
  <c r="X8" i="1" s="1"/>
  <c r="AA139" i="1" l="1"/>
  <c r="AC139" i="1"/>
  <c r="Z140" i="1" s="1"/>
  <c r="L104" i="1"/>
  <c r="I106" i="1"/>
  <c r="J105" i="1"/>
  <c r="K105" i="1"/>
  <c r="U70" i="1"/>
  <c r="Z65" i="1"/>
  <c r="AG67" i="1" s="1"/>
  <c r="AF32" i="1"/>
  <c r="AG31" i="1" s="1"/>
  <c r="AH31" i="1" s="1"/>
  <c r="AA31" i="1"/>
  <c r="Z67" i="1"/>
  <c r="AG75" i="1" s="1"/>
  <c r="X32" i="1"/>
  <c r="Y8" i="1"/>
  <c r="AF12" i="1" s="1"/>
  <c r="AF11" i="1" s="1"/>
  <c r="AH11" i="1" s="1"/>
  <c r="AA8" i="1"/>
  <c r="X9" i="1" s="1"/>
  <c r="AA140" i="1" l="1"/>
  <c r="AC140" i="1"/>
  <c r="L105" i="1"/>
  <c r="Y32" i="1"/>
  <c r="AF36" i="1" s="1"/>
  <c r="AG35" i="1" s="1"/>
  <c r="AH94" i="1"/>
  <c r="Y65" i="1"/>
  <c r="J106" i="1"/>
  <c r="I107" i="1"/>
  <c r="K106" i="1"/>
  <c r="AH35" i="1"/>
  <c r="Y9" i="1"/>
  <c r="AF16" i="1" s="1"/>
  <c r="AF15" i="1" s="1"/>
  <c r="AH15" i="1" s="1"/>
  <c r="J107" i="1" l="1"/>
  <c r="K107" i="1"/>
  <c r="I108" i="1"/>
  <c r="L106" i="1"/>
  <c r="AF66" i="1"/>
  <c r="AF65" i="1" s="1"/>
  <c r="AH65" i="1" s="1"/>
  <c r="AA65" i="1"/>
  <c r="X66" i="1" s="1"/>
  <c r="AA32" i="1"/>
  <c r="X33" i="1" s="1"/>
  <c r="AG45" i="1"/>
  <c r="AA9" i="1"/>
  <c r="X10" i="1" s="1"/>
  <c r="Y66" i="1" l="1"/>
  <c r="AF70" i="1" s="1"/>
  <c r="AF69" i="1" s="1"/>
  <c r="AH69" i="1" s="1"/>
  <c r="K108" i="1"/>
  <c r="J108" i="1"/>
  <c r="I109" i="1"/>
  <c r="L107" i="1"/>
  <c r="Y33" i="1"/>
  <c r="AF40" i="1" s="1"/>
  <c r="AF39" i="1" s="1"/>
  <c r="AH39" i="1" s="1"/>
  <c r="AG49" i="1"/>
  <c r="AG53" i="1" s="1"/>
  <c r="Y10" i="1"/>
  <c r="AF20" i="1" s="1"/>
  <c r="AF19" i="1" s="1"/>
  <c r="AH19" i="1" s="1"/>
  <c r="AA10" i="1"/>
  <c r="X11" i="1" s="1"/>
  <c r="L108" i="1" l="1"/>
  <c r="AA33" i="1"/>
  <c r="X34" i="1" s="1"/>
  <c r="I110" i="1"/>
  <c r="J109" i="1"/>
  <c r="K109" i="1"/>
  <c r="AA66" i="1"/>
  <c r="X67" i="1" s="1"/>
  <c r="AG57" i="1"/>
  <c r="Y11" i="1"/>
  <c r="AF24" i="1" s="1"/>
  <c r="AF23" i="1" s="1"/>
  <c r="AH23" i="1" s="1"/>
  <c r="AA11" i="1"/>
  <c r="Y67" i="1" l="1"/>
  <c r="AF74" i="1" s="1"/>
  <c r="AF73" i="1" s="1"/>
  <c r="AH73" i="1" s="1"/>
  <c r="AA67" i="1"/>
  <c r="X68" i="1" s="1"/>
  <c r="L109" i="1"/>
  <c r="J110" i="1"/>
  <c r="K110" i="1"/>
  <c r="I111" i="1"/>
  <c r="Y34" i="1"/>
  <c r="AA34" i="1"/>
  <c r="X35" i="1" s="1"/>
  <c r="J111" i="1" l="1"/>
  <c r="K111" i="1"/>
  <c r="I112" i="1"/>
  <c r="L110" i="1"/>
  <c r="Y68" i="1"/>
  <c r="AF78" i="1" s="1"/>
  <c r="AF77" i="1" s="1"/>
  <c r="AH77" i="1" s="1"/>
  <c r="Y35" i="1"/>
  <c r="AA35" i="1" s="1"/>
  <c r="AF44" i="1"/>
  <c r="AF43" i="1" s="1"/>
  <c r="AH43" i="1" s="1"/>
  <c r="AA68" i="1" l="1"/>
  <c r="X69" i="1" s="1"/>
  <c r="AF48" i="1"/>
  <c r="AF47" i="1" s="1"/>
  <c r="Y69" i="1"/>
  <c r="AF82" i="1" s="1"/>
  <c r="AF81" i="1" s="1"/>
  <c r="AA69" i="1"/>
  <c r="I113" i="1"/>
  <c r="J112" i="1"/>
  <c r="K112" i="1"/>
  <c r="AH81" i="1"/>
  <c r="L111" i="1"/>
  <c r="AH47" i="1"/>
  <c r="X36" i="1"/>
  <c r="Y72" i="1" l="1"/>
  <c r="L112" i="1"/>
  <c r="K113" i="1"/>
  <c r="I114" i="1"/>
  <c r="J113" i="1"/>
  <c r="Y36" i="1"/>
  <c r="AF52" i="1" s="1"/>
  <c r="AF51" i="1" s="1"/>
  <c r="AH51" i="1" s="1"/>
  <c r="AA36" i="1"/>
  <c r="X37" i="1" s="1"/>
  <c r="Y37" i="1" s="1"/>
  <c r="AF56" i="1" s="1"/>
  <c r="AF55" i="1" s="1"/>
  <c r="L113" i="1" l="1"/>
  <c r="K114" i="1"/>
  <c r="I115" i="1"/>
  <c r="J114" i="1"/>
  <c r="AH55" i="1"/>
  <c r="Y38" i="1"/>
  <c r="AA37" i="1"/>
  <c r="L114" i="1" l="1"/>
  <c r="K115" i="1"/>
  <c r="I116" i="1"/>
  <c r="J115" i="1"/>
  <c r="L115" i="1" l="1"/>
  <c r="J116" i="1"/>
  <c r="K116" i="1"/>
  <c r="I117" i="1"/>
  <c r="I118" i="1" l="1"/>
  <c r="J117" i="1"/>
  <c r="K117" i="1"/>
  <c r="L116" i="1"/>
  <c r="L117" i="1" l="1"/>
  <c r="I119" i="1"/>
  <c r="J118" i="1"/>
  <c r="K118" i="1"/>
  <c r="L118" i="1" l="1"/>
  <c r="K119" i="1"/>
  <c r="J119" i="1"/>
  <c r="I120" i="1"/>
  <c r="L119" i="1" l="1"/>
  <c r="K120" i="1"/>
  <c r="J120" i="1"/>
  <c r="I121" i="1"/>
  <c r="L120" i="1" l="1"/>
  <c r="I122" i="1"/>
  <c r="J121" i="1"/>
  <c r="K121" i="1"/>
  <c r="L121" i="1" l="1"/>
  <c r="K122" i="1"/>
  <c r="I123" i="1"/>
  <c r="J122" i="1"/>
  <c r="L122" i="1" l="1"/>
  <c r="K123" i="1"/>
  <c r="I124" i="1"/>
  <c r="J123" i="1"/>
  <c r="L123" i="1" l="1"/>
  <c r="I125" i="1"/>
  <c r="J124" i="1"/>
  <c r="K124" i="1"/>
  <c r="L124" i="1" l="1"/>
  <c r="J125" i="1"/>
  <c r="K125" i="1"/>
  <c r="I126" i="1"/>
  <c r="I127" i="1" l="1"/>
  <c r="K126" i="1"/>
  <c r="J126" i="1"/>
  <c r="L125" i="1"/>
  <c r="L126" i="1" l="1"/>
  <c r="I128" i="1"/>
  <c r="J127" i="1"/>
  <c r="K127" i="1"/>
  <c r="L127" i="1" l="1"/>
  <c r="K128" i="1"/>
  <c r="I129" i="1"/>
  <c r="J128" i="1"/>
  <c r="L128" i="1" l="1"/>
  <c r="I130" i="1"/>
  <c r="J129" i="1"/>
  <c r="K129" i="1"/>
  <c r="L129" i="1" l="1"/>
  <c r="I131" i="1"/>
  <c r="J130" i="1"/>
  <c r="K130" i="1"/>
  <c r="L130" i="1" l="1"/>
  <c r="I132" i="1"/>
  <c r="J131" i="1"/>
  <c r="K131" i="1"/>
  <c r="L131" i="1" l="1"/>
  <c r="I133" i="1"/>
  <c r="J132" i="1"/>
  <c r="K132" i="1"/>
  <c r="L132" i="1" l="1"/>
  <c r="K133" i="1"/>
  <c r="J133" i="1"/>
  <c r="I134" i="1"/>
  <c r="L133" i="1" l="1"/>
  <c r="K134" i="1"/>
  <c r="J134" i="1"/>
  <c r="I135" i="1"/>
  <c r="L134" i="1" l="1"/>
  <c r="I136" i="1"/>
  <c r="K135" i="1"/>
  <c r="J135" i="1"/>
  <c r="L135" i="1" l="1"/>
  <c r="I137" i="1"/>
  <c r="J136" i="1"/>
  <c r="K136" i="1"/>
  <c r="L136" i="1" l="1"/>
  <c r="K137" i="1"/>
  <c r="I138" i="1"/>
  <c r="J137" i="1"/>
  <c r="L137" i="1" l="1"/>
  <c r="I139" i="1"/>
  <c r="J138" i="1"/>
  <c r="K138" i="1"/>
  <c r="L138" i="1" l="1"/>
  <c r="J139" i="1"/>
  <c r="K139" i="1"/>
  <c r="I140" i="1"/>
  <c r="I141" i="1" l="1"/>
  <c r="K140" i="1"/>
  <c r="J140" i="1"/>
  <c r="L139" i="1"/>
  <c r="L140" i="1" l="1"/>
  <c r="I142" i="1"/>
  <c r="J141" i="1"/>
  <c r="K141" i="1"/>
  <c r="L141" i="1" l="1"/>
  <c r="K142" i="1"/>
  <c r="J142" i="1"/>
  <c r="I143" i="1"/>
  <c r="L142" i="1" l="1"/>
  <c r="I144" i="1"/>
  <c r="J143" i="1"/>
  <c r="K143" i="1"/>
  <c r="L143" i="1" l="1"/>
  <c r="J144" i="1"/>
  <c r="K144" i="1"/>
  <c r="I145" i="1"/>
  <c r="J145" i="1" l="1"/>
  <c r="K145" i="1"/>
  <c r="I146" i="1"/>
  <c r="L144" i="1"/>
  <c r="J146" i="1" l="1"/>
  <c r="M144" i="1" s="1"/>
  <c r="K146" i="1"/>
  <c r="K147" i="1" s="1"/>
  <c r="L145" i="1"/>
  <c r="M146" i="1" l="1"/>
  <c r="J147" i="1"/>
  <c r="M99" i="1"/>
  <c r="W93" i="1" s="1"/>
  <c r="M100" i="1"/>
  <c r="W94" i="1" s="1"/>
  <c r="AB94" i="1" s="1"/>
  <c r="AI99" i="1" s="1"/>
  <c r="M101" i="1"/>
  <c r="W95" i="1" s="1"/>
  <c r="AB95" i="1" s="1"/>
  <c r="AI103" i="1" s="1"/>
  <c r="M102" i="1"/>
  <c r="W96" i="1" s="1"/>
  <c r="AB96" i="1" s="1"/>
  <c r="AI107" i="1" s="1"/>
  <c r="M103" i="1"/>
  <c r="W97" i="1" s="1"/>
  <c r="AB97" i="1" s="1"/>
  <c r="AI111" i="1" s="1"/>
  <c r="M104" i="1"/>
  <c r="M105" i="1"/>
  <c r="M106" i="1"/>
  <c r="M107" i="1"/>
  <c r="M109" i="1"/>
  <c r="M108" i="1"/>
  <c r="M110" i="1"/>
  <c r="M111" i="1"/>
  <c r="M112" i="1"/>
  <c r="M113" i="1"/>
  <c r="M114" i="1"/>
  <c r="M115" i="1"/>
  <c r="M116" i="1"/>
  <c r="M117" i="1"/>
  <c r="M118" i="1"/>
  <c r="M119" i="1"/>
  <c r="M121" i="1"/>
  <c r="M120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8" i="1"/>
  <c r="M139" i="1"/>
  <c r="M137" i="1"/>
  <c r="M141" i="1"/>
  <c r="M140" i="1"/>
  <c r="M145" i="1"/>
  <c r="M142" i="1"/>
  <c r="M143" i="1"/>
  <c r="L146" i="1"/>
  <c r="L147" i="1" s="1"/>
  <c r="AB93" i="1" l="1"/>
  <c r="AI95" i="1" l="1"/>
  <c r="AH93" i="1" s="1"/>
  <c r="AJ93" i="1" s="1"/>
  <c r="AC93" i="1"/>
  <c r="Z94" i="1" s="1"/>
  <c r="AC94" i="1" l="1"/>
  <c r="Z95" i="1" s="1"/>
  <c r="AA95" i="1" s="1"/>
  <c r="AH98" i="1"/>
  <c r="AH97" i="1" s="1"/>
  <c r="AJ97" i="1" s="1"/>
  <c r="AC95" i="1" l="1"/>
  <c r="Z96" i="1" s="1"/>
  <c r="AA96" i="1" s="1"/>
  <c r="AH102" i="1" l="1"/>
  <c r="AH101" i="1" s="1"/>
  <c r="AJ101" i="1" s="1"/>
  <c r="AC96" i="1"/>
  <c r="Z97" i="1" s="1"/>
  <c r="AA97" i="1" s="1"/>
  <c r="AH106" i="1"/>
  <c r="AH105" i="1" s="1"/>
  <c r="AJ105" i="1" l="1"/>
  <c r="AC97" i="1"/>
  <c r="Z98" i="1" s="1"/>
  <c r="AA98" i="1" l="1"/>
  <c r="AC98" i="1" s="1"/>
  <c r="Z99" i="1" s="1"/>
  <c r="AH110" i="1"/>
  <c r="AH109" i="1" s="1"/>
  <c r="AJ109" i="1" s="1"/>
  <c r="AA99" i="1" l="1"/>
  <c r="AC99" i="1"/>
  <c r="Z100" i="1" s="1"/>
  <c r="AA100" i="1" l="1"/>
  <c r="AC100" i="1"/>
  <c r="Z101" i="1" s="1"/>
  <c r="AA101" i="1" l="1"/>
  <c r="AC101" i="1"/>
  <c r="Z102" i="1" s="1"/>
  <c r="AA102" i="1" l="1"/>
  <c r="AC102" i="1"/>
  <c r="Z103" i="1" s="1"/>
  <c r="AA103" i="1" l="1"/>
  <c r="AC103" i="1"/>
  <c r="Z104" i="1" s="1"/>
  <c r="AA104" i="1" l="1"/>
  <c r="AC104" i="1"/>
  <c r="Z105" i="1" s="1"/>
  <c r="AA105" i="1" l="1"/>
  <c r="AC105" i="1"/>
  <c r="Z106" i="1" s="1"/>
  <c r="AA106" i="1" l="1"/>
  <c r="AC106" i="1"/>
  <c r="Z107" i="1" s="1"/>
  <c r="AA107" i="1" l="1"/>
  <c r="AC107" i="1"/>
  <c r="Z108" i="1" s="1"/>
  <c r="AA108" i="1" l="1"/>
  <c r="AC108" i="1"/>
  <c r="Z109" i="1" s="1"/>
  <c r="AA109" i="1" l="1"/>
  <c r="AC109" i="1"/>
  <c r="Z110" i="1" s="1"/>
  <c r="AA110" i="1" l="1"/>
  <c r="AC110" i="1"/>
  <c r="Z111" i="1" s="1"/>
  <c r="AA111" i="1" l="1"/>
  <c r="AC111" i="1"/>
  <c r="Z112" i="1" s="1"/>
  <c r="AA112" i="1" l="1"/>
  <c r="AC112" i="1"/>
  <c r="Z113" i="1" s="1"/>
  <c r="AA113" i="1" l="1"/>
  <c r="AC113" i="1" s="1"/>
  <c r="Z114" i="1" s="1"/>
  <c r="AA114" i="1" l="1"/>
  <c r="AC114" i="1"/>
  <c r="Z115" i="1" s="1"/>
  <c r="AA115" i="1" l="1"/>
  <c r="AC115" i="1" s="1"/>
  <c r="Z116" i="1" s="1"/>
  <c r="AA116" i="1" l="1"/>
  <c r="AC116" i="1"/>
  <c r="Z117" i="1" s="1"/>
  <c r="AA117" i="1" l="1"/>
  <c r="AC117" i="1"/>
  <c r="Z118" i="1" s="1"/>
  <c r="AA118" i="1" l="1"/>
  <c r="AC118" i="1"/>
  <c r="Z119" i="1" s="1"/>
  <c r="AA119" i="1" l="1"/>
  <c r="AC119" i="1"/>
  <c r="Z120" i="1" s="1"/>
  <c r="AA120" i="1" l="1"/>
  <c r="AC120" i="1"/>
  <c r="Z121" i="1" s="1"/>
  <c r="AA121" i="1" l="1"/>
  <c r="AC121" i="1"/>
  <c r="Z122" i="1" s="1"/>
  <c r="AA122" i="1" l="1"/>
  <c r="AC122" i="1"/>
  <c r="Z123" i="1" s="1"/>
  <c r="AA123" i="1" l="1"/>
  <c r="AC123" i="1"/>
  <c r="Z124" i="1" s="1"/>
  <c r="AA124" i="1" l="1"/>
  <c r="AC124" i="1"/>
  <c r="Z125" i="1" s="1"/>
  <c r="AA125" i="1" l="1"/>
  <c r="AC125" i="1"/>
  <c r="Z126" i="1" s="1"/>
  <c r="AA126" i="1" l="1"/>
  <c r="AC126" i="1"/>
  <c r="Z127" i="1" s="1"/>
  <c r="AA127" i="1" l="1"/>
  <c r="AC127" i="1"/>
  <c r="Z128" i="1" s="1"/>
  <c r="AA128" i="1" l="1"/>
  <c r="AC128" i="1"/>
  <c r="Z129" i="1" s="1"/>
  <c r="AA129" i="1" l="1"/>
  <c r="AC129" i="1"/>
  <c r="Z130" i="1" s="1"/>
  <c r="AA130" i="1" l="1"/>
  <c r="AC130" i="1"/>
  <c r="Z131" i="1" s="1"/>
  <c r="AA131" i="1" l="1"/>
  <c r="AC131" i="1"/>
  <c r="Z132" i="1" s="1"/>
  <c r="AA132" i="1" l="1"/>
  <c r="AC132" i="1"/>
</calcChain>
</file>

<file path=xl/sharedStrings.xml><?xml version="1.0" encoding="utf-8"?>
<sst xmlns="http://schemas.openxmlformats.org/spreadsheetml/2006/main" count="305" uniqueCount="85">
  <si>
    <t>MEDICION DEL COSTO AMORTIZADO</t>
  </si>
  <si>
    <t>PASIVOS FINANCIEROS</t>
  </si>
  <si>
    <t>NIIF 9 (5.5.1)</t>
  </si>
  <si>
    <t>NIIF 9 (5.5.1A)</t>
  </si>
  <si>
    <t>NIIF 9 (B5.1.2A.)</t>
  </si>
  <si>
    <t>Medición del costo amortizado</t>
  </si>
  <si>
    <t>NIIF 9 (5.3.1)</t>
  </si>
  <si>
    <t>NIIF 9 (4.2.1)</t>
  </si>
  <si>
    <t>Apendice A</t>
  </si>
  <si>
    <t>Costo amortizado</t>
  </si>
  <si>
    <t xml:space="preserve">EL </t>
  </si>
  <si>
    <t>COSTO</t>
  </si>
  <si>
    <t>AMORTIZADO</t>
  </si>
  <si>
    <t>NIIF 9</t>
  </si>
  <si>
    <t xml:space="preserve">...  en el reconocimiento inicial una entidad medirá un pasivo </t>
  </si>
  <si>
    <t xml:space="preserve">financiero  por su valor razonable  más o menos, los costos de </t>
  </si>
  <si>
    <t xml:space="preserve">transacción que sean directamente atribuibles a la adquisición </t>
  </si>
  <si>
    <t>del  pasivo financiero.</t>
  </si>
  <si>
    <t xml:space="preserve">..., si el valor razonable del pasivo f inanciero en el momento </t>
  </si>
  <si>
    <t xml:space="preserve">del reconocimiento inicial difiere del precio de la transacción, </t>
  </si>
  <si>
    <t>una entidad  deberá aplicar el párrafo B5.1.2A.</t>
  </si>
  <si>
    <t xml:space="preserve">La mejor evidencia del valor razonable de un instrumento </t>
  </si>
  <si>
    <t xml:space="preserve">financiero,  en el momento del reconocimiento inicial, es </t>
  </si>
  <si>
    <t xml:space="preserve">normalmente el precio  de la transacción. </t>
  </si>
  <si>
    <t xml:space="preserve">Si el valor razonable en el momento del reconocimiento inicial </t>
  </si>
  <si>
    <t xml:space="preserve">difiere del precio de la transacción la entidad contabilizará la </t>
  </si>
  <si>
    <t>diferencia comocomo ganancia o como pérdida</t>
  </si>
  <si>
    <t xml:space="preserve">Después del reconocimiento inicial, una entidad medirá un </t>
  </si>
  <si>
    <t>pasivo  financiero de acuerdo con los párrafos 4.2.1 y 4.2.2.</t>
  </si>
  <si>
    <t xml:space="preserve">Una entidad clasificará todos los pasivos financieros como </t>
  </si>
  <si>
    <t>medidos  posteriormente al costo amortizado, excepto ….</t>
  </si>
  <si>
    <t xml:space="preserve">Importe al que fue medido en su reconocimiento inicial un </t>
  </si>
  <si>
    <t xml:space="preserve">activo  financiero o un pasivo financiero, menos reembolsos </t>
  </si>
  <si>
    <t xml:space="preserve">del principal,  más o menos, la amortización acumulada, </t>
  </si>
  <si>
    <t xml:space="preserve">utilizando el método del  interés efectivo, de cualquier </t>
  </si>
  <si>
    <t>diferencia entre el importe inicial y  el importe al vencimiento …</t>
  </si>
  <si>
    <t>VAMOS CON LOS NUMEROS</t>
  </si>
  <si>
    <t>Caso 1</t>
  </si>
  <si>
    <t>Préstamo</t>
  </si>
  <si>
    <t>Tasa mensual</t>
  </si>
  <si>
    <t>Plazo en meses</t>
  </si>
  <si>
    <t>Comisión</t>
  </si>
  <si>
    <t>Pago mensual</t>
  </si>
  <si>
    <t>Interes</t>
  </si>
  <si>
    <t>Princip</t>
  </si>
  <si>
    <t>Pago</t>
  </si>
  <si>
    <t>T=0</t>
  </si>
  <si>
    <t>Efectivo</t>
  </si>
  <si>
    <t>Préstamo por pagar</t>
  </si>
  <si>
    <t>D</t>
  </si>
  <si>
    <t>H</t>
  </si>
  <si>
    <t>Paso 1:</t>
  </si>
  <si>
    <t>La tasa efectiva</t>
  </si>
  <si>
    <t>Paso 2:</t>
  </si>
  <si>
    <t>El costo amortizado</t>
  </si>
  <si>
    <t>SI</t>
  </si>
  <si>
    <t>(+) CF</t>
  </si>
  <si>
    <t>(-) PAGOS</t>
  </si>
  <si>
    <t>=SF</t>
  </si>
  <si>
    <t>Paso 3:</t>
  </si>
  <si>
    <t>Contabilidad</t>
  </si>
  <si>
    <t>Mes 1</t>
  </si>
  <si>
    <t>Saldo</t>
  </si>
  <si>
    <t>Mes 2</t>
  </si>
  <si>
    <t>Mes 3</t>
  </si>
  <si>
    <t>Mes 4</t>
  </si>
  <si>
    <t>Mes 5</t>
  </si>
  <si>
    <t>Gasto financiero (67)</t>
  </si>
  <si>
    <t>Caso 2</t>
  </si>
  <si>
    <t>Periodos de gracia</t>
  </si>
  <si>
    <t>Total plazo</t>
  </si>
  <si>
    <t>Reconocimiento inicial</t>
  </si>
  <si>
    <t>Importe transferido por el Banco</t>
  </si>
  <si>
    <t>Lo que entra</t>
  </si>
  <si>
    <t>Lo que sale</t>
  </si>
  <si>
    <t>Costo financiero</t>
  </si>
  <si>
    <t>Mes 6</t>
  </si>
  <si>
    <t>Mes 7</t>
  </si>
  <si>
    <t>Caso 3</t>
  </si>
  <si>
    <t>Seguro</t>
  </si>
  <si>
    <t>Gadm</t>
  </si>
  <si>
    <t>Caso 4</t>
  </si>
  <si>
    <t>Saldo contable</t>
  </si>
  <si>
    <t>Corto plazo</t>
  </si>
  <si>
    <t>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</si>
</sst>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9" formatCode="0.000%"/>
    <numFmt numFmtId="171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sz val="18"/>
      <color theme="0" tint="-4.9989318521683403E-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10" fillId="4" borderId="0" xfId="0" applyFont="1" applyFill="1"/>
    <xf numFmtId="0" fontId="11" fillId="4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0" fontId="7" fillId="2" borderId="0" xfId="0" applyNumberFormat="1" applyFont="1" applyFill="1"/>
    <xf numFmtId="0" fontId="7" fillId="2" borderId="0" xfId="0" applyFont="1" applyFill="1" applyAlignment="1">
      <alignment horizontal="center"/>
    </xf>
    <xf numFmtId="3" fontId="9" fillId="2" borderId="0" xfId="0" applyNumberFormat="1" applyFont="1" applyFill="1"/>
    <xf numFmtId="3" fontId="9" fillId="5" borderId="0" xfId="0" applyNumberFormat="1" applyFont="1" applyFill="1"/>
    <xf numFmtId="0" fontId="7" fillId="5" borderId="0" xfId="0" applyFont="1" applyFill="1" applyAlignment="1">
      <alignment horizontal="center"/>
    </xf>
    <xf numFmtId="169" fontId="9" fillId="7" borderId="0" xfId="0" applyNumberFormat="1" applyFont="1" applyFill="1"/>
    <xf numFmtId="0" fontId="9" fillId="5" borderId="0" xfId="0" applyFont="1" applyFill="1" applyAlignment="1">
      <alignment horizontal="center"/>
    </xf>
    <xf numFmtId="0" fontId="9" fillId="5" borderId="0" xfId="0" quotePrefix="1" applyFont="1" applyFill="1" applyAlignment="1">
      <alignment horizontal="center"/>
    </xf>
    <xf numFmtId="3" fontId="7" fillId="5" borderId="0" xfId="0" applyNumberFormat="1" applyFont="1" applyFill="1"/>
    <xf numFmtId="3" fontId="7" fillId="6" borderId="0" xfId="0" applyNumberFormat="1" applyFont="1" applyFill="1"/>
    <xf numFmtId="0" fontId="7" fillId="6" borderId="0" xfId="0" applyFont="1" applyFill="1"/>
    <xf numFmtId="3" fontId="7" fillId="8" borderId="0" xfId="0" applyNumberFormat="1" applyFont="1" applyFill="1"/>
    <xf numFmtId="0" fontId="7" fillId="2" borderId="1" xfId="0" applyFont="1" applyFill="1" applyBorder="1"/>
    <xf numFmtId="10" fontId="7" fillId="6" borderId="0" xfId="0" applyNumberFormat="1" applyFont="1" applyFill="1"/>
    <xf numFmtId="3" fontId="9" fillId="6" borderId="0" xfId="0" applyNumberFormat="1" applyFont="1" applyFill="1"/>
    <xf numFmtId="3" fontId="12" fillId="9" borderId="0" xfId="0" applyNumberFormat="1" applyFont="1" applyFill="1"/>
    <xf numFmtId="171" fontId="7" fillId="2" borderId="0" xfId="1" applyNumberFormat="1" applyFont="1" applyFill="1"/>
    <xf numFmtId="3" fontId="13" fillId="9" borderId="0" xfId="0" applyNumberFormat="1" applyFont="1" applyFill="1"/>
    <xf numFmtId="171" fontId="7" fillId="2" borderId="1" xfId="1" applyNumberFormat="1" applyFont="1" applyFill="1" applyBorder="1"/>
    <xf numFmtId="0" fontId="12" fillId="10" borderId="0" xfId="0" applyFont="1" applyFill="1"/>
    <xf numFmtId="3" fontId="12" fillId="10" borderId="0" xfId="0" applyNumberFormat="1" applyFont="1" applyFill="1"/>
    <xf numFmtId="10" fontId="12" fillId="10" borderId="0" xfId="0" applyNumberFormat="1" applyFont="1" applyFill="1"/>
    <xf numFmtId="0" fontId="13" fillId="10" borderId="0" xfId="0" applyFont="1" applyFill="1"/>
    <xf numFmtId="10" fontId="13" fillId="10" borderId="0" xfId="0" applyNumberFormat="1" applyFont="1" applyFill="1"/>
    <xf numFmtId="3" fontId="14" fillId="6" borderId="0" xfId="0" applyNumberFormat="1" applyFont="1" applyFill="1"/>
    <xf numFmtId="3" fontId="14" fillId="6" borderId="2" xfId="0" applyNumberFormat="1" applyFont="1" applyFill="1" applyBorder="1"/>
    <xf numFmtId="0" fontId="15" fillId="6" borderId="3" xfId="0" applyFont="1" applyFill="1" applyBorder="1"/>
    <xf numFmtId="3" fontId="15" fillId="6" borderId="4" xfId="0" applyNumberFormat="1" applyFont="1" applyFill="1" applyBorder="1"/>
    <xf numFmtId="0" fontId="14" fillId="6" borderId="0" xfId="0" applyFont="1" applyFill="1"/>
    <xf numFmtId="3" fontId="13" fillId="11" borderId="0" xfId="0" applyNumberFormat="1" applyFont="1" applyFill="1"/>
    <xf numFmtId="3" fontId="9" fillId="3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13610</xdr:colOff>
      <xdr:row>4</xdr:row>
      <xdr:rowOff>285751</xdr:rowOff>
    </xdr:from>
    <xdr:to>
      <xdr:col>38</xdr:col>
      <xdr:colOff>517074</xdr:colOff>
      <xdr:row>8</xdr:row>
      <xdr:rowOff>176892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7EA136FE-4A60-CB19-2AC9-96680239F2E5}"/>
            </a:ext>
          </a:extLst>
        </xdr:cNvPr>
        <xdr:cNvSpPr/>
      </xdr:nvSpPr>
      <xdr:spPr>
        <a:xfrm>
          <a:off x="20233824" y="1564822"/>
          <a:ext cx="1265464" cy="108857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11</xdr:col>
      <xdr:colOff>918482</xdr:colOff>
      <xdr:row>34</xdr:row>
      <xdr:rowOff>197303</xdr:rowOff>
    </xdr:from>
    <xdr:to>
      <xdr:col>13</xdr:col>
      <xdr:colOff>714375</xdr:colOff>
      <xdr:row>37</xdr:row>
      <xdr:rowOff>265339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16039734-6DD4-057B-95D6-87F0BA488F75}"/>
            </a:ext>
          </a:extLst>
        </xdr:cNvPr>
        <xdr:cNvSpPr/>
      </xdr:nvSpPr>
      <xdr:spPr>
        <a:xfrm rot="14172214">
          <a:off x="9865178" y="10382250"/>
          <a:ext cx="966107" cy="111578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35</xdr:col>
      <xdr:colOff>680358</xdr:colOff>
      <xdr:row>112</xdr:row>
      <xdr:rowOff>244926</xdr:rowOff>
    </xdr:from>
    <xdr:to>
      <xdr:col>37</xdr:col>
      <xdr:colOff>666751</xdr:colOff>
      <xdr:row>115</xdr:row>
      <xdr:rowOff>285748</xdr:rowOff>
    </xdr:to>
    <xdr:sp macro="" textlink="">
      <xdr:nvSpPr>
        <xdr:cNvPr id="8" name="Flecha: hacia la izquierda 7">
          <a:extLst>
            <a:ext uri="{FF2B5EF4-FFF2-40B4-BE49-F238E27FC236}">
              <a16:creationId xmlns:a16="http://schemas.microsoft.com/office/drawing/2014/main" id="{3D4DC799-A7C0-ACB2-D919-DC5A8292A167}"/>
            </a:ext>
          </a:extLst>
        </xdr:cNvPr>
        <xdr:cNvSpPr/>
      </xdr:nvSpPr>
      <xdr:spPr>
        <a:xfrm>
          <a:off x="32793215" y="33854569"/>
          <a:ext cx="1809750" cy="93889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220-207F-4C55-834E-5AF10F876774}">
  <dimension ref="A1:AK148"/>
  <sheetViews>
    <sheetView tabSelected="1" topLeftCell="A88" zoomScale="55" zoomScaleNormal="55" workbookViewId="0">
      <pane xSplit="8" topLeftCell="I1" activePane="topRight" state="frozen"/>
      <selection pane="topRight" activeCell="I89" sqref="I89"/>
    </sheetView>
  </sheetViews>
  <sheetFormatPr baseColWidth="10" defaultRowHeight="23.25" x14ac:dyDescent="0.35"/>
  <cols>
    <col min="1" max="1" width="20.140625" style="1" customWidth="1"/>
    <col min="2" max="6" width="11.42578125" style="1"/>
    <col min="7" max="7" width="12.85546875" style="1" customWidth="1"/>
    <col min="8" max="8" width="3.28515625" customWidth="1"/>
    <col min="9" max="9" width="11.42578125" style="2"/>
    <col min="10" max="10" width="14.5703125" style="2" bestFit="1" customWidth="1"/>
    <col min="11" max="11" width="13.5703125" style="2" bestFit="1" customWidth="1"/>
    <col min="12" max="12" width="16" style="2" customWidth="1"/>
    <col min="13" max="13" width="13.85546875" style="2" bestFit="1" customWidth="1"/>
    <col min="14" max="14" width="15.5703125" style="2" customWidth="1"/>
    <col min="15" max="15" width="14.7109375" style="2" customWidth="1"/>
    <col min="16" max="16" width="11.42578125" style="2"/>
    <col min="17" max="19" width="13.5703125" style="2" bestFit="1" customWidth="1"/>
    <col min="20" max="20" width="23.5703125" style="2" bestFit="1" customWidth="1"/>
    <col min="21" max="21" width="14.5703125" style="2" bestFit="1" customWidth="1"/>
    <col min="22" max="22" width="6.85546875" style="2" customWidth="1"/>
    <col min="23" max="23" width="18.140625" style="2" customWidth="1"/>
    <col min="24" max="25" width="14" style="2" customWidth="1"/>
    <col min="26" max="26" width="15.85546875" style="2" bestFit="1" customWidth="1"/>
    <col min="27" max="27" width="16.85546875" style="2" customWidth="1"/>
    <col min="28" max="28" width="18" style="2" customWidth="1"/>
    <col min="29" max="29" width="18.140625" style="2" customWidth="1"/>
    <col min="30" max="31" width="11.5703125" style="2" customWidth="1"/>
    <col min="32" max="34" width="13.5703125" style="2" bestFit="1" customWidth="1"/>
    <col min="35" max="35" width="11.42578125" style="2"/>
    <col min="36" max="36" width="15.85546875" customWidth="1"/>
  </cols>
  <sheetData>
    <row r="1" spans="1:35" ht="26.25" x14ac:dyDescent="0.4">
      <c r="A1" s="7" t="s">
        <v>0</v>
      </c>
      <c r="B1" s="5"/>
      <c r="C1" s="5"/>
      <c r="D1" s="5"/>
      <c r="E1" s="5"/>
      <c r="F1" s="5"/>
      <c r="G1" s="5"/>
      <c r="I1" s="8" t="s">
        <v>36</v>
      </c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ht="26.25" x14ac:dyDescent="0.4">
      <c r="A2" s="7" t="s">
        <v>1</v>
      </c>
      <c r="B2" s="5"/>
      <c r="C2" s="5"/>
      <c r="D2" s="5"/>
      <c r="E2" s="5"/>
      <c r="F2" s="5"/>
      <c r="G2" s="5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x14ac:dyDescent="0.35"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x14ac:dyDescent="0.35">
      <c r="A4" s="12" t="s">
        <v>2</v>
      </c>
      <c r="B4" s="9" t="s">
        <v>14</v>
      </c>
      <c r="C4" s="9"/>
      <c r="D4" s="9"/>
      <c r="I4" s="6" t="s">
        <v>37</v>
      </c>
      <c r="J4" s="13"/>
      <c r="K4" s="13"/>
      <c r="L4" s="13"/>
      <c r="M4" s="13"/>
      <c r="N4" s="13" t="s">
        <v>46</v>
      </c>
      <c r="O4" s="13"/>
      <c r="P4" s="13"/>
      <c r="Q4" s="19" t="s">
        <v>49</v>
      </c>
      <c r="R4" s="19" t="s">
        <v>50</v>
      </c>
      <c r="S4" s="13"/>
      <c r="T4" s="25" t="s">
        <v>51</v>
      </c>
      <c r="U4" s="25"/>
      <c r="V4" s="13"/>
      <c r="W4" s="25" t="s">
        <v>53</v>
      </c>
      <c r="X4" s="25"/>
      <c r="Y4" s="25"/>
      <c r="Z4" s="25"/>
      <c r="AA4" s="25"/>
      <c r="AB4" s="13"/>
      <c r="AC4" s="13" t="s">
        <v>59</v>
      </c>
      <c r="AD4" s="13"/>
      <c r="AE4" s="13"/>
      <c r="AF4" s="13"/>
      <c r="AG4" s="13"/>
      <c r="AH4" s="13"/>
      <c r="AI4" s="13"/>
    </row>
    <row r="5" spans="1:35" x14ac:dyDescent="0.35">
      <c r="A5" s="12"/>
      <c r="B5" s="9" t="s">
        <v>15</v>
      </c>
      <c r="C5" s="9"/>
      <c r="D5" s="9"/>
      <c r="I5" s="13" t="s">
        <v>38</v>
      </c>
      <c r="J5" s="13"/>
      <c r="K5" s="14"/>
      <c r="L5" s="14">
        <v>900000</v>
      </c>
      <c r="M5" s="13"/>
      <c r="N5" s="13" t="s">
        <v>47</v>
      </c>
      <c r="O5" s="13"/>
      <c r="P5" s="13"/>
      <c r="Q5" s="14">
        <f>+L5*(1-L8)</f>
        <v>900000</v>
      </c>
      <c r="R5" s="14"/>
      <c r="S5" s="13"/>
      <c r="T5" s="25" t="s">
        <v>52</v>
      </c>
      <c r="U5" s="25"/>
      <c r="V5" s="13"/>
      <c r="W5" s="25" t="s">
        <v>54</v>
      </c>
      <c r="X5" s="25"/>
      <c r="Y5" s="25"/>
      <c r="Z5" s="25"/>
      <c r="AA5" s="25"/>
      <c r="AB5" s="13"/>
      <c r="AC5" s="13" t="s">
        <v>60</v>
      </c>
      <c r="AD5" s="13"/>
      <c r="AE5" s="13"/>
      <c r="AF5" s="13"/>
      <c r="AG5" s="13"/>
      <c r="AH5" s="13"/>
      <c r="AI5" s="13"/>
    </row>
    <row r="6" spans="1:35" x14ac:dyDescent="0.35">
      <c r="A6" s="12"/>
      <c r="B6" s="9" t="s">
        <v>16</v>
      </c>
      <c r="C6" s="9"/>
      <c r="D6" s="9"/>
      <c r="I6" s="13" t="s">
        <v>39</v>
      </c>
      <c r="J6" s="13"/>
      <c r="K6" s="15"/>
      <c r="L6" s="15">
        <v>0.01</v>
      </c>
      <c r="M6" s="13"/>
      <c r="N6" s="13" t="s">
        <v>48</v>
      </c>
      <c r="O6" s="13"/>
      <c r="P6" s="13"/>
      <c r="Q6" s="14"/>
      <c r="R6" s="14">
        <f>+Q5</f>
        <v>900000</v>
      </c>
      <c r="S6" s="13"/>
      <c r="T6" s="13">
        <v>0</v>
      </c>
      <c r="U6" s="14">
        <f>+Q5</f>
        <v>900000</v>
      </c>
      <c r="V6" s="13"/>
      <c r="W6" s="13"/>
      <c r="X6" s="21" t="s">
        <v>55</v>
      </c>
      <c r="Y6" s="21" t="s">
        <v>56</v>
      </c>
      <c r="Z6" s="21" t="s">
        <v>57</v>
      </c>
      <c r="AA6" s="22" t="s">
        <v>58</v>
      </c>
      <c r="AB6" s="13"/>
      <c r="AC6" s="25" t="s">
        <v>61</v>
      </c>
      <c r="AD6" s="13"/>
      <c r="AE6" s="13"/>
      <c r="AF6" s="22" t="s">
        <v>49</v>
      </c>
      <c r="AG6" s="22" t="s">
        <v>50</v>
      </c>
      <c r="AH6" s="22" t="s">
        <v>62</v>
      </c>
      <c r="AI6" s="13"/>
    </row>
    <row r="7" spans="1:35" x14ac:dyDescent="0.35">
      <c r="A7" s="12"/>
      <c r="B7" s="9" t="s">
        <v>17</v>
      </c>
      <c r="C7" s="9"/>
      <c r="D7" s="9"/>
      <c r="I7" s="13" t="s">
        <v>40</v>
      </c>
      <c r="J7" s="13"/>
      <c r="K7" s="13"/>
      <c r="L7" s="13">
        <v>5</v>
      </c>
      <c r="M7" s="13"/>
      <c r="N7" s="13"/>
      <c r="O7" s="13"/>
      <c r="P7" s="13"/>
      <c r="Q7" s="13"/>
      <c r="R7" s="13"/>
      <c r="S7" s="13"/>
      <c r="T7" s="13">
        <f>+T6+1</f>
        <v>1</v>
      </c>
      <c r="U7" s="14">
        <f>-L12</f>
        <v>-185435.81965429199</v>
      </c>
      <c r="V7" s="13"/>
      <c r="W7" s="13">
        <f>+W6+1</f>
        <v>1</v>
      </c>
      <c r="X7" s="23">
        <f>+U6</f>
        <v>900000</v>
      </c>
      <c r="Y7" s="14">
        <f>+X7*U12</f>
        <v>9000.0000000000073</v>
      </c>
      <c r="Z7" s="14">
        <f>+U7</f>
        <v>-185435.81965429199</v>
      </c>
      <c r="AA7" s="14">
        <f>+X7+Y7+Z7</f>
        <v>723564.18034570804</v>
      </c>
      <c r="AB7" s="13"/>
      <c r="AC7" s="13" t="s">
        <v>48</v>
      </c>
      <c r="AD7" s="13"/>
      <c r="AE7" s="13"/>
      <c r="AF7" s="14">
        <f>+AG9-AF8</f>
        <v>176435.81965429199</v>
      </c>
      <c r="AG7" s="13"/>
      <c r="AH7" s="14">
        <f>+R6-AF7</f>
        <v>723564.18034570804</v>
      </c>
      <c r="AI7" s="13"/>
    </row>
    <row r="8" spans="1:35" x14ac:dyDescent="0.35">
      <c r="A8" s="9"/>
      <c r="B8" s="9"/>
      <c r="C8" s="9"/>
      <c r="D8" s="9"/>
      <c r="I8" s="13" t="s">
        <v>41</v>
      </c>
      <c r="J8" s="13"/>
      <c r="K8" s="15"/>
      <c r="L8" s="15">
        <v>0</v>
      </c>
      <c r="M8" s="13"/>
      <c r="N8" s="13"/>
      <c r="O8" s="13"/>
      <c r="P8" s="13"/>
      <c r="Q8" s="13"/>
      <c r="R8" s="13"/>
      <c r="S8" s="13"/>
      <c r="T8" s="13">
        <f t="shared" ref="T8:T11" si="0">+T7+1</f>
        <v>2</v>
      </c>
      <c r="U8" s="14">
        <f t="shared" ref="U8:U11" si="1">-L13</f>
        <v>-185435.81965429199</v>
      </c>
      <c r="V8" s="13"/>
      <c r="W8" s="13">
        <f t="shared" ref="W8:W11" si="2">+W7+1</f>
        <v>2</v>
      </c>
      <c r="X8" s="14">
        <f>+AA7</f>
        <v>723564.18034570804</v>
      </c>
      <c r="Y8" s="14">
        <f>+X8*U12</f>
        <v>7235.641803457087</v>
      </c>
      <c r="Z8" s="14">
        <f>+U8</f>
        <v>-185435.81965429199</v>
      </c>
      <c r="AA8" s="14">
        <f>+X8+Y8+Z8</f>
        <v>545364.00249487313</v>
      </c>
      <c r="AB8" s="13"/>
      <c r="AC8" s="13" t="s">
        <v>67</v>
      </c>
      <c r="AD8" s="13"/>
      <c r="AE8" s="13"/>
      <c r="AF8" s="14">
        <f>+Y7</f>
        <v>9000.0000000000073</v>
      </c>
      <c r="AG8" s="13"/>
      <c r="AH8" s="13"/>
      <c r="AI8" s="13"/>
    </row>
    <row r="9" spans="1:35" x14ac:dyDescent="0.35">
      <c r="A9" s="11" t="s">
        <v>3</v>
      </c>
      <c r="B9" s="9" t="s">
        <v>18</v>
      </c>
      <c r="C9" s="9"/>
      <c r="D9" s="9"/>
      <c r="I9" s="13" t="s">
        <v>42</v>
      </c>
      <c r="J9" s="13"/>
      <c r="K9" s="14"/>
      <c r="L9" s="14">
        <f>-PMT(L6,L7,L5,0,0)</f>
        <v>185435.81965429199</v>
      </c>
      <c r="M9" s="13"/>
      <c r="N9" s="13"/>
      <c r="O9" s="13"/>
      <c r="P9" s="13"/>
      <c r="Q9" s="13"/>
      <c r="R9" s="13"/>
      <c r="S9" s="13"/>
      <c r="T9" s="13">
        <f t="shared" si="0"/>
        <v>3</v>
      </c>
      <c r="U9" s="14">
        <f t="shared" si="1"/>
        <v>-185435.81965429199</v>
      </c>
      <c r="V9" s="13"/>
      <c r="W9" s="13">
        <f t="shared" si="2"/>
        <v>3</v>
      </c>
      <c r="X9" s="14">
        <f t="shared" ref="X9:X11" si="3">+AA8</f>
        <v>545364.00249487313</v>
      </c>
      <c r="Y9" s="14">
        <f>+X9*U12</f>
        <v>5453.640024948736</v>
      </c>
      <c r="Z9" s="14">
        <f t="shared" ref="Z9:Z11" si="4">+U9</f>
        <v>-185435.81965429199</v>
      </c>
      <c r="AA9" s="14">
        <f t="shared" ref="AA9:AA11" si="5">+X9+Y9+Z9</f>
        <v>365381.82286552992</v>
      </c>
      <c r="AB9" s="13"/>
      <c r="AC9" s="13" t="s">
        <v>47</v>
      </c>
      <c r="AD9" s="13"/>
      <c r="AE9" s="13"/>
      <c r="AF9" s="13"/>
      <c r="AG9" s="14">
        <f>-Z7</f>
        <v>185435.81965429199</v>
      </c>
      <c r="AH9" s="13"/>
      <c r="AI9" s="13"/>
    </row>
    <row r="10" spans="1:35" x14ac:dyDescent="0.35">
      <c r="A10" s="11"/>
      <c r="B10" s="9" t="s">
        <v>19</v>
      </c>
      <c r="C10" s="9"/>
      <c r="D10" s="9"/>
      <c r="I10" s="13"/>
      <c r="J10" s="13"/>
      <c r="K10" s="16"/>
      <c r="L10" s="13"/>
      <c r="M10" s="13"/>
      <c r="N10" s="13"/>
      <c r="O10" s="13"/>
      <c r="P10" s="13"/>
      <c r="Q10" s="13"/>
      <c r="R10" s="13"/>
      <c r="S10" s="13"/>
      <c r="T10" s="13">
        <f t="shared" si="0"/>
        <v>4</v>
      </c>
      <c r="U10" s="14">
        <f t="shared" si="1"/>
        <v>-185435.81965429196</v>
      </c>
      <c r="V10" s="13"/>
      <c r="W10" s="13">
        <f t="shared" si="2"/>
        <v>4</v>
      </c>
      <c r="X10" s="14">
        <f t="shared" si="3"/>
        <v>365381.82286552992</v>
      </c>
      <c r="Y10" s="14">
        <f>+X10*U12</f>
        <v>3653.8182286553024</v>
      </c>
      <c r="Z10" s="14">
        <f t="shared" si="4"/>
        <v>-185435.81965429196</v>
      </c>
      <c r="AA10" s="14">
        <f t="shared" si="5"/>
        <v>183599.82143989328</v>
      </c>
      <c r="AB10" s="13"/>
      <c r="AC10" s="25" t="s">
        <v>63</v>
      </c>
      <c r="AD10" s="13"/>
      <c r="AE10" s="13"/>
      <c r="AF10" s="22" t="s">
        <v>49</v>
      </c>
      <c r="AG10" s="22" t="s">
        <v>50</v>
      </c>
      <c r="AH10" s="22" t="s">
        <v>62</v>
      </c>
      <c r="AI10" s="13"/>
    </row>
    <row r="11" spans="1:35" x14ac:dyDescent="0.35">
      <c r="A11" s="11"/>
      <c r="B11" s="9" t="s">
        <v>20</v>
      </c>
      <c r="C11" s="9"/>
      <c r="D11" s="9"/>
      <c r="I11" s="13"/>
      <c r="J11" s="19" t="s">
        <v>44</v>
      </c>
      <c r="K11" s="19" t="s">
        <v>43</v>
      </c>
      <c r="L11" s="19" t="s">
        <v>45</v>
      </c>
      <c r="M11" s="13"/>
      <c r="N11" s="13"/>
      <c r="O11" s="13"/>
      <c r="P11" s="13"/>
      <c r="Q11" s="13"/>
      <c r="R11" s="13"/>
      <c r="S11" s="13"/>
      <c r="T11" s="13">
        <f t="shared" si="0"/>
        <v>5</v>
      </c>
      <c r="U11" s="14">
        <f t="shared" si="1"/>
        <v>-185435.81965429199</v>
      </c>
      <c r="V11" s="13"/>
      <c r="W11" s="13">
        <f t="shared" si="2"/>
        <v>5</v>
      </c>
      <c r="X11" s="14">
        <f t="shared" si="3"/>
        <v>183599.82143989328</v>
      </c>
      <c r="Y11" s="14">
        <f>+X11*U12</f>
        <v>1835.9982143989344</v>
      </c>
      <c r="Z11" s="14">
        <f t="shared" si="4"/>
        <v>-185435.81965429199</v>
      </c>
      <c r="AA11" s="24">
        <f t="shared" si="5"/>
        <v>2.3283064365386963E-10</v>
      </c>
      <c r="AB11" s="13"/>
      <c r="AC11" s="13" t="s">
        <v>48</v>
      </c>
      <c r="AD11" s="13"/>
      <c r="AE11" s="13"/>
      <c r="AF11" s="14">
        <f>+AG13-AF12</f>
        <v>178200.17785083491</v>
      </c>
      <c r="AG11" s="13"/>
      <c r="AH11" s="14">
        <f>+AH7-AF11</f>
        <v>545364.00249487313</v>
      </c>
      <c r="AI11" s="13"/>
    </row>
    <row r="12" spans="1:35" x14ac:dyDescent="0.35">
      <c r="A12" s="9"/>
      <c r="B12" s="9"/>
      <c r="C12" s="9"/>
      <c r="D12" s="9"/>
      <c r="I12" s="13">
        <v>1</v>
      </c>
      <c r="J12" s="14">
        <f>-PPMT(L6,I12,I16,L5,0,0)</f>
        <v>176435.81965429199</v>
      </c>
      <c r="K12" s="14">
        <f>-IPMT(L6,I12,I16,L5,0,0)</f>
        <v>9000</v>
      </c>
      <c r="L12" s="14">
        <f>+J12+K12</f>
        <v>185435.81965429199</v>
      </c>
      <c r="M12" s="13"/>
      <c r="N12" s="13"/>
      <c r="O12" s="13"/>
      <c r="P12" s="13"/>
      <c r="Q12" s="13"/>
      <c r="R12" s="13"/>
      <c r="S12" s="13"/>
      <c r="T12" s="13"/>
      <c r="U12" s="20">
        <f>IRR(U6:U11)</f>
        <v>1.0000000000000009E-2</v>
      </c>
      <c r="V12" s="13"/>
      <c r="W12" s="13"/>
      <c r="X12" s="13"/>
      <c r="Y12" s="13"/>
      <c r="Z12" s="13"/>
      <c r="AA12" s="13"/>
      <c r="AB12" s="13"/>
      <c r="AC12" s="13" t="s">
        <v>67</v>
      </c>
      <c r="AD12" s="13"/>
      <c r="AE12" s="13"/>
      <c r="AF12" s="14">
        <f>+Y8</f>
        <v>7235.641803457087</v>
      </c>
      <c r="AG12" s="13"/>
      <c r="AH12" s="13"/>
      <c r="AI12" s="13"/>
    </row>
    <row r="13" spans="1:35" x14ac:dyDescent="0.35">
      <c r="A13" s="11" t="s">
        <v>4</v>
      </c>
      <c r="B13" s="9" t="s">
        <v>21</v>
      </c>
      <c r="C13" s="9"/>
      <c r="D13" s="9"/>
      <c r="I13" s="13">
        <f>+I12+1</f>
        <v>2</v>
      </c>
      <c r="J13" s="14">
        <f>-PPMT(L6,I13,I16,L5,0,0)</f>
        <v>178200.17785083491</v>
      </c>
      <c r="K13" s="14">
        <f>-IPMT(L6,I13,I16,L5,0,0)</f>
        <v>7235.6418034570797</v>
      </c>
      <c r="L13" s="14">
        <f>+J13+K13</f>
        <v>185435.81965429199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 t="s">
        <v>47</v>
      </c>
      <c r="AD13" s="13"/>
      <c r="AE13" s="13"/>
      <c r="AF13" s="13"/>
      <c r="AG13" s="14">
        <f>+AG9</f>
        <v>185435.81965429199</v>
      </c>
      <c r="AH13" s="13"/>
      <c r="AI13" s="13"/>
    </row>
    <row r="14" spans="1:35" x14ac:dyDescent="0.35">
      <c r="A14" s="11"/>
      <c r="B14" s="9" t="s">
        <v>22</v>
      </c>
      <c r="C14" s="9"/>
      <c r="D14" s="9"/>
      <c r="I14" s="13">
        <f>+I13+1</f>
        <v>3</v>
      </c>
      <c r="J14" s="14">
        <f>-PPMT(L6,I14,I16,L5,0,0)</f>
        <v>179982.17962934327</v>
      </c>
      <c r="K14" s="14">
        <f>-IPMT(L6,I14,I16,L5,0,0)</f>
        <v>5453.6400249487315</v>
      </c>
      <c r="L14" s="14">
        <f>+J14+K14</f>
        <v>185435.81965429199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25" t="s">
        <v>64</v>
      </c>
      <c r="AD14" s="13"/>
      <c r="AE14" s="13"/>
      <c r="AF14" s="22" t="s">
        <v>49</v>
      </c>
      <c r="AG14" s="22" t="s">
        <v>50</v>
      </c>
      <c r="AH14" s="22" t="s">
        <v>62</v>
      </c>
      <c r="AI14" s="13"/>
    </row>
    <row r="15" spans="1:35" x14ac:dyDescent="0.35">
      <c r="A15" s="11"/>
      <c r="B15" s="9" t="s">
        <v>23</v>
      </c>
      <c r="C15" s="9"/>
      <c r="D15" s="9"/>
      <c r="I15" s="13">
        <f>+I14+1</f>
        <v>4</v>
      </c>
      <c r="J15" s="14">
        <f>-PPMT(L6,I15,I16,L5,0,0)</f>
        <v>181782.00142563667</v>
      </c>
      <c r="K15" s="14">
        <f>-IPMT(L6,I15,I16,L5,0,0)</f>
        <v>3653.8182286552983</v>
      </c>
      <c r="L15" s="14">
        <f>+J15+K15</f>
        <v>185435.81965429196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 t="s">
        <v>48</v>
      </c>
      <c r="AD15" s="13"/>
      <c r="AE15" s="13"/>
      <c r="AF15" s="14">
        <f>+AG17-AF16</f>
        <v>179982.17962934324</v>
      </c>
      <c r="AG15" s="13"/>
      <c r="AH15" s="14">
        <f>+AH11-AF15</f>
        <v>365381.82286552992</v>
      </c>
      <c r="AI15" s="13"/>
    </row>
    <row r="16" spans="1:35" x14ac:dyDescent="0.35">
      <c r="A16" s="11"/>
      <c r="B16" s="9"/>
      <c r="C16" s="9"/>
      <c r="D16" s="9"/>
      <c r="I16" s="13">
        <f>+I15+1</f>
        <v>5</v>
      </c>
      <c r="J16" s="14">
        <f>-PPMT(L6,I16,I16,L5,0,0)</f>
        <v>183599.82143989307</v>
      </c>
      <c r="K16" s="14">
        <f>-IPMT(L6,I16,I16,L5,0,0)</f>
        <v>1835.9982143989307</v>
      </c>
      <c r="L16" s="14">
        <f>+J16+K16</f>
        <v>185435.81965429199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 t="s">
        <v>67</v>
      </c>
      <c r="AD16" s="13"/>
      <c r="AE16" s="13"/>
      <c r="AF16" s="14">
        <f>+Y9</f>
        <v>5453.640024948736</v>
      </c>
      <c r="AG16" s="13"/>
      <c r="AH16" s="13"/>
      <c r="AI16" s="13"/>
    </row>
    <row r="17" spans="1:35" x14ac:dyDescent="0.35">
      <c r="A17" s="11"/>
      <c r="B17" s="9" t="s">
        <v>24</v>
      </c>
      <c r="C17" s="9"/>
      <c r="D17" s="9"/>
      <c r="I17" s="13"/>
      <c r="J17" s="18">
        <f>SUM(J12:J16)</f>
        <v>899999.99999999988</v>
      </c>
      <c r="K17" s="18">
        <f>SUM(K12:K16)</f>
        <v>27179.09827146004</v>
      </c>
      <c r="L17" s="18">
        <f>SUM(L12:L16)</f>
        <v>927179.09827145992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 t="s">
        <v>47</v>
      </c>
      <c r="AD17" s="13"/>
      <c r="AE17" s="13"/>
      <c r="AF17" s="13"/>
      <c r="AG17" s="14">
        <f>+AG13</f>
        <v>185435.81965429199</v>
      </c>
      <c r="AH17" s="13"/>
      <c r="AI17" s="13"/>
    </row>
    <row r="18" spans="1:35" x14ac:dyDescent="0.35">
      <c r="A18" s="11"/>
      <c r="B18" s="9" t="s">
        <v>25</v>
      </c>
      <c r="C18" s="9"/>
      <c r="D18" s="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25" t="s">
        <v>65</v>
      </c>
      <c r="AD18" s="13"/>
      <c r="AE18" s="13"/>
      <c r="AF18" s="22" t="s">
        <v>49</v>
      </c>
      <c r="AG18" s="22" t="s">
        <v>50</v>
      </c>
      <c r="AH18" s="22" t="s">
        <v>62</v>
      </c>
      <c r="AI18" s="13"/>
    </row>
    <row r="19" spans="1:35" x14ac:dyDescent="0.35">
      <c r="A19" s="11"/>
      <c r="B19" s="9" t="s">
        <v>26</v>
      </c>
      <c r="C19" s="9"/>
      <c r="D19" s="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 t="s">
        <v>48</v>
      </c>
      <c r="AD19" s="13"/>
      <c r="AE19" s="13"/>
      <c r="AF19" s="14">
        <f>+AG21-AF20</f>
        <v>181782.0014256367</v>
      </c>
      <c r="AG19" s="13"/>
      <c r="AH19" s="14">
        <f>+AH15-AF19</f>
        <v>183599.82143989322</v>
      </c>
      <c r="AI19" s="13"/>
    </row>
    <row r="20" spans="1:35" x14ac:dyDescent="0.35">
      <c r="A20" s="9"/>
      <c r="B20" s="9"/>
      <c r="C20" s="9"/>
      <c r="D20" s="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 t="s">
        <v>67</v>
      </c>
      <c r="AD20" s="13"/>
      <c r="AE20" s="13"/>
      <c r="AF20" s="14">
        <f>+Y10</f>
        <v>3653.8182286553024</v>
      </c>
      <c r="AG20" s="13"/>
      <c r="AH20" s="13"/>
      <c r="AI20" s="13"/>
    </row>
    <row r="21" spans="1:35" x14ac:dyDescent="0.35">
      <c r="A21" s="10" t="s">
        <v>5</v>
      </c>
      <c r="B21" s="9"/>
      <c r="C21" s="9"/>
      <c r="D21" s="9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 t="s">
        <v>47</v>
      </c>
      <c r="AD21" s="13"/>
      <c r="AE21" s="13"/>
      <c r="AF21" s="13"/>
      <c r="AG21" s="14">
        <f>+AG17</f>
        <v>185435.81965429199</v>
      </c>
      <c r="AH21" s="13"/>
      <c r="AI21" s="13"/>
    </row>
    <row r="22" spans="1:35" x14ac:dyDescent="0.35">
      <c r="A22" s="10"/>
      <c r="B22" s="9"/>
      <c r="C22" s="9"/>
      <c r="D22" s="9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25" t="s">
        <v>66</v>
      </c>
      <c r="AD22" s="13"/>
      <c r="AE22" s="13"/>
      <c r="AF22" s="22" t="s">
        <v>49</v>
      </c>
      <c r="AG22" s="22" t="s">
        <v>50</v>
      </c>
      <c r="AH22" s="22" t="s">
        <v>62</v>
      </c>
      <c r="AI22" s="13"/>
    </row>
    <row r="23" spans="1:35" x14ac:dyDescent="0.35">
      <c r="A23" s="11" t="s">
        <v>6</v>
      </c>
      <c r="B23" s="9" t="s">
        <v>27</v>
      </c>
      <c r="C23" s="9"/>
      <c r="D23" s="9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 t="s">
        <v>48</v>
      </c>
      <c r="AD23" s="13"/>
      <c r="AE23" s="13"/>
      <c r="AF23" s="14">
        <f>+AG25-AF24</f>
        <v>183599.82143989304</v>
      </c>
      <c r="AG23" s="13"/>
      <c r="AH23" s="14">
        <f>+AH19-AF23</f>
        <v>0</v>
      </c>
      <c r="AI23" s="13"/>
    </row>
    <row r="24" spans="1:35" x14ac:dyDescent="0.35">
      <c r="A24" s="11"/>
      <c r="B24" s="9" t="s">
        <v>28</v>
      </c>
      <c r="C24" s="9"/>
      <c r="D24" s="9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 t="s">
        <v>67</v>
      </c>
      <c r="AD24" s="13"/>
      <c r="AE24" s="13"/>
      <c r="AF24" s="14">
        <f>+Y11</f>
        <v>1835.9982143989344</v>
      </c>
      <c r="AG24" s="13"/>
      <c r="AH24" s="13"/>
      <c r="AI24" s="13"/>
    </row>
    <row r="25" spans="1:35" x14ac:dyDescent="0.35">
      <c r="A25" s="11"/>
      <c r="B25" s="9"/>
      <c r="C25" s="9"/>
      <c r="D25" s="9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 t="s">
        <v>47</v>
      </c>
      <c r="AD25" s="13"/>
      <c r="AE25" s="13"/>
      <c r="AF25" s="13"/>
      <c r="AG25" s="14">
        <f>+AG21</f>
        <v>185435.81965429199</v>
      </c>
      <c r="AH25" s="13"/>
      <c r="AI25" s="13"/>
    </row>
    <row r="26" spans="1:35" x14ac:dyDescent="0.35">
      <c r="A26" s="11" t="s">
        <v>7</v>
      </c>
      <c r="B26" s="9" t="s">
        <v>29</v>
      </c>
      <c r="C26" s="9"/>
      <c r="D26" s="9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 x14ac:dyDescent="0.35">
      <c r="A27" s="11"/>
      <c r="B27" s="9" t="s">
        <v>30</v>
      </c>
      <c r="C27" s="9"/>
      <c r="D27" s="9"/>
      <c r="I27" s="6" t="s">
        <v>68</v>
      </c>
      <c r="J27" s="13"/>
      <c r="K27" s="13"/>
      <c r="L27" s="13"/>
      <c r="M27" s="13"/>
      <c r="N27" s="8" t="s">
        <v>71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 x14ac:dyDescent="0.35">
      <c r="A28" s="9"/>
      <c r="B28" s="9"/>
      <c r="C28" s="9"/>
      <c r="D28" s="9"/>
      <c r="I28" s="13"/>
      <c r="J28" s="13"/>
      <c r="K28" s="13"/>
      <c r="L28" s="13"/>
      <c r="M28" s="13"/>
      <c r="N28" s="13" t="s">
        <v>46</v>
      </c>
      <c r="O28" s="13"/>
      <c r="P28" s="13"/>
      <c r="Q28" s="19" t="s">
        <v>49</v>
      </c>
      <c r="R28" s="19" t="s">
        <v>50</v>
      </c>
      <c r="S28" s="13"/>
      <c r="T28" s="25" t="s">
        <v>51</v>
      </c>
      <c r="U28" s="25"/>
      <c r="V28" s="13"/>
      <c r="W28" s="25" t="s">
        <v>53</v>
      </c>
      <c r="X28" s="25"/>
      <c r="Y28" s="25"/>
      <c r="Z28" s="25"/>
      <c r="AA28" s="25"/>
      <c r="AB28" s="13"/>
      <c r="AC28" s="25" t="s">
        <v>59</v>
      </c>
      <c r="AD28" s="25"/>
      <c r="AE28" s="25"/>
      <c r="AF28" s="25"/>
      <c r="AG28" s="25"/>
      <c r="AH28" s="25"/>
      <c r="AI28" s="13"/>
    </row>
    <row r="29" spans="1:35" x14ac:dyDescent="0.35">
      <c r="A29" s="10" t="s">
        <v>8</v>
      </c>
      <c r="B29" s="10" t="s">
        <v>9</v>
      </c>
      <c r="C29" s="9"/>
      <c r="D29" s="9"/>
      <c r="I29" s="13" t="s">
        <v>38</v>
      </c>
      <c r="J29" s="13"/>
      <c r="K29" s="14"/>
      <c r="L29" s="14">
        <v>900000</v>
      </c>
      <c r="M29" s="13"/>
      <c r="N29" s="13" t="s">
        <v>47</v>
      </c>
      <c r="O29" s="13"/>
      <c r="P29" s="13"/>
      <c r="Q29" s="14">
        <f>+R32</f>
        <v>810000</v>
      </c>
      <c r="R29" s="14"/>
      <c r="S29" s="13"/>
      <c r="T29" s="25" t="s">
        <v>52</v>
      </c>
      <c r="U29" s="25"/>
      <c r="V29" s="13"/>
      <c r="W29" s="25" t="s">
        <v>54</v>
      </c>
      <c r="X29" s="25"/>
      <c r="Y29" s="25"/>
      <c r="Z29" s="25"/>
      <c r="AA29" s="25"/>
      <c r="AB29" s="13"/>
      <c r="AC29" s="25" t="s">
        <v>60</v>
      </c>
      <c r="AD29" s="25"/>
      <c r="AE29" s="25"/>
      <c r="AF29" s="25"/>
      <c r="AG29" s="25"/>
      <c r="AH29" s="25"/>
      <c r="AI29" s="13"/>
    </row>
    <row r="30" spans="1:35" x14ac:dyDescent="0.35">
      <c r="A30" s="10"/>
      <c r="B30" s="10"/>
      <c r="C30" s="9"/>
      <c r="D30" s="9"/>
      <c r="I30" s="13" t="s">
        <v>39</v>
      </c>
      <c r="J30" s="13"/>
      <c r="K30" s="15"/>
      <c r="L30" s="28">
        <v>0.01</v>
      </c>
      <c r="M30" s="13"/>
      <c r="N30" s="13" t="s">
        <v>48</v>
      </c>
      <c r="O30" s="13"/>
      <c r="P30" s="13"/>
      <c r="Q30" s="14"/>
      <c r="R30" s="14">
        <f>+Q29</f>
        <v>810000</v>
      </c>
      <c r="S30" s="13"/>
      <c r="T30" s="13">
        <v>0</v>
      </c>
      <c r="U30" s="14">
        <f>+Q29</f>
        <v>810000</v>
      </c>
      <c r="V30" s="13"/>
      <c r="W30" s="13"/>
      <c r="X30" s="21" t="s">
        <v>55</v>
      </c>
      <c r="Y30" s="21" t="s">
        <v>56</v>
      </c>
      <c r="Z30" s="21" t="s">
        <v>57</v>
      </c>
      <c r="AA30" s="22" t="s">
        <v>58</v>
      </c>
      <c r="AB30" s="13"/>
      <c r="AC30" s="25" t="s">
        <v>61</v>
      </c>
      <c r="AD30" s="13"/>
      <c r="AE30" s="13"/>
      <c r="AF30" s="22" t="s">
        <v>49</v>
      </c>
      <c r="AG30" s="22" t="s">
        <v>50</v>
      </c>
      <c r="AH30" s="22" t="s">
        <v>62</v>
      </c>
      <c r="AI30" s="13"/>
    </row>
    <row r="31" spans="1:35" x14ac:dyDescent="0.35">
      <c r="A31" s="11"/>
      <c r="B31" s="9" t="s">
        <v>31</v>
      </c>
      <c r="C31" s="9"/>
      <c r="D31" s="9"/>
      <c r="I31" s="13" t="s">
        <v>40</v>
      </c>
      <c r="J31" s="13"/>
      <c r="K31" s="13"/>
      <c r="L31" s="13">
        <v>5</v>
      </c>
      <c r="M31" s="13"/>
      <c r="N31" s="13"/>
      <c r="O31" s="13"/>
      <c r="P31" s="13"/>
      <c r="Q31" s="13"/>
      <c r="R31" s="13"/>
      <c r="S31" s="13"/>
      <c r="T31" s="13">
        <f>+T30+1</f>
        <v>1</v>
      </c>
      <c r="U31" s="14">
        <f>-L37</f>
        <v>-9000</v>
      </c>
      <c r="V31" s="13"/>
      <c r="W31" s="13">
        <f>+W30+1</f>
        <v>1</v>
      </c>
      <c r="X31" s="23">
        <f>+U30</f>
        <v>810000</v>
      </c>
      <c r="Y31" s="14">
        <f>+X31*$U$38</f>
        <v>25926.453604134895</v>
      </c>
      <c r="Z31" s="14">
        <f>+U31</f>
        <v>-9000</v>
      </c>
      <c r="AA31" s="30">
        <f>+X31+Y31+Z31</f>
        <v>826926.45360413485</v>
      </c>
      <c r="AB31" s="13"/>
      <c r="AC31" s="13" t="s">
        <v>48</v>
      </c>
      <c r="AD31" s="13"/>
      <c r="AE31" s="13"/>
      <c r="AF31" s="14"/>
      <c r="AG31" s="14">
        <f>+AF32-AG33</f>
        <v>16926.453604134895</v>
      </c>
      <c r="AH31" s="30">
        <f>+R30-AF31+AG31</f>
        <v>826926.45360413485</v>
      </c>
      <c r="AI31" s="13"/>
    </row>
    <row r="32" spans="1:35" x14ac:dyDescent="0.35">
      <c r="A32" s="11"/>
      <c r="B32" s="9" t="s">
        <v>32</v>
      </c>
      <c r="C32" s="9"/>
      <c r="D32" s="9"/>
      <c r="I32" s="13" t="s">
        <v>41</v>
      </c>
      <c r="J32" s="13"/>
      <c r="K32" s="15"/>
      <c r="L32" s="15">
        <v>0.1</v>
      </c>
      <c r="M32" s="13"/>
      <c r="N32" s="13" t="s">
        <v>72</v>
      </c>
      <c r="O32" s="13"/>
      <c r="P32" s="13"/>
      <c r="Q32" s="13"/>
      <c r="R32" s="27">
        <f>L29*(1-L32)</f>
        <v>810000</v>
      </c>
      <c r="S32" s="13"/>
      <c r="T32" s="13">
        <f t="shared" ref="T32:T37" si="6">+T31+1</f>
        <v>2</v>
      </c>
      <c r="U32" s="14">
        <f>-L38</f>
        <v>-9000</v>
      </c>
      <c r="V32" s="13"/>
      <c r="W32" s="13">
        <f t="shared" ref="W32:W35" si="7">+W31+1</f>
        <v>2</v>
      </c>
      <c r="X32" s="14">
        <f>+AA31</f>
        <v>826926.45360413485</v>
      </c>
      <c r="Y32" s="14">
        <f t="shared" ref="Y32:Y37" si="8">+X32*$U$38</f>
        <v>26468.234979505443</v>
      </c>
      <c r="Z32" s="14">
        <f>+U32</f>
        <v>-9000</v>
      </c>
      <c r="AA32" s="30">
        <f>+X32+Y32+Z32</f>
        <v>844394.68858364027</v>
      </c>
      <c r="AB32" s="13"/>
      <c r="AC32" s="13" t="s">
        <v>67</v>
      </c>
      <c r="AD32" s="13"/>
      <c r="AE32" s="13"/>
      <c r="AF32" s="14">
        <f>+Y31</f>
        <v>25926.453604134895</v>
      </c>
      <c r="AG32" s="13"/>
      <c r="AH32" s="13"/>
      <c r="AI32" s="13"/>
    </row>
    <row r="33" spans="1:35" x14ac:dyDescent="0.35">
      <c r="A33" s="11"/>
      <c r="B33" s="9" t="s">
        <v>33</v>
      </c>
      <c r="C33" s="9"/>
      <c r="D33" s="9"/>
      <c r="I33" s="13" t="s">
        <v>42</v>
      </c>
      <c r="J33" s="13"/>
      <c r="K33" s="14"/>
      <c r="L33" s="14">
        <f>-PMT(L30,L31,L29,0,0)</f>
        <v>185435.81965429199</v>
      </c>
      <c r="M33" s="13"/>
      <c r="N33" s="13"/>
      <c r="O33" s="13"/>
      <c r="P33" s="13"/>
      <c r="Q33" s="13"/>
      <c r="R33" s="13"/>
      <c r="S33" s="13"/>
      <c r="T33" s="13">
        <f t="shared" si="6"/>
        <v>3</v>
      </c>
      <c r="U33" s="14">
        <f>-L39</f>
        <v>-185435.81965429199</v>
      </c>
      <c r="V33" s="13"/>
      <c r="W33" s="13">
        <f t="shared" si="7"/>
        <v>3</v>
      </c>
      <c r="X33" s="14">
        <f t="shared" ref="X33:X35" si="9">+AA32</f>
        <v>844394.68858364027</v>
      </c>
      <c r="Y33" s="14">
        <f t="shared" si="8"/>
        <v>27027.357675483559</v>
      </c>
      <c r="Z33" s="14">
        <f t="shared" ref="Z33:Z35" si="10">+U33</f>
        <v>-185435.81965429199</v>
      </c>
      <c r="AA33" s="30">
        <f>+X33+Y33+Z33</f>
        <v>685986.22660483187</v>
      </c>
      <c r="AB33" s="13"/>
      <c r="AC33" s="13" t="s">
        <v>47</v>
      </c>
      <c r="AD33" s="13"/>
      <c r="AE33" s="13"/>
      <c r="AF33" s="13"/>
      <c r="AG33" s="14">
        <f>-Z31</f>
        <v>9000</v>
      </c>
      <c r="AH33" s="13"/>
      <c r="AI33" s="13"/>
    </row>
    <row r="34" spans="1:35" x14ac:dyDescent="0.35">
      <c r="A34" s="11"/>
      <c r="B34" s="9" t="s">
        <v>34</v>
      </c>
      <c r="C34" s="9"/>
      <c r="D34" s="9"/>
      <c r="I34" s="13" t="s">
        <v>69</v>
      </c>
      <c r="J34" s="13"/>
      <c r="K34" s="16"/>
      <c r="L34" s="13">
        <v>2</v>
      </c>
      <c r="M34" s="13"/>
      <c r="N34" s="13"/>
      <c r="O34" s="13"/>
      <c r="P34" s="13"/>
      <c r="Q34" s="13"/>
      <c r="R34" s="13"/>
      <c r="S34" s="13"/>
      <c r="T34" s="13">
        <f t="shared" si="6"/>
        <v>4</v>
      </c>
      <c r="U34" s="14">
        <f>-L40</f>
        <v>-185435.81965429199</v>
      </c>
      <c r="V34" s="13"/>
      <c r="W34" s="13">
        <f t="shared" si="7"/>
        <v>4</v>
      </c>
      <c r="X34" s="14">
        <f t="shared" si="9"/>
        <v>685986.22660483187</v>
      </c>
      <c r="Y34" s="14">
        <f t="shared" si="8"/>
        <v>21957.024786599679</v>
      </c>
      <c r="Z34" s="14">
        <f t="shared" si="10"/>
        <v>-185435.81965429199</v>
      </c>
      <c r="AA34" s="30">
        <f>+X34+Y34+Z34</f>
        <v>522507.43173713959</v>
      </c>
      <c r="AB34" s="13"/>
      <c r="AC34" s="25" t="s">
        <v>63</v>
      </c>
      <c r="AD34" s="13"/>
      <c r="AE34" s="13"/>
      <c r="AF34" s="22" t="s">
        <v>49</v>
      </c>
      <c r="AG34" s="22" t="s">
        <v>50</v>
      </c>
      <c r="AH34" s="22" t="s">
        <v>62</v>
      </c>
      <c r="AI34" s="13"/>
    </row>
    <row r="35" spans="1:35" x14ac:dyDescent="0.35">
      <c r="A35" s="11"/>
      <c r="B35" s="9" t="s">
        <v>35</v>
      </c>
      <c r="C35" s="9"/>
      <c r="D35" s="9"/>
      <c r="I35" s="13" t="s">
        <v>70</v>
      </c>
      <c r="J35" s="13"/>
      <c r="K35" s="16"/>
      <c r="L35" s="13">
        <f>+L31+L34</f>
        <v>7</v>
      </c>
      <c r="M35" s="13"/>
      <c r="N35" s="13"/>
      <c r="O35" s="13"/>
      <c r="P35" s="13"/>
      <c r="Q35" s="13"/>
      <c r="R35" s="13"/>
      <c r="S35" s="13"/>
      <c r="T35" s="13">
        <f t="shared" si="6"/>
        <v>5</v>
      </c>
      <c r="U35" s="14">
        <f>-L41</f>
        <v>-185435.81965429199</v>
      </c>
      <c r="V35" s="13"/>
      <c r="W35" s="13">
        <f t="shared" si="7"/>
        <v>5</v>
      </c>
      <c r="X35" s="14">
        <f t="shared" si="9"/>
        <v>522507.43173713959</v>
      </c>
      <c r="Y35" s="14">
        <f t="shared" si="8"/>
        <v>16724.400847837816</v>
      </c>
      <c r="Z35" s="14">
        <f t="shared" si="10"/>
        <v>-185435.81965429199</v>
      </c>
      <c r="AA35" s="30">
        <f>+X35+Y35+Z35</f>
        <v>353796.01293068542</v>
      </c>
      <c r="AB35" s="13"/>
      <c r="AC35" s="13" t="s">
        <v>48</v>
      </c>
      <c r="AD35" s="13"/>
      <c r="AE35" s="13"/>
      <c r="AF35" s="14"/>
      <c r="AG35" s="14">
        <f>+AF36-AG37</f>
        <v>17468.234979505443</v>
      </c>
      <c r="AH35" s="30">
        <f>+AH31+AG35</f>
        <v>844394.68858364027</v>
      </c>
      <c r="AI35" s="13"/>
    </row>
    <row r="36" spans="1:35" x14ac:dyDescent="0.35">
      <c r="A36" s="9"/>
      <c r="B36" s="9"/>
      <c r="C36" s="9"/>
      <c r="D36" s="9"/>
      <c r="I36" s="13"/>
      <c r="J36" s="19" t="s">
        <v>44</v>
      </c>
      <c r="K36" s="19" t="s">
        <v>43</v>
      </c>
      <c r="L36" s="19" t="s">
        <v>45</v>
      </c>
      <c r="M36" s="13"/>
      <c r="N36" s="13"/>
      <c r="O36" s="13"/>
      <c r="P36" s="13"/>
      <c r="Q36" s="13"/>
      <c r="R36" s="13"/>
      <c r="S36" s="13"/>
      <c r="T36" s="13">
        <f t="shared" si="6"/>
        <v>6</v>
      </c>
      <c r="U36" s="14">
        <f>-L42</f>
        <v>-185435.81965429196</v>
      </c>
      <c r="V36" s="13"/>
      <c r="W36" s="13">
        <f t="shared" ref="W36:W37" si="11">+W35+1</f>
        <v>6</v>
      </c>
      <c r="X36" s="14">
        <f t="shared" ref="X36:X37" si="12">+AA35</f>
        <v>353796.01293068542</v>
      </c>
      <c r="Y36" s="14">
        <f t="shared" si="8"/>
        <v>11324.29125256213</v>
      </c>
      <c r="Z36" s="14">
        <f t="shared" ref="Z36:Z37" si="13">+U36</f>
        <v>-185435.81965429196</v>
      </c>
      <c r="AA36" s="30">
        <f>+X36+Y36+Z36</f>
        <v>179684.4845289556</v>
      </c>
      <c r="AB36" s="13"/>
      <c r="AC36" s="13" t="s">
        <v>67</v>
      </c>
      <c r="AD36" s="13"/>
      <c r="AE36" s="13"/>
      <c r="AF36" s="14">
        <f>+Y32</f>
        <v>26468.234979505443</v>
      </c>
      <c r="AG36" s="13"/>
      <c r="AH36" s="13"/>
      <c r="AI36" s="13"/>
    </row>
    <row r="37" spans="1:35" x14ac:dyDescent="0.35">
      <c r="A37" s="9"/>
      <c r="B37" s="9"/>
      <c r="C37" s="9"/>
      <c r="D37" s="9"/>
      <c r="I37" s="13">
        <v>1</v>
      </c>
      <c r="J37" s="26">
        <v>0</v>
      </c>
      <c r="K37" s="26">
        <f>+L29*L30</f>
        <v>9000</v>
      </c>
      <c r="L37" s="26">
        <f>+J37+K37</f>
        <v>9000</v>
      </c>
      <c r="M37" s="13"/>
      <c r="N37" s="13"/>
      <c r="O37" s="13"/>
      <c r="P37" s="13"/>
      <c r="Q37" s="13"/>
      <c r="R37" s="13"/>
      <c r="S37" s="13"/>
      <c r="T37" s="13">
        <f t="shared" si="6"/>
        <v>7</v>
      </c>
      <c r="U37" s="14">
        <f>-L43</f>
        <v>-185435.81965429199</v>
      </c>
      <c r="V37" s="13"/>
      <c r="W37" s="13">
        <f t="shared" si="11"/>
        <v>7</v>
      </c>
      <c r="X37" s="14">
        <f t="shared" si="12"/>
        <v>179684.4845289556</v>
      </c>
      <c r="Y37" s="14">
        <f t="shared" si="8"/>
        <v>5751.3351253368664</v>
      </c>
      <c r="Z37" s="14">
        <f t="shared" si="13"/>
        <v>-185435.81965429199</v>
      </c>
      <c r="AA37" s="24">
        <f t="shared" ref="AA37" si="14">+X37+Y37+Z37</f>
        <v>4.6566128730773926E-10</v>
      </c>
      <c r="AB37" s="13"/>
      <c r="AC37" s="13" t="s">
        <v>47</v>
      </c>
      <c r="AD37" s="13"/>
      <c r="AE37" s="13"/>
      <c r="AF37" s="13"/>
      <c r="AG37" s="14">
        <f>-Z32</f>
        <v>9000</v>
      </c>
      <c r="AH37" s="13"/>
      <c r="AI37" s="13"/>
    </row>
    <row r="38" spans="1:35" x14ac:dyDescent="0.35">
      <c r="A38" s="9"/>
      <c r="B38" s="9"/>
      <c r="C38" s="9"/>
      <c r="D38" s="9"/>
      <c r="I38" s="13">
        <v>2</v>
      </c>
      <c r="J38" s="26">
        <v>0</v>
      </c>
      <c r="K38" s="26">
        <f>+K37</f>
        <v>9000</v>
      </c>
      <c r="L38" s="26">
        <f>+J38+K38</f>
        <v>9000</v>
      </c>
      <c r="M38" s="13"/>
      <c r="N38" s="13"/>
      <c r="O38" s="13"/>
      <c r="P38" s="13"/>
      <c r="Q38" s="13"/>
      <c r="R38" s="13"/>
      <c r="S38" s="13"/>
      <c r="T38" s="13"/>
      <c r="U38" s="20">
        <f>IRR(U30:U37)</f>
        <v>3.2007967412512217E-2</v>
      </c>
      <c r="V38" s="13"/>
      <c r="W38" s="13"/>
      <c r="X38" s="13"/>
      <c r="Y38" s="29">
        <f>SUM(Y31:Y37)</f>
        <v>135179.09827146039</v>
      </c>
      <c r="Z38" s="13"/>
      <c r="AA38" s="13"/>
      <c r="AB38" s="13"/>
      <c r="AC38" s="25" t="s">
        <v>64</v>
      </c>
      <c r="AD38" s="13"/>
      <c r="AE38" s="13"/>
      <c r="AF38" s="22" t="s">
        <v>49</v>
      </c>
      <c r="AG38" s="22" t="s">
        <v>50</v>
      </c>
      <c r="AH38" s="22" t="s">
        <v>62</v>
      </c>
      <c r="AI38" s="13"/>
    </row>
    <row r="39" spans="1:35" x14ac:dyDescent="0.35">
      <c r="A39" s="9"/>
      <c r="B39" s="9"/>
      <c r="C39" s="9"/>
      <c r="D39" s="9"/>
      <c r="I39" s="13">
        <v>1</v>
      </c>
      <c r="J39" s="14">
        <f>-PPMT(L30,I39,I43,L29,0,0)</f>
        <v>176435.81965429199</v>
      </c>
      <c r="K39" s="14">
        <f>-IPMT(L30,I39,I43,L29,0,0)</f>
        <v>9000</v>
      </c>
      <c r="L39" s="14">
        <f>+J39+K39</f>
        <v>185435.81965429199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 t="s">
        <v>48</v>
      </c>
      <c r="AD39" s="13"/>
      <c r="AE39" s="13"/>
      <c r="AF39" s="14">
        <f>+AG41-AF40</f>
        <v>158408.46197880842</v>
      </c>
      <c r="AG39" s="13"/>
      <c r="AH39" s="30">
        <f>+AH35-AF39</f>
        <v>685986.22660483187</v>
      </c>
      <c r="AI39" s="13"/>
    </row>
    <row r="40" spans="1:35" x14ac:dyDescent="0.35">
      <c r="A40" s="9"/>
      <c r="B40" s="9"/>
      <c r="C40" s="9"/>
      <c r="D40" s="9"/>
      <c r="I40" s="13">
        <f>+I39+1</f>
        <v>2</v>
      </c>
      <c r="J40" s="14">
        <f>-PPMT(L30,I40,I43,L29,0,0)</f>
        <v>178200.17785083491</v>
      </c>
      <c r="K40" s="14">
        <f>-IPMT(L30,I40,I43,L29,0,0)</f>
        <v>7235.6418034570797</v>
      </c>
      <c r="L40" s="14">
        <f>+J40+K40</f>
        <v>185435.81965429199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 t="s">
        <v>67</v>
      </c>
      <c r="AD40" s="13"/>
      <c r="AE40" s="13"/>
      <c r="AF40" s="14">
        <f>+Y33</f>
        <v>27027.357675483559</v>
      </c>
      <c r="AG40" s="13"/>
      <c r="AH40" s="13"/>
      <c r="AI40" s="13"/>
    </row>
    <row r="41" spans="1:35" x14ac:dyDescent="0.35">
      <c r="A41" s="9"/>
      <c r="B41" s="9"/>
      <c r="C41" s="9"/>
      <c r="D41" s="9"/>
      <c r="I41" s="13">
        <f>+I40+1</f>
        <v>3</v>
      </c>
      <c r="J41" s="14">
        <f>-PPMT(L30,I41,I43,L29,0,0)</f>
        <v>179982.17962934327</v>
      </c>
      <c r="K41" s="14">
        <f>-IPMT(L30,I41,I43,L29,0,0)</f>
        <v>5453.6400249487315</v>
      </c>
      <c r="L41" s="14">
        <f>+J41+K41</f>
        <v>185435.81965429199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 t="s">
        <v>47</v>
      </c>
      <c r="AD41" s="13"/>
      <c r="AE41" s="13"/>
      <c r="AF41" s="13"/>
      <c r="AG41" s="14">
        <f>-Z33</f>
        <v>185435.81965429199</v>
      </c>
      <c r="AH41" s="13"/>
      <c r="AI41" s="13"/>
    </row>
    <row r="42" spans="1:35" x14ac:dyDescent="0.35">
      <c r="A42" s="9"/>
      <c r="B42" s="9"/>
      <c r="C42" s="9"/>
      <c r="D42" s="9"/>
      <c r="I42" s="13">
        <f>+I41+1</f>
        <v>4</v>
      </c>
      <c r="J42" s="14">
        <f>-PPMT(L30,I42,I43,L29,0,0)</f>
        <v>181782.00142563667</v>
      </c>
      <c r="K42" s="14">
        <f>-IPMT(L30,I42,I43,L29,0,0)</f>
        <v>3653.8182286552983</v>
      </c>
      <c r="L42" s="14">
        <f>+J42+K42</f>
        <v>185435.81965429196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25" t="s">
        <v>65</v>
      </c>
      <c r="AD42" s="13"/>
      <c r="AE42" s="13"/>
      <c r="AF42" s="22" t="s">
        <v>49</v>
      </c>
      <c r="AG42" s="22" t="s">
        <v>50</v>
      </c>
      <c r="AH42" s="22" t="s">
        <v>62</v>
      </c>
      <c r="AI42" s="13"/>
    </row>
    <row r="43" spans="1:35" x14ac:dyDescent="0.35">
      <c r="A43" s="9"/>
      <c r="B43" s="9"/>
      <c r="C43" s="9"/>
      <c r="D43" s="9"/>
      <c r="I43" s="13">
        <f>+I42+1</f>
        <v>5</v>
      </c>
      <c r="J43" s="14">
        <f>-PPMT(L30,I43,I43,L29,0,0)</f>
        <v>183599.82143989307</v>
      </c>
      <c r="K43" s="14">
        <f>-IPMT(L30,I43,I43,L29,0,0)</f>
        <v>1835.9982143989307</v>
      </c>
      <c r="L43" s="14">
        <f>+J43+K43</f>
        <v>185435.81965429199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 t="s">
        <v>48</v>
      </c>
      <c r="AD43" s="13"/>
      <c r="AE43" s="13"/>
      <c r="AF43" s="14">
        <f>+AG45-AF44</f>
        <v>163478.79486769231</v>
      </c>
      <c r="AG43" s="13"/>
      <c r="AH43" s="30">
        <f>+AH39-AF43</f>
        <v>522507.43173713959</v>
      </c>
      <c r="AI43" s="13"/>
    </row>
    <row r="44" spans="1:35" x14ac:dyDescent="0.35">
      <c r="I44" s="13"/>
      <c r="J44" s="18">
        <f>SUM(J37:J43)</f>
        <v>899999.99999999988</v>
      </c>
      <c r="K44" s="18">
        <f t="shared" ref="K44:L44" si="15">SUM(K37:K43)</f>
        <v>45179.098271460047</v>
      </c>
      <c r="L44" s="18">
        <f t="shared" si="15"/>
        <v>945179.09827145992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 t="s">
        <v>67</v>
      </c>
      <c r="AD44" s="13"/>
      <c r="AE44" s="13"/>
      <c r="AF44" s="14">
        <f>+Y34</f>
        <v>21957.024786599679</v>
      </c>
      <c r="AG44" s="13"/>
      <c r="AH44" s="13"/>
      <c r="AI44" s="13"/>
    </row>
    <row r="45" spans="1:35" x14ac:dyDescent="0.35"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 t="s">
        <v>47</v>
      </c>
      <c r="AD45" s="13"/>
      <c r="AE45" s="13"/>
      <c r="AF45" s="13"/>
      <c r="AG45" s="14">
        <f>+AG41</f>
        <v>185435.81965429199</v>
      </c>
      <c r="AH45" s="13"/>
      <c r="AI45" s="13"/>
    </row>
    <row r="46" spans="1:35" x14ac:dyDescent="0.35">
      <c r="I46" s="13"/>
      <c r="J46" s="13" t="s">
        <v>73</v>
      </c>
      <c r="K46" s="13"/>
      <c r="L46" s="14">
        <f>+Q29</f>
        <v>810000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25" t="s">
        <v>66</v>
      </c>
      <c r="AD46" s="13"/>
      <c r="AE46" s="13"/>
      <c r="AF46" s="22" t="s">
        <v>49</v>
      </c>
      <c r="AG46" s="22" t="s">
        <v>50</v>
      </c>
      <c r="AH46" s="22" t="s">
        <v>62</v>
      </c>
      <c r="AI46" s="13"/>
    </row>
    <row r="47" spans="1:35" x14ac:dyDescent="0.35">
      <c r="I47" s="13"/>
      <c r="J47" s="13" t="s">
        <v>74</v>
      </c>
      <c r="K47" s="13"/>
      <c r="L47" s="14">
        <f>-L44</f>
        <v>-945179.09827145992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 t="s">
        <v>48</v>
      </c>
      <c r="AD47" s="13"/>
      <c r="AE47" s="13"/>
      <c r="AF47" s="14">
        <f>+AG49-AF48</f>
        <v>168711.41880645417</v>
      </c>
      <c r="AG47" s="13"/>
      <c r="AH47" s="30">
        <f>+AH43-AF47</f>
        <v>353796.01293068542</v>
      </c>
      <c r="AI47" s="13"/>
    </row>
    <row r="48" spans="1:35" x14ac:dyDescent="0.35">
      <c r="I48" s="13"/>
      <c r="J48" s="13" t="s">
        <v>75</v>
      </c>
      <c r="K48" s="13"/>
      <c r="L48" s="17">
        <f>+L47+L46</f>
        <v>-135179.09827145992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 t="s">
        <v>67</v>
      </c>
      <c r="AD48" s="13"/>
      <c r="AE48" s="13"/>
      <c r="AF48" s="14">
        <f>+Y35</f>
        <v>16724.400847837816</v>
      </c>
      <c r="AG48" s="13"/>
      <c r="AH48" s="13"/>
      <c r="AI48" s="13"/>
    </row>
    <row r="49" spans="9:35" x14ac:dyDescent="0.35"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 t="s">
        <v>47</v>
      </c>
      <c r="AD49" s="13"/>
      <c r="AE49" s="13"/>
      <c r="AF49" s="13"/>
      <c r="AG49" s="14">
        <f>+AG45</f>
        <v>185435.81965429199</v>
      </c>
      <c r="AH49" s="13"/>
      <c r="AI49" s="13"/>
    </row>
    <row r="50" spans="9:35" x14ac:dyDescent="0.35"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25" t="s">
        <v>76</v>
      </c>
      <c r="AD50" s="13"/>
      <c r="AE50" s="13"/>
      <c r="AF50" s="22" t="s">
        <v>49</v>
      </c>
      <c r="AG50" s="22" t="s">
        <v>50</v>
      </c>
      <c r="AH50" s="22" t="s">
        <v>62</v>
      </c>
      <c r="AI50" s="13"/>
    </row>
    <row r="51" spans="9:35" x14ac:dyDescent="0.35"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 t="s">
        <v>48</v>
      </c>
      <c r="AD51" s="13"/>
      <c r="AE51" s="13"/>
      <c r="AF51" s="14">
        <f>+AG53-AF52</f>
        <v>174111.52840172985</v>
      </c>
      <c r="AG51" s="13"/>
      <c r="AH51" s="30">
        <f>+AH47-AF51</f>
        <v>179684.48452895557</v>
      </c>
      <c r="AI51" s="13"/>
    </row>
    <row r="52" spans="9:35" x14ac:dyDescent="0.35"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 t="s">
        <v>67</v>
      </c>
      <c r="AD52" s="13"/>
      <c r="AE52" s="13"/>
      <c r="AF52" s="14">
        <f>+Y36</f>
        <v>11324.29125256213</v>
      </c>
      <c r="AG52" s="13"/>
      <c r="AH52" s="13"/>
      <c r="AI52" s="13"/>
    </row>
    <row r="53" spans="9:35" x14ac:dyDescent="0.35"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 t="s">
        <v>47</v>
      </c>
      <c r="AD53" s="13"/>
      <c r="AE53" s="13"/>
      <c r="AF53" s="13"/>
      <c r="AG53" s="14">
        <f>+AG49</f>
        <v>185435.81965429199</v>
      </c>
      <c r="AH53" s="13"/>
      <c r="AI53" s="13"/>
    </row>
    <row r="54" spans="9:35" x14ac:dyDescent="0.35"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25" t="s">
        <v>77</v>
      </c>
      <c r="AD54" s="13"/>
      <c r="AE54" s="13"/>
      <c r="AF54" s="22" t="s">
        <v>49</v>
      </c>
      <c r="AG54" s="22" t="s">
        <v>50</v>
      </c>
      <c r="AH54" s="22" t="s">
        <v>62</v>
      </c>
      <c r="AI54" s="13"/>
    </row>
    <row r="55" spans="9:35" x14ac:dyDescent="0.35"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 t="s">
        <v>48</v>
      </c>
      <c r="AD55" s="13"/>
      <c r="AE55" s="13"/>
      <c r="AF55" s="14">
        <f>+AG57-AF56</f>
        <v>179684.48452895513</v>
      </c>
      <c r="AG55" s="13"/>
      <c r="AH55" s="30">
        <f>+AH51-AF55</f>
        <v>4.3655745685100555E-10</v>
      </c>
      <c r="AI55" s="13"/>
    </row>
    <row r="56" spans="9:35" x14ac:dyDescent="0.35"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 t="s">
        <v>67</v>
      </c>
      <c r="AD56" s="13"/>
      <c r="AE56" s="13"/>
      <c r="AF56" s="14">
        <f>+Y37</f>
        <v>5751.3351253368664</v>
      </c>
      <c r="AG56" s="13"/>
      <c r="AH56" s="13"/>
      <c r="AI56" s="13"/>
    </row>
    <row r="57" spans="9:35" x14ac:dyDescent="0.35"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 t="s">
        <v>47</v>
      </c>
      <c r="AD57" s="13"/>
      <c r="AE57" s="13"/>
      <c r="AF57" s="13"/>
      <c r="AG57" s="14">
        <f>+AG53</f>
        <v>185435.81965429199</v>
      </c>
      <c r="AH57" s="13"/>
      <c r="AI57" s="13"/>
    </row>
    <row r="58" spans="9:35" x14ac:dyDescent="0.35"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9:35" x14ac:dyDescent="0.35"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9:35" x14ac:dyDescent="0.35"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9:35" x14ac:dyDescent="0.35">
      <c r="I61" s="6" t="s">
        <v>78</v>
      </c>
      <c r="J61" s="13"/>
      <c r="K61" s="13"/>
      <c r="L61" s="13"/>
      <c r="M61" s="13"/>
      <c r="N61" s="8" t="s">
        <v>71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9:35" x14ac:dyDescent="0.35">
      <c r="I62" s="13"/>
      <c r="J62" s="13"/>
      <c r="K62" s="13"/>
      <c r="L62" s="13"/>
      <c r="M62" s="13"/>
      <c r="N62" s="13" t="s">
        <v>46</v>
      </c>
      <c r="O62" s="13"/>
      <c r="P62" s="13"/>
      <c r="Q62" s="19" t="s">
        <v>49</v>
      </c>
      <c r="R62" s="19" t="s">
        <v>50</v>
      </c>
      <c r="S62" s="13"/>
      <c r="T62" s="25" t="s">
        <v>51</v>
      </c>
      <c r="U62" s="25"/>
      <c r="V62" s="13"/>
      <c r="W62" s="25" t="s">
        <v>53</v>
      </c>
      <c r="X62" s="25"/>
      <c r="Y62" s="25"/>
      <c r="Z62" s="25"/>
      <c r="AA62" s="25"/>
      <c r="AB62" s="13"/>
      <c r="AC62" s="25" t="s">
        <v>59</v>
      </c>
      <c r="AD62" s="25"/>
      <c r="AE62" s="25"/>
      <c r="AF62" s="25"/>
      <c r="AG62" s="25"/>
      <c r="AH62" s="25"/>
      <c r="AI62" s="13"/>
    </row>
    <row r="63" spans="9:35" x14ac:dyDescent="0.35">
      <c r="I63" s="13" t="s">
        <v>38</v>
      </c>
      <c r="J63" s="13"/>
      <c r="K63" s="14"/>
      <c r="L63" s="14">
        <v>900000</v>
      </c>
      <c r="M63" s="13"/>
      <c r="N63" s="13" t="s">
        <v>47</v>
      </c>
      <c r="O63" s="13"/>
      <c r="P63" s="13"/>
      <c r="Q63" s="14">
        <f>+R66</f>
        <v>810000</v>
      </c>
      <c r="R63" s="14"/>
      <c r="S63" s="13"/>
      <c r="T63" s="25" t="s">
        <v>52</v>
      </c>
      <c r="U63" s="25"/>
      <c r="V63" s="13"/>
      <c r="W63" s="25" t="s">
        <v>54</v>
      </c>
      <c r="X63" s="25"/>
      <c r="Y63" s="25"/>
      <c r="Z63" s="25"/>
      <c r="AA63" s="25"/>
      <c r="AB63" s="13"/>
      <c r="AC63" s="25" t="s">
        <v>60</v>
      </c>
      <c r="AD63" s="25"/>
      <c r="AE63" s="25"/>
      <c r="AF63" s="25"/>
      <c r="AG63" s="25"/>
      <c r="AH63" s="25"/>
      <c r="AI63" s="13"/>
    </row>
    <row r="64" spans="9:35" x14ac:dyDescent="0.35">
      <c r="I64" s="13" t="s">
        <v>39</v>
      </c>
      <c r="J64" s="13"/>
      <c r="K64" s="15"/>
      <c r="L64" s="15">
        <v>0.01</v>
      </c>
      <c r="M64" s="13"/>
      <c r="N64" s="13" t="s">
        <v>48</v>
      </c>
      <c r="O64" s="13"/>
      <c r="P64" s="13"/>
      <c r="Q64" s="14"/>
      <c r="R64" s="14">
        <f>+Q63</f>
        <v>810000</v>
      </c>
      <c r="S64" s="13"/>
      <c r="T64" s="13">
        <v>0</v>
      </c>
      <c r="U64" s="14">
        <f>+Q63</f>
        <v>810000</v>
      </c>
      <c r="V64" s="13"/>
      <c r="W64" s="13"/>
      <c r="X64" s="21" t="s">
        <v>55</v>
      </c>
      <c r="Y64" s="21" t="s">
        <v>56</v>
      </c>
      <c r="Z64" s="21" t="s">
        <v>57</v>
      </c>
      <c r="AA64" s="22" t="s">
        <v>58</v>
      </c>
      <c r="AB64" s="13"/>
      <c r="AC64" s="25" t="s">
        <v>61</v>
      </c>
      <c r="AD64" s="13"/>
      <c r="AE64" s="13"/>
      <c r="AF64" s="22" t="s">
        <v>49</v>
      </c>
      <c r="AG64" s="22" t="s">
        <v>50</v>
      </c>
      <c r="AH64" s="22" t="s">
        <v>62</v>
      </c>
      <c r="AI64" s="13"/>
    </row>
    <row r="65" spans="9:35" x14ac:dyDescent="0.35">
      <c r="I65" s="13" t="s">
        <v>40</v>
      </c>
      <c r="J65" s="13"/>
      <c r="K65" s="13"/>
      <c r="L65" s="13">
        <v>5</v>
      </c>
      <c r="M65" s="13"/>
      <c r="N65" s="13"/>
      <c r="O65" s="13"/>
      <c r="P65" s="13"/>
      <c r="Q65" s="13"/>
      <c r="R65" s="13"/>
      <c r="S65" s="13"/>
      <c r="T65" s="13">
        <f>+T64+1</f>
        <v>1</v>
      </c>
      <c r="U65" s="14">
        <f>-L71-M71-N71</f>
        <v>-185845.81965429199</v>
      </c>
      <c r="V65" s="13"/>
      <c r="W65" s="13">
        <f>+W64+1</f>
        <v>1</v>
      </c>
      <c r="X65" s="23">
        <f>+U64</f>
        <v>810000</v>
      </c>
      <c r="Y65" s="14">
        <f>+X65*$U$70</f>
        <v>38335.725777005253</v>
      </c>
      <c r="Z65" s="14">
        <f>+U65</f>
        <v>-185845.81965429199</v>
      </c>
      <c r="AA65" s="32">
        <f>+X65+Y65+Z65</f>
        <v>662489.90612271335</v>
      </c>
      <c r="AB65" s="13"/>
      <c r="AC65" s="13" t="s">
        <v>48</v>
      </c>
      <c r="AD65" s="13"/>
      <c r="AE65" s="13"/>
      <c r="AF65" s="14">
        <f>+AG67-AF66</f>
        <v>147510.09387728674</v>
      </c>
      <c r="AG65" s="14"/>
      <c r="AH65" s="32">
        <f>+R64-AF65+AG65</f>
        <v>662489.90612271323</v>
      </c>
      <c r="AI65" s="13"/>
    </row>
    <row r="66" spans="9:35" x14ac:dyDescent="0.35">
      <c r="I66" s="13" t="s">
        <v>41</v>
      </c>
      <c r="J66" s="13"/>
      <c r="K66" s="15"/>
      <c r="L66" s="15">
        <v>0.1</v>
      </c>
      <c r="M66" s="13"/>
      <c r="N66" s="13" t="s">
        <v>72</v>
      </c>
      <c r="O66" s="13"/>
      <c r="P66" s="13"/>
      <c r="Q66" s="13"/>
      <c r="R66" s="27">
        <f>L63*(1-L66)</f>
        <v>810000</v>
      </c>
      <c r="S66" s="13"/>
      <c r="T66" s="13">
        <f t="shared" ref="T66:T69" si="16">+T65+1</f>
        <v>2</v>
      </c>
      <c r="U66" s="14">
        <f t="shared" ref="U66:U69" si="17">-L72-M72-N72</f>
        <v>-185775.24532643027</v>
      </c>
      <c r="V66" s="13"/>
      <c r="W66" s="13">
        <f t="shared" ref="W66:W69" si="18">+W65+1</f>
        <v>2</v>
      </c>
      <c r="X66" s="14">
        <f>+AA65</f>
        <v>662489.90612271335</v>
      </c>
      <c r="Y66" s="14">
        <f t="shared" ref="Y66:Y69" si="19">+X66*$U$70</f>
        <v>31354.359717474439</v>
      </c>
      <c r="Z66" s="14">
        <f>+U66</f>
        <v>-185775.24532643027</v>
      </c>
      <c r="AA66" s="32">
        <f>+X66+Y66+Z66</f>
        <v>508069.02051375748</v>
      </c>
      <c r="AB66" s="13"/>
      <c r="AC66" s="13" t="s">
        <v>67</v>
      </c>
      <c r="AD66" s="13"/>
      <c r="AE66" s="13"/>
      <c r="AF66" s="14">
        <f>+Y65</f>
        <v>38335.725777005253</v>
      </c>
      <c r="AG66" s="13"/>
      <c r="AH66" s="13"/>
      <c r="AI66" s="13"/>
    </row>
    <row r="67" spans="9:35" x14ac:dyDescent="0.35">
      <c r="I67" s="13" t="s">
        <v>42</v>
      </c>
      <c r="J67" s="13"/>
      <c r="K67" s="14"/>
      <c r="L67" s="14">
        <f>-PMT(L64,L65,L63,0,0)</f>
        <v>185435.81965429199</v>
      </c>
      <c r="M67" s="13"/>
      <c r="N67" s="13"/>
      <c r="O67" s="13"/>
      <c r="P67" s="13"/>
      <c r="Q67" s="13"/>
      <c r="R67" s="13"/>
      <c r="S67" s="13"/>
      <c r="T67" s="13">
        <f t="shared" si="16"/>
        <v>3</v>
      </c>
      <c r="U67" s="14">
        <f t="shared" si="17"/>
        <v>-185703.96525528995</v>
      </c>
      <c r="V67" s="13"/>
      <c r="W67" s="13">
        <f t="shared" si="18"/>
        <v>3</v>
      </c>
      <c r="X67" s="14">
        <f t="shared" ref="X67:X69" si="20">+AA66</f>
        <v>508069.02051375748</v>
      </c>
      <c r="Y67" s="14">
        <f t="shared" si="19"/>
        <v>24045.919316305019</v>
      </c>
      <c r="Z67" s="14">
        <f t="shared" ref="Z67:Z69" si="21">+U67</f>
        <v>-185703.96525528995</v>
      </c>
      <c r="AA67" s="32">
        <f>+X67+Y67+Z67</f>
        <v>346410.97457477252</v>
      </c>
      <c r="AB67" s="13"/>
      <c r="AC67" s="13" t="s">
        <v>47</v>
      </c>
      <c r="AD67" s="13"/>
      <c r="AE67" s="13"/>
      <c r="AF67" s="13"/>
      <c r="AG67" s="14">
        <f>-Z65</f>
        <v>185845.81965429199</v>
      </c>
      <c r="AH67" s="13"/>
      <c r="AI67" s="13"/>
    </row>
    <row r="68" spans="9:35" x14ac:dyDescent="0.35">
      <c r="I68" s="13"/>
      <c r="J68" s="13"/>
      <c r="K68" s="16"/>
      <c r="L68" s="13"/>
      <c r="M68" s="13"/>
      <c r="N68" s="13"/>
      <c r="O68" s="13"/>
      <c r="P68" s="13"/>
      <c r="Q68" s="13"/>
      <c r="R68" s="13"/>
      <c r="S68" s="13"/>
      <c r="T68" s="13">
        <f t="shared" si="16"/>
        <v>4</v>
      </c>
      <c r="U68" s="14">
        <f t="shared" si="17"/>
        <v>-185631.97238343817</v>
      </c>
      <c r="V68" s="13"/>
      <c r="W68" s="13">
        <f t="shared" si="18"/>
        <v>4</v>
      </c>
      <c r="X68" s="14">
        <f t="shared" si="20"/>
        <v>346410.97457477252</v>
      </c>
      <c r="Y68" s="14">
        <f t="shared" si="19"/>
        <v>16394.958182029161</v>
      </c>
      <c r="Z68" s="14">
        <f t="shared" si="21"/>
        <v>-185631.97238343817</v>
      </c>
      <c r="AA68" s="32">
        <f>+X68+Y68+Z68</f>
        <v>177173.96037336349</v>
      </c>
      <c r="AB68" s="13"/>
      <c r="AC68" s="25" t="s">
        <v>63</v>
      </c>
      <c r="AD68" s="13"/>
      <c r="AE68" s="13"/>
      <c r="AF68" s="22" t="s">
        <v>49</v>
      </c>
      <c r="AG68" s="22" t="s">
        <v>50</v>
      </c>
      <c r="AH68" s="22" t="s">
        <v>62</v>
      </c>
      <c r="AI68" s="13"/>
    </row>
    <row r="69" spans="9:35" x14ac:dyDescent="0.35">
      <c r="I69" s="13"/>
      <c r="J69" s="13"/>
      <c r="K69" s="16"/>
      <c r="L69" s="13"/>
      <c r="M69" s="13"/>
      <c r="N69" s="13"/>
      <c r="O69" s="13"/>
      <c r="P69" s="13"/>
      <c r="Q69" s="13"/>
      <c r="R69" s="13"/>
      <c r="S69" s="13"/>
      <c r="T69" s="13">
        <f t="shared" si="16"/>
        <v>5</v>
      </c>
      <c r="U69" s="14">
        <f t="shared" si="17"/>
        <v>-185559.25958286793</v>
      </c>
      <c r="V69" s="13"/>
      <c r="W69" s="13">
        <f t="shared" si="18"/>
        <v>5</v>
      </c>
      <c r="X69" s="14">
        <f t="shared" si="20"/>
        <v>177173.96037336349</v>
      </c>
      <c r="Y69" s="14">
        <f t="shared" si="19"/>
        <v>8385.2992095052577</v>
      </c>
      <c r="Z69" s="14">
        <f t="shared" si="21"/>
        <v>-185559.25958286793</v>
      </c>
      <c r="AA69" s="32">
        <f>+X69+Y69+Z69</f>
        <v>8.149072527885437E-10</v>
      </c>
      <c r="AB69" s="13"/>
      <c r="AC69" s="13" t="s">
        <v>48</v>
      </c>
      <c r="AD69" s="13"/>
      <c r="AE69" s="13"/>
      <c r="AF69" s="14">
        <f>+AG71-AF70</f>
        <v>154420.88560895584</v>
      </c>
      <c r="AG69" s="14"/>
      <c r="AH69" s="32">
        <f>+AH65-AF69</f>
        <v>508069.02051375736</v>
      </c>
      <c r="AI69" s="13"/>
    </row>
    <row r="70" spans="9:35" x14ac:dyDescent="0.35">
      <c r="I70" s="13"/>
      <c r="J70" s="19" t="s">
        <v>44</v>
      </c>
      <c r="K70" s="19" t="s">
        <v>43</v>
      </c>
      <c r="L70" s="19" t="s">
        <v>45</v>
      </c>
      <c r="M70" s="19" t="s">
        <v>79</v>
      </c>
      <c r="N70" s="19" t="s">
        <v>80</v>
      </c>
      <c r="O70" s="13"/>
      <c r="P70" s="13"/>
      <c r="Q70" s="13"/>
      <c r="R70" s="13"/>
      <c r="S70" s="13"/>
      <c r="T70" s="13"/>
      <c r="U70" s="20">
        <f>IRR(U64:U69)</f>
        <v>4.7328056514821304E-2</v>
      </c>
      <c r="V70" s="13"/>
      <c r="W70" s="13"/>
      <c r="X70" s="14"/>
      <c r="Y70" s="14"/>
      <c r="Z70" s="14"/>
      <c r="AA70" s="14"/>
      <c r="AB70" s="13"/>
      <c r="AC70" s="13" t="s">
        <v>67</v>
      </c>
      <c r="AD70" s="13"/>
      <c r="AE70" s="13"/>
      <c r="AF70" s="14">
        <f>+Y66</f>
        <v>31354.359717474439</v>
      </c>
      <c r="AG70" s="13"/>
      <c r="AH70" s="13"/>
      <c r="AI70" s="13"/>
    </row>
    <row r="71" spans="9:35" x14ac:dyDescent="0.35">
      <c r="I71" s="13">
        <v>1</v>
      </c>
      <c r="J71" s="14">
        <f>-PPMT(L64,I71,I75,L63,0,0)</f>
        <v>176435.81965429199</v>
      </c>
      <c r="K71" s="14">
        <f>-IPMT(L64,I71,I75,L63,0,0)</f>
        <v>9000</v>
      </c>
      <c r="L71" s="14">
        <f>+J71+K71</f>
        <v>185435.81965429199</v>
      </c>
      <c r="M71" s="31">
        <f>SUM(J71:$J$75)*0.04%</f>
        <v>359.99999999999994</v>
      </c>
      <c r="N71" s="31">
        <v>50</v>
      </c>
      <c r="O71" s="13"/>
      <c r="P71" s="13"/>
      <c r="Q71" s="13"/>
      <c r="R71" s="13"/>
      <c r="S71" s="13"/>
      <c r="T71" s="13"/>
      <c r="U71" s="14"/>
      <c r="V71" s="13"/>
      <c r="W71" s="13"/>
      <c r="X71" s="14"/>
      <c r="Y71" s="14"/>
      <c r="Z71" s="14"/>
      <c r="AA71" s="14"/>
      <c r="AB71" s="13"/>
      <c r="AC71" s="13" t="s">
        <v>47</v>
      </c>
      <c r="AD71" s="13"/>
      <c r="AE71" s="13"/>
      <c r="AF71" s="13"/>
      <c r="AG71" s="14">
        <f>-Z66</f>
        <v>185775.24532643027</v>
      </c>
      <c r="AH71" s="13"/>
      <c r="AI71" s="13"/>
    </row>
    <row r="72" spans="9:35" x14ac:dyDescent="0.35">
      <c r="I72" s="13">
        <f>+I71+1</f>
        <v>2</v>
      </c>
      <c r="J72" s="14">
        <f>-PPMT(L64,I72,I75,L63,0,0)</f>
        <v>178200.17785083491</v>
      </c>
      <c r="K72" s="14">
        <f>-IPMT(L64,I72,I75,L63,0,0)</f>
        <v>7235.6418034570797</v>
      </c>
      <c r="L72" s="14">
        <f>+J72+K72</f>
        <v>185435.81965429199</v>
      </c>
      <c r="M72" s="31">
        <f>SUM(J72:$J$75)*0.04%</f>
        <v>289.42567213828318</v>
      </c>
      <c r="N72" s="31">
        <v>50</v>
      </c>
      <c r="O72" s="13"/>
      <c r="P72" s="13"/>
      <c r="Q72" s="13"/>
      <c r="R72" s="13"/>
      <c r="S72" s="13"/>
      <c r="T72" s="13"/>
      <c r="U72" s="14"/>
      <c r="V72" s="13"/>
      <c r="W72" s="13"/>
      <c r="X72" s="13"/>
      <c r="Y72" s="29">
        <f>SUM(Y65:Y71)</f>
        <v>118516.26220231914</v>
      </c>
      <c r="Z72" s="13"/>
      <c r="AA72" s="13"/>
      <c r="AB72" s="13"/>
      <c r="AC72" s="25" t="s">
        <v>64</v>
      </c>
      <c r="AD72" s="13"/>
      <c r="AE72" s="13"/>
      <c r="AF72" s="22" t="s">
        <v>49</v>
      </c>
      <c r="AG72" s="22" t="s">
        <v>50</v>
      </c>
      <c r="AH72" s="22" t="s">
        <v>62</v>
      </c>
      <c r="AI72" s="13"/>
    </row>
    <row r="73" spans="9:35" x14ac:dyDescent="0.35">
      <c r="I73" s="13">
        <f>+I72+1</f>
        <v>3</v>
      </c>
      <c r="J73" s="14">
        <f>-PPMT(L64,I73,I75,L63,0,0)</f>
        <v>179982.17962934327</v>
      </c>
      <c r="K73" s="14">
        <f>-IPMT(L64,I73,I75,L63,0,0)</f>
        <v>5453.6400249487315</v>
      </c>
      <c r="L73" s="14">
        <f>+J73+K73</f>
        <v>185435.81965429199</v>
      </c>
      <c r="M73" s="31">
        <f>SUM(J73:$J$75)*0.04%</f>
        <v>218.1456009979492</v>
      </c>
      <c r="N73" s="31">
        <v>50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 t="s">
        <v>48</v>
      </c>
      <c r="AD73" s="13"/>
      <c r="AE73" s="13"/>
      <c r="AF73" s="14">
        <f>+AG75-AF74</f>
        <v>161658.04593898493</v>
      </c>
      <c r="AG73" s="13"/>
      <c r="AH73" s="32">
        <f>+AH69-AF73</f>
        <v>346410.97457477241</v>
      </c>
      <c r="AI73" s="13"/>
    </row>
    <row r="74" spans="9:35" x14ac:dyDescent="0.35">
      <c r="I74" s="13">
        <f>+I73+1</f>
        <v>4</v>
      </c>
      <c r="J74" s="14">
        <f>-PPMT(L64,I74,I75,L63,0,0)</f>
        <v>181782.00142563667</v>
      </c>
      <c r="K74" s="14">
        <f>-IPMT(L64,I74,I75,L63,0,0)</f>
        <v>3653.8182286552983</v>
      </c>
      <c r="L74" s="14">
        <f>+J74+K74</f>
        <v>185435.81965429196</v>
      </c>
      <c r="M74" s="31">
        <f>SUM(J74:$J$75)*0.04%</f>
        <v>146.1527291462119</v>
      </c>
      <c r="N74" s="31">
        <v>50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 t="s">
        <v>67</v>
      </c>
      <c r="AD74" s="13"/>
      <c r="AE74" s="13"/>
      <c r="AF74" s="14">
        <f>+Y67</f>
        <v>24045.919316305019</v>
      </c>
      <c r="AG74" s="13"/>
      <c r="AH74" s="13"/>
      <c r="AI74" s="13"/>
    </row>
    <row r="75" spans="9:35" x14ac:dyDescent="0.35">
      <c r="I75" s="13">
        <f>+I74+1</f>
        <v>5</v>
      </c>
      <c r="J75" s="14">
        <f>-PPMT(L64,I75,I75,L63,0,0)</f>
        <v>183599.82143989307</v>
      </c>
      <c r="K75" s="14">
        <f>-IPMT(L64,I75,I75,L63,0,0)</f>
        <v>1835.9982143989307</v>
      </c>
      <c r="L75" s="14">
        <f>+J75+K75</f>
        <v>185435.81965429199</v>
      </c>
      <c r="M75" s="31">
        <f>SUM(J75:$J$75)*0.04%</f>
        <v>73.439928575957239</v>
      </c>
      <c r="N75" s="31">
        <v>50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 t="s">
        <v>47</v>
      </c>
      <c r="AD75" s="13"/>
      <c r="AE75" s="13"/>
      <c r="AF75" s="13"/>
      <c r="AG75" s="14">
        <f>-Z67</f>
        <v>185703.96525528995</v>
      </c>
      <c r="AH75" s="13"/>
      <c r="AI75" s="13"/>
    </row>
    <row r="76" spans="9:35" x14ac:dyDescent="0.35">
      <c r="I76" s="13"/>
      <c r="J76" s="18">
        <f>SUM(J71:J75)</f>
        <v>899999.99999999988</v>
      </c>
      <c r="K76" s="18">
        <f>SUM(K71:K75)</f>
        <v>27179.09827146004</v>
      </c>
      <c r="L76" s="18">
        <f>SUM(L71:L75)</f>
        <v>927179.09827145992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25" t="s">
        <v>65</v>
      </c>
      <c r="AD76" s="13"/>
      <c r="AE76" s="13"/>
      <c r="AF76" s="22" t="s">
        <v>49</v>
      </c>
      <c r="AG76" s="22" t="s">
        <v>50</v>
      </c>
      <c r="AH76" s="22" t="s">
        <v>62</v>
      </c>
      <c r="AI76" s="13"/>
    </row>
    <row r="77" spans="9:35" x14ac:dyDescent="0.35"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 t="s">
        <v>48</v>
      </c>
      <c r="AD77" s="13"/>
      <c r="AE77" s="13"/>
      <c r="AF77" s="14">
        <f>+AG79-AF78</f>
        <v>169237.01420140901</v>
      </c>
      <c r="AG77" s="13"/>
      <c r="AH77" s="32">
        <f>+AH73-AF77</f>
        <v>177173.9603733634</v>
      </c>
      <c r="AI77" s="13"/>
    </row>
    <row r="78" spans="9:35" x14ac:dyDescent="0.35"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 t="s">
        <v>67</v>
      </c>
      <c r="AD78" s="13"/>
      <c r="AE78" s="13"/>
      <c r="AF78" s="14">
        <f>+Y68</f>
        <v>16394.958182029161</v>
      </c>
      <c r="AG78" s="13"/>
      <c r="AH78" s="13"/>
      <c r="AI78" s="13"/>
    </row>
    <row r="79" spans="9:35" x14ac:dyDescent="0.35"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 t="s">
        <v>47</v>
      </c>
      <c r="AD79" s="13"/>
      <c r="AE79" s="13"/>
      <c r="AF79" s="13"/>
      <c r="AG79" s="14">
        <f>-Z68</f>
        <v>185631.97238343817</v>
      </c>
      <c r="AH79" s="13"/>
      <c r="AI79" s="13"/>
    </row>
    <row r="80" spans="9:35" x14ac:dyDescent="0.35"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25" t="s">
        <v>66</v>
      </c>
      <c r="AD80" s="13"/>
      <c r="AE80" s="13"/>
      <c r="AF80" s="22" t="s">
        <v>49</v>
      </c>
      <c r="AG80" s="22" t="s">
        <v>50</v>
      </c>
      <c r="AH80" s="22" t="s">
        <v>62</v>
      </c>
      <c r="AI80" s="13"/>
    </row>
    <row r="81" spans="9:37" x14ac:dyDescent="0.35"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 t="s">
        <v>48</v>
      </c>
      <c r="AD81" s="13"/>
      <c r="AE81" s="13"/>
      <c r="AF81" s="14">
        <f>+AG83-AF82</f>
        <v>177173.96037336267</v>
      </c>
      <c r="AG81" s="13"/>
      <c r="AH81" s="32">
        <f>+AH77-AF81</f>
        <v>7.2759576141834259E-10</v>
      </c>
      <c r="AI81" s="13"/>
    </row>
    <row r="82" spans="9:37" x14ac:dyDescent="0.35"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 t="s">
        <v>67</v>
      </c>
      <c r="AD82" s="13"/>
      <c r="AE82" s="13"/>
      <c r="AF82" s="14">
        <f>+Y69</f>
        <v>8385.2992095052577</v>
      </c>
      <c r="AG82" s="13"/>
      <c r="AH82" s="13"/>
      <c r="AI82" s="13"/>
    </row>
    <row r="83" spans="9:37" x14ac:dyDescent="0.35"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 t="s">
        <v>47</v>
      </c>
      <c r="AD83" s="13"/>
      <c r="AE83" s="13"/>
      <c r="AF83" s="13"/>
      <c r="AG83" s="14">
        <f>-Z69</f>
        <v>185559.25958286793</v>
      </c>
      <c r="AH83" s="13"/>
      <c r="AI83" s="13"/>
    </row>
    <row r="84" spans="9:37" x14ac:dyDescent="0.35"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</row>
    <row r="85" spans="9:37" x14ac:dyDescent="0.35"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</row>
    <row r="86" spans="9:37" x14ac:dyDescent="0.35"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</row>
    <row r="87" spans="9:37" x14ac:dyDescent="0.35"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</row>
    <row r="88" spans="9:37" x14ac:dyDescent="0.35"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spans="9:37" x14ac:dyDescent="0.35">
      <c r="I89" s="6" t="s">
        <v>81</v>
      </c>
      <c r="J89" s="13"/>
      <c r="K89" s="13"/>
      <c r="L89" s="13"/>
      <c r="M89" s="13"/>
      <c r="N89" s="13"/>
      <c r="O89" s="13"/>
      <c r="P89" s="8" t="s">
        <v>71</v>
      </c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9:37" x14ac:dyDescent="0.35">
      <c r="I90" s="13"/>
      <c r="J90" s="13"/>
      <c r="K90" s="13"/>
      <c r="L90" s="13"/>
      <c r="M90" s="13"/>
      <c r="N90" s="13"/>
      <c r="O90" s="13"/>
      <c r="P90" s="13" t="s">
        <v>46</v>
      </c>
      <c r="Q90" s="13"/>
      <c r="R90" s="13"/>
      <c r="S90" s="19" t="s">
        <v>49</v>
      </c>
      <c r="T90" s="19" t="s">
        <v>50</v>
      </c>
      <c r="U90" s="13"/>
      <c r="V90" s="25" t="s">
        <v>51</v>
      </c>
      <c r="W90" s="25"/>
      <c r="X90" s="13"/>
      <c r="Y90" s="25" t="s">
        <v>53</v>
      </c>
      <c r="Z90" s="25"/>
      <c r="AA90" s="25"/>
      <c r="AB90" s="25"/>
      <c r="AC90" s="25"/>
      <c r="AD90" s="13"/>
      <c r="AE90" s="25" t="s">
        <v>59</v>
      </c>
      <c r="AF90" s="25"/>
      <c r="AG90" s="25"/>
      <c r="AH90" s="25"/>
      <c r="AI90" s="25"/>
      <c r="AJ90" s="25"/>
      <c r="AK90" s="13"/>
    </row>
    <row r="91" spans="9:37" x14ac:dyDescent="0.35">
      <c r="I91" s="34" t="s">
        <v>38</v>
      </c>
      <c r="J91" s="34"/>
      <c r="K91" s="35"/>
      <c r="L91" s="35"/>
      <c r="M91" s="34"/>
      <c r="N91" s="35">
        <v>900000</v>
      </c>
      <c r="O91" s="13"/>
      <c r="P91" s="13" t="s">
        <v>47</v>
      </c>
      <c r="Q91" s="13"/>
      <c r="R91" s="13"/>
      <c r="S91" s="14">
        <f>+T94</f>
        <v>810000</v>
      </c>
      <c r="T91" s="14"/>
      <c r="U91" s="13"/>
      <c r="V91" s="25" t="s">
        <v>52</v>
      </c>
      <c r="W91" s="25"/>
      <c r="X91" s="13"/>
      <c r="Y91" s="25" t="s">
        <v>54</v>
      </c>
      <c r="Z91" s="25"/>
      <c r="AA91" s="25"/>
      <c r="AB91" s="25"/>
      <c r="AC91" s="25"/>
      <c r="AD91" s="13"/>
      <c r="AE91" s="25" t="s">
        <v>60</v>
      </c>
      <c r="AF91" s="25"/>
      <c r="AG91" s="25"/>
      <c r="AH91" s="25"/>
      <c r="AI91" s="25"/>
      <c r="AJ91" s="25"/>
      <c r="AK91" s="13"/>
    </row>
    <row r="92" spans="9:37" x14ac:dyDescent="0.35">
      <c r="I92" s="37" t="s">
        <v>39</v>
      </c>
      <c r="J92" s="37"/>
      <c r="K92" s="38"/>
      <c r="L92" s="38"/>
      <c r="M92" s="37"/>
      <c r="N92" s="38">
        <v>0.01</v>
      </c>
      <c r="O92" s="13"/>
      <c r="P92" s="13" t="s">
        <v>48</v>
      </c>
      <c r="Q92" s="13"/>
      <c r="R92" s="13"/>
      <c r="S92" s="14"/>
      <c r="T92" s="14">
        <f>+S91</f>
        <v>810000</v>
      </c>
      <c r="U92" s="13"/>
      <c r="V92" s="13">
        <v>0</v>
      </c>
      <c r="W92" s="14">
        <f>+S91</f>
        <v>810000</v>
      </c>
      <c r="X92" s="13"/>
      <c r="Y92" s="13"/>
      <c r="Z92" s="21" t="s">
        <v>55</v>
      </c>
      <c r="AA92" s="21" t="s">
        <v>56</v>
      </c>
      <c r="AB92" s="21" t="s">
        <v>57</v>
      </c>
      <c r="AC92" s="22" t="s">
        <v>58</v>
      </c>
      <c r="AD92" s="13"/>
      <c r="AE92" s="25" t="s">
        <v>61</v>
      </c>
      <c r="AF92" s="13"/>
      <c r="AG92" s="13"/>
      <c r="AH92" s="22" t="s">
        <v>49</v>
      </c>
      <c r="AI92" s="22" t="s">
        <v>50</v>
      </c>
      <c r="AJ92" s="22" t="s">
        <v>62</v>
      </c>
      <c r="AK92" s="13"/>
    </row>
    <row r="93" spans="9:37" x14ac:dyDescent="0.35">
      <c r="I93" s="34" t="s">
        <v>40</v>
      </c>
      <c r="J93" s="34"/>
      <c r="K93" s="34"/>
      <c r="L93" s="34"/>
      <c r="M93" s="34"/>
      <c r="N93" s="34">
        <v>48</v>
      </c>
      <c r="O93" s="13"/>
      <c r="P93" s="13"/>
      <c r="Q93" s="13"/>
      <c r="R93" s="13"/>
      <c r="S93" s="13"/>
      <c r="T93" s="13"/>
      <c r="U93" s="13"/>
      <c r="V93" s="13">
        <f>+V92+1</f>
        <v>1</v>
      </c>
      <c r="W93" s="14">
        <f>-L99-M99-N99</f>
        <v>-24070.451888734991</v>
      </c>
      <c r="X93" s="13"/>
      <c r="Y93" s="13">
        <f>+Y92+1</f>
        <v>1</v>
      </c>
      <c r="Z93" s="23">
        <f>+W92</f>
        <v>810000</v>
      </c>
      <c r="AA93" s="14">
        <f>+Z93*$W$141</f>
        <v>12422.586704012836</v>
      </c>
      <c r="AB93" s="14">
        <f>+W93</f>
        <v>-24070.451888734991</v>
      </c>
      <c r="AC93" s="32">
        <f>+Z93+AA93+AB93</f>
        <v>798352.13481527788</v>
      </c>
      <c r="AD93" s="13"/>
      <c r="AE93" s="13" t="s">
        <v>48</v>
      </c>
      <c r="AF93" s="13"/>
      <c r="AG93" s="13"/>
      <c r="AH93" s="14">
        <f>+AI95-AH94</f>
        <v>11647.865184722155</v>
      </c>
      <c r="AI93" s="14"/>
      <c r="AJ93" s="32">
        <f>+T92-AH93+AI93</f>
        <v>798352.13481527788</v>
      </c>
      <c r="AK93" s="13"/>
    </row>
    <row r="94" spans="9:37" x14ac:dyDescent="0.35">
      <c r="I94" s="34" t="s">
        <v>41</v>
      </c>
      <c r="J94" s="34"/>
      <c r="K94" s="36"/>
      <c r="L94" s="36"/>
      <c r="M94" s="34"/>
      <c r="N94" s="36">
        <v>0.1</v>
      </c>
      <c r="O94" s="13"/>
      <c r="P94" s="13" t="s">
        <v>72</v>
      </c>
      <c r="Q94" s="13"/>
      <c r="R94" s="13"/>
      <c r="S94" s="13"/>
      <c r="T94" s="33">
        <f>N91*(1-N94)</f>
        <v>810000</v>
      </c>
      <c r="U94" s="13"/>
      <c r="V94" s="13">
        <f t="shared" ref="V94:V97" si="22">+V93+1</f>
        <v>2</v>
      </c>
      <c r="W94" s="14">
        <f>-L100-M100-N100</f>
        <v>-24066.041753168371</v>
      </c>
      <c r="X94" s="13"/>
      <c r="Y94" s="13">
        <f t="shared" ref="Y94:Y97" si="23">+Y93+1</f>
        <v>2</v>
      </c>
      <c r="Z94" s="14">
        <f>+AC93</f>
        <v>798352.13481527788</v>
      </c>
      <c r="AA94" s="14">
        <f t="shared" ref="AA94:AA140" si="24">+Z94*$W$141</f>
        <v>12243.948907501896</v>
      </c>
      <c r="AB94" s="14">
        <f>+W94</f>
        <v>-24066.041753168371</v>
      </c>
      <c r="AC94" s="32">
        <f>+Z94+AA94+AB94</f>
        <v>786530.04196961143</v>
      </c>
      <c r="AD94" s="13"/>
      <c r="AE94" s="13" t="s">
        <v>67</v>
      </c>
      <c r="AF94" s="13"/>
      <c r="AG94" s="13"/>
      <c r="AH94" s="14">
        <f>+AA93</f>
        <v>12422.586704012836</v>
      </c>
      <c r="AI94" s="13"/>
      <c r="AJ94" s="13"/>
      <c r="AK94" s="13"/>
    </row>
    <row r="95" spans="9:37" x14ac:dyDescent="0.35">
      <c r="I95" s="34" t="s">
        <v>42</v>
      </c>
      <c r="J95" s="34"/>
      <c r="K95" s="35"/>
      <c r="L95" s="35"/>
      <c r="M95" s="34"/>
      <c r="N95" s="35">
        <f>-PMT(N92,N93,N91,0,0)</f>
        <v>23700.451888734988</v>
      </c>
      <c r="O95" s="13"/>
      <c r="P95" s="13"/>
      <c r="Q95" s="13"/>
      <c r="R95" s="13"/>
      <c r="S95" s="13"/>
      <c r="T95" s="13"/>
      <c r="U95" s="13"/>
      <c r="V95" s="13">
        <f t="shared" si="22"/>
        <v>3</v>
      </c>
      <c r="W95" s="14">
        <f>-L101-M101-N101</f>
        <v>-24061.587516246076</v>
      </c>
      <c r="X95" s="13"/>
      <c r="Y95" s="13">
        <f t="shared" si="23"/>
        <v>3</v>
      </c>
      <c r="Z95" s="14">
        <f t="shared" ref="Z95:Z99" si="25">+AC94</f>
        <v>786530.04196961143</v>
      </c>
      <c r="AA95" s="14">
        <f t="shared" si="24"/>
        <v>12062.639063800436</v>
      </c>
      <c r="AB95" s="14">
        <f t="shared" ref="AB95:AB99" si="26">+W95</f>
        <v>-24061.587516246076</v>
      </c>
      <c r="AC95" s="32">
        <f>+Z95+AA95+AB95</f>
        <v>774531.09351716575</v>
      </c>
      <c r="AD95" s="13"/>
      <c r="AE95" s="13" t="s">
        <v>47</v>
      </c>
      <c r="AF95" s="13"/>
      <c r="AG95" s="13"/>
      <c r="AH95" s="13"/>
      <c r="AI95" s="14">
        <f>-AB93</f>
        <v>24070.451888734991</v>
      </c>
      <c r="AJ95" s="13"/>
      <c r="AK95" s="13"/>
    </row>
    <row r="96" spans="9:37" ht="24" thickBot="1" x14ac:dyDescent="0.4">
      <c r="I96" s="13"/>
      <c r="J96" s="13"/>
      <c r="K96" s="16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>
        <f t="shared" si="22"/>
        <v>4</v>
      </c>
      <c r="W96" s="14">
        <f>-L102-M102-N102</f>
        <v>-24057.088736954567</v>
      </c>
      <c r="X96" s="13"/>
      <c r="Y96" s="13">
        <f t="shared" si="23"/>
        <v>4</v>
      </c>
      <c r="Z96" s="14">
        <f t="shared" si="25"/>
        <v>774531.09351716575</v>
      </c>
      <c r="AA96" s="14">
        <f t="shared" si="24"/>
        <v>11878.616869346748</v>
      </c>
      <c r="AB96" s="14">
        <f t="shared" si="26"/>
        <v>-24057.088736954567</v>
      </c>
      <c r="AC96" s="32">
        <f>+Z96+AA96+AB96</f>
        <v>762352.62164955784</v>
      </c>
      <c r="AD96" s="13"/>
      <c r="AE96" s="25" t="s">
        <v>63</v>
      </c>
      <c r="AF96" s="13"/>
      <c r="AG96" s="13"/>
      <c r="AH96" s="22" t="s">
        <v>49</v>
      </c>
      <c r="AI96" s="22" t="s">
        <v>50</v>
      </c>
      <c r="AJ96" s="22" t="s">
        <v>62</v>
      </c>
      <c r="AK96" s="13"/>
    </row>
    <row r="97" spans="9:37" ht="24" thickBot="1" x14ac:dyDescent="0.4">
      <c r="I97" s="13"/>
      <c r="J97" s="13"/>
      <c r="K97" s="16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>
        <f t="shared" si="22"/>
        <v>5</v>
      </c>
      <c r="W97" s="14">
        <f>-L103-M103-N103</f>
        <v>-24052.544969870145</v>
      </c>
      <c r="X97" s="13"/>
      <c r="Y97" s="41">
        <f t="shared" si="23"/>
        <v>5</v>
      </c>
      <c r="Z97" s="42">
        <f t="shared" si="25"/>
        <v>762352.62164955784</v>
      </c>
      <c r="AA97" s="42">
        <f t="shared" si="24"/>
        <v>11691.841409226081</v>
      </c>
      <c r="AB97" s="42">
        <f t="shared" si="26"/>
        <v>-24052.544969870145</v>
      </c>
      <c r="AC97" s="40">
        <f>+Z97+AA97+AB97</f>
        <v>749991.91808891378</v>
      </c>
      <c r="AD97" s="13"/>
      <c r="AE97" s="13" t="s">
        <v>48</v>
      </c>
      <c r="AF97" s="13"/>
      <c r="AG97" s="13"/>
      <c r="AH97" s="14">
        <f>+AI99-AH98</f>
        <v>11822.092845666475</v>
      </c>
      <c r="AI97" s="14"/>
      <c r="AJ97" s="32">
        <f>+AJ93-AH97</f>
        <v>786530.04196961143</v>
      </c>
      <c r="AK97" s="13"/>
    </row>
    <row r="98" spans="9:37" x14ac:dyDescent="0.35">
      <c r="I98" s="13"/>
      <c r="J98" s="19" t="s">
        <v>44</v>
      </c>
      <c r="K98" s="19" t="s">
        <v>43</v>
      </c>
      <c r="L98" s="19" t="s">
        <v>45</v>
      </c>
      <c r="M98" s="19" t="s">
        <v>79</v>
      </c>
      <c r="N98" s="19" t="s">
        <v>80</v>
      </c>
      <c r="O98" s="13"/>
      <c r="P98" s="13"/>
      <c r="Q98" s="13"/>
      <c r="R98" s="13"/>
      <c r="S98" s="13"/>
      <c r="T98" s="13"/>
      <c r="U98" s="13"/>
      <c r="V98" s="13">
        <f t="shared" ref="V98:V119" si="27">+V97+1</f>
        <v>6</v>
      </c>
      <c r="W98" s="14">
        <f t="shared" ref="W98:W119" si="28">-L104-M104-N104</f>
        <v>-24047.955765114875</v>
      </c>
      <c r="X98" s="13"/>
      <c r="Y98" s="13">
        <f t="shared" ref="Y98:Y112" si="29">+Y97+1</f>
        <v>6</v>
      </c>
      <c r="Z98" s="14">
        <f t="shared" ref="Z98:Z112" si="30">+AC97</f>
        <v>749991.91808891378</v>
      </c>
      <c r="AA98" s="14">
        <f t="shared" si="24"/>
        <v>11502.271147862253</v>
      </c>
      <c r="AB98" s="44">
        <f t="shared" ref="AB98:AB112" si="31">+W98</f>
        <v>-24047.955765114875</v>
      </c>
      <c r="AC98" s="32">
        <f t="shared" ref="AC98:AC112" si="32">+Z98+AA98+AB98</f>
        <v>737446.23347166122</v>
      </c>
      <c r="AD98" s="13"/>
      <c r="AE98" s="13" t="s">
        <v>67</v>
      </c>
      <c r="AF98" s="13"/>
      <c r="AG98" s="13"/>
      <c r="AH98" s="14">
        <f>+AA94</f>
        <v>12243.948907501896</v>
      </c>
      <c r="AI98" s="13"/>
      <c r="AJ98" s="13"/>
      <c r="AK98" s="13"/>
    </row>
    <row r="99" spans="9:37" x14ac:dyDescent="0.35">
      <c r="I99" s="13">
        <v>1</v>
      </c>
      <c r="J99" s="14">
        <f>-PPMT($N$92,I99,$N$93,$N$91,0,0)</f>
        <v>14700.45188873499</v>
      </c>
      <c r="K99" s="14">
        <f>-IPMT($N$92,I99,$N$93,$N$91,0,0)</f>
        <v>9000</v>
      </c>
      <c r="L99" s="14">
        <f>+J99+K99</f>
        <v>23700.451888734991</v>
      </c>
      <c r="M99" s="31">
        <f>SUM(J99:$J$146)*0.03%</f>
        <v>269.99999999999989</v>
      </c>
      <c r="N99" s="31">
        <v>100</v>
      </c>
      <c r="O99" s="31"/>
      <c r="P99" s="13"/>
      <c r="Q99" s="13"/>
      <c r="R99" s="13"/>
      <c r="S99" s="13"/>
      <c r="T99" s="13"/>
      <c r="U99" s="13"/>
      <c r="V99" s="13">
        <f t="shared" si="27"/>
        <v>7</v>
      </c>
      <c r="W99" s="14">
        <f t="shared" si="28"/>
        <v>-24043.320668312055</v>
      </c>
      <c r="X99" s="13"/>
      <c r="Y99" s="13">
        <f t="shared" si="29"/>
        <v>7</v>
      </c>
      <c r="Z99" s="14">
        <f t="shared" si="30"/>
        <v>737446.23347166122</v>
      </c>
      <c r="AA99" s="14">
        <f t="shared" si="24"/>
        <v>11309.863919567166</v>
      </c>
      <c r="AB99" s="44">
        <f t="shared" si="31"/>
        <v>-24043.320668312055</v>
      </c>
      <c r="AC99" s="32">
        <f t="shared" si="32"/>
        <v>724712.7767229164</v>
      </c>
      <c r="AD99" s="13"/>
      <c r="AE99" s="13" t="s">
        <v>47</v>
      </c>
      <c r="AF99" s="13"/>
      <c r="AG99" s="13"/>
      <c r="AH99" s="13"/>
      <c r="AI99" s="14">
        <f>-AB94</f>
        <v>24066.041753168371</v>
      </c>
      <c r="AJ99" s="13"/>
      <c r="AK99" s="13"/>
    </row>
    <row r="100" spans="9:37" x14ac:dyDescent="0.35">
      <c r="I100" s="13">
        <f>+I99+1</f>
        <v>2</v>
      </c>
      <c r="J100" s="14">
        <f>-PPMT($N$92,I100,$N$93,$N$91,0,0)</f>
        <v>14847.45640762234</v>
      </c>
      <c r="K100" s="14">
        <f>-IPMT($N$92,I100,$N$93,$N$91,0,0)</f>
        <v>8852.9954811126499</v>
      </c>
      <c r="L100" s="14">
        <f>+J100+K100</f>
        <v>23700.451888734991</v>
      </c>
      <c r="M100" s="31">
        <f>SUM(J100:$J$146)*0.03%</f>
        <v>265.58986443337938</v>
      </c>
      <c r="N100" s="31">
        <v>100</v>
      </c>
      <c r="O100" s="31"/>
      <c r="P100" s="13"/>
      <c r="Q100" s="13"/>
      <c r="R100" s="13"/>
      <c r="S100" s="13"/>
      <c r="T100" s="13"/>
      <c r="U100" s="13"/>
      <c r="V100" s="13">
        <f t="shared" si="27"/>
        <v>8</v>
      </c>
      <c r="W100" s="14">
        <f t="shared" si="28"/>
        <v>-24038.639220541208</v>
      </c>
      <c r="X100" s="13"/>
      <c r="Y100" s="13">
        <f t="shared" si="29"/>
        <v>8</v>
      </c>
      <c r="Z100" s="14">
        <f t="shared" si="30"/>
        <v>724712.7767229164</v>
      </c>
      <c r="AA100" s="14">
        <f t="shared" si="24"/>
        <v>11114.576918946081</v>
      </c>
      <c r="AB100" s="44">
        <f t="shared" si="31"/>
        <v>-24038.639220541208</v>
      </c>
      <c r="AC100" s="32">
        <f t="shared" si="32"/>
        <v>711788.71442132129</v>
      </c>
      <c r="AD100" s="13"/>
      <c r="AE100" s="25" t="s">
        <v>64</v>
      </c>
      <c r="AF100" s="13"/>
      <c r="AG100" s="13"/>
      <c r="AH100" s="22" t="s">
        <v>49</v>
      </c>
      <c r="AI100" s="22" t="s">
        <v>50</v>
      </c>
      <c r="AJ100" s="22" t="s">
        <v>62</v>
      </c>
      <c r="AK100" s="13"/>
    </row>
    <row r="101" spans="9:37" x14ac:dyDescent="0.35">
      <c r="I101" s="13">
        <f>+I100+1</f>
        <v>3</v>
      </c>
      <c r="J101" s="14">
        <f>-PPMT($N$92,I101,$N$93,$N$91,0,0)</f>
        <v>14995.930971698561</v>
      </c>
      <c r="K101" s="14">
        <f>-IPMT($N$92,I101,$N$93,$N$91,0,0)</f>
        <v>8704.5209170364233</v>
      </c>
      <c r="L101" s="14">
        <f>+J101+K101</f>
        <v>23700.451888734984</v>
      </c>
      <c r="M101" s="31">
        <f>SUM(J101:$J$146)*0.03%</f>
        <v>261.13562751109265</v>
      </c>
      <c r="N101" s="31">
        <v>100</v>
      </c>
      <c r="O101" s="31"/>
      <c r="P101" s="13"/>
      <c r="Q101" s="13"/>
      <c r="R101" s="13"/>
      <c r="S101" s="13"/>
      <c r="T101" s="13"/>
      <c r="U101" s="13"/>
      <c r="V101" s="13">
        <f t="shared" si="27"/>
        <v>9</v>
      </c>
      <c r="W101" s="14">
        <f t="shared" si="28"/>
        <v>-24033.910958292643</v>
      </c>
      <c r="X101" s="13"/>
      <c r="Y101" s="13">
        <f t="shared" si="29"/>
        <v>9</v>
      </c>
      <c r="Z101" s="14">
        <f t="shared" si="30"/>
        <v>711788.71442132129</v>
      </c>
      <c r="AA101" s="14">
        <f t="shared" si="24"/>
        <v>10916.366691156414</v>
      </c>
      <c r="AB101" s="44">
        <f t="shared" si="31"/>
        <v>-24033.910958292643</v>
      </c>
      <c r="AC101" s="32">
        <f t="shared" si="32"/>
        <v>698671.17015418503</v>
      </c>
      <c r="AD101" s="13"/>
      <c r="AE101" s="13" t="s">
        <v>48</v>
      </c>
      <c r="AF101" s="13"/>
      <c r="AG101" s="13"/>
      <c r="AH101" s="14">
        <f>+AI103-AH102</f>
        <v>11998.94845244564</v>
      </c>
      <c r="AI101" s="13"/>
      <c r="AJ101" s="32">
        <f>+AJ97-AH101</f>
        <v>774531.09351716575</v>
      </c>
      <c r="AK101" s="13"/>
    </row>
    <row r="102" spans="9:37" x14ac:dyDescent="0.35">
      <c r="I102" s="13">
        <f>+I101+1</f>
        <v>4</v>
      </c>
      <c r="J102" s="14">
        <f>-PPMT($N$92,I102,$N$93,$N$91,0,0)</f>
        <v>15145.890281415546</v>
      </c>
      <c r="K102" s="14">
        <f>-IPMT($N$92,I102,$N$93,$N$91,0,0)</f>
        <v>8554.5616073194396</v>
      </c>
      <c r="L102" s="14">
        <f>+J102+K102</f>
        <v>23700.451888734984</v>
      </c>
      <c r="M102" s="31">
        <f>SUM(J102:$J$146)*0.03%</f>
        <v>256.6368482195831</v>
      </c>
      <c r="N102" s="31">
        <v>100</v>
      </c>
      <c r="O102" s="31"/>
      <c r="P102" s="13"/>
      <c r="Q102" s="13"/>
      <c r="R102" s="13"/>
      <c r="S102" s="13"/>
      <c r="T102" s="13"/>
      <c r="U102" s="13"/>
      <c r="V102" s="13">
        <f t="shared" si="27"/>
        <v>10</v>
      </c>
      <c r="W102" s="14">
        <f t="shared" si="28"/>
        <v>-24029.135413421605</v>
      </c>
      <c r="X102" s="13"/>
      <c r="Y102" s="13">
        <f t="shared" si="29"/>
        <v>10</v>
      </c>
      <c r="Z102" s="14">
        <f t="shared" si="30"/>
        <v>698671.17015418503</v>
      </c>
      <c r="AA102" s="14">
        <f t="shared" si="24"/>
        <v>10715.189122017864</v>
      </c>
      <c r="AB102" s="44">
        <f t="shared" si="31"/>
        <v>-24029.135413421605</v>
      </c>
      <c r="AC102" s="32">
        <f t="shared" si="32"/>
        <v>685357.22386278131</v>
      </c>
      <c r="AD102" s="13"/>
      <c r="AE102" s="13" t="s">
        <v>67</v>
      </c>
      <c r="AF102" s="13"/>
      <c r="AG102" s="13"/>
      <c r="AH102" s="14">
        <f>+AA95</f>
        <v>12062.639063800436</v>
      </c>
      <c r="AI102" s="13"/>
      <c r="AJ102" s="13"/>
      <c r="AK102" s="13"/>
    </row>
    <row r="103" spans="9:37" x14ac:dyDescent="0.35">
      <c r="I103" s="13">
        <f>+I102+1</f>
        <v>5</v>
      </c>
      <c r="J103" s="14">
        <f>-PPMT($N$92,I103,$N$93,$N$91,0,0)</f>
        <v>15297.349184229703</v>
      </c>
      <c r="K103" s="14">
        <f>-IPMT($N$92,I103,$N$93,$N$91,0,0)</f>
        <v>8403.1027045052851</v>
      </c>
      <c r="L103" s="14">
        <f>+J103+K103</f>
        <v>23700.451888734988</v>
      </c>
      <c r="M103" s="31">
        <f>SUM(J103:$J$146)*0.03%</f>
        <v>252.09308113515846</v>
      </c>
      <c r="N103" s="31">
        <v>100</v>
      </c>
      <c r="O103" s="31"/>
      <c r="P103" s="13"/>
      <c r="Q103" s="13"/>
      <c r="R103" s="13"/>
      <c r="S103" s="13"/>
      <c r="T103" s="13"/>
      <c r="U103" s="13"/>
      <c r="V103" s="13">
        <f t="shared" si="27"/>
        <v>11</v>
      </c>
      <c r="W103" s="14">
        <f t="shared" si="28"/>
        <v>-24024.312113101849</v>
      </c>
      <c r="X103" s="13"/>
      <c r="Y103" s="13">
        <f t="shared" si="29"/>
        <v>11</v>
      </c>
      <c r="Z103" s="14">
        <f t="shared" si="30"/>
        <v>685357.22386278131</v>
      </c>
      <c r="AA103" s="14">
        <f t="shared" si="24"/>
        <v>10510.999427971527</v>
      </c>
      <c r="AB103" s="44">
        <f t="shared" si="31"/>
        <v>-24024.312113101849</v>
      </c>
      <c r="AC103" s="32">
        <f t="shared" si="32"/>
        <v>671843.91117765103</v>
      </c>
      <c r="AD103" s="13"/>
      <c r="AE103" s="13" t="s">
        <v>47</v>
      </c>
      <c r="AF103" s="13"/>
      <c r="AG103" s="13"/>
      <c r="AH103" s="13"/>
      <c r="AI103" s="14">
        <f>-AB95</f>
        <v>24061.587516246076</v>
      </c>
      <c r="AJ103" s="13"/>
      <c r="AK103" s="13"/>
    </row>
    <row r="104" spans="9:37" x14ac:dyDescent="0.35">
      <c r="I104" s="13">
        <f t="shared" ref="I104:I146" si="33">+I103+1</f>
        <v>6</v>
      </c>
      <c r="J104" s="14">
        <f>-PPMT($N$92,I104,$N$93,$N$91,0,0)</f>
        <v>15450.322676071999</v>
      </c>
      <c r="K104" s="14">
        <f>-IPMT($N$92,I104,$N$93,$N$91,0,0)</f>
        <v>8250.1292126629869</v>
      </c>
      <c r="L104" s="14">
        <f t="shared" ref="L104:L126" si="34">+J104+K104</f>
        <v>23700.451888734984</v>
      </c>
      <c r="M104" s="31">
        <f>SUM(J104:$J$146)*0.03%</f>
        <v>247.50387637988953</v>
      </c>
      <c r="N104" s="31">
        <v>100</v>
      </c>
      <c r="O104" s="31"/>
      <c r="P104" s="13"/>
      <c r="Q104" s="13"/>
      <c r="R104" s="13"/>
      <c r="S104" s="13"/>
      <c r="T104" s="13"/>
      <c r="U104" s="13"/>
      <c r="V104" s="13">
        <f t="shared" si="27"/>
        <v>12</v>
      </c>
      <c r="W104" s="14">
        <f t="shared" si="28"/>
        <v>-24019.440579778897</v>
      </c>
      <c r="X104" s="13"/>
      <c r="Y104" s="13">
        <f t="shared" si="29"/>
        <v>12</v>
      </c>
      <c r="Z104" s="14">
        <f t="shared" si="30"/>
        <v>671843.91117765103</v>
      </c>
      <c r="AA104" s="14">
        <f t="shared" si="24"/>
        <v>10303.752145885765</v>
      </c>
      <c r="AB104" s="44">
        <f t="shared" si="31"/>
        <v>-24019.440579778897</v>
      </c>
      <c r="AC104" s="32">
        <f t="shared" si="32"/>
        <v>658128.22274375788</v>
      </c>
      <c r="AD104" s="13"/>
      <c r="AE104" s="25" t="s">
        <v>65</v>
      </c>
      <c r="AF104" s="13"/>
      <c r="AG104" s="13"/>
      <c r="AH104" s="22" t="s">
        <v>49</v>
      </c>
      <c r="AI104" s="22" t="s">
        <v>50</v>
      </c>
      <c r="AJ104" s="22" t="s">
        <v>62</v>
      </c>
      <c r="AK104" s="13"/>
    </row>
    <row r="105" spans="9:37" x14ac:dyDescent="0.35">
      <c r="I105" s="13">
        <f t="shared" si="33"/>
        <v>7</v>
      </c>
      <c r="J105" s="14">
        <f>-PPMT($N$92,I105,$N$93,$N$91,0,0)</f>
        <v>15604.825902832719</v>
      </c>
      <c r="K105" s="14">
        <f>-IPMT($N$92,I105,$N$93,$N$91,0,0)</f>
        <v>8095.6259859022675</v>
      </c>
      <c r="L105" s="14">
        <f t="shared" si="34"/>
        <v>23700.451888734988</v>
      </c>
      <c r="M105" s="31">
        <f>SUM(J105:$J$146)*0.03%</f>
        <v>242.86877957706793</v>
      </c>
      <c r="N105" s="31">
        <v>100</v>
      </c>
      <c r="O105" s="31"/>
      <c r="P105" s="13"/>
      <c r="Q105" s="13"/>
      <c r="R105" s="13"/>
      <c r="S105" s="13"/>
      <c r="T105" s="13"/>
      <c r="U105" s="13"/>
      <c r="V105" s="13">
        <f t="shared" si="27"/>
        <v>13</v>
      </c>
      <c r="W105" s="14">
        <f t="shared" si="28"/>
        <v>-24014.520331122716</v>
      </c>
      <c r="X105" s="13"/>
      <c r="Y105" s="13">
        <f t="shared" si="29"/>
        <v>13</v>
      </c>
      <c r="Z105" s="14">
        <f t="shared" si="30"/>
        <v>658128.22274375788</v>
      </c>
      <c r="AA105" s="14">
        <f t="shared" si="24"/>
        <v>10093.401122706426</v>
      </c>
      <c r="AB105" s="44">
        <f t="shared" si="31"/>
        <v>-24014.520331122716</v>
      </c>
      <c r="AC105" s="32">
        <f t="shared" si="32"/>
        <v>644207.10353534168</v>
      </c>
      <c r="AD105" s="13"/>
      <c r="AE105" s="13" t="s">
        <v>48</v>
      </c>
      <c r="AF105" s="13"/>
      <c r="AG105" s="13"/>
      <c r="AH105" s="14">
        <f>+AI107-AH106</f>
        <v>12178.471867607819</v>
      </c>
      <c r="AI105" s="13"/>
      <c r="AJ105" s="32">
        <f>+AJ101-AH105</f>
        <v>762352.62164955796</v>
      </c>
      <c r="AK105" s="13"/>
    </row>
    <row r="106" spans="9:37" x14ac:dyDescent="0.35">
      <c r="I106" s="13">
        <f t="shared" si="33"/>
        <v>8</v>
      </c>
      <c r="J106" s="14">
        <f>-PPMT($N$92,I106,$N$93,$N$91,0,0)</f>
        <v>15760.874161861047</v>
      </c>
      <c r="K106" s="14">
        <f>-IPMT($N$92,I106,$N$93,$N$91,0,0)</f>
        <v>7939.5777268739421</v>
      </c>
      <c r="L106" s="14">
        <f t="shared" si="34"/>
        <v>23700.451888734991</v>
      </c>
      <c r="M106" s="31">
        <f>SUM(J106:$J$146)*0.03%</f>
        <v>238.18733180621814</v>
      </c>
      <c r="N106" s="31">
        <v>100</v>
      </c>
      <c r="O106" s="31"/>
      <c r="P106" s="13"/>
      <c r="Q106" s="13"/>
      <c r="R106" s="13"/>
      <c r="S106" s="13"/>
      <c r="T106" s="13"/>
      <c r="U106" s="13"/>
      <c r="V106" s="13">
        <f t="shared" si="27"/>
        <v>14</v>
      </c>
      <c r="W106" s="14">
        <f t="shared" si="28"/>
        <v>-24009.550879979972</v>
      </c>
      <c r="X106" s="13"/>
      <c r="Y106" s="13">
        <f t="shared" si="29"/>
        <v>14</v>
      </c>
      <c r="Z106" s="14">
        <f t="shared" si="30"/>
        <v>644207.10353534168</v>
      </c>
      <c r="AA106" s="14">
        <f t="shared" si="24"/>
        <v>9879.8995049490823</v>
      </c>
      <c r="AB106" s="44">
        <f t="shared" si="31"/>
        <v>-24009.550879979972</v>
      </c>
      <c r="AC106" s="32">
        <f t="shared" si="32"/>
        <v>630077.45216031082</v>
      </c>
      <c r="AD106" s="13"/>
      <c r="AE106" s="13" t="s">
        <v>67</v>
      </c>
      <c r="AF106" s="13"/>
      <c r="AG106" s="13"/>
      <c r="AH106" s="14">
        <f>+AA96</f>
        <v>11878.616869346748</v>
      </c>
      <c r="AI106" s="13"/>
      <c r="AJ106" s="13"/>
      <c r="AK106" s="13"/>
    </row>
    <row r="107" spans="9:37" x14ac:dyDescent="0.35">
      <c r="I107" s="13">
        <f t="shared" si="33"/>
        <v>9</v>
      </c>
      <c r="J107" s="14">
        <f>-PPMT($N$92,I107,$N$93,$N$91,0,0)</f>
        <v>15918.482903479657</v>
      </c>
      <c r="K107" s="14">
        <f>-IPMT($N$92,I107,$N$93,$N$91,0,0)</f>
        <v>7781.9689852553292</v>
      </c>
      <c r="L107" s="14">
        <f t="shared" si="34"/>
        <v>23700.451888734984</v>
      </c>
      <c r="M107" s="31">
        <f>SUM(J107:$J$146)*0.03%</f>
        <v>233.45906955765977</v>
      </c>
      <c r="N107" s="31">
        <v>100</v>
      </c>
      <c r="O107" s="31"/>
      <c r="P107" s="13"/>
      <c r="Q107" s="13"/>
      <c r="R107" s="13"/>
      <c r="S107" s="13"/>
      <c r="T107" s="13"/>
      <c r="U107" s="13"/>
      <c r="V107" s="13">
        <f t="shared" si="27"/>
        <v>15</v>
      </c>
      <c r="W107" s="14">
        <f t="shared" si="28"/>
        <v>-24004.531734325803</v>
      </c>
      <c r="X107" s="13"/>
      <c r="Y107" s="13">
        <f t="shared" si="29"/>
        <v>15</v>
      </c>
      <c r="Z107" s="14">
        <f t="shared" si="30"/>
        <v>630077.45216031082</v>
      </c>
      <c r="AA107" s="14">
        <f t="shared" si="24"/>
        <v>9663.1997280308169</v>
      </c>
      <c r="AB107" s="44">
        <f t="shared" si="31"/>
        <v>-24004.531734325803</v>
      </c>
      <c r="AC107" s="32">
        <f t="shared" si="32"/>
        <v>615736.12015401584</v>
      </c>
      <c r="AD107" s="13"/>
      <c r="AE107" s="13" t="s">
        <v>47</v>
      </c>
      <c r="AF107" s="13"/>
      <c r="AG107" s="13"/>
      <c r="AH107" s="13"/>
      <c r="AI107" s="14">
        <f>-AB96</f>
        <v>24057.088736954567</v>
      </c>
      <c r="AJ107" s="13"/>
      <c r="AK107" s="13"/>
    </row>
    <row r="108" spans="9:37" x14ac:dyDescent="0.35">
      <c r="I108" s="13">
        <f t="shared" si="33"/>
        <v>10</v>
      </c>
      <c r="J108" s="14">
        <f>-PPMT($N$92,I108,$N$93,$N$91,0,0)</f>
        <v>16077.667732514456</v>
      </c>
      <c r="K108" s="14">
        <f>-IPMT($N$92,I108,$N$93,$N$91,0,0)</f>
        <v>7622.7841562205331</v>
      </c>
      <c r="L108" s="14">
        <f t="shared" si="34"/>
        <v>23700.451888734988</v>
      </c>
      <c r="M108" s="31">
        <f>SUM(J108:$J$146)*0.03%</f>
        <v>228.6835246866159</v>
      </c>
      <c r="N108" s="31">
        <v>100</v>
      </c>
      <c r="O108" s="31"/>
      <c r="P108" s="13"/>
      <c r="Q108" s="13"/>
      <c r="R108" s="13"/>
      <c r="S108" s="13"/>
      <c r="T108" s="13"/>
      <c r="U108" s="13"/>
      <c r="V108" s="13">
        <f t="shared" si="27"/>
        <v>16</v>
      </c>
      <c r="W108" s="14">
        <f t="shared" si="28"/>
        <v>-23999.462397215091</v>
      </c>
      <c r="X108" s="13"/>
      <c r="Y108" s="13">
        <f t="shared" si="29"/>
        <v>16</v>
      </c>
      <c r="Z108" s="14">
        <f t="shared" si="30"/>
        <v>615736.12015401584</v>
      </c>
      <c r="AA108" s="14">
        <f t="shared" si="24"/>
        <v>9443.2535054391701</v>
      </c>
      <c r="AB108" s="44">
        <f t="shared" si="31"/>
        <v>-23999.462397215091</v>
      </c>
      <c r="AC108" s="32">
        <f t="shared" si="32"/>
        <v>601179.91126223991</v>
      </c>
      <c r="AD108" s="13"/>
      <c r="AE108" s="25" t="s">
        <v>66</v>
      </c>
      <c r="AF108" s="13"/>
      <c r="AG108" s="13"/>
      <c r="AH108" s="22" t="s">
        <v>49</v>
      </c>
      <c r="AI108" s="22" t="s">
        <v>50</v>
      </c>
      <c r="AJ108" s="22" t="s">
        <v>62</v>
      </c>
      <c r="AK108" s="13"/>
    </row>
    <row r="109" spans="9:37" x14ac:dyDescent="0.35">
      <c r="I109" s="13">
        <f t="shared" si="33"/>
        <v>11</v>
      </c>
      <c r="J109" s="14">
        <f>-PPMT($N$92,I109,$N$93,$N$91,0,0)</f>
        <v>16238.4444098396</v>
      </c>
      <c r="K109" s="14">
        <f>-IPMT($N$92,I109,$N$93,$N$91,0,0)</f>
        <v>7462.0074788953889</v>
      </c>
      <c r="L109" s="14">
        <f t="shared" si="34"/>
        <v>23700.451888734988</v>
      </c>
      <c r="M109" s="31">
        <f>SUM(J109:$J$146)*0.03%</f>
        <v>223.86022436686159</v>
      </c>
      <c r="N109" s="31">
        <v>100</v>
      </c>
      <c r="O109" s="31"/>
      <c r="P109" s="13"/>
      <c r="Q109" s="13"/>
      <c r="R109" s="13"/>
      <c r="S109" s="13"/>
      <c r="T109" s="13"/>
      <c r="U109" s="13"/>
      <c r="V109" s="13">
        <f t="shared" si="27"/>
        <v>17</v>
      </c>
      <c r="W109" s="14">
        <f t="shared" si="28"/>
        <v>-23994.342366733268</v>
      </c>
      <c r="X109" s="13"/>
      <c r="Y109" s="13">
        <f t="shared" si="29"/>
        <v>17</v>
      </c>
      <c r="Z109" s="14">
        <f t="shared" si="30"/>
        <v>601179.91126223991</v>
      </c>
      <c r="AA109" s="14">
        <f t="shared" si="24"/>
        <v>9220.0118177357017</v>
      </c>
      <c r="AB109" s="44">
        <f t="shared" si="31"/>
        <v>-23994.342366733268</v>
      </c>
      <c r="AC109" s="32">
        <f t="shared" si="32"/>
        <v>586405.58071324241</v>
      </c>
      <c r="AD109" s="13"/>
      <c r="AE109" s="13" t="s">
        <v>48</v>
      </c>
      <c r="AF109" s="13"/>
      <c r="AG109" s="13"/>
      <c r="AH109" s="14">
        <f>+AI111-AH110</f>
        <v>12360.703560644064</v>
      </c>
      <c r="AI109" s="13"/>
      <c r="AJ109" s="32">
        <f>+AJ105-AH109</f>
        <v>749991.9180889139</v>
      </c>
      <c r="AK109" s="13"/>
    </row>
    <row r="110" spans="9:37" x14ac:dyDescent="0.35">
      <c r="I110" s="13">
        <f t="shared" si="33"/>
        <v>12</v>
      </c>
      <c r="J110" s="14">
        <f>-PPMT($N$92,I110,$N$93,$N$91,0,0)</f>
        <v>16400.828853937994</v>
      </c>
      <c r="K110" s="14">
        <f>-IPMT($N$92,I110,$N$93,$N$91,0,0)</f>
        <v>7299.6230347969931</v>
      </c>
      <c r="L110" s="14">
        <f t="shared" si="34"/>
        <v>23700.451888734988</v>
      </c>
      <c r="M110" s="31">
        <f>SUM(J110:$J$146)*0.03%</f>
        <v>218.98869104390971</v>
      </c>
      <c r="N110" s="31">
        <v>100</v>
      </c>
      <c r="O110" s="31"/>
      <c r="P110" s="13"/>
      <c r="Q110" s="13"/>
      <c r="R110" s="13"/>
      <c r="S110" s="13"/>
      <c r="T110" s="13"/>
      <c r="U110" s="13"/>
      <c r="V110" s="13">
        <f t="shared" si="27"/>
        <v>18</v>
      </c>
      <c r="W110" s="14">
        <f t="shared" si="28"/>
        <v>-23989.171135946628</v>
      </c>
      <c r="X110" s="13"/>
      <c r="Y110" s="13">
        <f t="shared" si="29"/>
        <v>18</v>
      </c>
      <c r="Z110" s="14">
        <f t="shared" si="30"/>
        <v>586405.58071324241</v>
      </c>
      <c r="AA110" s="14">
        <f t="shared" si="24"/>
        <v>8993.4249013916688</v>
      </c>
      <c r="AB110" s="14">
        <f t="shared" si="31"/>
        <v>-23989.171135946628</v>
      </c>
      <c r="AC110" s="32">
        <f t="shared" si="32"/>
        <v>571409.83447868738</v>
      </c>
      <c r="AD110" s="13"/>
      <c r="AE110" s="13" t="s">
        <v>67</v>
      </c>
      <c r="AF110" s="13"/>
      <c r="AG110" s="13"/>
      <c r="AH110" s="14">
        <f>+AA97</f>
        <v>11691.841409226081</v>
      </c>
      <c r="AI110" s="13"/>
      <c r="AJ110" s="13"/>
      <c r="AK110" s="13"/>
    </row>
    <row r="111" spans="9:37" x14ac:dyDescent="0.35">
      <c r="I111" s="13">
        <f t="shared" si="33"/>
        <v>13</v>
      </c>
      <c r="J111" s="14">
        <f>-PPMT($N$92,I111,$N$93,$N$91,0,0)</f>
        <v>16564.837142477376</v>
      </c>
      <c r="K111" s="14">
        <f>-IPMT($N$92,I111,$N$93,$N$91,0,0)</f>
        <v>7135.6147462576128</v>
      </c>
      <c r="L111" s="14">
        <f t="shared" si="34"/>
        <v>23700.451888734988</v>
      </c>
      <c r="M111" s="31">
        <f>SUM(J111:$J$146)*0.03%</f>
        <v>214.06844238772828</v>
      </c>
      <c r="N111" s="31">
        <v>100</v>
      </c>
      <c r="O111" s="31"/>
      <c r="P111" s="13"/>
      <c r="Q111" s="13"/>
      <c r="R111" s="13"/>
      <c r="S111" s="13"/>
      <c r="T111" s="13"/>
      <c r="U111" s="13"/>
      <c r="V111" s="13">
        <f t="shared" si="27"/>
        <v>19</v>
      </c>
      <c r="W111" s="14">
        <f t="shared" si="28"/>
        <v>-23983.948192852131</v>
      </c>
      <c r="X111" s="13"/>
      <c r="Y111" s="13">
        <f t="shared" si="29"/>
        <v>19</v>
      </c>
      <c r="Z111" s="14">
        <f t="shared" si="30"/>
        <v>571409.83447868738</v>
      </c>
      <c r="AA111" s="14">
        <f t="shared" si="24"/>
        <v>8763.4422374532314</v>
      </c>
      <c r="AB111" s="14">
        <f t="shared" si="31"/>
        <v>-23983.948192852131</v>
      </c>
      <c r="AC111" s="32">
        <f t="shared" si="32"/>
        <v>556189.32852328848</v>
      </c>
      <c r="AD111" s="13"/>
      <c r="AE111" s="13" t="s">
        <v>47</v>
      </c>
      <c r="AF111" s="13"/>
      <c r="AG111" s="13"/>
      <c r="AH111" s="13"/>
      <c r="AI111" s="14">
        <f>-AB97</f>
        <v>24052.544969870145</v>
      </c>
      <c r="AJ111" s="13"/>
      <c r="AK111" s="13"/>
    </row>
    <row r="112" spans="9:37" x14ac:dyDescent="0.35">
      <c r="I112" s="13">
        <f t="shared" si="33"/>
        <v>14</v>
      </c>
      <c r="J112" s="14">
        <f>-PPMT($N$92,I112,$N$93,$N$91,0,0)</f>
        <v>16730.485513902149</v>
      </c>
      <c r="K112" s="14">
        <f>-IPMT($N$92,I112,$N$93,$N$91,0,0)</f>
        <v>6969.9663748328385</v>
      </c>
      <c r="L112" s="14">
        <f t="shared" si="34"/>
        <v>23700.451888734988</v>
      </c>
      <c r="M112" s="31">
        <f>SUM(J112:$J$146)*0.03%</f>
        <v>209.09899124498511</v>
      </c>
      <c r="N112" s="31">
        <v>100</v>
      </c>
      <c r="O112" s="31"/>
      <c r="P112" s="13"/>
      <c r="Q112" s="13"/>
      <c r="R112" s="13"/>
      <c r="S112" s="13"/>
      <c r="T112" s="13"/>
      <c r="U112" s="13"/>
      <c r="V112" s="13">
        <f t="shared" si="27"/>
        <v>20</v>
      </c>
      <c r="W112" s="14">
        <f t="shared" si="28"/>
        <v>-23978.673020326678</v>
      </c>
      <c r="X112" s="13"/>
      <c r="Y112" s="13">
        <f t="shared" si="29"/>
        <v>20</v>
      </c>
      <c r="Z112" s="14">
        <f t="shared" si="30"/>
        <v>556189.32852328848</v>
      </c>
      <c r="AA112" s="14">
        <f t="shared" si="24"/>
        <v>8530.0125400336183</v>
      </c>
      <c r="AB112" s="14">
        <f t="shared" si="31"/>
        <v>-23978.673020326678</v>
      </c>
      <c r="AC112" s="32">
        <f t="shared" si="32"/>
        <v>540740.6680429955</v>
      </c>
      <c r="AD112" s="13"/>
      <c r="AE112" s="13"/>
      <c r="AF112" s="13"/>
      <c r="AG112" s="13"/>
      <c r="AH112" s="13"/>
      <c r="AI112" s="13"/>
      <c r="AJ112" s="13"/>
      <c r="AK112" s="13"/>
    </row>
    <row r="113" spans="9:37" x14ac:dyDescent="0.35">
      <c r="I113" s="13">
        <f t="shared" si="33"/>
        <v>15</v>
      </c>
      <c r="J113" s="14">
        <f>-PPMT($N$92,I113,$N$93,$N$91,0,0)</f>
        <v>16897.790369041169</v>
      </c>
      <c r="K113" s="14">
        <f>-IPMT($N$92,I113,$N$93,$N$91,0,0)</f>
        <v>6802.6615196938183</v>
      </c>
      <c r="L113" s="14">
        <f t="shared" si="34"/>
        <v>23700.451888734988</v>
      </c>
      <c r="M113" s="31">
        <f>SUM(J113:$J$146)*0.03%</f>
        <v>204.07984559081447</v>
      </c>
      <c r="N113" s="31">
        <v>100</v>
      </c>
      <c r="O113" s="13"/>
      <c r="P113" s="13"/>
      <c r="Q113" s="13"/>
      <c r="R113" s="13"/>
      <c r="S113" s="13"/>
      <c r="T113" s="13"/>
      <c r="U113" s="13"/>
      <c r="V113" s="13">
        <f t="shared" si="27"/>
        <v>21</v>
      </c>
      <c r="W113" s="14">
        <f t="shared" si="28"/>
        <v>-23973.345096075976</v>
      </c>
      <c r="X113" s="13"/>
      <c r="Y113" s="13">
        <f t="shared" ref="Y113:Y132" si="35">+Y112+1</f>
        <v>21</v>
      </c>
      <c r="Z113" s="14">
        <f t="shared" ref="Z113:Z132" si="36">+AC112</f>
        <v>540740.6680429955</v>
      </c>
      <c r="AA113" s="14">
        <f t="shared" si="24"/>
        <v>8293.08374462955</v>
      </c>
      <c r="AB113" s="14">
        <f t="shared" ref="AB113:AB132" si="37">+W113</f>
        <v>-23973.345096075976</v>
      </c>
      <c r="AC113" s="32">
        <f t="shared" ref="AC113:AC132" si="38">+Z113+AA113+AB113</f>
        <v>525060.406691549</v>
      </c>
      <c r="AD113" s="13"/>
      <c r="AE113" s="43" t="s">
        <v>82</v>
      </c>
      <c r="AF113" s="43"/>
      <c r="AG113" s="43"/>
      <c r="AH113" s="43"/>
      <c r="AI113" s="43"/>
      <c r="AJ113" s="39">
        <f>+AJ109</f>
        <v>749991.9180889139</v>
      </c>
      <c r="AK113" s="13"/>
    </row>
    <row r="114" spans="9:37" x14ac:dyDescent="0.35">
      <c r="I114" s="13">
        <f t="shared" si="33"/>
        <v>16</v>
      </c>
      <c r="J114" s="14">
        <f>-PPMT($N$92,I114,$N$93,$N$91,0,0)</f>
        <v>17066.768272731581</v>
      </c>
      <c r="K114" s="14">
        <f>-IPMT($N$92,I114,$N$93,$N$91,0,0)</f>
        <v>6633.6836160034063</v>
      </c>
      <c r="L114" s="14">
        <f t="shared" si="34"/>
        <v>23700.451888734988</v>
      </c>
      <c r="M114" s="31">
        <f>SUM(J114:$J$146)*0.03%</f>
        <v>199.01050848010212</v>
      </c>
      <c r="N114" s="31">
        <v>100</v>
      </c>
      <c r="O114" s="13"/>
      <c r="P114" s="13"/>
      <c r="Q114" s="13"/>
      <c r="R114" s="13"/>
      <c r="S114" s="13"/>
      <c r="T114" s="13"/>
      <c r="U114" s="13"/>
      <c r="V114" s="13">
        <f t="shared" si="27"/>
        <v>22</v>
      </c>
      <c r="W114" s="14">
        <f t="shared" si="28"/>
        <v>-23967.963892582764</v>
      </c>
      <c r="X114" s="13"/>
      <c r="Y114" s="13">
        <f t="shared" si="35"/>
        <v>22</v>
      </c>
      <c r="Z114" s="14">
        <f t="shared" si="36"/>
        <v>525060.406691549</v>
      </c>
      <c r="AA114" s="14">
        <f t="shared" si="24"/>
        <v>8052.6029962592711</v>
      </c>
      <c r="AB114" s="14">
        <f t="shared" si="37"/>
        <v>-23967.963892582764</v>
      </c>
      <c r="AC114" s="32">
        <f t="shared" si="38"/>
        <v>509145.04579522548</v>
      </c>
      <c r="AD114" s="13"/>
      <c r="AE114" s="13"/>
      <c r="AF114" s="13" t="s">
        <v>83</v>
      </c>
      <c r="AG114" s="13"/>
      <c r="AH114" s="14">
        <f>-NPV(W141,AB98:AB109)</f>
        <v>261476.84102043763</v>
      </c>
      <c r="AI114" s="13"/>
      <c r="AJ114" s="13"/>
      <c r="AK114" s="13"/>
    </row>
    <row r="115" spans="9:37" x14ac:dyDescent="0.35">
      <c r="I115" s="13">
        <f t="shared" si="33"/>
        <v>17</v>
      </c>
      <c r="J115" s="14">
        <f>-PPMT($N$92,I115,$N$93,$N$91,0,0)</f>
        <v>17237.435955458895</v>
      </c>
      <c r="K115" s="14">
        <f>-IPMT($N$92,I115,$N$93,$N$91,0,0)</f>
        <v>6463.0159332760886</v>
      </c>
      <c r="L115" s="14">
        <f t="shared" si="34"/>
        <v>23700.451888734984</v>
      </c>
      <c r="M115" s="31">
        <f>SUM(J115:$J$146)*0.03%</f>
        <v>193.89047799828268</v>
      </c>
      <c r="N115" s="31">
        <v>100</v>
      </c>
      <c r="O115" s="13"/>
      <c r="P115" s="13"/>
      <c r="Q115" s="13"/>
      <c r="R115" s="13"/>
      <c r="S115" s="13"/>
      <c r="T115" s="13"/>
      <c r="U115" s="13"/>
      <c r="V115" s="13">
        <f t="shared" si="27"/>
        <v>23</v>
      </c>
      <c r="W115" s="14">
        <f t="shared" si="28"/>
        <v>-23962.528877054621</v>
      </c>
      <c r="X115" s="13"/>
      <c r="Y115" s="13">
        <f t="shared" si="35"/>
        <v>23</v>
      </c>
      <c r="Z115" s="14">
        <f t="shared" si="36"/>
        <v>509145.04579522548</v>
      </c>
      <c r="AA115" s="14">
        <f t="shared" si="24"/>
        <v>7808.516637419475</v>
      </c>
      <c r="AB115" s="14">
        <f t="shared" si="37"/>
        <v>-23962.528877054621</v>
      </c>
      <c r="AC115" s="32">
        <f t="shared" si="38"/>
        <v>492991.03355559031</v>
      </c>
      <c r="AD115" s="13"/>
      <c r="AE115" s="13"/>
      <c r="AF115" s="13" t="s">
        <v>84</v>
      </c>
      <c r="AG115" s="13"/>
      <c r="AH115" s="14">
        <f>+AJ113-AH114</f>
        <v>488515.07706847624</v>
      </c>
      <c r="AI115" s="13"/>
      <c r="AJ115" s="13"/>
      <c r="AK115" s="13"/>
    </row>
    <row r="116" spans="9:37" x14ac:dyDescent="0.35">
      <c r="I116" s="13">
        <f t="shared" si="33"/>
        <v>18</v>
      </c>
      <c r="J116" s="14">
        <f>-PPMT($N$92,I116,$N$93,$N$91,0,0)</f>
        <v>17409.810315013485</v>
      </c>
      <c r="K116" s="14">
        <f>-IPMT($N$92,I116,$N$93,$N$91,0,0)</f>
        <v>6290.6415737215011</v>
      </c>
      <c r="L116" s="14">
        <f t="shared" si="34"/>
        <v>23700.451888734984</v>
      </c>
      <c r="M116" s="31">
        <f>SUM(J116:$J$146)*0.03%</f>
        <v>188.71924721164501</v>
      </c>
      <c r="N116" s="31">
        <v>100</v>
      </c>
      <c r="O116" s="13"/>
      <c r="P116" s="13"/>
      <c r="Q116" s="13"/>
      <c r="R116" s="13"/>
      <c r="S116" s="13"/>
      <c r="T116" s="13"/>
      <c r="U116" s="13"/>
      <c r="V116" s="13">
        <f t="shared" si="27"/>
        <v>24</v>
      </c>
      <c r="W116" s="14">
        <f t="shared" si="28"/>
        <v>-23957.039511371204</v>
      </c>
      <c r="X116" s="13"/>
      <c r="Y116" s="13">
        <f t="shared" si="35"/>
        <v>24</v>
      </c>
      <c r="Z116" s="14">
        <f t="shared" si="36"/>
        <v>492991.03355559031</v>
      </c>
      <c r="AA116" s="14">
        <f t="shared" si="24"/>
        <v>7560.7701958582993</v>
      </c>
      <c r="AB116" s="14">
        <f t="shared" si="37"/>
        <v>-23957.039511371204</v>
      </c>
      <c r="AC116" s="32">
        <f t="shared" si="38"/>
        <v>476594.76424007741</v>
      </c>
      <c r="AD116" s="13"/>
      <c r="AE116" s="13"/>
      <c r="AF116" s="6"/>
      <c r="AG116" s="6"/>
      <c r="AH116" s="45">
        <f>+AH114+AH115</f>
        <v>749991.9180889139</v>
      </c>
      <c r="AI116" s="13"/>
      <c r="AJ116" s="13"/>
      <c r="AK116" s="13"/>
    </row>
    <row r="117" spans="9:37" x14ac:dyDescent="0.35">
      <c r="I117" s="13">
        <f t="shared" si="33"/>
        <v>19</v>
      </c>
      <c r="J117" s="14">
        <f>-PPMT($N$92,I117,$N$93,$N$91,0,0)</f>
        <v>17583.908418163624</v>
      </c>
      <c r="K117" s="14">
        <f>-IPMT($N$92,I117,$N$93,$N$91,0,0)</f>
        <v>6116.5434705713651</v>
      </c>
      <c r="L117" s="14">
        <f t="shared" si="34"/>
        <v>23700.451888734991</v>
      </c>
      <c r="M117" s="31">
        <f>SUM(J117:$J$146)*0.03%</f>
        <v>183.49630411714097</v>
      </c>
      <c r="N117" s="31">
        <v>100</v>
      </c>
      <c r="O117" s="13"/>
      <c r="P117" s="13"/>
      <c r="Q117" s="13"/>
      <c r="R117" s="13"/>
      <c r="S117" s="13"/>
      <c r="T117" s="13"/>
      <c r="U117" s="13"/>
      <c r="V117" s="13">
        <f t="shared" si="27"/>
        <v>25</v>
      </c>
      <c r="W117" s="14">
        <f t="shared" si="28"/>
        <v>-23951.495252030942</v>
      </c>
      <c r="X117" s="13"/>
      <c r="Y117" s="13">
        <f t="shared" si="35"/>
        <v>25</v>
      </c>
      <c r="Z117" s="14">
        <f t="shared" si="36"/>
        <v>476594.76424007741</v>
      </c>
      <c r="AA117" s="14">
        <f t="shared" si="24"/>
        <v>7309.3083721616276</v>
      </c>
      <c r="AB117" s="14">
        <f t="shared" si="37"/>
        <v>-23951.495252030942</v>
      </c>
      <c r="AC117" s="32">
        <f t="shared" si="38"/>
        <v>459952.57736020809</v>
      </c>
      <c r="AD117" s="13"/>
      <c r="AE117" s="13"/>
      <c r="AF117" s="13"/>
      <c r="AG117" s="13"/>
      <c r="AH117" s="13"/>
      <c r="AI117" s="13"/>
      <c r="AJ117" s="13"/>
      <c r="AK117" s="13"/>
    </row>
    <row r="118" spans="9:37" x14ac:dyDescent="0.35">
      <c r="I118" s="13">
        <f t="shared" si="33"/>
        <v>20</v>
      </c>
      <c r="J118" s="14">
        <f>-PPMT($N$92,I118,$N$93,$N$91,0,0)</f>
        <v>17759.747502345257</v>
      </c>
      <c r="K118" s="14">
        <f>-IPMT($N$92,I118,$N$93,$N$91,0,0)</f>
        <v>5940.7043863897306</v>
      </c>
      <c r="L118" s="14">
        <f t="shared" si="34"/>
        <v>23700.451888734988</v>
      </c>
      <c r="M118" s="31">
        <f>SUM(J118:$J$146)*0.03%</f>
        <v>178.22113159169186</v>
      </c>
      <c r="N118" s="31">
        <v>100</v>
      </c>
      <c r="O118" s="13"/>
      <c r="P118" s="13"/>
      <c r="Q118" s="13"/>
      <c r="R118" s="13"/>
      <c r="S118" s="13"/>
      <c r="T118" s="13"/>
      <c r="U118" s="13"/>
      <c r="V118" s="13">
        <f t="shared" si="27"/>
        <v>26</v>
      </c>
      <c r="W118" s="14">
        <f t="shared" si="28"/>
        <v>-23945.895550097281</v>
      </c>
      <c r="X118" s="13"/>
      <c r="Y118" s="13">
        <f t="shared" si="35"/>
        <v>26</v>
      </c>
      <c r="Z118" s="14">
        <f t="shared" si="36"/>
        <v>459952.57736020809</v>
      </c>
      <c r="AA118" s="14">
        <f t="shared" si="24"/>
        <v>7054.0750271498227</v>
      </c>
      <c r="AB118" s="14">
        <f t="shared" si="37"/>
        <v>-23945.895550097281</v>
      </c>
      <c r="AC118" s="32">
        <f t="shared" si="38"/>
        <v>443060.75683726062</v>
      </c>
      <c r="AD118" s="13"/>
      <c r="AE118" s="13"/>
      <c r="AF118" s="13"/>
      <c r="AG118" s="13"/>
      <c r="AH118" s="13"/>
      <c r="AI118" s="13"/>
      <c r="AJ118" s="13"/>
      <c r="AK118" s="13"/>
    </row>
    <row r="119" spans="9:37" x14ac:dyDescent="0.35">
      <c r="I119" s="13">
        <f t="shared" si="33"/>
        <v>21</v>
      </c>
      <c r="J119" s="14">
        <f>-PPMT($N$92,I119,$N$93,$N$91,0,0)</f>
        <v>17937.34497736871</v>
      </c>
      <c r="K119" s="14">
        <f>-IPMT($N$92,I119,$N$93,$N$91,0,0)</f>
        <v>5763.1069113662779</v>
      </c>
      <c r="L119" s="14">
        <f t="shared" si="34"/>
        <v>23700.451888734988</v>
      </c>
      <c r="M119" s="31">
        <f>SUM(J119:$J$146)*0.03%</f>
        <v>172.89320734098828</v>
      </c>
      <c r="N119" s="31">
        <v>100</v>
      </c>
      <c r="O119" s="13"/>
      <c r="P119" s="13"/>
      <c r="Q119" s="13"/>
      <c r="R119" s="13"/>
      <c r="S119" s="13"/>
      <c r="T119" s="13"/>
      <c r="U119" s="13"/>
      <c r="V119" s="13">
        <f t="shared" si="27"/>
        <v>27</v>
      </c>
      <c r="W119" s="14">
        <f t="shared" si="28"/>
        <v>-23940.239851144284</v>
      </c>
      <c r="X119" s="13"/>
      <c r="Y119" s="13">
        <f t="shared" si="35"/>
        <v>27</v>
      </c>
      <c r="Z119" s="14">
        <f t="shared" si="36"/>
        <v>443060.75683726062</v>
      </c>
      <c r="AA119" s="14">
        <f t="shared" si="24"/>
        <v>6795.0131690819981</v>
      </c>
      <c r="AB119" s="14">
        <f t="shared" si="37"/>
        <v>-23940.239851144284</v>
      </c>
      <c r="AC119" s="32">
        <f t="shared" si="38"/>
        <v>425915.53015519836</v>
      </c>
      <c r="AD119" s="13"/>
      <c r="AE119" s="13"/>
      <c r="AF119" s="13"/>
      <c r="AG119" s="13"/>
      <c r="AH119" s="13"/>
      <c r="AI119" s="13"/>
      <c r="AJ119" s="13"/>
      <c r="AK119" s="13"/>
    </row>
    <row r="120" spans="9:37" x14ac:dyDescent="0.35">
      <c r="I120" s="13">
        <f t="shared" si="33"/>
        <v>22</v>
      </c>
      <c r="J120" s="14">
        <f>-PPMT($N$92,I120,$N$93,$N$91,0,0)</f>
        <v>18116.718427142398</v>
      </c>
      <c r="K120" s="14">
        <f>-IPMT($N$92,I120,$N$93,$N$91,0,0)</f>
        <v>5583.7334615925902</v>
      </c>
      <c r="L120" s="14">
        <f t="shared" si="34"/>
        <v>23700.451888734988</v>
      </c>
      <c r="M120" s="31">
        <f>SUM(J120:$J$146)*0.03%</f>
        <v>167.51200384777769</v>
      </c>
      <c r="N120" s="31">
        <v>100</v>
      </c>
      <c r="O120" s="13"/>
      <c r="P120" s="13"/>
      <c r="Q120" s="13"/>
      <c r="R120" s="13"/>
      <c r="S120" s="13"/>
      <c r="T120" s="13"/>
      <c r="U120" s="13"/>
      <c r="V120" s="13">
        <f t="shared" ref="V120:V135" si="39">+V119+1</f>
        <v>28</v>
      </c>
      <c r="W120" s="14">
        <f t="shared" ref="W120:W135" si="40">-L126-M126-N126</f>
        <v>-23934.527595201751</v>
      </c>
      <c r="X120" s="13"/>
      <c r="Y120" s="13">
        <f t="shared" si="35"/>
        <v>28</v>
      </c>
      <c r="Z120" s="14">
        <f t="shared" si="36"/>
        <v>425915.53015519836</v>
      </c>
      <c r="AA120" s="14">
        <f t="shared" si="24"/>
        <v>6532.0649406648708</v>
      </c>
      <c r="AB120" s="14">
        <f t="shared" si="37"/>
        <v>-23934.527595201751</v>
      </c>
      <c r="AC120" s="32">
        <f t="shared" si="38"/>
        <v>408513.06750066148</v>
      </c>
      <c r="AD120" s="13"/>
      <c r="AE120" s="13"/>
      <c r="AF120" s="13"/>
      <c r="AG120" s="13"/>
      <c r="AH120" s="13"/>
      <c r="AI120" s="13"/>
      <c r="AJ120" s="13"/>
      <c r="AK120" s="13"/>
    </row>
    <row r="121" spans="9:37" x14ac:dyDescent="0.35">
      <c r="I121" s="13">
        <f t="shared" si="33"/>
        <v>23</v>
      </c>
      <c r="J121" s="14">
        <f>-PPMT($N$92,I121,$N$93,$N$91,0,0)</f>
        <v>18297.885611413822</v>
      </c>
      <c r="K121" s="14">
        <f>-IPMT($N$92,I121,$N$93,$N$91,0,0)</f>
        <v>5402.566277321167</v>
      </c>
      <c r="L121" s="14">
        <f t="shared" si="34"/>
        <v>23700.451888734988</v>
      </c>
      <c r="M121" s="31">
        <f>SUM(J121:$J$146)*0.03%</f>
        <v>162.07698831963492</v>
      </c>
      <c r="N121" s="31">
        <v>100</v>
      </c>
      <c r="O121" s="13"/>
      <c r="P121" s="13"/>
      <c r="Q121" s="13"/>
      <c r="R121" s="13"/>
      <c r="S121" s="13"/>
      <c r="T121" s="13"/>
      <c r="U121" s="13"/>
      <c r="V121" s="13">
        <f t="shared" si="39"/>
        <v>29</v>
      </c>
      <c r="W121" s="14">
        <f t="shared" si="40"/>
        <v>-23928.758216699796</v>
      </c>
      <c r="X121" s="13"/>
      <c r="Y121" s="13">
        <f t="shared" si="35"/>
        <v>29</v>
      </c>
      <c r="Z121" s="14">
        <f t="shared" si="36"/>
        <v>408513.06750066148</v>
      </c>
      <c r="AA121" s="14">
        <f t="shared" si="24"/>
        <v>6265.1716058632292</v>
      </c>
      <c r="AB121" s="14">
        <f t="shared" si="37"/>
        <v>-23928.758216699796</v>
      </c>
      <c r="AC121" s="32">
        <f t="shared" si="38"/>
        <v>390849.48088982486</v>
      </c>
      <c r="AD121" s="13"/>
      <c r="AE121" s="13"/>
      <c r="AF121" s="13"/>
      <c r="AG121" s="13"/>
      <c r="AH121" s="13"/>
      <c r="AI121" s="13"/>
      <c r="AJ121" s="13"/>
      <c r="AK121" s="13"/>
    </row>
    <row r="122" spans="9:37" x14ac:dyDescent="0.35">
      <c r="I122" s="13">
        <f t="shared" si="33"/>
        <v>24</v>
      </c>
      <c r="J122" s="14">
        <f>-PPMT($N$92,I122,$N$93,$N$91,0,0)</f>
        <v>18480.864467527961</v>
      </c>
      <c r="K122" s="14">
        <f>-IPMT($N$92,I122,$N$93,$N$91,0,0)</f>
        <v>5219.5874212070285</v>
      </c>
      <c r="L122" s="14">
        <f t="shared" si="34"/>
        <v>23700.451888734991</v>
      </c>
      <c r="M122" s="31">
        <f>SUM(J122:$J$146)*0.03%</f>
        <v>156.58762263621082</v>
      </c>
      <c r="N122" s="31">
        <v>100</v>
      </c>
      <c r="O122" s="13"/>
      <c r="P122" s="13"/>
      <c r="Q122" s="13"/>
      <c r="R122" s="13"/>
      <c r="S122" s="13"/>
      <c r="T122" s="13"/>
      <c r="U122" s="13"/>
      <c r="V122" s="13">
        <f t="shared" si="39"/>
        <v>30</v>
      </c>
      <c r="W122" s="14">
        <f t="shared" si="40"/>
        <v>-23922.931144412829</v>
      </c>
      <c r="X122" s="13"/>
      <c r="Y122" s="13">
        <f t="shared" si="35"/>
        <v>30</v>
      </c>
      <c r="Z122" s="14">
        <f t="shared" si="36"/>
        <v>390849.48088982486</v>
      </c>
      <c r="AA122" s="14">
        <f t="shared" si="24"/>
        <v>5994.2735365089602</v>
      </c>
      <c r="AB122" s="14">
        <f t="shared" si="37"/>
        <v>-23922.931144412829</v>
      </c>
      <c r="AC122" s="32">
        <f t="shared" si="38"/>
        <v>372920.82328192098</v>
      </c>
      <c r="AD122" s="13"/>
      <c r="AE122" s="13"/>
      <c r="AF122" s="13"/>
      <c r="AG122" s="13"/>
      <c r="AH122" s="13"/>
      <c r="AI122" s="13"/>
      <c r="AJ122" s="13"/>
      <c r="AK122" s="13"/>
    </row>
    <row r="123" spans="9:37" x14ac:dyDescent="0.35">
      <c r="I123" s="13">
        <f t="shared" si="33"/>
        <v>25</v>
      </c>
      <c r="J123" s="14">
        <f>-PPMT($N$92,I123,$N$93,$N$91,0,0)</f>
        <v>18665.67311220324</v>
      </c>
      <c r="K123" s="14">
        <f>-IPMT($N$92,I123,$N$93,$N$91,0,0)</f>
        <v>5034.778776531748</v>
      </c>
      <c r="L123" s="14">
        <f t="shared" si="34"/>
        <v>23700.451888734988</v>
      </c>
      <c r="M123" s="31">
        <f>SUM(J123:$J$146)*0.03%</f>
        <v>151.04336329595242</v>
      </c>
      <c r="N123" s="31">
        <v>100</v>
      </c>
      <c r="O123" s="13"/>
      <c r="P123" s="13"/>
      <c r="Q123" s="13"/>
      <c r="R123" s="13"/>
      <c r="S123" s="13"/>
      <c r="T123" s="13"/>
      <c r="U123" s="13"/>
      <c r="V123" s="13">
        <f t="shared" si="39"/>
        <v>31</v>
      </c>
      <c r="W123" s="14">
        <f t="shared" si="40"/>
        <v>-23917.045801402986</v>
      </c>
      <c r="X123" s="13"/>
      <c r="Y123" s="13">
        <f t="shared" si="35"/>
        <v>31</v>
      </c>
      <c r="Z123" s="14">
        <f t="shared" si="36"/>
        <v>372920.82328192098</v>
      </c>
      <c r="AA123" s="14">
        <f t="shared" si="24"/>
        <v>5719.3101987055707</v>
      </c>
      <c r="AB123" s="14">
        <f t="shared" si="37"/>
        <v>-23917.045801402986</v>
      </c>
      <c r="AC123" s="32">
        <f t="shared" si="38"/>
        <v>354723.08767922356</v>
      </c>
      <c r="AD123" s="13"/>
      <c r="AE123" s="13"/>
      <c r="AF123" s="13"/>
      <c r="AG123" s="13"/>
      <c r="AH123" s="13"/>
      <c r="AI123" s="13"/>
      <c r="AJ123" s="13"/>
      <c r="AK123" s="13"/>
    </row>
    <row r="124" spans="9:37" x14ac:dyDescent="0.35">
      <c r="I124" s="13">
        <f t="shared" si="33"/>
        <v>26</v>
      </c>
      <c r="J124" s="14">
        <f>-PPMT($N$92,I124,$N$93,$N$91,0,0)</f>
        <v>18852.329843325271</v>
      </c>
      <c r="K124" s="14">
        <f>-IPMT($N$92,I124,$N$93,$N$91,0,0)</f>
        <v>4848.1220454097156</v>
      </c>
      <c r="L124" s="14">
        <f t="shared" si="34"/>
        <v>23700.451888734988</v>
      </c>
      <c r="M124" s="31">
        <f>SUM(J124:$J$146)*0.03%</f>
        <v>145.44366136229141</v>
      </c>
      <c r="N124" s="31">
        <v>100</v>
      </c>
      <c r="O124" s="13"/>
      <c r="P124" s="13"/>
      <c r="Q124" s="13"/>
      <c r="R124" s="13"/>
      <c r="S124" s="13"/>
      <c r="T124" s="13"/>
      <c r="U124" s="13"/>
      <c r="V124" s="13">
        <f t="shared" si="39"/>
        <v>32</v>
      </c>
      <c r="W124" s="14">
        <f t="shared" si="40"/>
        <v>-23911.101604963045</v>
      </c>
      <c r="X124" s="13"/>
      <c r="Y124" s="13">
        <f t="shared" si="35"/>
        <v>32</v>
      </c>
      <c r="Z124" s="14">
        <f t="shared" si="36"/>
        <v>354723.08767922356</v>
      </c>
      <c r="AA124" s="14">
        <f t="shared" si="24"/>
        <v>5440.2201390250648</v>
      </c>
      <c r="AB124" s="14">
        <f t="shared" si="37"/>
        <v>-23911.101604963045</v>
      </c>
      <c r="AC124" s="32">
        <f t="shared" si="38"/>
        <v>336252.20621328556</v>
      </c>
      <c r="AD124" s="13"/>
      <c r="AE124" s="13"/>
      <c r="AF124" s="13"/>
      <c r="AG124" s="13"/>
      <c r="AH124" s="13"/>
      <c r="AI124" s="13"/>
      <c r="AJ124" s="13"/>
      <c r="AK124" s="13"/>
    </row>
    <row r="125" spans="9:37" x14ac:dyDescent="0.35">
      <c r="I125" s="13">
        <f t="shared" si="33"/>
        <v>27</v>
      </c>
      <c r="J125" s="14">
        <f>-PPMT($N$92,I125,$N$93,$N$91,0,0)</f>
        <v>19040.853141758525</v>
      </c>
      <c r="K125" s="14">
        <f>-IPMT($N$92,I125,$N$93,$N$91,0,0)</f>
        <v>4659.5987469764641</v>
      </c>
      <c r="L125" s="14">
        <f t="shared" si="34"/>
        <v>23700.451888734991</v>
      </c>
      <c r="M125" s="31">
        <f>SUM(J125:$J$146)*0.03%</f>
        <v>139.78796240929387</v>
      </c>
      <c r="N125" s="31">
        <v>100</v>
      </c>
      <c r="O125" s="13"/>
      <c r="P125" s="13"/>
      <c r="Q125" s="13"/>
      <c r="R125" s="13"/>
      <c r="S125" s="13"/>
      <c r="T125" s="13"/>
      <c r="U125" s="13"/>
      <c r="V125" s="13">
        <f t="shared" si="39"/>
        <v>33</v>
      </c>
      <c r="W125" s="14">
        <f t="shared" si="40"/>
        <v>-23905.097966558711</v>
      </c>
      <c r="X125" s="13"/>
      <c r="Y125" s="13">
        <f t="shared" si="35"/>
        <v>33</v>
      </c>
      <c r="Z125" s="14">
        <f t="shared" si="36"/>
        <v>336252.20621328556</v>
      </c>
      <c r="AA125" s="14">
        <f t="shared" si="24"/>
        <v>5156.9409704940044</v>
      </c>
      <c r="AB125" s="14">
        <f t="shared" si="37"/>
        <v>-23905.097966558711</v>
      </c>
      <c r="AC125" s="32">
        <f t="shared" si="38"/>
        <v>317504.04921722086</v>
      </c>
      <c r="AD125" s="13"/>
      <c r="AE125" s="13"/>
      <c r="AF125" s="13"/>
      <c r="AG125" s="13"/>
      <c r="AH125" s="13"/>
      <c r="AI125" s="13"/>
      <c r="AJ125" s="13"/>
      <c r="AK125" s="13"/>
    </row>
    <row r="126" spans="9:37" x14ac:dyDescent="0.35">
      <c r="I126" s="13">
        <f t="shared" si="33"/>
        <v>28</v>
      </c>
      <c r="J126" s="14">
        <f>-PPMT($N$92,I126,$N$93,$N$91,0,0)</f>
        <v>19231.261673176108</v>
      </c>
      <c r="K126" s="14">
        <f>-IPMT($N$92,I126,$N$93,$N$91,0,0)</f>
        <v>4469.1902155588778</v>
      </c>
      <c r="L126" s="14">
        <f t="shared" si="34"/>
        <v>23700.451888734984</v>
      </c>
      <c r="M126" s="31">
        <f>SUM(J126:$J$146)*0.03%</f>
        <v>134.07570646676629</v>
      </c>
      <c r="N126" s="31">
        <v>100</v>
      </c>
      <c r="O126" s="13"/>
      <c r="P126" s="13"/>
      <c r="Q126" s="13"/>
      <c r="R126" s="13"/>
      <c r="S126" s="13"/>
      <c r="T126" s="13"/>
      <c r="U126" s="13"/>
      <c r="V126" s="13">
        <f t="shared" si="39"/>
        <v>34</v>
      </c>
      <c r="W126" s="14">
        <f t="shared" si="40"/>
        <v>-23899.03429177032</v>
      </c>
      <c r="X126" s="13"/>
      <c r="Y126" s="13">
        <f t="shared" si="35"/>
        <v>34</v>
      </c>
      <c r="Z126" s="14">
        <f t="shared" si="36"/>
        <v>317504.04921722086</v>
      </c>
      <c r="AA126" s="14">
        <f t="shared" si="24"/>
        <v>4869.4093583655376</v>
      </c>
      <c r="AB126" s="14">
        <f t="shared" si="37"/>
        <v>-23899.03429177032</v>
      </c>
      <c r="AC126" s="32">
        <f t="shared" si="38"/>
        <v>298474.42428381607</v>
      </c>
      <c r="AD126" s="13"/>
      <c r="AE126" s="13"/>
      <c r="AF126" s="13"/>
      <c r="AG126" s="13"/>
      <c r="AH126" s="13"/>
      <c r="AI126" s="13"/>
      <c r="AJ126" s="13"/>
      <c r="AK126" s="13"/>
    </row>
    <row r="127" spans="9:37" x14ac:dyDescent="0.35">
      <c r="I127" s="13">
        <f t="shared" si="33"/>
        <v>29</v>
      </c>
      <c r="J127" s="14">
        <f>-PPMT($N$92,I127,$N$93,$N$91,0,0)</f>
        <v>19423.574289907869</v>
      </c>
      <c r="K127" s="14">
        <f>-IPMT($N$92,I127,$N$93,$N$91,0,0)</f>
        <v>4276.8775988271173</v>
      </c>
      <c r="L127" s="14">
        <f t="shared" ref="L127:L146" si="41">+J127+K127</f>
        <v>23700.451888734984</v>
      </c>
      <c r="M127" s="31">
        <f>SUM(J127:$J$146)*0.03%</f>
        <v>128.30632796481345</v>
      </c>
      <c r="N127" s="31">
        <v>100</v>
      </c>
      <c r="O127" s="13"/>
      <c r="P127" s="13"/>
      <c r="Q127" s="13"/>
      <c r="R127" s="13"/>
      <c r="S127" s="13"/>
      <c r="T127" s="13"/>
      <c r="U127" s="13"/>
      <c r="V127" s="13">
        <f t="shared" si="39"/>
        <v>35</v>
      </c>
      <c r="W127" s="14">
        <f t="shared" si="40"/>
        <v>-23892.909980234057</v>
      </c>
      <c r="X127" s="13"/>
      <c r="Y127" s="13">
        <f t="shared" si="35"/>
        <v>35</v>
      </c>
      <c r="Z127" s="14">
        <f t="shared" si="36"/>
        <v>298474.42428381607</v>
      </c>
      <c r="AA127" s="14">
        <f t="shared" si="24"/>
        <v>4577.5610056740989</v>
      </c>
      <c r="AB127" s="14">
        <f t="shared" si="37"/>
        <v>-23892.909980234057</v>
      </c>
      <c r="AC127" s="32">
        <f t="shared" si="38"/>
        <v>279159.07530925615</v>
      </c>
      <c r="AD127" s="13"/>
      <c r="AE127" s="13"/>
      <c r="AF127" s="13"/>
      <c r="AG127" s="13"/>
      <c r="AH127" s="13"/>
      <c r="AI127" s="13"/>
      <c r="AJ127" s="13"/>
      <c r="AK127" s="13"/>
    </row>
    <row r="128" spans="9:37" x14ac:dyDescent="0.35">
      <c r="I128" s="13">
        <f t="shared" si="33"/>
        <v>30</v>
      </c>
      <c r="J128" s="14">
        <f>-PPMT($N$92,I128,$N$93,$N$91,0,0)</f>
        <v>19617.810032806949</v>
      </c>
      <c r="K128" s="14">
        <f>-IPMT($N$92,I128,$N$93,$N$91,0,0)</f>
        <v>4082.6418559280378</v>
      </c>
      <c r="L128" s="14">
        <f t="shared" si="41"/>
        <v>23700.451888734988</v>
      </c>
      <c r="M128" s="31">
        <f>SUM(J128:$J$146)*0.03%</f>
        <v>122.47925567784108</v>
      </c>
      <c r="N128" s="31">
        <v>100</v>
      </c>
      <c r="O128" s="13"/>
      <c r="P128" s="13"/>
      <c r="Q128" s="13"/>
      <c r="R128" s="13"/>
      <c r="S128" s="13"/>
      <c r="T128" s="13"/>
      <c r="U128" s="13"/>
      <c r="V128" s="13">
        <f t="shared" si="39"/>
        <v>36</v>
      </c>
      <c r="W128" s="14">
        <f t="shared" si="40"/>
        <v>-23886.724425582426</v>
      </c>
      <c r="X128" s="13"/>
      <c r="Y128" s="13">
        <f t="shared" si="35"/>
        <v>36</v>
      </c>
      <c r="Z128" s="14">
        <f t="shared" si="36"/>
        <v>279159.07530925615</v>
      </c>
      <c r="AA128" s="14">
        <f t="shared" si="24"/>
        <v>4281.3306385694859</v>
      </c>
      <c r="AB128" s="14">
        <f t="shared" si="37"/>
        <v>-23886.724425582426</v>
      </c>
      <c r="AC128" s="32">
        <f t="shared" si="38"/>
        <v>259553.68152224322</v>
      </c>
      <c r="AD128" s="13"/>
      <c r="AE128" s="13"/>
      <c r="AF128" s="13"/>
      <c r="AG128" s="13"/>
      <c r="AH128" s="13"/>
      <c r="AI128" s="13"/>
      <c r="AJ128" s="13"/>
      <c r="AK128" s="13"/>
    </row>
    <row r="129" spans="9:37" x14ac:dyDescent="0.35">
      <c r="I129" s="13">
        <f t="shared" si="33"/>
        <v>31</v>
      </c>
      <c r="J129" s="14">
        <f>-PPMT($N$92,I129,$N$93,$N$91,0,0)</f>
        <v>19813.988133135019</v>
      </c>
      <c r="K129" s="14">
        <f>-IPMT($N$92,I129,$N$93,$N$91,0,0)</f>
        <v>3886.4637555999684</v>
      </c>
      <c r="L129" s="14">
        <f t="shared" si="41"/>
        <v>23700.451888734988</v>
      </c>
      <c r="M129" s="31">
        <f>SUM(J129:$J$146)*0.03%</f>
        <v>116.59391266799899</v>
      </c>
      <c r="N129" s="31">
        <v>100</v>
      </c>
      <c r="O129" s="13"/>
      <c r="P129" s="13"/>
      <c r="Q129" s="13"/>
      <c r="R129" s="13"/>
      <c r="S129" s="13"/>
      <c r="T129" s="13"/>
      <c r="U129" s="13"/>
      <c r="V129" s="13">
        <f t="shared" si="39"/>
        <v>37</v>
      </c>
      <c r="W129" s="14">
        <f t="shared" si="40"/>
        <v>-23880.47701538428</v>
      </c>
      <c r="X129" s="13"/>
      <c r="Y129" s="13">
        <f t="shared" si="35"/>
        <v>37</v>
      </c>
      <c r="Z129" s="14">
        <f t="shared" si="36"/>
        <v>259553.68152224322</v>
      </c>
      <c r="AA129" s="14">
        <f t="shared" si="24"/>
        <v>3980.6519914269147</v>
      </c>
      <c r="AB129" s="14">
        <f t="shared" si="37"/>
        <v>-23880.47701538428</v>
      </c>
      <c r="AC129" s="32">
        <f t="shared" si="38"/>
        <v>239653.85649828587</v>
      </c>
      <c r="AD129" s="13"/>
      <c r="AE129" s="13"/>
      <c r="AF129" s="13"/>
      <c r="AG129" s="13"/>
      <c r="AH129" s="13"/>
      <c r="AI129" s="13"/>
      <c r="AJ129" s="13"/>
      <c r="AK129" s="13"/>
    </row>
    <row r="130" spans="9:37" x14ac:dyDescent="0.35">
      <c r="I130" s="13">
        <f t="shared" si="33"/>
        <v>32</v>
      </c>
      <c r="J130" s="14">
        <f>-PPMT($N$92,I130,$N$93,$N$91,0,0)</f>
        <v>20012.128014466369</v>
      </c>
      <c r="K130" s="14">
        <f>-IPMT($N$92,I130,$N$93,$N$91,0,0)</f>
        <v>3688.3238742686181</v>
      </c>
      <c r="L130" s="14">
        <f t="shared" si="41"/>
        <v>23700.451888734988</v>
      </c>
      <c r="M130" s="31">
        <f>SUM(J130:$J$146)*0.03%</f>
        <v>110.64971622805851</v>
      </c>
      <c r="N130" s="31">
        <v>100</v>
      </c>
      <c r="O130" s="13"/>
      <c r="P130" s="13"/>
      <c r="Q130" s="13"/>
      <c r="R130" s="13"/>
      <c r="S130" s="13"/>
      <c r="T130" s="13"/>
      <c r="U130" s="13"/>
      <c r="V130" s="13">
        <f t="shared" si="39"/>
        <v>38</v>
      </c>
      <c r="W130" s="14">
        <f t="shared" si="40"/>
        <v>-23874.167131084152</v>
      </c>
      <c r="X130" s="13"/>
      <c r="Y130" s="13">
        <f t="shared" si="35"/>
        <v>38</v>
      </c>
      <c r="Z130" s="14">
        <f t="shared" si="36"/>
        <v>239653.85649828587</v>
      </c>
      <c r="AA130" s="14">
        <f t="shared" si="24"/>
        <v>3675.4577917296374</v>
      </c>
      <c r="AB130" s="14">
        <f t="shared" si="37"/>
        <v>-23874.167131084152</v>
      </c>
      <c r="AC130" s="32">
        <f t="shared" si="38"/>
        <v>219455.14715893133</v>
      </c>
      <c r="AD130" s="13"/>
      <c r="AE130" s="13"/>
      <c r="AF130" s="13"/>
      <c r="AG130" s="13"/>
      <c r="AH130" s="13"/>
      <c r="AI130" s="13"/>
      <c r="AJ130" s="13"/>
      <c r="AK130" s="13"/>
    </row>
    <row r="131" spans="9:37" x14ac:dyDescent="0.35">
      <c r="I131" s="13">
        <f t="shared" si="33"/>
        <v>33</v>
      </c>
      <c r="J131" s="14">
        <f>-PPMT($N$92,I131,$N$93,$N$91,0,0)</f>
        <v>20212.249294611036</v>
      </c>
      <c r="K131" s="14">
        <f>-IPMT($N$92,I131,$N$93,$N$91,0,0)</f>
        <v>3488.2025941239544</v>
      </c>
      <c r="L131" s="14">
        <f t="shared" si="41"/>
        <v>23700.451888734991</v>
      </c>
      <c r="M131" s="31">
        <f>SUM(J131:$J$146)*0.03%</f>
        <v>104.6460778237186</v>
      </c>
      <c r="N131" s="31">
        <v>100</v>
      </c>
      <c r="O131" s="13"/>
      <c r="P131" s="13"/>
      <c r="Q131" s="13"/>
      <c r="R131" s="13"/>
      <c r="S131" s="13"/>
      <c r="T131" s="13"/>
      <c r="U131" s="13"/>
      <c r="V131" s="13">
        <f t="shared" si="39"/>
        <v>39</v>
      </c>
      <c r="W131" s="14">
        <f t="shared" si="40"/>
        <v>-23867.794147941022</v>
      </c>
      <c r="X131" s="13"/>
      <c r="Y131" s="13">
        <f t="shared" si="35"/>
        <v>39</v>
      </c>
      <c r="Z131" s="14">
        <f t="shared" si="36"/>
        <v>219455.14715893133</v>
      </c>
      <c r="AA131" s="14">
        <f t="shared" si="24"/>
        <v>3365.6797447206432</v>
      </c>
      <c r="AB131" s="14">
        <f t="shared" si="37"/>
        <v>-23867.794147941022</v>
      </c>
      <c r="AC131" s="32">
        <f t="shared" si="38"/>
        <v>198953.03275571094</v>
      </c>
      <c r="AD131" s="13"/>
      <c r="AE131" s="13"/>
      <c r="AF131" s="13"/>
      <c r="AG131" s="13"/>
      <c r="AH131" s="13"/>
      <c r="AI131" s="13"/>
      <c r="AJ131" s="13"/>
      <c r="AK131" s="13"/>
    </row>
    <row r="132" spans="9:37" x14ac:dyDescent="0.35">
      <c r="I132" s="13">
        <f t="shared" si="33"/>
        <v>34</v>
      </c>
      <c r="J132" s="14">
        <f>-PPMT($N$92,I132,$N$93,$N$91,0,0)</f>
        <v>20414.371787557142</v>
      </c>
      <c r="K132" s="14">
        <f>-IPMT($N$92,I132,$N$93,$N$91,0,0)</f>
        <v>3286.0801011778431</v>
      </c>
      <c r="L132" s="14">
        <f t="shared" si="41"/>
        <v>23700.451888734984</v>
      </c>
      <c r="M132" s="31">
        <f>SUM(J132:$J$146)*0.03%</f>
        <v>98.582403035335275</v>
      </c>
      <c r="N132" s="31">
        <v>100</v>
      </c>
      <c r="O132" s="13"/>
      <c r="P132" s="13"/>
      <c r="Q132" s="13"/>
      <c r="R132" s="13"/>
      <c r="S132" s="13"/>
      <c r="T132" s="13"/>
      <c r="U132" s="13"/>
      <c r="V132" s="13">
        <f t="shared" si="39"/>
        <v>40</v>
      </c>
      <c r="W132" s="14">
        <f t="shared" si="40"/>
        <v>-23861.357434966463</v>
      </c>
      <c r="X132" s="13"/>
      <c r="Y132" s="13">
        <f t="shared" si="35"/>
        <v>40</v>
      </c>
      <c r="Z132" s="14">
        <f t="shared" si="36"/>
        <v>198953.03275571094</v>
      </c>
      <c r="AA132" s="14">
        <f t="shared" si="24"/>
        <v>3051.2485178199076</v>
      </c>
      <c r="AB132" s="14">
        <f t="shared" si="37"/>
        <v>-23861.357434966463</v>
      </c>
      <c r="AC132" s="32">
        <f t="shared" si="38"/>
        <v>178142.9238385644</v>
      </c>
      <c r="AD132" s="13"/>
      <c r="AE132" s="13"/>
      <c r="AF132" s="13"/>
      <c r="AG132" s="13"/>
      <c r="AH132" s="13"/>
      <c r="AI132" s="13"/>
      <c r="AJ132" s="13"/>
      <c r="AK132" s="13"/>
    </row>
    <row r="133" spans="9:37" x14ac:dyDescent="0.35">
      <c r="I133" s="13">
        <f t="shared" si="33"/>
        <v>35</v>
      </c>
      <c r="J133" s="14">
        <f>-PPMT($N$92,I133,$N$93,$N$91,0,0)</f>
        <v>20618.515505432715</v>
      </c>
      <c r="K133" s="14">
        <f>-IPMT($N$92,I133,$N$93,$N$91,0,0)</f>
        <v>3081.9363833022726</v>
      </c>
      <c r="L133" s="14">
        <f t="shared" si="41"/>
        <v>23700.451888734988</v>
      </c>
      <c r="M133" s="31">
        <f>SUM(J133:$J$146)*0.03%</f>
        <v>92.458091499068146</v>
      </c>
      <c r="N133" s="31">
        <v>100</v>
      </c>
      <c r="O133" s="13"/>
      <c r="P133" s="13"/>
      <c r="Q133" s="13"/>
      <c r="R133" s="13"/>
      <c r="S133" s="13"/>
      <c r="T133" s="13"/>
      <c r="U133" s="13"/>
      <c r="V133" s="13">
        <f t="shared" si="39"/>
        <v>41</v>
      </c>
      <c r="W133" s="14">
        <f t="shared" si="40"/>
        <v>-23854.856354862153</v>
      </c>
      <c r="X133" s="13"/>
      <c r="Y133" s="13">
        <f t="shared" ref="Y133:Y140" si="42">+Y132+1</f>
        <v>41</v>
      </c>
      <c r="Z133" s="14">
        <f t="shared" ref="Z133:Z140" si="43">+AC132</f>
        <v>178142.9238385644</v>
      </c>
      <c r="AA133" s="14">
        <f t="shared" si="24"/>
        <v>2732.0937248036066</v>
      </c>
      <c r="AB133" s="14">
        <f t="shared" ref="AB133:AB140" si="44">+W133</f>
        <v>-23854.856354862153</v>
      </c>
      <c r="AC133" s="32">
        <f t="shared" ref="AC133:AC140" si="45">+Z133+AA133+AB133</f>
        <v>157020.16120850586</v>
      </c>
      <c r="AD133" s="13"/>
      <c r="AE133" s="13"/>
      <c r="AF133" s="13"/>
      <c r="AG133" s="13"/>
      <c r="AH133" s="13"/>
      <c r="AI133" s="13"/>
      <c r="AJ133" s="13"/>
      <c r="AK133" s="13"/>
    </row>
    <row r="134" spans="9:37" x14ac:dyDescent="0.35">
      <c r="I134" s="13">
        <f t="shared" si="33"/>
        <v>36</v>
      </c>
      <c r="J134" s="14">
        <f>-PPMT($N$92,I134,$N$93,$N$91,0,0)</f>
        <v>20824.700660487044</v>
      </c>
      <c r="K134" s="14">
        <f>-IPMT($N$92,I134,$N$93,$N$91,0,0)</f>
        <v>2875.7512282479452</v>
      </c>
      <c r="L134" s="14">
        <f t="shared" si="41"/>
        <v>23700.451888734988</v>
      </c>
      <c r="M134" s="31">
        <f>SUM(J134:$J$146)*0.03%</f>
        <v>86.272536847438317</v>
      </c>
      <c r="N134" s="31">
        <v>100</v>
      </c>
      <c r="O134" s="13"/>
      <c r="P134" s="13"/>
      <c r="Q134" s="13"/>
      <c r="R134" s="13"/>
      <c r="S134" s="13"/>
      <c r="T134" s="13"/>
      <c r="U134" s="13"/>
      <c r="V134" s="13">
        <f t="shared" si="39"/>
        <v>42</v>
      </c>
      <c r="W134" s="14">
        <f t="shared" si="40"/>
        <v>-23848.290263956806</v>
      </c>
      <c r="X134" s="13"/>
      <c r="Y134" s="13">
        <f t="shared" si="42"/>
        <v>42</v>
      </c>
      <c r="Z134" s="14">
        <f t="shared" si="43"/>
        <v>157020.16120850586</v>
      </c>
      <c r="AA134" s="14">
        <f t="shared" si="24"/>
        <v>2408.1439097416505</v>
      </c>
      <c r="AB134" s="14">
        <f t="shared" si="44"/>
        <v>-23848.290263956806</v>
      </c>
      <c r="AC134" s="32">
        <f t="shared" si="45"/>
        <v>135580.0148542907</v>
      </c>
      <c r="AD134" s="13"/>
      <c r="AE134" s="13"/>
      <c r="AF134" s="13"/>
      <c r="AG134" s="13"/>
      <c r="AH134" s="13"/>
      <c r="AI134" s="13"/>
      <c r="AJ134" s="13"/>
      <c r="AK134" s="13"/>
    </row>
    <row r="135" spans="9:37" x14ac:dyDescent="0.35">
      <c r="I135" s="13">
        <f t="shared" si="33"/>
        <v>37</v>
      </c>
      <c r="J135" s="14">
        <f>-PPMT($N$92,I135,$N$93,$N$91,0,0)</f>
        <v>21032.947667091914</v>
      </c>
      <c r="K135" s="14">
        <f>-IPMT($N$92,I135,$N$93,$N$91,0,0)</f>
        <v>2667.5042216430752</v>
      </c>
      <c r="L135" s="14">
        <f t="shared" si="41"/>
        <v>23700.451888734988</v>
      </c>
      <c r="M135" s="31">
        <f>SUM(J135:$J$146)*0.03%</f>
        <v>80.025126649292204</v>
      </c>
      <c r="N135" s="31">
        <v>100</v>
      </c>
      <c r="O135" s="13"/>
      <c r="P135" s="13"/>
      <c r="Q135" s="13"/>
      <c r="R135" s="13"/>
      <c r="S135" s="13"/>
      <c r="T135" s="13"/>
      <c r="U135" s="13"/>
      <c r="V135" s="13">
        <f t="shared" si="39"/>
        <v>43</v>
      </c>
      <c r="W135" s="14">
        <f t="shared" si="40"/>
        <v>-23841.658512142403</v>
      </c>
      <c r="X135" s="13"/>
      <c r="Y135" s="13">
        <f t="shared" si="42"/>
        <v>43</v>
      </c>
      <c r="Z135" s="14">
        <f t="shared" si="43"/>
        <v>135580.0148542907</v>
      </c>
      <c r="AA135" s="14">
        <f t="shared" si="24"/>
        <v>2079.3265306898452</v>
      </c>
      <c r="AB135" s="14">
        <f t="shared" si="44"/>
        <v>-23841.658512142403</v>
      </c>
      <c r="AC135" s="32">
        <f t="shared" si="45"/>
        <v>113817.68287283814</v>
      </c>
      <c r="AD135" s="13"/>
      <c r="AE135" s="13"/>
      <c r="AF135" s="13"/>
      <c r="AG135" s="13"/>
      <c r="AH135" s="13"/>
      <c r="AI135" s="13"/>
      <c r="AJ135" s="13"/>
      <c r="AK135" s="13"/>
    </row>
    <row r="136" spans="9:37" x14ac:dyDescent="0.35">
      <c r="I136" s="13">
        <f t="shared" si="33"/>
        <v>38</v>
      </c>
      <c r="J136" s="14">
        <f>-PPMT($N$92,I136,$N$93,$N$91,0,0)</f>
        <v>21243.277143762833</v>
      </c>
      <c r="K136" s="14">
        <f>-IPMT($N$92,I136,$N$93,$N$91,0,0)</f>
        <v>2457.1747449721556</v>
      </c>
      <c r="L136" s="14">
        <f t="shared" si="41"/>
        <v>23700.451888734988</v>
      </c>
      <c r="M136" s="31">
        <f>SUM(J136:$J$146)*0.03%</f>
        <v>73.71524234916464</v>
      </c>
      <c r="N136" s="31">
        <v>100</v>
      </c>
      <c r="O136" s="13"/>
      <c r="P136" s="13"/>
      <c r="Q136" s="13"/>
      <c r="R136" s="13"/>
      <c r="S136" s="13"/>
      <c r="T136" s="13"/>
      <c r="U136" s="13"/>
      <c r="V136" s="13">
        <f t="shared" ref="V136:V145" si="46">+V135+1</f>
        <v>44</v>
      </c>
      <c r="W136" s="14">
        <f t="shared" ref="W136:W145" si="47">-L142-M142-N142</f>
        <v>-23834.960442809857</v>
      </c>
      <c r="X136" s="13"/>
      <c r="Y136" s="13">
        <f t="shared" si="42"/>
        <v>44</v>
      </c>
      <c r="Z136" s="14">
        <f t="shared" si="43"/>
        <v>113817.68287283814</v>
      </c>
      <c r="AA136" s="14">
        <f t="shared" si="24"/>
        <v>1745.5679431329243</v>
      </c>
      <c r="AB136" s="14">
        <f t="shared" si="44"/>
        <v>-23834.960442809857</v>
      </c>
      <c r="AC136" s="32">
        <f t="shared" si="45"/>
        <v>91728.290373161202</v>
      </c>
      <c r="AD136" s="13"/>
      <c r="AE136" s="13"/>
      <c r="AF136" s="13"/>
      <c r="AG136" s="13"/>
      <c r="AH136" s="13"/>
      <c r="AI136" s="13"/>
      <c r="AJ136" s="13"/>
      <c r="AK136" s="13"/>
    </row>
    <row r="137" spans="9:37" x14ac:dyDescent="0.35">
      <c r="I137" s="13">
        <f t="shared" si="33"/>
        <v>39</v>
      </c>
      <c r="J137" s="14">
        <f>-PPMT($N$92,I137,$N$93,$N$91,0,0)</f>
        <v>21455.709915200459</v>
      </c>
      <c r="K137" s="14">
        <f>-IPMT($N$92,I137,$N$93,$N$91,0,0)</f>
        <v>2244.741973534527</v>
      </c>
      <c r="L137" s="14">
        <f t="shared" si="41"/>
        <v>23700.451888734988</v>
      </c>
      <c r="M137" s="31">
        <f>SUM(J137:$J$146)*0.03%</f>
        <v>67.342259206035791</v>
      </c>
      <c r="N137" s="31">
        <v>100</v>
      </c>
      <c r="O137" s="13"/>
      <c r="P137" s="13"/>
      <c r="Q137" s="13"/>
      <c r="R137" s="13"/>
      <c r="S137" s="13"/>
      <c r="T137" s="13"/>
      <c r="U137" s="13"/>
      <c r="V137" s="13">
        <f t="shared" si="46"/>
        <v>45</v>
      </c>
      <c r="W137" s="14">
        <f t="shared" si="47"/>
        <v>-23828.19539278399</v>
      </c>
      <c r="X137" s="13"/>
      <c r="Y137" s="13">
        <f t="shared" si="42"/>
        <v>45</v>
      </c>
      <c r="Z137" s="14">
        <f t="shared" si="43"/>
        <v>91728.290373161202</v>
      </c>
      <c r="AA137" s="14">
        <f t="shared" si="24"/>
        <v>1406.7933831746432</v>
      </c>
      <c r="AB137" s="14">
        <f t="shared" si="44"/>
        <v>-23828.19539278399</v>
      </c>
      <c r="AC137" s="32">
        <f t="shared" si="45"/>
        <v>69306.888363551858</v>
      </c>
      <c r="AD137" s="13"/>
      <c r="AE137" s="13"/>
      <c r="AF137" s="13"/>
      <c r="AG137" s="13"/>
      <c r="AH137" s="13"/>
      <c r="AI137" s="13"/>
      <c r="AJ137" s="13"/>
      <c r="AK137" s="13"/>
    </row>
    <row r="138" spans="9:37" x14ac:dyDescent="0.35">
      <c r="I138" s="13">
        <f t="shared" si="33"/>
        <v>40</v>
      </c>
      <c r="J138" s="14">
        <f>-PPMT($N$92,I138,$N$93,$N$91,0,0)</f>
        <v>21670.267014352467</v>
      </c>
      <c r="K138" s="14">
        <f>-IPMT($N$92,I138,$N$93,$N$91,0,0)</f>
        <v>2030.1848743825226</v>
      </c>
      <c r="L138" s="14">
        <f t="shared" si="41"/>
        <v>23700.451888734988</v>
      </c>
      <c r="M138" s="31">
        <f>SUM(J138:$J$146)*0.03%</f>
        <v>60.905546231475661</v>
      </c>
      <c r="N138" s="31">
        <v>100</v>
      </c>
      <c r="O138" s="13"/>
      <c r="P138" s="13"/>
      <c r="Q138" s="13"/>
      <c r="R138" s="13"/>
      <c r="S138" s="13"/>
      <c r="T138" s="13"/>
      <c r="U138" s="13"/>
      <c r="V138" s="13">
        <f t="shared" si="46"/>
        <v>46</v>
      </c>
      <c r="W138" s="14">
        <f t="shared" si="47"/>
        <v>-23821.362692257859</v>
      </c>
      <c r="X138" s="13"/>
      <c r="Y138" s="13">
        <f t="shared" si="42"/>
        <v>46</v>
      </c>
      <c r="Z138" s="14">
        <f t="shared" si="43"/>
        <v>69306.888363551858</v>
      </c>
      <c r="AA138" s="14">
        <f t="shared" si="24"/>
        <v>1062.9269504710633</v>
      </c>
      <c r="AB138" s="14">
        <f t="shared" si="44"/>
        <v>-23821.362692257859</v>
      </c>
      <c r="AC138" s="32">
        <f t="shared" si="45"/>
        <v>46548.452621765071</v>
      </c>
      <c r="AD138" s="13"/>
      <c r="AE138" s="13"/>
      <c r="AF138" s="13"/>
      <c r="AG138" s="13"/>
      <c r="AH138" s="13"/>
      <c r="AI138" s="13"/>
      <c r="AJ138" s="13"/>
      <c r="AK138" s="13"/>
    </row>
    <row r="139" spans="9:37" x14ac:dyDescent="0.35">
      <c r="I139" s="13">
        <f t="shared" si="33"/>
        <v>41</v>
      </c>
      <c r="J139" s="14">
        <f>-PPMT($N$92,I139,$N$93,$N$91,0,0)</f>
        <v>21886.969684495987</v>
      </c>
      <c r="K139" s="14">
        <f>-IPMT($N$92,I139,$N$93,$N$91,0,0)</f>
        <v>1813.4822042389976</v>
      </c>
      <c r="L139" s="14">
        <f t="shared" si="41"/>
        <v>23700.451888734984</v>
      </c>
      <c r="M139" s="31">
        <f>SUM(J139:$J$146)*0.03%</f>
        <v>54.404466127169918</v>
      </c>
      <c r="N139" s="31">
        <v>100</v>
      </c>
      <c r="O139" s="13"/>
      <c r="P139" s="13"/>
      <c r="Q139" s="13"/>
      <c r="R139" s="13"/>
      <c r="S139" s="13"/>
      <c r="T139" s="13"/>
      <c r="U139" s="13"/>
      <c r="V139" s="13">
        <f t="shared" si="46"/>
        <v>47</v>
      </c>
      <c r="W139" s="14">
        <f t="shared" si="47"/>
        <v>-23814.461664726467</v>
      </c>
      <c r="X139" s="13"/>
      <c r="Y139" s="13">
        <f t="shared" si="42"/>
        <v>47</v>
      </c>
      <c r="Z139" s="14">
        <f t="shared" si="43"/>
        <v>46548.452621765071</v>
      </c>
      <c r="AA139" s="14">
        <f t="shared" si="24"/>
        <v>713.89159090309909</v>
      </c>
      <c r="AB139" s="14">
        <f t="shared" si="44"/>
        <v>-23814.461664726467</v>
      </c>
      <c r="AC139" s="32">
        <f t="shared" si="45"/>
        <v>23447.882547941703</v>
      </c>
      <c r="AD139" s="13"/>
      <c r="AE139" s="13"/>
      <c r="AF139" s="13"/>
      <c r="AG139" s="13"/>
      <c r="AH139" s="13"/>
      <c r="AI139" s="13"/>
      <c r="AJ139" s="13"/>
      <c r="AK139" s="13"/>
    </row>
    <row r="140" spans="9:37" x14ac:dyDescent="0.35">
      <c r="I140" s="13">
        <f t="shared" si="33"/>
        <v>42</v>
      </c>
      <c r="J140" s="14">
        <f>-PPMT($N$92,I140,$N$93,$N$91,0,0)</f>
        <v>22105.839381340946</v>
      </c>
      <c r="K140" s="14">
        <f>-IPMT($N$92,I140,$N$93,$N$91,0,0)</f>
        <v>1594.6125073940377</v>
      </c>
      <c r="L140" s="14">
        <f t="shared" si="41"/>
        <v>23700.451888734984</v>
      </c>
      <c r="M140" s="31">
        <f>SUM(J140:$J$146)*0.03%</f>
        <v>47.838375221821124</v>
      </c>
      <c r="N140" s="31">
        <v>100</v>
      </c>
      <c r="O140" s="13"/>
      <c r="P140" s="13"/>
      <c r="Q140" s="13"/>
      <c r="R140" s="13"/>
      <c r="S140" s="13"/>
      <c r="T140" s="13"/>
      <c r="U140" s="13"/>
      <c r="V140" s="13">
        <f t="shared" si="46"/>
        <v>48</v>
      </c>
      <c r="W140" s="14">
        <f t="shared" si="47"/>
        <v>-23807.49162691976</v>
      </c>
      <c r="X140" s="13"/>
      <c r="Y140" s="13">
        <f t="shared" si="42"/>
        <v>48</v>
      </c>
      <c r="Z140" s="14">
        <f t="shared" si="43"/>
        <v>23447.882547941703</v>
      </c>
      <c r="AA140" s="14">
        <f t="shared" si="24"/>
        <v>359.60907898433982</v>
      </c>
      <c r="AB140" s="14">
        <f t="shared" si="44"/>
        <v>-23807.49162691976</v>
      </c>
      <c r="AC140" s="39">
        <f t="shared" si="45"/>
        <v>6.2827893998473883E-9</v>
      </c>
      <c r="AD140" s="13"/>
      <c r="AE140" s="13"/>
      <c r="AF140" s="13"/>
      <c r="AG140" s="13"/>
      <c r="AH140" s="13"/>
      <c r="AI140" s="13"/>
      <c r="AJ140" s="13"/>
      <c r="AK140" s="13"/>
    </row>
    <row r="141" spans="9:37" x14ac:dyDescent="0.35">
      <c r="I141" s="13">
        <f t="shared" si="33"/>
        <v>43</v>
      </c>
      <c r="J141" s="14">
        <f>-PPMT($N$92,I141,$N$93,$N$91,0,0)</f>
        <v>22326.897775154357</v>
      </c>
      <c r="K141" s="14">
        <f>-IPMT($N$92,I141,$N$93,$N$91,0,0)</f>
        <v>1373.5541135806282</v>
      </c>
      <c r="L141" s="14">
        <f t="shared" si="41"/>
        <v>23700.451888734984</v>
      </c>
      <c r="M141" s="31">
        <f>SUM(J141:$J$146)*0.03%</f>
        <v>41.206623407418832</v>
      </c>
      <c r="N141" s="31">
        <v>100</v>
      </c>
      <c r="O141" s="13"/>
      <c r="P141" s="13"/>
      <c r="Q141" s="13"/>
      <c r="R141" s="13"/>
      <c r="S141" s="13"/>
      <c r="T141" s="13"/>
      <c r="U141" s="13"/>
      <c r="V141" s="13"/>
      <c r="W141" s="20">
        <f>IRR(W92:W140)</f>
        <v>1.5336526795077576E-2</v>
      </c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spans="9:37" x14ac:dyDescent="0.35">
      <c r="I142" s="13">
        <f t="shared" si="33"/>
        <v>44</v>
      </c>
      <c r="J142" s="14">
        <f>-PPMT($N$92,I142,$N$93,$N$91,0,0)</f>
        <v>22550.166752905901</v>
      </c>
      <c r="K142" s="14">
        <f>-IPMT($N$92,I142,$N$93,$N$91,0,0)</f>
        <v>1150.2851358290845</v>
      </c>
      <c r="L142" s="14">
        <f t="shared" si="41"/>
        <v>23700.451888734984</v>
      </c>
      <c r="M142" s="31">
        <f>SUM(J142:$J$146)*0.03%</f>
        <v>34.508554074872528</v>
      </c>
      <c r="N142" s="31">
        <v>100</v>
      </c>
      <c r="O142" s="13"/>
      <c r="P142" s="13"/>
      <c r="Q142" s="13"/>
      <c r="R142" s="13"/>
      <c r="S142" s="13"/>
      <c r="T142" s="13"/>
      <c r="U142" s="13"/>
      <c r="V142" s="13"/>
      <c r="W142" s="14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spans="9:37" x14ac:dyDescent="0.35">
      <c r="I143" s="13">
        <f t="shared" si="33"/>
        <v>45</v>
      </c>
      <c r="J143" s="14">
        <f>-PPMT($N$92,I143,$N$93,$N$91,0,0)</f>
        <v>22775.668420434962</v>
      </c>
      <c r="K143" s="14">
        <f>-IPMT($N$92,I143,$N$93,$N$91,0,0)</f>
        <v>924.78346830002545</v>
      </c>
      <c r="L143" s="14">
        <f t="shared" si="41"/>
        <v>23700.451888734988</v>
      </c>
      <c r="M143" s="31">
        <f>SUM(J143:$J$146)*0.03%</f>
        <v>27.743504049000759</v>
      </c>
      <c r="N143" s="31">
        <v>100</v>
      </c>
      <c r="O143" s="13"/>
      <c r="P143" s="13"/>
      <c r="Q143" s="13"/>
      <c r="R143" s="13"/>
      <c r="S143" s="13"/>
      <c r="T143" s="13"/>
      <c r="U143" s="13"/>
      <c r="V143" s="13"/>
      <c r="W143" s="14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spans="9:37" x14ac:dyDescent="0.35">
      <c r="I144" s="13">
        <f t="shared" si="33"/>
        <v>46</v>
      </c>
      <c r="J144" s="14">
        <f>-PPMT($N$92,I144,$N$93,$N$91,0,0)</f>
        <v>23003.425104639311</v>
      </c>
      <c r="K144" s="14">
        <f>-IPMT($N$92,I144,$N$93,$N$91,0,0)</f>
        <v>697.02678409567579</v>
      </c>
      <c r="L144" s="14">
        <f t="shared" si="41"/>
        <v>23700.451888734988</v>
      </c>
      <c r="M144" s="31">
        <f>SUM(J144:$J$146)*0.03%</f>
        <v>20.910803522870275</v>
      </c>
      <c r="N144" s="31">
        <v>100</v>
      </c>
      <c r="O144" s="13"/>
      <c r="P144" s="13"/>
      <c r="Q144" s="13"/>
      <c r="R144" s="13"/>
      <c r="S144" s="13"/>
      <c r="T144" s="13"/>
      <c r="U144" s="13"/>
      <c r="V144" s="13"/>
      <c r="W144" s="14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spans="9:37" x14ac:dyDescent="0.35">
      <c r="I145" s="13">
        <f t="shared" si="33"/>
        <v>47</v>
      </c>
      <c r="J145" s="14">
        <f>-PPMT($N$92,I145,$N$93,$N$91,0,0)</f>
        <v>23233.459355685703</v>
      </c>
      <c r="K145" s="14">
        <f>-IPMT($N$92,I145,$N$93,$N$91,0,0)</f>
        <v>466.99253304928283</v>
      </c>
      <c r="L145" s="14">
        <f t="shared" si="41"/>
        <v>23700.451888734988</v>
      </c>
      <c r="M145" s="31">
        <f>SUM(J145:$J$146)*0.03%</f>
        <v>14.009775991478477</v>
      </c>
      <c r="N145" s="31">
        <v>100</v>
      </c>
      <c r="O145" s="13"/>
      <c r="P145" s="13"/>
      <c r="Q145" s="13"/>
      <c r="R145" s="13"/>
      <c r="S145" s="13"/>
      <c r="T145" s="13"/>
      <c r="U145" s="13"/>
      <c r="V145" s="13"/>
      <c r="W145" s="14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spans="9:37" x14ac:dyDescent="0.35">
      <c r="I146" s="13">
        <f t="shared" si="33"/>
        <v>48</v>
      </c>
      <c r="J146" s="14">
        <f>-PPMT($N$92,I146,$N$93,$N$91,0,0)</f>
        <v>23465.793949242561</v>
      </c>
      <c r="K146" s="14">
        <f>-IPMT($N$92,I146,$N$93,$N$91,0,0)</f>
        <v>234.65793949242564</v>
      </c>
      <c r="L146" s="14">
        <f t="shared" si="41"/>
        <v>23700.451888734988</v>
      </c>
      <c r="M146" s="31">
        <f>SUM(J146:$J$146)*0.03%</f>
        <v>7.0397381847727676</v>
      </c>
      <c r="N146" s="31">
        <v>100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spans="9:37" x14ac:dyDescent="0.35">
      <c r="I147" s="13"/>
      <c r="J147" s="18">
        <f>SUM(J99:J146)</f>
        <v>899999.99999999965</v>
      </c>
      <c r="K147" s="18">
        <f t="shared" ref="K147:L147" si="48">SUM(K99:K146)</f>
        <v>237621.69065927973</v>
      </c>
      <c r="L147" s="18">
        <f t="shared" si="48"/>
        <v>1137621.6906592785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spans="9:37" x14ac:dyDescent="0.35"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1DD7B-5320-49A9-B03A-28E04FD67590}">
  <dimension ref="A1:V6"/>
  <sheetViews>
    <sheetView workbookViewId="0">
      <selection activeCell="E3" sqref="E3"/>
    </sheetView>
  </sheetViews>
  <sheetFormatPr baseColWidth="10" defaultRowHeight="92.25" x14ac:dyDescent="1.35"/>
  <cols>
    <col min="1" max="22" width="11.42578125" style="3"/>
  </cols>
  <sheetData>
    <row r="1" spans="1:22" x14ac:dyDescent="1.3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1.35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1.35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1.35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1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1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2025-06-24T03:12:03Z</dcterms:created>
  <dcterms:modified xsi:type="dcterms:W3CDTF">2025-06-24T05:04:01Z</dcterms:modified>
</cp:coreProperties>
</file>