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3cc4ce2c78392a/Escritorio/"/>
    </mc:Choice>
  </mc:AlternateContent>
  <xr:revisionPtr revIDLastSave="177" documentId="8_{81331896-2106-445B-B194-4BBE4FDCEFA1}" xr6:coauthVersionLast="47" xr6:coauthVersionMax="47" xr10:uidLastSave="{54888918-551F-4539-9D0A-C555CA7E87BF}"/>
  <bookViews>
    <workbookView xWindow="-120" yWindow="-120" windowWidth="29040" windowHeight="15720" tabRatio="888" activeTab="13" xr2:uid="{D8AF051E-49F7-4B4A-9B9C-05D6897C6EA3}"/>
  </bookViews>
  <sheets>
    <sheet name="0" sheetId="41" r:id="rId1"/>
    <sheet name="NIC1" sheetId="1" r:id="rId2"/>
    <sheet name="NIC2" sheetId="2" r:id="rId3"/>
    <sheet name="NIC7" sheetId="3" r:id="rId4"/>
    <sheet name="NIC8" sheetId="4" r:id="rId5"/>
    <sheet name="NIC16" sheetId="7" r:id="rId6"/>
    <sheet name="NIC20" sheetId="9" r:id="rId7"/>
    <sheet name="NIC21" sheetId="10" r:id="rId8"/>
    <sheet name="NIC23" sheetId="42" r:id="rId9"/>
    <sheet name="NIC40" sheetId="23" r:id="rId10"/>
    <sheet name="NIIF 3" sheetId="27" r:id="rId11"/>
    <sheet name="NIIF6" sheetId="30" r:id="rId12"/>
    <sheet name="NIIF 15" sheetId="39" r:id="rId13"/>
    <sheet name="NIIF 16" sheetId="40" r:id="rId14"/>
    <sheet name="NIC37" sheetId="20" r:id="rId15"/>
    <sheet name="NIC10" sheetId="5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40" l="1"/>
  <c r="AC11" i="40"/>
  <c r="T14" i="40"/>
  <c r="T13" i="40"/>
  <c r="T12" i="40"/>
  <c r="T11" i="40"/>
  <c r="T10" i="40"/>
  <c r="T9" i="40"/>
  <c r="T8" i="40"/>
  <c r="T7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K29" i="40"/>
  <c r="K28" i="40"/>
  <c r="K27" i="40"/>
  <c r="K26" i="40"/>
  <c r="K25" i="40"/>
  <c r="K24" i="40"/>
  <c r="K23" i="40"/>
  <c r="K22" i="40"/>
  <c r="K21" i="40"/>
  <c r="K20" i="40"/>
  <c r="O30" i="39"/>
  <c r="O29" i="39"/>
  <c r="O28" i="39"/>
  <c r="O27" i="39"/>
  <c r="T131" i="23"/>
  <c r="S130" i="23"/>
  <c r="O131" i="23"/>
  <c r="T123" i="23"/>
  <c r="S122" i="23"/>
  <c r="L95" i="23"/>
  <c r="W42" i="42"/>
  <c r="E45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O5" i="42"/>
  <c r="I28" i="7"/>
  <c r="J45" i="4"/>
  <c r="J43" i="4"/>
  <c r="J42" i="4"/>
  <c r="J40" i="4"/>
  <c r="J39" i="4"/>
  <c r="J36" i="4"/>
  <c r="J35" i="4"/>
  <c r="G47" i="4"/>
  <c r="G46" i="4"/>
  <c r="G45" i="4"/>
  <c r="G42" i="4"/>
  <c r="G39" i="4"/>
  <c r="G36" i="4"/>
  <c r="G35" i="4"/>
  <c r="G24" i="4"/>
  <c r="E24" i="4"/>
  <c r="M29" i="3"/>
  <c r="M28" i="3"/>
  <c r="M27" i="3"/>
  <c r="M26" i="3"/>
  <c r="M25" i="3"/>
  <c r="M24" i="3"/>
  <c r="M23" i="3"/>
  <c r="M22" i="3"/>
  <c r="M21" i="3"/>
  <c r="M20" i="3"/>
  <c r="M19" i="3"/>
  <c r="M17" i="3"/>
  <c r="M16" i="3"/>
  <c r="M15" i="3"/>
  <c r="M13" i="3"/>
  <c r="M12" i="3"/>
  <c r="M11" i="3"/>
  <c r="M10" i="3"/>
  <c r="M9" i="3"/>
  <c r="M8" i="3"/>
  <c r="M7" i="3"/>
  <c r="N19" i="2"/>
  <c r="N21" i="2"/>
  <c r="N20" i="2"/>
  <c r="N11" i="2"/>
  <c r="O10" i="2"/>
  <c r="P18" i="30"/>
  <c r="P19" i="30"/>
  <c r="P23" i="30"/>
  <c r="P24" i="30"/>
  <c r="Q25" i="30"/>
  <c r="Q20" i="30"/>
  <c r="Q14" i="30"/>
  <c r="AC12" i="40" l="1"/>
  <c r="O31" i="39"/>
  <c r="B22" i="42"/>
  <c r="D21" i="42"/>
  <c r="C21" i="42"/>
  <c r="F13" i="42"/>
  <c r="N23" i="42" s="1"/>
  <c r="T23" i="42" s="1"/>
  <c r="Q6" i="42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I6" i="42"/>
  <c r="I7" i="42" s="1"/>
  <c r="I8" i="42" s="1"/>
  <c r="I9" i="42" s="1"/>
  <c r="I10" i="42" s="1"/>
  <c r="I11" i="42" s="1"/>
  <c r="I12" i="42" s="1"/>
  <c r="I13" i="42" s="1"/>
  <c r="I14" i="42" s="1"/>
  <c r="I15" i="42" s="1"/>
  <c r="I16" i="42" s="1"/>
  <c r="I17" i="42" s="1"/>
  <c r="I18" i="42" s="1"/>
  <c r="I19" i="42" s="1"/>
  <c r="I20" i="42" s="1"/>
  <c r="I21" i="42" s="1"/>
  <c r="I22" i="42" s="1"/>
  <c r="I23" i="42" s="1"/>
  <c r="I24" i="42" s="1"/>
  <c r="I25" i="42" s="1"/>
  <c r="I26" i="42" s="1"/>
  <c r="I27" i="42" s="1"/>
  <c r="I28" i="42" s="1"/>
  <c r="I29" i="42" s="1"/>
  <c r="K5" i="42"/>
  <c r="J5" i="42"/>
  <c r="R6" i="42" l="1"/>
  <c r="E21" i="42"/>
  <c r="N14" i="42"/>
  <c r="T14" i="42" s="1"/>
  <c r="N19" i="42"/>
  <c r="T19" i="42" s="1"/>
  <c r="N12" i="42"/>
  <c r="T12" i="42" s="1"/>
  <c r="N26" i="42"/>
  <c r="T26" i="42" s="1"/>
  <c r="N9" i="42"/>
  <c r="T9" i="42" s="1"/>
  <c r="N28" i="42"/>
  <c r="T28" i="42" s="1"/>
  <c r="N21" i="42"/>
  <c r="T21" i="42" s="1"/>
  <c r="N20" i="42"/>
  <c r="T20" i="42" s="1"/>
  <c r="N13" i="42"/>
  <c r="T13" i="42" s="1"/>
  <c r="N7" i="42"/>
  <c r="T7" i="42" s="1"/>
  <c r="T47" i="42" s="1"/>
  <c r="U48" i="42" s="1"/>
  <c r="N18" i="42"/>
  <c r="T18" i="42" s="1"/>
  <c r="N29" i="42"/>
  <c r="T29" i="42" s="1"/>
  <c r="N16" i="42"/>
  <c r="T16" i="42" s="1"/>
  <c r="N10" i="42"/>
  <c r="T10" i="42" s="1"/>
  <c r="N27" i="42"/>
  <c r="T27" i="42" s="1"/>
  <c r="N22" i="42"/>
  <c r="T22" i="42" s="1"/>
  <c r="N24" i="42"/>
  <c r="T24" i="42" s="1"/>
  <c r="N11" i="42"/>
  <c r="T11" i="42" s="1"/>
  <c r="N6" i="42"/>
  <c r="T6" i="42" s="1"/>
  <c r="T41" i="42" s="1"/>
  <c r="U42" i="42" s="1"/>
  <c r="N25" i="42"/>
  <c r="T25" i="42" s="1"/>
  <c r="N17" i="42"/>
  <c r="T17" i="42" s="1"/>
  <c r="N15" i="42"/>
  <c r="T15" i="42" s="1"/>
  <c r="N8" i="42"/>
  <c r="T8" i="42" s="1"/>
  <c r="B23" i="42"/>
  <c r="D22" i="42"/>
  <c r="C22" i="42"/>
  <c r="E22" i="42" l="1"/>
  <c r="T35" i="42"/>
  <c r="U36" i="42" s="1"/>
  <c r="O30" i="42"/>
  <c r="S6" i="42" s="1"/>
  <c r="C23" i="42"/>
  <c r="D23" i="42"/>
  <c r="B24" i="42"/>
  <c r="T38" i="42" l="1"/>
  <c r="U39" i="42" s="1"/>
  <c r="U6" i="42"/>
  <c r="R7" i="42" s="1"/>
  <c r="C24" i="42"/>
  <c r="D24" i="42"/>
  <c r="B25" i="42"/>
  <c r="E23" i="42"/>
  <c r="E24" i="42" l="1"/>
  <c r="B26" i="42"/>
  <c r="D25" i="42"/>
  <c r="C25" i="42"/>
  <c r="S7" i="42"/>
  <c r="U7" i="42" s="1"/>
  <c r="R8" i="42" s="1"/>
  <c r="E25" i="42" l="1"/>
  <c r="D26" i="42"/>
  <c r="C26" i="42"/>
  <c r="B27" i="42"/>
  <c r="S8" i="42"/>
  <c r="U8" i="42" s="1"/>
  <c r="R9" i="42" s="1"/>
  <c r="T44" i="42"/>
  <c r="U45" i="42" s="1"/>
  <c r="E26" i="42" l="1"/>
  <c r="D27" i="42"/>
  <c r="C27" i="42"/>
  <c r="B28" i="42"/>
  <c r="S9" i="42"/>
  <c r="U9" i="42" s="1"/>
  <c r="R10" i="42" s="1"/>
  <c r="E27" i="42" l="1"/>
  <c r="D28" i="42"/>
  <c r="B29" i="42"/>
  <c r="C28" i="42"/>
  <c r="S10" i="42"/>
  <c r="U10" i="42" s="1"/>
  <c r="R11" i="42" s="1"/>
  <c r="E28" i="42" l="1"/>
  <c r="S11" i="42"/>
  <c r="B30" i="42"/>
  <c r="D29" i="42"/>
  <c r="C29" i="42"/>
  <c r="E29" i="42" l="1"/>
  <c r="B31" i="42"/>
  <c r="C30" i="42"/>
  <c r="D30" i="42"/>
  <c r="U11" i="42"/>
  <c r="R12" i="42" s="1"/>
  <c r="E30" i="42" l="1"/>
  <c r="B32" i="42"/>
  <c r="C31" i="42"/>
  <c r="D31" i="42"/>
  <c r="S12" i="42"/>
  <c r="U12" i="42" s="1"/>
  <c r="R13" i="42" s="1"/>
  <c r="S13" i="42" l="1"/>
  <c r="U13" i="42" s="1"/>
  <c r="R14" i="42" s="1"/>
  <c r="E31" i="42"/>
  <c r="D32" i="42"/>
  <c r="B33" i="42"/>
  <c r="C32" i="42"/>
  <c r="U52" i="42" l="1"/>
  <c r="E32" i="42"/>
  <c r="B34" i="42"/>
  <c r="D33" i="42"/>
  <c r="C33" i="42"/>
  <c r="S14" i="42"/>
  <c r="U14" i="42" s="1"/>
  <c r="R15" i="42" s="1"/>
  <c r="E33" i="42" l="1"/>
  <c r="S15" i="42"/>
  <c r="U15" i="42" s="1"/>
  <c r="R16" i="42" s="1"/>
  <c r="B35" i="42"/>
  <c r="C34" i="42"/>
  <c r="D34" i="42"/>
  <c r="B36" i="42" l="1"/>
  <c r="D35" i="42"/>
  <c r="C35" i="42"/>
  <c r="E34" i="42"/>
  <c r="S16" i="42"/>
  <c r="U16" i="42" s="1"/>
  <c r="R17" i="42" s="1"/>
  <c r="E35" i="42" l="1"/>
  <c r="S17" i="42"/>
  <c r="U17" i="42" s="1"/>
  <c r="R18" i="42" s="1"/>
  <c r="C36" i="42"/>
  <c r="B37" i="42"/>
  <c r="D36" i="42"/>
  <c r="C37" i="42" l="1"/>
  <c r="B38" i="42"/>
  <c r="D37" i="42"/>
  <c r="S18" i="42"/>
  <c r="U18" i="42" s="1"/>
  <c r="R19" i="42" s="1"/>
  <c r="E36" i="42"/>
  <c r="D38" i="42" l="1"/>
  <c r="C38" i="42"/>
  <c r="B39" i="42"/>
  <c r="S19" i="42"/>
  <c r="U19" i="42" s="1"/>
  <c r="R20" i="42" s="1"/>
  <c r="E37" i="42"/>
  <c r="E38" i="42" l="1"/>
  <c r="S20" i="42"/>
  <c r="U20" i="42" s="1"/>
  <c r="R21" i="42" s="1"/>
  <c r="D39" i="42"/>
  <c r="C39" i="42"/>
  <c r="B40" i="42"/>
  <c r="D40" i="42" l="1"/>
  <c r="C40" i="42"/>
  <c r="B41" i="42"/>
  <c r="E39" i="42"/>
  <c r="S21" i="42"/>
  <c r="U21" i="42" s="1"/>
  <c r="R22" i="42" s="1"/>
  <c r="E40" i="42" l="1"/>
  <c r="S22" i="42"/>
  <c r="U22" i="42" s="1"/>
  <c r="R23" i="42" s="1"/>
  <c r="B42" i="42"/>
  <c r="D41" i="42"/>
  <c r="C41" i="42"/>
  <c r="E41" i="42" l="1"/>
  <c r="C42" i="42"/>
  <c r="B43" i="42"/>
  <c r="D42" i="42"/>
  <c r="S23" i="42"/>
  <c r="U23" i="42" s="1"/>
  <c r="R24" i="42" s="1"/>
  <c r="S24" i="42" l="1"/>
  <c r="U24" i="42" s="1"/>
  <c r="R25" i="42" s="1"/>
  <c r="C43" i="42"/>
  <c r="D43" i="42"/>
  <c r="B44" i="42"/>
  <c r="E42" i="42"/>
  <c r="D44" i="42" l="1"/>
  <c r="D45" i="42" s="1"/>
  <c r="C44" i="42"/>
  <c r="E43" i="42"/>
  <c r="S25" i="42"/>
  <c r="U25" i="42" s="1"/>
  <c r="R26" i="42" s="1"/>
  <c r="E44" i="42" l="1"/>
  <c r="S26" i="42"/>
  <c r="U26" i="42" s="1"/>
  <c r="R27" i="42" s="1"/>
  <c r="S27" i="42" l="1"/>
  <c r="U27" i="42" s="1"/>
  <c r="R28" i="42" s="1"/>
  <c r="S28" i="42" l="1"/>
  <c r="U28" i="42" s="1"/>
  <c r="R29" i="42" s="1"/>
  <c r="S29" i="42" l="1"/>
  <c r="S30" i="42" s="1"/>
  <c r="U29" i="42" l="1"/>
  <c r="D46" i="42"/>
  <c r="D47" i="42" s="1"/>
  <c r="U51" i="42"/>
  <c r="U53" i="42" s="1"/>
  <c r="G45" i="10" l="1"/>
  <c r="H46" i="10" s="1"/>
  <c r="F46" i="10"/>
  <c r="G53" i="10" l="1"/>
  <c r="H54" i="10" s="1"/>
  <c r="AD29" i="3"/>
  <c r="AC29" i="3"/>
  <c r="AE28" i="3"/>
  <c r="AE27" i="3"/>
  <c r="AF27" i="3" s="1"/>
  <c r="AE26" i="3"/>
  <c r="AE25" i="3"/>
  <c r="AE24" i="3"/>
  <c r="AE23" i="3"/>
  <c r="AI6" i="3" s="1"/>
  <c r="AE22" i="3"/>
  <c r="AE21" i="3"/>
  <c r="AE20" i="3"/>
  <c r="AE19" i="3"/>
  <c r="AE17" i="3"/>
  <c r="AE16" i="3"/>
  <c r="AE15" i="3"/>
  <c r="AF15" i="3" s="1"/>
  <c r="AE13" i="3"/>
  <c r="AE12" i="3"/>
  <c r="AE11" i="3"/>
  <c r="AF11" i="3" s="1"/>
  <c r="AE10" i="3"/>
  <c r="AF10" i="3" s="1"/>
  <c r="AI5" i="3" s="1"/>
  <c r="AE9" i="3"/>
  <c r="AE8" i="3"/>
  <c r="AE7" i="3"/>
  <c r="Z14" i="3"/>
  <c r="Z13" i="3"/>
  <c r="V28" i="3"/>
  <c r="W28" i="3" s="1"/>
  <c r="V27" i="3"/>
  <c r="V26" i="3"/>
  <c r="V25" i="3"/>
  <c r="V24" i="3"/>
  <c r="W24" i="3" s="1"/>
  <c r="V23" i="3"/>
  <c r="V22" i="3"/>
  <c r="Z15" i="3"/>
  <c r="U29" i="3"/>
  <c r="T29" i="3"/>
  <c r="V21" i="3"/>
  <c r="V20" i="3"/>
  <c r="V19" i="3"/>
  <c r="V17" i="3"/>
  <c r="V16" i="3"/>
  <c r="V15" i="3"/>
  <c r="V13" i="3"/>
  <c r="W13" i="3" s="1"/>
  <c r="V12" i="3"/>
  <c r="W12" i="3" s="1"/>
  <c r="V11" i="3"/>
  <c r="V10" i="3"/>
  <c r="V9" i="3"/>
  <c r="V8" i="3"/>
  <c r="V7" i="3"/>
  <c r="Q15" i="3"/>
  <c r="Q13" i="3"/>
  <c r="N22" i="3"/>
  <c r="N26" i="3"/>
  <c r="N9" i="3"/>
  <c r="N8" i="3"/>
  <c r="L29" i="3"/>
  <c r="K29" i="3"/>
  <c r="O19" i="2"/>
  <c r="O20" i="2"/>
  <c r="O21" i="2"/>
  <c r="N22" i="2"/>
  <c r="O22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N10" i="2"/>
  <c r="O11" i="2"/>
  <c r="H60" i="1"/>
  <c r="H65" i="1" s="1"/>
  <c r="H67" i="1" s="1"/>
  <c r="G60" i="1"/>
  <c r="H58" i="1"/>
  <c r="G58" i="1"/>
  <c r="G65" i="1"/>
  <c r="G67" i="1" s="1"/>
  <c r="H45" i="1"/>
  <c r="H50" i="1" s="1"/>
  <c r="H52" i="1" s="1"/>
  <c r="G45" i="1"/>
  <c r="G50" i="1" s="1"/>
  <c r="G52" i="1" s="1"/>
  <c r="H22" i="1"/>
  <c r="H27" i="1" s="1"/>
  <c r="H29" i="1" s="1"/>
  <c r="G22" i="1"/>
  <c r="G27" i="1" s="1"/>
  <c r="G29" i="1" s="1"/>
  <c r="C6" i="41"/>
  <c r="C7" i="41" s="1"/>
  <c r="C8" i="41" s="1"/>
  <c r="C9" i="41" s="1"/>
  <c r="C10" i="41" s="1"/>
  <c r="C11" i="41" s="1"/>
  <c r="C12" i="41" s="1"/>
  <c r="C13" i="41" s="1"/>
  <c r="C14" i="41" s="1"/>
  <c r="C15" i="41" s="1"/>
  <c r="C16" i="41" s="1"/>
  <c r="C17" i="41" s="1"/>
  <c r="C18" i="41" s="1"/>
  <c r="C19" i="41" s="1"/>
  <c r="C20" i="41" s="1"/>
  <c r="AA17" i="27"/>
  <c r="AA16" i="27"/>
  <c r="AA15" i="27"/>
  <c r="Z14" i="27"/>
  <c r="Z12" i="27"/>
  <c r="Z11" i="27"/>
  <c r="Z10" i="27"/>
  <c r="Z9" i="27"/>
  <c r="U12" i="27"/>
  <c r="U18" i="27" s="1"/>
  <c r="O10" i="27"/>
  <c r="O13" i="27" s="1"/>
  <c r="N17" i="27"/>
  <c r="N10" i="27"/>
  <c r="N13" i="27" s="1"/>
  <c r="O17" i="27"/>
  <c r="AA18" i="27" l="1"/>
  <c r="Z16" i="3"/>
  <c r="AF23" i="3"/>
  <c r="AF29" i="3" s="1"/>
  <c r="N29" i="3"/>
  <c r="AE29" i="3"/>
  <c r="AI4" i="3"/>
  <c r="AI7" i="3" s="1"/>
  <c r="Q14" i="3"/>
  <c r="Q16" i="3" s="1"/>
  <c r="V29" i="3"/>
  <c r="W29" i="3"/>
  <c r="O18" i="27"/>
  <c r="T10" i="27" s="1"/>
  <c r="N18" i="27"/>
  <c r="T11" i="27" l="1"/>
  <c r="Z13" i="27" s="1"/>
  <c r="Z18" i="27" s="1"/>
  <c r="M6" i="20"/>
  <c r="K7" i="20"/>
  <c r="K8" i="20" s="1"/>
  <c r="J7" i="20"/>
  <c r="J8" i="20" s="1"/>
  <c r="J9" i="20" s="1"/>
  <c r="J10" i="20" s="1"/>
  <c r="J11" i="20" s="1"/>
  <c r="T18" i="27" l="1"/>
  <c r="K9" i="20"/>
  <c r="M8" i="20"/>
  <c r="M7" i="20"/>
  <c r="K10" i="20" l="1"/>
  <c r="M9" i="20"/>
  <c r="K11" i="20" l="1"/>
  <c r="M11" i="20" s="1"/>
  <c r="M12" i="20" s="1"/>
  <c r="M10" i="20"/>
  <c r="M16" i="20" l="1"/>
  <c r="L15" i="20"/>
  <c r="J16" i="9"/>
  <c r="E17" i="9"/>
  <c r="F18" i="9" s="1"/>
  <c r="G12" i="9"/>
  <c r="I34" i="7"/>
  <c r="H33" i="7"/>
  <c r="J33" i="7" s="1"/>
  <c r="L33" i="7" s="1"/>
  <c r="H32" i="7"/>
  <c r="J32" i="7" s="1"/>
  <c r="L32" i="7" s="1"/>
  <c r="H31" i="7"/>
  <c r="J28" i="7"/>
  <c r="J17" i="9" l="1"/>
  <c r="J18" i="9" s="1"/>
  <c r="E22" i="9"/>
  <c r="F23" i="9" s="1"/>
  <c r="J21" i="9" s="1"/>
  <c r="J23" i="9" s="1"/>
  <c r="H34" i="7"/>
  <c r="J20" i="7"/>
  <c r="J27" i="7"/>
  <c r="J24" i="7"/>
  <c r="J31" i="7"/>
  <c r="J34" i="7" l="1"/>
  <c r="L31" i="7"/>
  <c r="L34" i="7" s="1"/>
  <c r="J47" i="4" l="1"/>
  <c r="G43" i="4"/>
  <c r="D46" i="4"/>
  <c r="C36" i="4"/>
  <c r="C37" i="4" s="1"/>
  <c r="C40" i="4" s="1"/>
  <c r="D36" i="4"/>
  <c r="D37" i="4" s="1"/>
  <c r="D40" i="4" s="1"/>
  <c r="D43" i="4"/>
  <c r="C48" i="4"/>
  <c r="C43" i="4"/>
  <c r="H23" i="4"/>
  <c r="F23" i="4"/>
  <c r="F47" i="4" s="1"/>
  <c r="G22" i="4"/>
  <c r="E22" i="4"/>
  <c r="C22" i="4"/>
  <c r="D21" i="4"/>
  <c r="D25" i="4" s="1"/>
  <c r="F21" i="4"/>
  <c r="H21" i="4"/>
  <c r="E15" i="4"/>
  <c r="D15" i="4"/>
  <c r="C15" i="4"/>
  <c r="E46" i="4" s="1"/>
  <c r="P22" i="2"/>
  <c r="Q22" i="2" s="1"/>
  <c r="P21" i="2"/>
  <c r="Q21" i="2" s="1"/>
  <c r="P20" i="2"/>
  <c r="Q20" i="2" s="1"/>
  <c r="P19" i="2"/>
  <c r="Q19" i="2" s="1"/>
  <c r="P18" i="2"/>
  <c r="Q18" i="2" s="1"/>
  <c r="P17" i="2"/>
  <c r="Q17" i="2" s="1"/>
  <c r="P16" i="2"/>
  <c r="Q16" i="2" s="1"/>
  <c r="P15" i="2"/>
  <c r="Q15" i="2" s="1"/>
  <c r="P13" i="2"/>
  <c r="Q13" i="2" s="1"/>
  <c r="P12" i="2"/>
  <c r="Q12" i="2" s="1"/>
  <c r="P11" i="2"/>
  <c r="Q11" i="2" s="1"/>
  <c r="P10" i="2"/>
  <c r="Q10" i="2" s="1"/>
  <c r="G25" i="4" l="1"/>
  <c r="F39" i="4"/>
  <c r="G37" i="4"/>
  <c r="H25" i="4"/>
  <c r="I39" i="4"/>
  <c r="D48" i="4"/>
  <c r="D49" i="4" s="1"/>
  <c r="D50" i="4" s="1"/>
  <c r="J37" i="4"/>
  <c r="F25" i="4"/>
  <c r="G48" i="4"/>
  <c r="G49" i="4" s="1"/>
  <c r="C49" i="4"/>
  <c r="C50" i="4" s="1"/>
  <c r="E25" i="4"/>
  <c r="C24" i="4"/>
  <c r="P14" i="2"/>
  <c r="Q14" i="2" s="1"/>
  <c r="L31" i="39"/>
  <c r="L9" i="39"/>
  <c r="L11" i="39" s="1"/>
  <c r="M31" i="39" l="1"/>
  <c r="M30" i="39"/>
  <c r="N30" i="39" s="1"/>
  <c r="M29" i="39"/>
  <c r="N29" i="39" s="1"/>
  <c r="M28" i="39"/>
  <c r="N28" i="39" s="1"/>
  <c r="M27" i="39"/>
  <c r="N27" i="39" s="1"/>
  <c r="G40" i="4"/>
  <c r="G50" i="4" s="1"/>
  <c r="C25" i="4"/>
  <c r="H46" i="4"/>
  <c r="J46" i="4" s="1"/>
  <c r="J48" i="4" s="1"/>
  <c r="J49" i="4" s="1"/>
  <c r="J50" i="4" s="1"/>
  <c r="W7" i="40"/>
  <c r="W8" i="40"/>
  <c r="W9" i="40"/>
  <c r="W10" i="40"/>
  <c r="W11" i="40"/>
  <c r="W12" i="40"/>
  <c r="W13" i="40"/>
  <c r="W14" i="40"/>
  <c r="W15" i="40"/>
  <c r="W16" i="40"/>
  <c r="W17" i="40"/>
  <c r="W18" i="40"/>
  <c r="W19" i="40"/>
  <c r="W20" i="40"/>
  <c r="W21" i="40"/>
  <c r="W22" i="40"/>
  <c r="W23" i="40"/>
  <c r="W24" i="40"/>
  <c r="W25" i="40"/>
  <c r="W26" i="40"/>
  <c r="W27" i="40"/>
  <c r="W28" i="40"/>
  <c r="W29" i="40"/>
  <c r="W6" i="40"/>
  <c r="AD8" i="40" s="1"/>
  <c r="I7" i="40"/>
  <c r="N31" i="39" l="1"/>
  <c r="I8" i="40"/>
  <c r="I9" i="40" s="1"/>
  <c r="I10" i="40" s="1"/>
  <c r="I11" i="40" s="1"/>
  <c r="I12" i="40" s="1"/>
  <c r="I13" i="40" s="1"/>
  <c r="I14" i="40" s="1"/>
  <c r="I15" i="40" s="1"/>
  <c r="I16" i="40" s="1"/>
  <c r="I17" i="40" s="1"/>
  <c r="I18" i="40" s="1"/>
  <c r="I19" i="40" s="1"/>
  <c r="I20" i="40" s="1"/>
  <c r="I21" i="40" l="1"/>
  <c r="I22" i="40" s="1"/>
  <c r="I23" i="40" l="1"/>
  <c r="I24" i="40" l="1"/>
  <c r="I25" i="40" l="1"/>
  <c r="I26" i="40" l="1"/>
  <c r="I27" i="40" l="1"/>
  <c r="I28" i="40" l="1"/>
  <c r="I29" i="40" l="1"/>
  <c r="K5" i="40" l="1"/>
  <c r="O4" i="40" s="1"/>
  <c r="P5" i="40" s="1"/>
  <c r="V6" i="40" s="1"/>
  <c r="X6" i="40" l="1"/>
  <c r="P7" i="40"/>
  <c r="Y6" i="40" l="1"/>
  <c r="V7" i="40" s="1"/>
  <c r="X7" i="40" s="1"/>
  <c r="AC6" i="40"/>
  <c r="AC7" i="40" s="1"/>
  <c r="S23" i="40"/>
  <c r="S15" i="40"/>
  <c r="S18" i="40"/>
  <c r="S12" i="40"/>
  <c r="S10" i="40"/>
  <c r="S27" i="40"/>
  <c r="S16" i="40"/>
  <c r="S24" i="40"/>
  <c r="S6" i="40"/>
  <c r="S7" i="40"/>
  <c r="S20" i="40"/>
  <c r="S26" i="40"/>
  <c r="S8" i="40"/>
  <c r="S11" i="40"/>
  <c r="S22" i="40"/>
  <c r="S28" i="40"/>
  <c r="S13" i="40"/>
  <c r="S17" i="40"/>
  <c r="S25" i="40"/>
  <c r="S14" i="40"/>
  <c r="S19" i="40"/>
  <c r="S9" i="40"/>
  <c r="S21" i="40"/>
  <c r="S29" i="40"/>
  <c r="T6" i="40" l="1"/>
  <c r="R7" i="40" s="1"/>
  <c r="R8" i="40" s="1"/>
  <c r="R9" i="40" s="1"/>
  <c r="R10" i="40" s="1"/>
  <c r="R11" i="40" s="1"/>
  <c r="R12" i="40" s="1"/>
  <c r="R13" i="40" s="1"/>
  <c r="R14" i="40" s="1"/>
  <c r="R15" i="40" s="1"/>
  <c r="T15" i="40" s="1"/>
  <c r="R16" i="40" s="1"/>
  <c r="T16" i="40" s="1"/>
  <c r="R17" i="40" s="1"/>
  <c r="T17" i="40" s="1"/>
  <c r="R18" i="40" s="1"/>
  <c r="T18" i="40" s="1"/>
  <c r="R19" i="40" s="1"/>
  <c r="T19" i="40" s="1"/>
  <c r="R20" i="40" s="1"/>
  <c r="T20" i="40" s="1"/>
  <c r="R21" i="40" s="1"/>
  <c r="O10" i="40"/>
  <c r="P11" i="40" s="1"/>
  <c r="Y7" i="40"/>
  <c r="V8" i="40" s="1"/>
  <c r="X8" i="40" l="1"/>
  <c r="T21" i="40"/>
  <c r="R22" i="40" s="1"/>
  <c r="Y8" i="40" l="1"/>
  <c r="V9" i="40" s="1"/>
  <c r="X9" i="40" s="1"/>
  <c r="Y9" i="40" s="1"/>
  <c r="V10" i="40" s="1"/>
  <c r="X10" i="40" s="1"/>
  <c r="Y10" i="40" s="1"/>
  <c r="T22" i="40"/>
  <c r="R23" i="40" s="1"/>
  <c r="V11" i="40" l="1"/>
  <c r="T23" i="40"/>
  <c r="R24" i="40" s="1"/>
  <c r="X11" i="40" l="1"/>
  <c r="Y11" i="40" s="1"/>
  <c r="T24" i="40"/>
  <c r="R25" i="40" s="1"/>
  <c r="V12" i="40" l="1"/>
  <c r="T25" i="40"/>
  <c r="R26" i="40" s="1"/>
  <c r="X12" i="40" l="1"/>
  <c r="Y12" i="40" s="1"/>
  <c r="T26" i="40"/>
  <c r="R27" i="40" s="1"/>
  <c r="V13" i="40" l="1"/>
  <c r="T27" i="40"/>
  <c r="R28" i="40" s="1"/>
  <c r="X13" i="40" l="1"/>
  <c r="Y13" i="40" s="1"/>
  <c r="T28" i="40"/>
  <c r="R29" i="40" s="1"/>
  <c r="T29" i="40" s="1"/>
  <c r="V14" i="40" l="1"/>
  <c r="X14" i="40" l="1"/>
  <c r="Y14" i="40" s="1"/>
  <c r="V15" i="40" l="1"/>
  <c r="X15" i="40" l="1"/>
  <c r="Y15" i="40" s="1"/>
  <c r="V16" i="40" l="1"/>
  <c r="X16" i="40" l="1"/>
  <c r="Y16" i="40" s="1"/>
  <c r="V17" i="40" l="1"/>
  <c r="X17" i="40" l="1"/>
  <c r="Y17" i="40" s="1"/>
  <c r="V18" i="40" l="1"/>
  <c r="X18" i="40" l="1"/>
  <c r="Y18" i="40" s="1"/>
  <c r="V19" i="40" l="1"/>
  <c r="X19" i="40" l="1"/>
  <c r="Y19" i="40" s="1"/>
  <c r="V20" i="40" l="1"/>
  <c r="X20" i="40" l="1"/>
  <c r="Y20" i="40" s="1"/>
  <c r="V21" i="40" l="1"/>
  <c r="X21" i="40" l="1"/>
  <c r="Y21" i="40" s="1"/>
  <c r="V22" i="40" l="1"/>
  <c r="X22" i="40" l="1"/>
  <c r="Y22" i="40" s="1"/>
  <c r="V23" i="40" l="1"/>
  <c r="X23" i="40" l="1"/>
  <c r="Y23" i="40" s="1"/>
  <c r="V24" i="40" l="1"/>
  <c r="X24" i="40" l="1"/>
  <c r="Y24" i="40" s="1"/>
  <c r="V25" i="40" l="1"/>
  <c r="X25" i="40" l="1"/>
  <c r="Y25" i="40" s="1"/>
  <c r="V26" i="40" l="1"/>
  <c r="X26" i="40" l="1"/>
  <c r="Y26" i="40" s="1"/>
  <c r="V27" i="40" l="1"/>
  <c r="X27" i="40" l="1"/>
  <c r="Y27" i="40" s="1"/>
  <c r="V28" i="40" l="1"/>
  <c r="X28" i="40" l="1"/>
  <c r="Y28" i="40" s="1"/>
  <c r="V29" i="40" l="1"/>
  <c r="X29" i="40" l="1"/>
  <c r="Y29" i="40" s="1"/>
</calcChain>
</file>

<file path=xl/sharedStrings.xml><?xml version="1.0" encoding="utf-8"?>
<sst xmlns="http://schemas.openxmlformats.org/spreadsheetml/2006/main" count="662" uniqueCount="406">
  <si>
    <t>Contrato</t>
  </si>
  <si>
    <t>Pagos</t>
  </si>
  <si>
    <t>Tasa incremental</t>
  </si>
  <si>
    <t>Periodo</t>
  </si>
  <si>
    <t>VP</t>
  </si>
  <si>
    <t>Activo por derecho de uso</t>
  </si>
  <si>
    <t>Pasivo por arrentamiento</t>
  </si>
  <si>
    <t>D</t>
  </si>
  <si>
    <t>H</t>
  </si>
  <si>
    <t>SI</t>
  </si>
  <si>
    <t>DEP</t>
  </si>
  <si>
    <t>SF</t>
  </si>
  <si>
    <t>Depreciación mensual</t>
  </si>
  <si>
    <t>Depreciación acumulada</t>
  </si>
  <si>
    <t>Pasivo</t>
  </si>
  <si>
    <t>CF</t>
  </si>
  <si>
    <t>PAGOS</t>
  </si>
  <si>
    <t>Mes 1</t>
  </si>
  <si>
    <t>Gasto por depreciación</t>
  </si>
  <si>
    <t>Efectivo</t>
  </si>
  <si>
    <t>Gasto financiero</t>
  </si>
  <si>
    <t>R.Inicial</t>
  </si>
  <si>
    <t>Tracto camión</t>
  </si>
  <si>
    <t>USD</t>
  </si>
  <si>
    <t>1 Mantenimiento</t>
  </si>
  <si>
    <t>1 Entrenamiento</t>
  </si>
  <si>
    <t>1 Tracking</t>
  </si>
  <si>
    <t>40 Tracto camión: Factura</t>
  </si>
  <si>
    <t>40 Tracto camión: PVI</t>
  </si>
  <si>
    <t>PVI</t>
  </si>
  <si>
    <t>%</t>
  </si>
  <si>
    <t>Satisfacción de la obligación de desempeño</t>
  </si>
  <si>
    <t>Condiciones de entrega diferida (en el cobro)</t>
  </si>
  <si>
    <t>Prestación efectiva del servicio</t>
  </si>
  <si>
    <t>Entre 12, la OD es homogenea durante el año</t>
  </si>
  <si>
    <t>Precio</t>
  </si>
  <si>
    <t>Cuentas por cobrar</t>
  </si>
  <si>
    <t>SIEMPRE Y NUNCA</t>
  </si>
  <si>
    <t>Producción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</si>
  <si>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</si>
  <si>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</si>
  <si>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</si>
  <si>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</si>
  <si>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</si>
  <si>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</si>
  <si>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</si>
  <si>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</si>
  <si>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</si>
  <si>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</si>
  <si>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</si>
  <si>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</si>
  <si>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Promedio</t>
  </si>
  <si>
    <t>CIF</t>
  </si>
  <si>
    <t>Fijo</t>
  </si>
  <si>
    <t>CIF Fijo USD</t>
  </si>
  <si>
    <t>Unitario</t>
  </si>
  <si>
    <t>(Normal)</t>
  </si>
  <si>
    <t>Real</t>
  </si>
  <si>
    <t>Al Costo</t>
  </si>
  <si>
    <t>A Resultados</t>
  </si>
  <si>
    <t>Costo</t>
  </si>
  <si>
    <t>Resultados acumulados</t>
  </si>
  <si>
    <t>A la contabilidad :</t>
  </si>
  <si>
    <t>Inventarios</t>
  </si>
  <si>
    <t>$</t>
  </si>
  <si>
    <t>PPE, neto</t>
  </si>
  <si>
    <t>Total activos</t>
  </si>
  <si>
    <t>Activos corrientes</t>
  </si>
  <si>
    <t>Pasivos</t>
  </si>
  <si>
    <t>Total pasivos</t>
  </si>
  <si>
    <t>Capital social</t>
  </si>
  <si>
    <t>Resultados del ejercicio</t>
  </si>
  <si>
    <t>Total patrimonio</t>
  </si>
  <si>
    <t>Total pasivo y patrimonio</t>
  </si>
  <si>
    <t>Emitido</t>
  </si>
  <si>
    <t>Corrección</t>
  </si>
  <si>
    <t>Reexp</t>
  </si>
  <si>
    <t>COSTOS SIGNIFICATIVOS</t>
  </si>
  <si>
    <t>VIDAS UTILES DIFERENTES</t>
  </si>
  <si>
    <t>Pregunta: ¿Qué es material? ¿ De qué depende? ¿Relatividad?</t>
  </si>
  <si>
    <t>Depreciación en NIIF</t>
  </si>
  <si>
    <t>Vida</t>
  </si>
  <si>
    <t>Deprec.</t>
  </si>
  <si>
    <t>Código:</t>
  </si>
  <si>
    <t>MAQ_125_2016_000</t>
  </si>
  <si>
    <t>VR</t>
  </si>
  <si>
    <t>Imp Depr</t>
  </si>
  <si>
    <t>Util</t>
  </si>
  <si>
    <t>mensual</t>
  </si>
  <si>
    <t>MAQ_125_2016_001</t>
  </si>
  <si>
    <t>MAQ_125_2016_002</t>
  </si>
  <si>
    <t>MAQ_125_2016_003</t>
  </si>
  <si>
    <t>Compra de MAQUINARIA:</t>
  </si>
  <si>
    <t>Maquinaria</t>
  </si>
  <si>
    <t>Cuentas por pagar diversas</t>
  </si>
  <si>
    <t>Recibimos la subvención 30%</t>
  </si>
  <si>
    <t>OPCION 1</t>
  </si>
  <si>
    <t>OPCION 2</t>
  </si>
  <si>
    <t>Vida útil:</t>
  </si>
  <si>
    <t>años</t>
  </si>
  <si>
    <t>Gasto por depreciación anual</t>
  </si>
  <si>
    <t>Ingresos por subsidios</t>
  </si>
  <si>
    <t xml:space="preserve">Efecto en resultados </t>
  </si>
  <si>
    <t>Tasa</t>
  </si>
  <si>
    <t>Pago</t>
  </si>
  <si>
    <t>Tasa Efectiva</t>
  </si>
  <si>
    <t>Cuentas por pagar comerciales</t>
  </si>
  <si>
    <t>Arrendamientos</t>
  </si>
  <si>
    <t>DADOS</t>
  </si>
  <si>
    <t>RESULTADOS</t>
  </si>
  <si>
    <t>PREMIOS</t>
  </si>
  <si>
    <t>PROBABILIDAD</t>
  </si>
  <si>
    <t>Gasto</t>
  </si>
  <si>
    <t>Provisión</t>
  </si>
  <si>
    <t>TRAMPO S.A.</t>
  </si>
  <si>
    <t>Préstamo  por pagar</t>
  </si>
  <si>
    <t>VL</t>
  </si>
  <si>
    <t>Activos Netos</t>
  </si>
  <si>
    <t>Marca/Relación con cltes…</t>
  </si>
  <si>
    <t>ESCENARIO 1</t>
  </si>
  <si>
    <t>PRECIO PAGADO</t>
  </si>
  <si>
    <t>Inversiones en asociadas</t>
  </si>
  <si>
    <t xml:space="preserve">COMPRA DE ACCIONES AL </t>
  </si>
  <si>
    <t>Goodwill</t>
  </si>
  <si>
    <t>ESCENARIO 2</t>
  </si>
  <si>
    <t xml:space="preserve">COMPRA DE NEGOCIO AL </t>
  </si>
  <si>
    <t>NIC 2</t>
  </si>
  <si>
    <t>NIC 16</t>
  </si>
  <si>
    <t>Depreciación por componentes</t>
  </si>
  <si>
    <t>NIIF 16</t>
  </si>
  <si>
    <t>con el profesor Freddy Llanto</t>
  </si>
  <si>
    <t>120 MINUTOS DE PURO CONOCIMIENTO CONTABLE INTERNACIONAL</t>
  </si>
  <si>
    <t>1 CASO PRACTICO DE NIC 1</t>
  </si>
  <si>
    <t>1 CASO PRACTICO DE NIC 2</t>
  </si>
  <si>
    <t>1 CASO PRACTICO DE NIC 7</t>
  </si>
  <si>
    <t>1 CASO PRACTICO DE NIC 8</t>
  </si>
  <si>
    <t>1 CASO PRACTICO DE NIC 10</t>
  </si>
  <si>
    <t>1 CASO PRACTICO DE NIC 16</t>
  </si>
  <si>
    <t>1 CASO PRACTICO DE NIC 20</t>
  </si>
  <si>
    <t>1 CASO PRACTICO DE NIC 21</t>
  </si>
  <si>
    <t>1 CASO PRACTICO DE NIC 23</t>
  </si>
  <si>
    <t>1 CASO PRACTICO DE NIC 37</t>
  </si>
  <si>
    <t>1 CASO PRACTICO DE NIC 40</t>
  </si>
  <si>
    <t>1 CASO PRACTICO DE NIIF 3</t>
  </si>
  <si>
    <t>1 CASO PRACTICO DE NIIF 6</t>
  </si>
  <si>
    <t>1 CASO PRACTICO DE NIIF 7</t>
  </si>
  <si>
    <t>1 CASO PRACTICO DE NIIF 15</t>
  </si>
  <si>
    <t>1 CASO PRACTICO DE NIIF 16</t>
  </si>
  <si>
    <t>Costeando los CO Productos</t>
  </si>
  <si>
    <t>Preparando las eliminaciones</t>
  </si>
  <si>
    <t>Corrigiendo los errores del pasado</t>
  </si>
  <si>
    <t>Cuando las gerencias colaboran</t>
  </si>
  <si>
    <t>La temida descomponetización</t>
  </si>
  <si>
    <t>Un préstamo con tasa de interés menor al mercado</t>
  </si>
  <si>
    <t>El correcto tratamiento de los anticipos</t>
  </si>
  <si>
    <t>Cuando la diferencia de cambio es interés</t>
  </si>
  <si>
    <t>Las provisiones por retiro de activos</t>
  </si>
  <si>
    <t>Historia sobre centros comerciales</t>
  </si>
  <si>
    <t>El proceso de compra de un negocio</t>
  </si>
  <si>
    <t>Explorando, una actividad poco entendida</t>
  </si>
  <si>
    <t>El modelo de análisis de sensibilidad</t>
  </si>
  <si>
    <t>La quinta es gratis, una anécdota sobre Ingresos</t>
  </si>
  <si>
    <t>Lo que debe hacer un arrendatario</t>
  </si>
  <si>
    <t xml:space="preserve">Alterando la presentación </t>
  </si>
  <si>
    <t>2023</t>
  </si>
  <si>
    <t>2022</t>
  </si>
  <si>
    <t>Ventas</t>
  </si>
  <si>
    <t>Costo de ventas</t>
  </si>
  <si>
    <t>Utilidad bruta</t>
  </si>
  <si>
    <t>Otros ingresos</t>
  </si>
  <si>
    <t>Gastos de ventas</t>
  </si>
  <si>
    <t>Gastos de administración</t>
  </si>
  <si>
    <t>Otros gastos</t>
  </si>
  <si>
    <t>Utilidad antes de impuestos</t>
  </si>
  <si>
    <t>Impuesto a la renta</t>
  </si>
  <si>
    <t>Utilidad neta</t>
  </si>
  <si>
    <t>Pérdida operativa por COVID</t>
  </si>
  <si>
    <t>Utilidad bruta antes de efectos COVID</t>
  </si>
  <si>
    <t>Unidades</t>
  </si>
  <si>
    <t>CIF FIJOS:</t>
  </si>
  <si>
    <t xml:space="preserve">Servicios de alarmas.
</t>
  </si>
  <si>
    <t>Agentes de seguridad</t>
  </si>
  <si>
    <t>Servicios de sistemas integrados de video</t>
  </si>
  <si>
    <t>Servicios de limpieza e higiene</t>
  </si>
  <si>
    <t xml:space="preserve">Mano de obra indirecta (preparación de materiales para la producción).
</t>
  </si>
  <si>
    <t>Servicios de mantenimiento de maquinaria y equipo</t>
  </si>
  <si>
    <t>Jefes de supervisión</t>
  </si>
  <si>
    <t>Depreciación lineal de activos del area de producción</t>
  </si>
  <si>
    <t>El Metodo Directo</t>
  </si>
  <si>
    <t>NIC 7 Estado de Flujos de Efectivo</t>
  </si>
  <si>
    <t>Cuenta por cobrar</t>
  </si>
  <si>
    <t>Deterioro de CXC</t>
  </si>
  <si>
    <t>Inventario</t>
  </si>
  <si>
    <t>Deterioro de Invent</t>
  </si>
  <si>
    <t>PPE, costo</t>
  </si>
  <si>
    <t>Depreciac.Acum</t>
  </si>
  <si>
    <t>Cuentas por pagar comerc</t>
  </si>
  <si>
    <t>Remuneraciones por pagar</t>
  </si>
  <si>
    <t>Var</t>
  </si>
  <si>
    <t>Gasto de personal</t>
  </si>
  <si>
    <t>SON NECESARIAS LAS ELIMINACIONES?</t>
  </si>
  <si>
    <t>Cobros</t>
  </si>
  <si>
    <t>a</t>
  </si>
  <si>
    <t>clientes</t>
  </si>
  <si>
    <t>Saldo inicial CXC</t>
  </si>
  <si>
    <t>(+) ventas</t>
  </si>
  <si>
    <t>(-) Saldo final CXC</t>
  </si>
  <si>
    <t>Cobranza a clientes</t>
  </si>
  <si>
    <t>Aplicado a Clientes</t>
  </si>
  <si>
    <t>Aplicado a PPE</t>
  </si>
  <si>
    <t>Compra</t>
  </si>
  <si>
    <t xml:space="preserve">de </t>
  </si>
  <si>
    <t>PPE</t>
  </si>
  <si>
    <t>Compra de PPE</t>
  </si>
  <si>
    <t>Costo de baja de PPE</t>
  </si>
  <si>
    <t>Saldo inicial</t>
  </si>
  <si>
    <t>(+) Compras</t>
  </si>
  <si>
    <t>(-) Ventas</t>
  </si>
  <si>
    <t>=Saldo final</t>
  </si>
  <si>
    <t>(-) Saldo final</t>
  </si>
  <si>
    <t>=Compras</t>
  </si>
  <si>
    <t>Saldo final</t>
  </si>
  <si>
    <t>(-) Saldo inicial</t>
  </si>
  <si>
    <t xml:space="preserve">(+) Ventas </t>
  </si>
  <si>
    <t>(+)Ventas</t>
  </si>
  <si>
    <t>(+) Ventas</t>
  </si>
  <si>
    <t>(-) Cobros</t>
  </si>
  <si>
    <t>=Cobros</t>
  </si>
  <si>
    <t>Aplicado a INVENTARIOS</t>
  </si>
  <si>
    <t>Proveed</t>
  </si>
  <si>
    <t>Pago de Proveedores</t>
  </si>
  <si>
    <t>Variación de Inventarios</t>
  </si>
  <si>
    <t>Pago a Proveedores:</t>
  </si>
  <si>
    <t>(-) Pagos</t>
  </si>
  <si>
    <t>Movimiento de Proveedores</t>
  </si>
  <si>
    <t>= Pagos</t>
  </si>
  <si>
    <t>Movimiento de Inventarios</t>
  </si>
  <si>
    <t>(-) Costo de venta</t>
  </si>
  <si>
    <t>Compras</t>
  </si>
  <si>
    <t>(+) Costo de venta</t>
  </si>
  <si>
    <t>Saldo inicial Proveedores</t>
  </si>
  <si>
    <t>=Saldo final Proveedores</t>
  </si>
  <si>
    <t>(-) Saldo final Proveedores</t>
  </si>
  <si>
    <t>Saldo inicial Inventarios</t>
  </si>
  <si>
    <t>=Saldo final Inventarios</t>
  </si>
  <si>
    <t>Saldo final Inventarios</t>
  </si>
  <si>
    <t>(-) Saldo inicial Inventarios</t>
  </si>
  <si>
    <t>Variación de Proveedores</t>
  </si>
  <si>
    <t>Correcto</t>
  </si>
  <si>
    <t>Reexpresado</t>
  </si>
  <si>
    <t>Proforma</t>
  </si>
  <si>
    <t>SE DEBIO DAR DE BAJA Y NO SE HIZO</t>
  </si>
  <si>
    <t>Corrigiendo los errores</t>
  </si>
  <si>
    <t>LOS COMPARATIVOS</t>
  </si>
  <si>
    <t>(SOLO EN TU EXCEL)</t>
  </si>
  <si>
    <t>NIC 10 Eventos posteriores</t>
  </si>
  <si>
    <t>PERIODO DE LOS EVENTOS POSTERIORES</t>
  </si>
  <si>
    <t>Depreciación Componentes , qué es eso?</t>
  </si>
  <si>
    <t>Separar para depreciar</t>
  </si>
  <si>
    <r>
      <rPr>
        <sz val="13"/>
        <color theme="1"/>
        <rFont val="Calibri"/>
        <family val="2"/>
      </rPr>
      <t xml:space="preserve">Se </t>
    </r>
    <r>
      <rPr>
        <b/>
        <u/>
        <sz val="13"/>
        <color theme="1"/>
        <rFont val="Calibri"/>
        <family val="2"/>
      </rPr>
      <t>depreciará de forma separada</t>
    </r>
    <r>
      <rPr>
        <sz val="13"/>
        <color theme="1"/>
        <rFont val="Calibri"/>
        <family val="2"/>
      </rPr>
      <t xml:space="preserve"> cada parte de un elemento de propiedades, planta </t>
    </r>
  </si>
  <si>
    <r>
      <rPr>
        <b/>
        <u/>
        <sz val="13"/>
        <color theme="1"/>
        <rFont val="Calibri"/>
        <family val="2"/>
      </rPr>
      <t xml:space="preserve">y equipo que tenga un costo  significativo </t>
    </r>
    <r>
      <rPr>
        <sz val="13"/>
        <color theme="1"/>
        <rFont val="Calibri"/>
        <family val="2"/>
      </rPr>
      <t xml:space="preserve">con relación al </t>
    </r>
    <r>
      <rPr>
        <b/>
        <u/>
        <sz val="13"/>
        <color theme="1"/>
        <rFont val="Calibri"/>
        <family val="2"/>
      </rPr>
      <t>costo total del elemento</t>
    </r>
    <r>
      <rPr>
        <sz val="13"/>
        <color theme="1"/>
        <rFont val="Calibri"/>
        <family val="2"/>
      </rPr>
      <t>.</t>
    </r>
  </si>
  <si>
    <t>Agrupar para depreciar</t>
  </si>
  <si>
    <t xml:space="preserve">Una parte significativa de un elemento de PPE puede tener una vida útil y un método </t>
  </si>
  <si>
    <r>
      <rPr>
        <sz val="13"/>
        <color theme="1"/>
        <rFont val="Calibri"/>
        <family val="2"/>
      </rPr>
      <t xml:space="preserve">de depreciación que coincidan con </t>
    </r>
    <r>
      <rPr>
        <b/>
        <u/>
        <sz val="13"/>
        <color theme="1"/>
        <rFont val="Calibri"/>
        <family val="2"/>
      </rPr>
      <t>la vida</t>
    </r>
    <r>
      <rPr>
        <sz val="13"/>
        <color theme="1"/>
        <rFont val="Calibri"/>
        <family val="2"/>
      </rPr>
      <t xml:space="preserve"> y el método utilizados para otra parte </t>
    </r>
  </si>
  <si>
    <t xml:space="preserve">significativa  del mismo elemento.  En tal caso, ambas partes podrían agruparse para </t>
  </si>
  <si>
    <t>determinar el cargo por depreciación.</t>
  </si>
  <si>
    <t>Elegir por Materialidad</t>
  </si>
  <si>
    <t xml:space="preserve">La entidad podrá elegir por depreciar de forma separada las partes que compongan </t>
  </si>
  <si>
    <t>un elemento y no tengan  un costo significativo .... (Materialidad)</t>
  </si>
  <si>
    <t>Cargos por depreciación</t>
  </si>
  <si>
    <t xml:space="preserve">El cargo por depreciación de cada periodo se reconocerá en el resultado del periodo, </t>
  </si>
  <si>
    <t>salvo que se haya incluido  en el importe en libros de otro activo.</t>
  </si>
  <si>
    <t>NIC 20 Subvenciones</t>
  </si>
  <si>
    <t>Ingreso DIFERIDOS</t>
  </si>
  <si>
    <t xml:space="preserve">Efectivo </t>
  </si>
  <si>
    <t>NIC 21 Partidas monetarias</t>
  </si>
  <si>
    <t>UNA EMPRESA PERUANA:</t>
  </si>
  <si>
    <t>REALIZA UNA INVERSIÓN EN UNA SUBSIDIARIA EN ECUADOR</t>
  </si>
  <si>
    <t>POR UN MONTO DE</t>
  </si>
  <si>
    <t>INVERSIONES EN SUBSIDIARIAS</t>
  </si>
  <si>
    <t>EFECTIVO</t>
  </si>
  <si>
    <t>S/</t>
  </si>
  <si>
    <t>FECHA:</t>
  </si>
  <si>
    <t>GANANCIA POR DIFERENCIA DE CAMBIO</t>
  </si>
  <si>
    <t>UNA EXPERIENCIA</t>
  </si>
  <si>
    <t>UNA AYUDA TRIBUTARIA?</t>
  </si>
  <si>
    <t>NIC 23 Costos financieros</t>
  </si>
  <si>
    <t>NIC 23: COSTOS FINANCIEROS (Borrowing Costs)</t>
  </si>
  <si>
    <t>1° Paso: Calcular la tasa efectiva</t>
  </si>
  <si>
    <t>2° Paso: Calcular el costo amortizado</t>
  </si>
  <si>
    <t>3° Paso: Cumplimiento de la NIC 23</t>
  </si>
  <si>
    <t>Transacción</t>
  </si>
  <si>
    <t>Flujos</t>
  </si>
  <si>
    <t>Suponga que una empresa</t>
  </si>
  <si>
    <t>Impor Recib</t>
  </si>
  <si>
    <t>Comisión</t>
  </si>
  <si>
    <t>Otros</t>
  </si>
  <si>
    <t>DR</t>
  </si>
  <si>
    <t>del Contrato</t>
  </si>
  <si>
    <t xml:space="preserve">Toma un préstamo </t>
  </si>
  <si>
    <t>(+) CostoF</t>
  </si>
  <si>
    <t>= SF</t>
  </si>
  <si>
    <t>El efectivo recibido es invertido en la construcción de un almacén (PPE)</t>
  </si>
  <si>
    <t>Mandato de NIC 23</t>
  </si>
  <si>
    <t>Los intereses del préstamo deben ser parte del costo del activo</t>
  </si>
  <si>
    <t>Préstamo</t>
  </si>
  <si>
    <t>¿Qué interés se capitaliza?</t>
  </si>
  <si>
    <t>Plazo en meses</t>
  </si>
  <si>
    <t>Aquellos que se miden con el costo amortizado usando la tasa efectiva</t>
  </si>
  <si>
    <t>Pago (Principal + Intereses)</t>
  </si>
  <si>
    <t>¿Capitalizamos todos los intereses?</t>
  </si>
  <si>
    <t>Comisión de desembolso</t>
  </si>
  <si>
    <t>No. Existen reglas</t>
  </si>
  <si>
    <t>¿Cuando comenzamos?</t>
  </si>
  <si>
    <t>NIIF 9</t>
  </si>
  <si>
    <t xml:space="preserve">La fecha de inicio para la capitalización es aquella en que la entidad </t>
  </si>
  <si>
    <t>Método de la tasa de interes efectivo</t>
  </si>
  <si>
    <t>cumple por primera vez todas y cada una de las siguientes condiciones:</t>
  </si>
  <si>
    <t>Método del costo amortizado</t>
  </si>
  <si>
    <t>a) incurre en desembolsos en relación con el activo;</t>
  </si>
  <si>
    <t>Calendario proporcionado por el Banco</t>
  </si>
  <si>
    <t xml:space="preserve">b) incurre en costos por préstamos; y </t>
  </si>
  <si>
    <t>PRINCIPAL</t>
  </si>
  <si>
    <t>INTERES</t>
  </si>
  <si>
    <t>CUOTA</t>
  </si>
  <si>
    <t>c) lleva a cabo las actividades necesarias para preparar al activo.</t>
  </si>
  <si>
    <t>Cero</t>
  </si>
  <si>
    <t>¿Cuando suspendemos?</t>
  </si>
  <si>
    <t xml:space="preserve">Una entidad suspenderá la capitalización de los costos por préstamos </t>
  </si>
  <si>
    <t xml:space="preserve">durante los periodos en los que se haya suspendido el desarrollo de </t>
  </si>
  <si>
    <t>actividades de un activo apto, si estos periodos se extienden en el tiempo.</t>
  </si>
  <si>
    <t>¿Cuando Finalizamos la capitalización?</t>
  </si>
  <si>
    <t xml:space="preserve">Una entidad cesará la capitalización de los costos por préstamos cuando se </t>
  </si>
  <si>
    <t xml:space="preserve">hayan completado todas o prácticamente  todas las actividades necesarias </t>
  </si>
  <si>
    <t>para preparar al activo apto para el uso al que va destinado o para su venta.</t>
  </si>
  <si>
    <t>Reconocimiento inicial</t>
  </si>
  <si>
    <t>Prestamo por pagar</t>
  </si>
  <si>
    <t>PPE-CF</t>
  </si>
  <si>
    <t>según banco</t>
  </si>
  <si>
    <t>según costo amortizado</t>
  </si>
  <si>
    <t>diferencia</t>
  </si>
  <si>
    <t>Resumen:</t>
  </si>
  <si>
    <t>NIC 37 Provisiones</t>
  </si>
  <si>
    <t>NIC 40 Propiedades de inversión</t>
  </si>
  <si>
    <t xml:space="preserve">Propiedad de inversión es una propiedad (terreno o un edificio —o parte de un edificio— o ambos) </t>
  </si>
  <si>
    <t xml:space="preserve">mantenida (por el dueño o por el arrendatario como un activo por derecho de uso  para obtener </t>
  </si>
  <si>
    <t>rentas o apreciación del capital o con ambos fines y no para:</t>
  </si>
  <si>
    <t>Pf 5: NIC 40</t>
  </si>
  <si>
    <t>NIIF 3 Combinacion de negocios</t>
  </si>
  <si>
    <t>NIIF 6 La Exploración</t>
  </si>
  <si>
    <t xml:space="preserve">  técnica  y la viabilidad comercial de la extracción de un </t>
  </si>
  <si>
    <t xml:space="preserve">  recurso mineral.</t>
  </si>
  <si>
    <r>
      <t>a)</t>
    </r>
    <r>
      <rPr>
        <sz val="14"/>
        <rFont val="Calibri"/>
        <family val="2"/>
      </rPr>
      <t xml:space="preserve">Adquisición de derechos de exploración; </t>
    </r>
  </si>
  <si>
    <r>
      <t>b)</t>
    </r>
    <r>
      <rPr>
        <sz val="14"/>
        <color indexed="8"/>
        <rFont val="Calibri"/>
        <family val="2"/>
      </rPr>
      <t xml:space="preserve">Estudios topográficos, geológicos, geoquímicos y geofísicos; </t>
    </r>
  </si>
  <si>
    <r>
      <t>c)</t>
    </r>
    <r>
      <rPr>
        <sz val="14"/>
        <color indexed="8"/>
        <rFont val="Calibri"/>
        <family val="2"/>
      </rPr>
      <t xml:space="preserve">Perforaciones exploratorias; </t>
    </r>
  </si>
  <si>
    <r>
      <t>d)</t>
    </r>
    <r>
      <rPr>
        <sz val="14"/>
        <color indexed="8"/>
        <rFont val="Calibri"/>
        <family val="2"/>
      </rPr>
      <t xml:space="preserve">Excavaciones de zanjas y trincheras; </t>
    </r>
  </si>
  <si>
    <r>
      <t>e)</t>
    </r>
    <r>
      <rPr>
        <sz val="14"/>
        <color indexed="8"/>
        <rFont val="Calibri"/>
        <family val="2"/>
      </rPr>
      <t xml:space="preserve">Toma de muestras; y </t>
    </r>
  </si>
  <si>
    <r>
      <t>f)</t>
    </r>
    <r>
      <rPr>
        <sz val="14"/>
        <color indexed="8"/>
        <rFont val="Calibri"/>
        <family val="2"/>
      </rPr>
      <t xml:space="preserve">Actividades relacionadas con la evaluación de la factibilidad </t>
    </r>
  </si>
  <si>
    <r>
      <t>g)</t>
    </r>
    <r>
      <rPr>
        <sz val="14"/>
        <color indexed="8"/>
        <rFont val="Calibri"/>
        <family val="2"/>
      </rPr>
      <t>Equipo usado en la exploración (vehículos , perforadoras)</t>
    </r>
  </si>
  <si>
    <r>
      <t>h)</t>
    </r>
    <r>
      <rPr>
        <sz val="14"/>
        <color indexed="8"/>
        <rFont val="Calibri"/>
        <family val="2"/>
      </rPr>
      <t>Equipos de bombeo y tuberías</t>
    </r>
  </si>
  <si>
    <r>
      <t>i)</t>
    </r>
    <r>
      <rPr>
        <sz val="14"/>
        <color indexed="8"/>
        <rFont val="Calibri"/>
        <family val="2"/>
      </rPr>
      <t>Tanques de almacenamiento</t>
    </r>
  </si>
  <si>
    <t>ACT-EXPLOR-INTANGIBLE</t>
  </si>
  <si>
    <t xml:space="preserve">ACT-EXPLOR-PPE </t>
  </si>
  <si>
    <t>Gasto por exploracion</t>
  </si>
  <si>
    <t>POLITICA 1: ACTIVAR</t>
  </si>
  <si>
    <t>POLITICA 2: GASTAR</t>
  </si>
  <si>
    <t>RECUERDE EL ALCANCE</t>
  </si>
  <si>
    <t>OBTIENE LOS DERECHOS LEGALES DE EXPLORAR</t>
  </si>
  <si>
    <t>Pagando al Gobierno</t>
  </si>
  <si>
    <t>Comprando la concesión a un tercero</t>
  </si>
  <si>
    <t>Control</t>
  </si>
  <si>
    <t xml:space="preserve">de un recurso mineral sean demostrables. </t>
  </si>
  <si>
    <r>
      <t xml:space="preserve">Un </t>
    </r>
    <r>
      <rPr>
        <sz val="14"/>
        <color indexed="8"/>
        <rFont val="Arial"/>
        <family val="2"/>
      </rPr>
      <t xml:space="preserve">activo para exploración y evaluación </t>
    </r>
  </si>
  <si>
    <r>
      <t xml:space="preserve">dejará de serlo cuando la </t>
    </r>
    <r>
      <rPr>
        <u/>
        <sz val="14"/>
        <color indexed="8"/>
        <rFont val="Arial"/>
        <family val="2"/>
      </rPr>
      <t xml:space="preserve">fiabilidad técnica </t>
    </r>
  </si>
  <si>
    <r>
      <rPr>
        <sz val="14"/>
        <color indexed="8"/>
        <rFont val="Arial"/>
        <family val="2"/>
      </rPr>
      <t xml:space="preserve">y la </t>
    </r>
    <r>
      <rPr>
        <u/>
        <sz val="14"/>
        <color indexed="8"/>
        <rFont val="Arial"/>
        <family val="2"/>
      </rPr>
      <t>viabilidad comercial</t>
    </r>
    <r>
      <rPr>
        <sz val="14"/>
        <color indexed="8"/>
        <rFont val="Arial"/>
        <family val="2"/>
      </rPr>
      <t xml:space="preserve"> de la extracción</t>
    </r>
  </si>
  <si>
    <t>NIIF 15 Ingresos de clientes</t>
  </si>
  <si>
    <t>NIIF - MAESTRA CLASE</t>
  </si>
  <si>
    <t>link del material= https://bit.ly/3Ubuems</t>
  </si>
  <si>
    <t>NIC 1 Presentación de Estados Financieros : Estado de Resultados</t>
  </si>
  <si>
    <t>Pérdida bruta</t>
  </si>
  <si>
    <t>Depreciac.del ejericio</t>
  </si>
  <si>
    <t>Depreciac. Del ejerecicio</t>
  </si>
  <si>
    <t>NIC 8 Errores y demas….</t>
  </si>
  <si>
    <t>PPE- TERRENOS</t>
  </si>
  <si>
    <t>INV INMOB- TERRENOS</t>
  </si>
  <si>
    <t>PLAZO</t>
  </si>
  <si>
    <t>AÑOS</t>
  </si>
  <si>
    <t>RENTA ANUAL</t>
  </si>
  <si>
    <t>EL CONTADOR DEL CLUB HIPICO:</t>
  </si>
  <si>
    <t>INVERSION INMOBILIAIRA</t>
  </si>
  <si>
    <t>EL CONTADOR DEL CENTRO COMERCIAL</t>
  </si>
  <si>
    <t>TASA INCREMENTAL</t>
  </si>
  <si>
    <t>PASIVO POR ARRENDA</t>
  </si>
  <si>
    <t>ADU- INVERSION INM</t>
  </si>
  <si>
    <t>1. Paso: Evaluar al transacción</t>
  </si>
  <si>
    <t>2.Paso: Contraprestacion transferida</t>
  </si>
  <si>
    <t>3.Paso: Activos/Pasivos de la ADQUIRIDA medirse a VR</t>
  </si>
  <si>
    <t>4.Paso: Medir el PNC a VR</t>
  </si>
  <si>
    <t>5.Paso: Registrar la compra</t>
  </si>
  <si>
    <t>1 Servicio Tracking</t>
  </si>
  <si>
    <t>OD1</t>
  </si>
  <si>
    <t>OD2</t>
  </si>
  <si>
    <t>OD3</t>
  </si>
  <si>
    <t>OD4</t>
  </si>
  <si>
    <t>Precio T</t>
  </si>
  <si>
    <t>Mes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</si>
</sst>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-* #,##0.000_-;\-* #,##0.000_-;_-* &quot;-&quot;??_-;_-@_-"/>
    <numFmt numFmtId="167" formatCode="_ * #,##0_ ;_ * \-#,##0_ ;_ * &quot;-&quot;??_ ;_ @_ "/>
    <numFmt numFmtId="168" formatCode="0.000000000%"/>
    <numFmt numFmtId="169" formatCode="0.000"/>
    <numFmt numFmtId="170" formatCode="_ * #,##0.00_ ;_ * \-#,##0.00_ ;_ * &quot;-&quot;??_ ;_ @_ 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11"/>
      <color theme="0"/>
      <name val="Bahnschrift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Bahnschrift"/>
      <family val="2"/>
    </font>
    <font>
      <sz val="8"/>
      <name val="Calibri"/>
      <family val="2"/>
      <scheme val="minor"/>
    </font>
    <font>
      <sz val="12"/>
      <color theme="0"/>
      <name val="Bahnschrift"/>
      <family val="2"/>
    </font>
    <font>
      <b/>
      <i/>
      <sz val="11"/>
      <color theme="1"/>
      <name val="Bahnschrift"/>
      <family val="2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0"/>
      <color theme="0"/>
      <name val="Bahnschrift"/>
      <family val="2"/>
    </font>
    <font>
      <i/>
      <sz val="3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i/>
      <sz val="2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Bahnschrift"/>
      <family val="2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3"/>
      <color theme="0"/>
      <name val="Calibri"/>
      <family val="2"/>
    </font>
    <font>
      <sz val="13"/>
      <color theme="0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u/>
      <sz val="13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  <font>
      <sz val="48"/>
      <color theme="0"/>
      <name val="Calibri"/>
      <family val="2"/>
      <scheme val="minor"/>
    </font>
    <font>
      <b/>
      <sz val="12"/>
      <color theme="1"/>
      <name val="Bahnschrift"/>
      <family val="2"/>
    </font>
    <font>
      <b/>
      <sz val="20"/>
      <color theme="0"/>
      <name val="Bahnschrift"/>
      <family val="2"/>
    </font>
    <font>
      <b/>
      <sz val="11"/>
      <color rgb="FF0070C0"/>
      <name val="Calibri"/>
      <family val="2"/>
      <scheme val="minor"/>
    </font>
    <font>
      <sz val="11"/>
      <name val="Bahnschrift"/>
      <family val="2"/>
    </font>
  </fonts>
  <fills count="4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ABF8F"/>
        <bgColor rgb="FFFABF8F"/>
      </patternFill>
    </fill>
    <fill>
      <patternFill patternType="solid">
        <fgColor rgb="FFEAF1DD"/>
        <bgColor rgb="FFEAF1DD"/>
      </patternFill>
    </fill>
    <fill>
      <patternFill patternType="solid">
        <fgColor rgb="FF00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541">
    <xf numFmtId="0" fontId="0" fillId="0" borderId="0" xfId="0"/>
    <xf numFmtId="0" fontId="2" fillId="0" borderId="0" xfId="0" applyFont="1"/>
    <xf numFmtId="164" fontId="2" fillId="0" borderId="0" xfId="1" applyNumberFormat="1" applyFont="1"/>
    <xf numFmtId="3" fontId="2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4" borderId="0" xfId="0" applyFont="1" applyFill="1"/>
    <xf numFmtId="3" fontId="2" fillId="4" borderId="0" xfId="0" applyNumberFormat="1" applyFont="1" applyFill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2" fillId="6" borderId="0" xfId="0" applyFont="1" applyFill="1"/>
    <xf numFmtId="0" fontId="3" fillId="6" borderId="0" xfId="0" applyFont="1" applyFill="1"/>
    <xf numFmtId="165" fontId="2" fillId="4" borderId="0" xfId="2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/>
    <xf numFmtId="164" fontId="2" fillId="13" borderId="2" xfId="1" applyNumberFormat="1" applyFont="1" applyFill="1" applyBorder="1"/>
    <xf numFmtId="164" fontId="3" fillId="5" borderId="2" xfId="1" applyNumberFormat="1" applyFont="1" applyFill="1" applyBorder="1"/>
    <xf numFmtId="164" fontId="2" fillId="0" borderId="3" xfId="0" applyNumberFormat="1" applyFont="1" applyBorder="1"/>
    <xf numFmtId="0" fontId="15" fillId="18" borderId="4" xfId="0" applyFont="1" applyFill="1" applyBorder="1"/>
    <xf numFmtId="0" fontId="14" fillId="18" borderId="5" xfId="0" applyFont="1" applyFill="1" applyBorder="1"/>
    <xf numFmtId="0" fontId="15" fillId="18" borderId="5" xfId="0" applyFont="1" applyFill="1" applyBorder="1"/>
    <xf numFmtId="0" fontId="15" fillId="18" borderId="5" xfId="0" applyFont="1" applyFill="1" applyBorder="1" applyAlignment="1">
      <alignment horizontal="right"/>
    </xf>
    <xf numFmtId="3" fontId="15" fillId="18" borderId="5" xfId="0" applyNumberFormat="1" applyFont="1" applyFill="1" applyBorder="1"/>
    <xf numFmtId="9" fontId="14" fillId="19" borderId="5" xfId="2" applyFont="1" applyFill="1" applyBorder="1"/>
    <xf numFmtId="0" fontId="13" fillId="0" borderId="6" xfId="0" applyFont="1" applyBorder="1"/>
    <xf numFmtId="0" fontId="14" fillId="18" borderId="7" xfId="0" applyFont="1" applyFill="1" applyBorder="1"/>
    <xf numFmtId="9" fontId="14" fillId="19" borderId="0" xfId="2" applyFont="1" applyFill="1" applyBorder="1"/>
    <xf numFmtId="0" fontId="13" fillId="0" borderId="8" xfId="0" applyFont="1" applyBorder="1"/>
    <xf numFmtId="0" fontId="15" fillId="18" borderId="7" xfId="0" applyFont="1" applyFill="1" applyBorder="1"/>
    <xf numFmtId="9" fontId="12" fillId="20" borderId="0" xfId="2" applyFont="1" applyFill="1" applyBorder="1"/>
    <xf numFmtId="0" fontId="16" fillId="0" borderId="8" xfId="0" applyFont="1" applyBorder="1"/>
    <xf numFmtId="0" fontId="14" fillId="18" borderId="9" xfId="0" applyFont="1" applyFill="1" applyBorder="1"/>
    <xf numFmtId="0" fontId="14" fillId="18" borderId="10" xfId="0" applyFont="1" applyFill="1" applyBorder="1"/>
    <xf numFmtId="3" fontId="11" fillId="5" borderId="10" xfId="0" applyNumberFormat="1" applyFont="1" applyFill="1" applyBorder="1"/>
    <xf numFmtId="0" fontId="6" fillId="2" borderId="0" xfId="0" applyFont="1" applyFill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168" fontId="2" fillId="0" borderId="0" xfId="2" applyNumberFormat="1" applyFont="1" applyAlignment="1">
      <alignment horizontal="center"/>
    </xf>
    <xf numFmtId="0" fontId="3" fillId="24" borderId="0" xfId="0" applyFont="1" applyFill="1" applyAlignment="1">
      <alignment horizontal="center"/>
    </xf>
    <xf numFmtId="0" fontId="3" fillId="24" borderId="0" xfId="0" applyFont="1" applyFill="1"/>
    <xf numFmtId="3" fontId="3" fillId="24" borderId="0" xfId="0" applyNumberFormat="1" applyFont="1" applyFill="1" applyAlignment="1">
      <alignment horizontal="right"/>
    </xf>
    <xf numFmtId="164" fontId="18" fillId="2" borderId="0" xfId="1" applyNumberFormat="1" applyFont="1" applyFill="1"/>
    <xf numFmtId="0" fontId="6" fillId="0" borderId="0" xfId="0" applyFont="1"/>
    <xf numFmtId="164" fontId="18" fillId="2" borderId="0" xfId="1" applyNumberFormat="1" applyFont="1" applyFill="1" applyAlignment="1">
      <alignment horizontal="right"/>
    </xf>
    <xf numFmtId="0" fontId="19" fillId="0" borderId="0" xfId="0" applyFont="1"/>
    <xf numFmtId="0" fontId="19" fillId="5" borderId="0" xfId="0" applyFont="1" applyFill="1"/>
    <xf numFmtId="0" fontId="20" fillId="2" borderId="0" xfId="0" applyFont="1" applyFill="1"/>
    <xf numFmtId="0" fontId="20" fillId="0" borderId="0" xfId="0" applyFont="1"/>
    <xf numFmtId="0" fontId="21" fillId="2" borderId="0" xfId="0" applyFont="1" applyFill="1"/>
    <xf numFmtId="0" fontId="22" fillId="2" borderId="0" xfId="0" applyFont="1" applyFill="1"/>
    <xf numFmtId="0" fontId="23" fillId="5" borderId="0" xfId="0" applyFont="1" applyFill="1"/>
    <xf numFmtId="164" fontId="2" fillId="7" borderId="4" xfId="1" applyNumberFormat="1" applyFont="1" applyFill="1" applyBorder="1"/>
    <xf numFmtId="164" fontId="2" fillId="7" borderId="5" xfId="1" applyNumberFormat="1" applyFont="1" applyFill="1" applyBorder="1"/>
    <xf numFmtId="164" fontId="2" fillId="7" borderId="5" xfId="1" quotePrefix="1" applyNumberFormat="1" applyFont="1" applyFill="1" applyBorder="1" applyAlignment="1">
      <alignment horizontal="center"/>
    </xf>
    <xf numFmtId="164" fontId="2" fillId="7" borderId="6" xfId="1" quotePrefix="1" applyNumberFormat="1" applyFont="1" applyFill="1" applyBorder="1" applyAlignment="1">
      <alignment horizontal="center"/>
    </xf>
    <xf numFmtId="164" fontId="2" fillId="7" borderId="7" xfId="1" applyNumberFormat="1" applyFont="1" applyFill="1" applyBorder="1"/>
    <xf numFmtId="164" fontId="2" fillId="7" borderId="0" xfId="1" applyNumberFormat="1" applyFont="1" applyFill="1" applyBorder="1"/>
    <xf numFmtId="164" fontId="2" fillId="7" borderId="0" xfId="1" quotePrefix="1" applyNumberFormat="1" applyFont="1" applyFill="1" applyBorder="1" applyAlignment="1">
      <alignment horizontal="center"/>
    </xf>
    <xf numFmtId="164" fontId="2" fillId="7" borderId="8" xfId="1" quotePrefix="1" applyNumberFormat="1" applyFont="1" applyFill="1" applyBorder="1" applyAlignment="1">
      <alignment horizontal="center"/>
    </xf>
    <xf numFmtId="164" fontId="2" fillId="0" borderId="7" xfId="1" applyNumberFormat="1" applyFont="1" applyBorder="1"/>
    <xf numFmtId="164" fontId="2" fillId="0" borderId="0" xfId="1" applyNumberFormat="1" applyFont="1" applyBorder="1"/>
    <xf numFmtId="164" fontId="2" fillId="0" borderId="8" xfId="1" applyNumberFormat="1" applyFont="1" applyBorder="1"/>
    <xf numFmtId="164" fontId="2" fillId="7" borderId="8" xfId="1" applyNumberFormat="1" applyFont="1" applyFill="1" applyBorder="1"/>
    <xf numFmtId="164" fontId="2" fillId="7" borderId="9" xfId="1" applyNumberFormat="1" applyFont="1" applyFill="1" applyBorder="1"/>
    <xf numFmtId="164" fontId="2" fillId="7" borderId="10" xfId="1" applyNumberFormat="1" applyFont="1" applyFill="1" applyBorder="1"/>
    <xf numFmtId="164" fontId="2" fillId="7" borderId="11" xfId="1" applyNumberFormat="1" applyFont="1" applyFill="1" applyBorder="1"/>
    <xf numFmtId="164" fontId="2" fillId="15" borderId="0" xfId="1" applyNumberFormat="1" applyFont="1" applyFill="1"/>
    <xf numFmtId="164" fontId="18" fillId="0" borderId="0" xfId="1" applyNumberFormat="1" applyFont="1" applyFill="1"/>
    <xf numFmtId="164" fontId="2" fillId="25" borderId="4" xfId="1" applyNumberFormat="1" applyFont="1" applyFill="1" applyBorder="1"/>
    <xf numFmtId="164" fontId="2" fillId="15" borderId="5" xfId="1" applyNumberFormat="1" applyFont="1" applyFill="1" applyBorder="1"/>
    <xf numFmtId="164" fontId="2" fillId="25" borderId="6" xfId="1" applyNumberFormat="1" applyFont="1" applyFill="1" applyBorder="1"/>
    <xf numFmtId="164" fontId="2" fillId="25" borderId="7" xfId="1" applyNumberFormat="1" applyFont="1" applyFill="1" applyBorder="1"/>
    <xf numFmtId="164" fontId="2" fillId="15" borderId="0" xfId="1" applyNumberFormat="1" applyFont="1" applyFill="1" applyBorder="1"/>
    <xf numFmtId="164" fontId="2" fillId="25" borderId="8" xfId="1" applyNumberFormat="1" applyFont="1" applyFill="1" applyBorder="1"/>
    <xf numFmtId="164" fontId="2" fillId="25" borderId="9" xfId="1" applyNumberFormat="1" applyFont="1" applyFill="1" applyBorder="1"/>
    <xf numFmtId="164" fontId="2" fillId="15" borderId="10" xfId="1" applyNumberFormat="1" applyFont="1" applyFill="1" applyBorder="1"/>
    <xf numFmtId="164" fontId="2" fillId="25" borderId="11" xfId="1" applyNumberFormat="1" applyFont="1" applyFill="1" applyBorder="1"/>
    <xf numFmtId="164" fontId="7" fillId="0" borderId="2" xfId="0" applyNumberFormat="1" applyFont="1" applyBorder="1"/>
    <xf numFmtId="0" fontId="0" fillId="18" borderId="13" xfId="0" applyFill="1" applyBorder="1"/>
    <xf numFmtId="0" fontId="0" fillId="18" borderId="14" xfId="0" applyFill="1" applyBorder="1"/>
    <xf numFmtId="0" fontId="0" fillId="18" borderId="15" xfId="0" applyFill="1" applyBorder="1"/>
    <xf numFmtId="0" fontId="0" fillId="18" borderId="16" xfId="0" applyFill="1" applyBorder="1"/>
    <xf numFmtId="0" fontId="0" fillId="18" borderId="0" xfId="0" applyFill="1"/>
    <xf numFmtId="0" fontId="0" fillId="18" borderId="17" xfId="0" applyFill="1" applyBorder="1"/>
    <xf numFmtId="0" fontId="0" fillId="18" borderId="18" xfId="0" applyFill="1" applyBorder="1"/>
    <xf numFmtId="0" fontId="0" fillId="18" borderId="19" xfId="0" applyFill="1" applyBorder="1"/>
    <xf numFmtId="0" fontId="0" fillId="18" borderId="20" xfId="0" applyFill="1" applyBorder="1"/>
    <xf numFmtId="0" fontId="9" fillId="5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7" fillId="9" borderId="16" xfId="0" applyFont="1" applyFill="1" applyBorder="1"/>
    <xf numFmtId="164" fontId="7" fillId="9" borderId="0" xfId="1" applyNumberFormat="1" applyFont="1" applyFill="1" applyBorder="1"/>
    <xf numFmtId="0" fontId="7" fillId="8" borderId="0" xfId="0" applyFont="1" applyFill="1"/>
    <xf numFmtId="0" fontId="7" fillId="8" borderId="17" xfId="0" applyFont="1" applyFill="1" applyBorder="1"/>
    <xf numFmtId="164" fontId="7" fillId="0" borderId="0" xfId="0" applyNumberFormat="1" applyFont="1"/>
    <xf numFmtId="166" fontId="7" fillId="0" borderId="0" xfId="0" applyNumberFormat="1" applyFont="1"/>
    <xf numFmtId="164" fontId="7" fillId="0" borderId="17" xfId="0" applyNumberFormat="1" applyFont="1" applyBorder="1"/>
    <xf numFmtId="0" fontId="7" fillId="9" borderId="18" xfId="0" applyFont="1" applyFill="1" applyBorder="1"/>
    <xf numFmtId="164" fontId="7" fillId="9" borderId="19" xfId="1" applyNumberFormat="1" applyFont="1" applyFill="1" applyBorder="1"/>
    <xf numFmtId="164" fontId="7" fillId="0" borderId="21" xfId="0" applyNumberFormat="1" applyFont="1" applyBorder="1"/>
    <xf numFmtId="166" fontId="7" fillId="0" borderId="19" xfId="0" applyNumberFormat="1" applyFont="1" applyBorder="1"/>
    <xf numFmtId="164" fontId="7" fillId="0" borderId="19" xfId="0" applyNumberFormat="1" applyFont="1" applyBorder="1"/>
    <xf numFmtId="164" fontId="7" fillId="0" borderId="20" xfId="0" applyNumberFormat="1" applyFont="1" applyBorder="1"/>
    <xf numFmtId="0" fontId="5" fillId="0" borderId="0" xfId="0" applyFont="1"/>
    <xf numFmtId="0" fontId="24" fillId="26" borderId="13" xfId="0" applyFont="1" applyFill="1" applyBorder="1"/>
    <xf numFmtId="0" fontId="25" fillId="26" borderId="14" xfId="0" applyFont="1" applyFill="1" applyBorder="1"/>
    <xf numFmtId="0" fontId="25" fillId="26" borderId="15" xfId="0" applyFont="1" applyFill="1" applyBorder="1"/>
    <xf numFmtId="0" fontId="25" fillId="26" borderId="16" xfId="0" applyFont="1" applyFill="1" applyBorder="1"/>
    <xf numFmtId="0" fontId="25" fillId="26" borderId="0" xfId="0" applyFont="1" applyFill="1"/>
    <xf numFmtId="0" fontId="25" fillId="26" borderId="17" xfId="0" applyFont="1" applyFill="1" applyBorder="1"/>
    <xf numFmtId="0" fontId="25" fillId="26" borderId="18" xfId="0" applyFont="1" applyFill="1" applyBorder="1"/>
    <xf numFmtId="0" fontId="25" fillId="26" borderId="19" xfId="0" applyFont="1" applyFill="1" applyBorder="1"/>
    <xf numFmtId="0" fontId="25" fillId="26" borderId="20" xfId="0" applyFont="1" applyFill="1" applyBorder="1"/>
    <xf numFmtId="0" fontId="28" fillId="0" borderId="0" xfId="0" applyFont="1"/>
    <xf numFmtId="0" fontId="30" fillId="6" borderId="22" xfId="0" applyFont="1" applyFill="1" applyBorder="1"/>
    <xf numFmtId="0" fontId="31" fillId="6" borderId="23" xfId="0" applyFont="1" applyFill="1" applyBorder="1"/>
    <xf numFmtId="0" fontId="31" fillId="6" borderId="24" xfId="0" applyFont="1" applyFill="1" applyBorder="1"/>
    <xf numFmtId="164" fontId="0" fillId="0" borderId="0" xfId="1" applyNumberFormat="1" applyFont="1"/>
    <xf numFmtId="164" fontId="0" fillId="0" borderId="5" xfId="1" applyNumberFormat="1" applyFont="1" applyBorder="1"/>
    <xf numFmtId="164" fontId="0" fillId="17" borderId="5" xfId="1" quotePrefix="1" applyNumberFormat="1" applyFont="1" applyFill="1" applyBorder="1" applyAlignment="1">
      <alignment horizontal="center"/>
    </xf>
    <xf numFmtId="0" fontId="0" fillId="0" borderId="6" xfId="0" applyBorder="1"/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17" borderId="0" xfId="1" quotePrefix="1" applyNumberFormat="1" applyFont="1" applyFill="1" applyBorder="1" applyAlignment="1">
      <alignment horizontal="center"/>
    </xf>
    <xf numFmtId="164" fontId="0" fillId="17" borderId="7" xfId="1" quotePrefix="1" applyNumberFormat="1" applyFont="1" applyFill="1" applyBorder="1" applyAlignment="1">
      <alignment horizontal="center"/>
    </xf>
    <xf numFmtId="164" fontId="0" fillId="17" borderId="9" xfId="1" applyNumberFormat="1" applyFont="1" applyFill="1" applyBorder="1"/>
    <xf numFmtId="164" fontId="0" fillId="17" borderId="10" xfId="1" applyNumberFormat="1" applyFont="1" applyFill="1" applyBorder="1"/>
    <xf numFmtId="0" fontId="0" fillId="0" borderId="11" xfId="0" applyBorder="1"/>
    <xf numFmtId="0" fontId="0" fillId="25" borderId="0" xfId="0" applyFill="1"/>
    <xf numFmtId="164" fontId="0" fillId="25" borderId="8" xfId="0" applyNumberFormat="1" applyFill="1" applyBorder="1"/>
    <xf numFmtId="0" fontId="0" fillId="27" borderId="0" xfId="0" applyFill="1"/>
    <xf numFmtId="164" fontId="0" fillId="9" borderId="8" xfId="0" applyNumberFormat="1" applyFill="1" applyBorder="1"/>
    <xf numFmtId="164" fontId="5" fillId="0" borderId="4" xfId="1" applyNumberFormat="1" applyFont="1" applyBorder="1"/>
    <xf numFmtId="0" fontId="0" fillId="9" borderId="1" xfId="0" quotePrefix="1" applyFill="1" applyBorder="1"/>
    <xf numFmtId="0" fontId="0" fillId="9" borderId="0" xfId="0" applyFill="1"/>
    <xf numFmtId="0" fontId="5" fillId="0" borderId="5" xfId="0" applyFont="1" applyBorder="1"/>
    <xf numFmtId="0" fontId="0" fillId="28" borderId="0" xfId="0" applyFill="1"/>
    <xf numFmtId="0" fontId="0" fillId="28" borderId="8" xfId="0" applyFill="1" applyBorder="1"/>
    <xf numFmtId="0" fontId="5" fillId="28" borderId="0" xfId="0" quotePrefix="1" applyFont="1" applyFill="1"/>
    <xf numFmtId="0" fontId="24" fillId="29" borderId="0" xfId="0" applyFont="1" applyFill="1"/>
    <xf numFmtId="0" fontId="0" fillId="29" borderId="0" xfId="0" applyFill="1"/>
    <xf numFmtId="0" fontId="0" fillId="29" borderId="8" xfId="0" applyFill="1" applyBorder="1"/>
    <xf numFmtId="0" fontId="5" fillId="28" borderId="9" xfId="0" quotePrefix="1" applyFont="1" applyFill="1" applyBorder="1"/>
    <xf numFmtId="0" fontId="0" fillId="28" borderId="10" xfId="0" applyFill="1" applyBorder="1"/>
    <xf numFmtId="0" fontId="0" fillId="28" borderId="11" xfId="0" applyFill="1" applyBorder="1"/>
    <xf numFmtId="0" fontId="0" fillId="28" borderId="7" xfId="0" applyFill="1" applyBorder="1"/>
    <xf numFmtId="0" fontId="24" fillId="29" borderId="7" xfId="0" applyFont="1" applyFill="1" applyBorder="1"/>
    <xf numFmtId="0" fontId="5" fillId="28" borderId="7" xfId="0" quotePrefix="1" applyFont="1" applyFill="1" applyBorder="1"/>
    <xf numFmtId="0" fontId="10" fillId="0" borderId="4" xfId="0" applyFont="1" applyBorder="1"/>
    <xf numFmtId="0" fontId="2" fillId="0" borderId="6" xfId="0" applyFont="1" applyBorder="1"/>
    <xf numFmtId="0" fontId="2" fillId="10" borderId="7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0" borderId="7" xfId="0" applyFont="1" applyBorder="1"/>
    <xf numFmtId="3" fontId="2" fillId="0" borderId="8" xfId="0" applyNumberFormat="1" applyFont="1" applyBorder="1"/>
    <xf numFmtId="0" fontId="2" fillId="0" borderId="8" xfId="0" applyFont="1" applyBorder="1"/>
    <xf numFmtId="3" fontId="2" fillId="12" borderId="9" xfId="0" applyNumberFormat="1" applyFont="1" applyFill="1" applyBorder="1"/>
    <xf numFmtId="3" fontId="2" fillId="12" borderId="11" xfId="0" applyNumberFormat="1" applyFont="1" applyFill="1" applyBorder="1"/>
    <xf numFmtId="0" fontId="32" fillId="0" borderId="4" xfId="0" applyFont="1" applyBorder="1"/>
    <xf numFmtId="0" fontId="2" fillId="0" borderId="5" xfId="0" applyFont="1" applyBorder="1"/>
    <xf numFmtId="0" fontId="2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2" fillId="0" borderId="9" xfId="0" applyFont="1" applyBorder="1"/>
    <xf numFmtId="3" fontId="2" fillId="12" borderId="10" xfId="0" applyNumberFormat="1" applyFont="1" applyFill="1" applyBorder="1"/>
    <xf numFmtId="0" fontId="2" fillId="0" borderId="10" xfId="0" applyFont="1" applyBorder="1"/>
    <xf numFmtId="3" fontId="2" fillId="13" borderId="10" xfId="0" applyNumberFormat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6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30" borderId="0" xfId="0" applyFont="1" applyFill="1" applyAlignment="1">
      <alignment horizontal="center"/>
    </xf>
    <xf numFmtId="0" fontId="2" fillId="14" borderId="7" xfId="0" applyFont="1" applyFill="1" applyBorder="1"/>
    <xf numFmtId="0" fontId="2" fillId="13" borderId="7" xfId="0" applyFont="1" applyFill="1" applyBorder="1"/>
    <xf numFmtId="164" fontId="2" fillId="13" borderId="0" xfId="1" applyNumberFormat="1" applyFont="1" applyFill="1" applyBorder="1"/>
    <xf numFmtId="0" fontId="3" fillId="5" borderId="7" xfId="0" applyFont="1" applyFill="1" applyBorder="1"/>
    <xf numFmtId="164" fontId="3" fillId="5" borderId="0" xfId="1" applyNumberFormat="1" applyFont="1" applyFill="1" applyBorder="1"/>
    <xf numFmtId="164" fontId="2" fillId="0" borderId="10" xfId="0" applyNumberFormat="1" applyFont="1" applyBorder="1"/>
    <xf numFmtId="0" fontId="10" fillId="0" borderId="7" xfId="0" applyFont="1" applyBorder="1"/>
    <xf numFmtId="164" fontId="9" fillId="2" borderId="0" xfId="1" applyNumberFormat="1" applyFont="1" applyFill="1"/>
    <xf numFmtId="0" fontId="29" fillId="0" borderId="0" xfId="0" applyFont="1"/>
    <xf numFmtId="14" fontId="33" fillId="30" borderId="0" xfId="0" applyNumberFormat="1" applyFont="1" applyFill="1"/>
    <xf numFmtId="0" fontId="35" fillId="31" borderId="25" xfId="0" applyFont="1" applyFill="1" applyBorder="1"/>
    <xf numFmtId="0" fontId="36" fillId="31" borderId="26" xfId="0" applyFont="1" applyFill="1" applyBorder="1"/>
    <xf numFmtId="0" fontId="35" fillId="31" borderId="26" xfId="0" applyFont="1" applyFill="1" applyBorder="1"/>
    <xf numFmtId="0" fontId="37" fillId="32" borderId="27" xfId="0" applyFont="1" applyFill="1" applyBorder="1"/>
    <xf numFmtId="0" fontId="37" fillId="33" borderId="0" xfId="0" applyFont="1" applyFill="1"/>
    <xf numFmtId="0" fontId="38" fillId="32" borderId="28" xfId="0" applyFont="1" applyFill="1" applyBorder="1"/>
    <xf numFmtId="0" fontId="38" fillId="34" borderId="25" xfId="0" applyFont="1" applyFill="1" applyBorder="1"/>
    <xf numFmtId="0" fontId="38" fillId="34" borderId="26" xfId="0" applyFont="1" applyFill="1" applyBorder="1"/>
    <xf numFmtId="0" fontId="38" fillId="34" borderId="29" xfId="0" applyFont="1" applyFill="1" applyBorder="1"/>
    <xf numFmtId="0" fontId="38" fillId="34" borderId="30" xfId="0" applyFont="1" applyFill="1" applyBorder="1"/>
    <xf numFmtId="0" fontId="38" fillId="34" borderId="31" xfId="0" applyFont="1" applyFill="1" applyBorder="1"/>
    <xf numFmtId="0" fontId="38" fillId="34" borderId="32" xfId="0" applyFont="1" applyFill="1" applyBorder="1"/>
    <xf numFmtId="0" fontId="38" fillId="33" borderId="0" xfId="0" applyFont="1" applyFill="1"/>
    <xf numFmtId="0" fontId="38" fillId="34" borderId="27" xfId="0" applyFont="1" applyFill="1" applyBorder="1"/>
    <xf numFmtId="0" fontId="38" fillId="34" borderId="0" xfId="0" applyFont="1" applyFill="1"/>
    <xf numFmtId="0" fontId="38" fillId="34" borderId="28" xfId="0" applyFont="1" applyFill="1" applyBorder="1"/>
    <xf numFmtId="0" fontId="26" fillId="0" borderId="4" xfId="0" applyFont="1" applyBorder="1"/>
    <xf numFmtId="0" fontId="29" fillId="0" borderId="5" xfId="0" applyFont="1" applyBorder="1"/>
    <xf numFmtId="0" fontId="29" fillId="0" borderId="6" xfId="0" applyFont="1" applyBorder="1"/>
    <xf numFmtId="0" fontId="29" fillId="0" borderId="7" xfId="0" applyFont="1" applyBorder="1"/>
    <xf numFmtId="0" fontId="29" fillId="0" borderId="8" xfId="0" applyFont="1" applyBorder="1"/>
    <xf numFmtId="0" fontId="29" fillId="0" borderId="9" xfId="0" applyFont="1" applyBorder="1"/>
    <xf numFmtId="0" fontId="29" fillId="0" borderId="10" xfId="0" applyFont="1" applyBorder="1"/>
    <xf numFmtId="0" fontId="29" fillId="0" borderId="11" xfId="0" applyFont="1" applyBorder="1"/>
    <xf numFmtId="169" fontId="29" fillId="0" borderId="0" xfId="0" applyNumberFormat="1" applyFont="1"/>
    <xf numFmtId="0" fontId="27" fillId="35" borderId="0" xfId="0" applyFont="1" applyFill="1"/>
    <xf numFmtId="0" fontId="20" fillId="35" borderId="0" xfId="0" applyFont="1" applyFill="1"/>
    <xf numFmtId="167" fontId="5" fillId="36" borderId="13" xfId="3" applyNumberFormat="1" applyFont="1" applyFill="1" applyBorder="1"/>
    <xf numFmtId="167" fontId="5" fillId="36" borderId="14" xfId="3" applyNumberFormat="1" applyFont="1" applyFill="1" applyBorder="1"/>
    <xf numFmtId="167" fontId="5" fillId="36" borderId="15" xfId="3" applyNumberFormat="1" applyFont="1" applyFill="1" applyBorder="1"/>
    <xf numFmtId="167" fontId="0" fillId="0" borderId="0" xfId="3" applyNumberFormat="1" applyFont="1"/>
    <xf numFmtId="167" fontId="4" fillId="37" borderId="0" xfId="3" applyNumberFormat="1" applyFont="1" applyFill="1"/>
    <xf numFmtId="167" fontId="6" fillId="37" borderId="0" xfId="3" applyNumberFormat="1" applyFont="1" applyFill="1"/>
    <xf numFmtId="167" fontId="5" fillId="7" borderId="16" xfId="3" applyNumberFormat="1" applyFont="1" applyFill="1" applyBorder="1"/>
    <xf numFmtId="167" fontId="5" fillId="7" borderId="0" xfId="3" applyNumberFormat="1" applyFont="1" applyFill="1" applyBorder="1"/>
    <xf numFmtId="167" fontId="0" fillId="7" borderId="0" xfId="3" applyNumberFormat="1" applyFont="1" applyFill="1" applyBorder="1"/>
    <xf numFmtId="167" fontId="0" fillId="7" borderId="17" xfId="3" applyNumberFormat="1" applyFont="1" applyFill="1" applyBorder="1"/>
    <xf numFmtId="167" fontId="0" fillId="8" borderId="0" xfId="3" applyNumberFormat="1" applyFont="1" applyFill="1"/>
    <xf numFmtId="167" fontId="0" fillId="8" borderId="0" xfId="3" applyNumberFormat="1" applyFont="1" applyFill="1" applyAlignment="1">
      <alignment horizontal="center"/>
    </xf>
    <xf numFmtId="167" fontId="4" fillId="3" borderId="0" xfId="3" applyNumberFormat="1" applyFont="1" applyFill="1"/>
    <xf numFmtId="167" fontId="6" fillId="3" borderId="0" xfId="3" applyNumberFormat="1" applyFont="1" applyFill="1"/>
    <xf numFmtId="167" fontId="5" fillId="8" borderId="0" xfId="3" applyNumberFormat="1" applyFont="1" applyFill="1" applyAlignment="1">
      <alignment horizontal="center"/>
    </xf>
    <xf numFmtId="167" fontId="0" fillId="29" borderId="0" xfId="3" applyNumberFormat="1" applyFont="1" applyFill="1"/>
    <xf numFmtId="167" fontId="5" fillId="0" borderId="0" xfId="3" applyNumberFormat="1" applyFont="1"/>
    <xf numFmtId="167" fontId="5" fillId="7" borderId="17" xfId="3" applyNumberFormat="1" applyFont="1" applyFill="1" applyBorder="1"/>
    <xf numFmtId="0" fontId="5" fillId="16" borderId="0" xfId="3" applyNumberFormat="1" applyFont="1" applyFill="1"/>
    <xf numFmtId="167" fontId="5" fillId="16" borderId="0" xfId="3" applyNumberFormat="1" applyFont="1" applyFill="1"/>
    <xf numFmtId="167" fontId="4" fillId="5" borderId="0" xfId="3" applyNumberFormat="1" applyFont="1" applyFill="1" applyAlignment="1">
      <alignment horizontal="center"/>
    </xf>
    <xf numFmtId="167" fontId="5" fillId="29" borderId="0" xfId="3" applyNumberFormat="1" applyFont="1" applyFill="1"/>
    <xf numFmtId="167" fontId="0" fillId="21" borderId="0" xfId="3" applyNumberFormat="1" applyFont="1" applyFill="1"/>
    <xf numFmtId="167" fontId="42" fillId="29" borderId="0" xfId="3" applyNumberFormat="1" applyFont="1" applyFill="1"/>
    <xf numFmtId="167" fontId="4" fillId="5" borderId="0" xfId="3" applyNumberFormat="1" applyFont="1" applyFill="1"/>
    <xf numFmtId="167" fontId="6" fillId="15" borderId="0" xfId="3" applyNumberFormat="1" applyFont="1" applyFill="1" applyBorder="1"/>
    <xf numFmtId="167" fontId="43" fillId="29" borderId="0" xfId="3" applyNumberFormat="1" applyFont="1" applyFill="1" applyBorder="1"/>
    <xf numFmtId="167" fontId="44" fillId="29" borderId="0" xfId="3" applyNumberFormat="1" applyFont="1" applyFill="1" applyBorder="1"/>
    <xf numFmtId="167" fontId="1" fillId="7" borderId="0" xfId="3" applyNumberFormat="1" applyFont="1" applyFill="1" applyBorder="1"/>
    <xf numFmtId="167" fontId="44" fillId="29" borderId="0" xfId="3" applyNumberFormat="1" applyFont="1" applyFill="1"/>
    <xf numFmtId="167" fontId="43" fillId="20" borderId="0" xfId="3" applyNumberFormat="1" applyFont="1" applyFill="1"/>
    <xf numFmtId="167" fontId="43" fillId="29" borderId="0" xfId="3" applyNumberFormat="1" applyFont="1" applyFill="1"/>
    <xf numFmtId="167" fontId="0" fillId="7" borderId="16" xfId="3" applyNumberFormat="1" applyFont="1" applyFill="1" applyBorder="1"/>
    <xf numFmtId="167" fontId="6" fillId="15" borderId="0" xfId="3" applyNumberFormat="1" applyFont="1" applyFill="1"/>
    <xf numFmtId="167" fontId="6" fillId="5" borderId="0" xfId="3" applyNumberFormat="1" applyFont="1" applyFill="1"/>
    <xf numFmtId="167" fontId="5" fillId="29" borderId="0" xfId="3" applyNumberFormat="1" applyFont="1" applyFill="1" applyAlignment="1">
      <alignment horizontal="left" indent="1"/>
    </xf>
    <xf numFmtId="167" fontId="4" fillId="20" borderId="0" xfId="3" applyNumberFormat="1" applyFont="1" applyFill="1" applyAlignment="1">
      <alignment horizontal="center"/>
    </xf>
    <xf numFmtId="167" fontId="5" fillId="38" borderId="0" xfId="3" applyNumberFormat="1" applyFont="1" applyFill="1" applyBorder="1"/>
    <xf numFmtId="167" fontId="42" fillId="0" borderId="0" xfId="3" applyNumberFormat="1" applyFont="1" applyAlignment="1">
      <alignment horizontal="center"/>
    </xf>
    <xf numFmtId="167" fontId="43" fillId="4" borderId="12" xfId="3" applyNumberFormat="1" applyFont="1" applyFill="1" applyBorder="1"/>
    <xf numFmtId="167" fontId="5" fillId="8" borderId="22" xfId="3" applyNumberFormat="1" applyFont="1" applyFill="1" applyBorder="1"/>
    <xf numFmtId="167" fontId="5" fillId="8" borderId="23" xfId="3" applyNumberFormat="1" applyFont="1" applyFill="1" applyBorder="1"/>
    <xf numFmtId="167" fontId="5" fillId="8" borderId="23" xfId="3" applyNumberFormat="1" applyFont="1" applyFill="1" applyBorder="1" applyAlignment="1">
      <alignment horizontal="right"/>
    </xf>
    <xf numFmtId="165" fontId="4" fillId="5" borderId="12" xfId="2" applyNumberFormat="1" applyFont="1" applyFill="1" applyBorder="1"/>
    <xf numFmtId="167" fontId="5" fillId="8" borderId="0" xfId="3" applyNumberFormat="1" applyFont="1" applyFill="1"/>
    <xf numFmtId="167" fontId="42" fillId="8" borderId="0" xfId="3" applyNumberFormat="1" applyFont="1" applyFill="1" applyAlignment="1">
      <alignment horizontal="right"/>
    </xf>
    <xf numFmtId="167" fontId="4" fillId="39" borderId="0" xfId="3" applyNumberFormat="1" applyFont="1" applyFill="1"/>
    <xf numFmtId="167" fontId="4" fillId="39" borderId="0" xfId="3" applyNumberFormat="1" applyFont="1" applyFill="1" applyAlignment="1">
      <alignment horizontal="center"/>
    </xf>
    <xf numFmtId="167" fontId="0" fillId="40" borderId="0" xfId="3" applyNumberFormat="1" applyFont="1" applyFill="1"/>
    <xf numFmtId="167" fontId="5" fillId="25" borderId="0" xfId="3" applyNumberFormat="1" applyFont="1" applyFill="1"/>
    <xf numFmtId="167" fontId="0" fillId="0" borderId="22" xfId="3" applyNumberFormat="1" applyFont="1" applyBorder="1"/>
    <xf numFmtId="167" fontId="0" fillId="0" borderId="23" xfId="3" applyNumberFormat="1" applyFont="1" applyBorder="1"/>
    <xf numFmtId="167" fontId="5" fillId="25" borderId="24" xfId="3" applyNumberFormat="1" applyFont="1" applyFill="1" applyBorder="1"/>
    <xf numFmtId="167" fontId="0" fillId="28" borderId="0" xfId="3" applyNumberFormat="1" applyFont="1" applyFill="1"/>
    <xf numFmtId="0" fontId="45" fillId="0" borderId="0" xfId="0" applyFont="1"/>
    <xf numFmtId="0" fontId="46" fillId="27" borderId="0" xfId="0" applyFont="1" applyFill="1"/>
    <xf numFmtId="0" fontId="2" fillId="27" borderId="0" xfId="0" applyFont="1" applyFill="1"/>
    <xf numFmtId="0" fontId="3" fillId="11" borderId="4" xfId="0" applyFont="1" applyFill="1" applyBorder="1"/>
    <xf numFmtId="0" fontId="3" fillId="11" borderId="5" xfId="0" applyFont="1" applyFill="1" applyBorder="1"/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/>
    <xf numFmtId="0" fontId="2" fillId="25" borderId="0" xfId="0" applyFont="1" applyFill="1"/>
    <xf numFmtId="9" fontId="2" fillId="25" borderId="0" xfId="0" applyNumberFormat="1" applyFont="1" applyFill="1"/>
    <xf numFmtId="0" fontId="2" fillId="25" borderId="8" xfId="0" applyFont="1" applyFill="1" applyBorder="1"/>
    <xf numFmtId="3" fontId="2" fillId="25" borderId="0" xfId="0" applyNumberFormat="1" applyFont="1" applyFill="1"/>
    <xf numFmtId="0" fontId="2" fillId="0" borderId="8" xfId="0" applyFont="1" applyBorder="1" applyAlignment="1">
      <alignment horizontal="center"/>
    </xf>
    <xf numFmtId="3" fontId="2" fillId="19" borderId="0" xfId="0" applyNumberFormat="1" applyFont="1" applyFill="1"/>
    <xf numFmtId="3" fontId="3" fillId="5" borderId="0" xfId="0" applyNumberFormat="1" applyFont="1" applyFill="1"/>
    <xf numFmtId="3" fontId="3" fillId="11" borderId="10" xfId="0" applyNumberFormat="1" applyFont="1" applyFill="1" applyBorder="1"/>
    <xf numFmtId="3" fontId="3" fillId="11" borderId="11" xfId="0" applyNumberFormat="1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3" fontId="3" fillId="5" borderId="10" xfId="0" applyNumberFormat="1" applyFont="1" applyFill="1" applyBorder="1"/>
    <xf numFmtId="0" fontId="48" fillId="17" borderId="5" xfId="0" applyFont="1" applyFill="1" applyBorder="1"/>
    <xf numFmtId="0" fontId="48" fillId="17" borderId="1" xfId="0" applyFont="1" applyFill="1" applyBorder="1"/>
    <xf numFmtId="0" fontId="20" fillId="17" borderId="0" xfId="0" applyFont="1" applyFill="1"/>
    <xf numFmtId="3" fontId="20" fillId="17" borderId="2" xfId="0" applyNumberFormat="1" applyFont="1" applyFill="1" applyBorder="1"/>
    <xf numFmtId="0" fontId="20" fillId="17" borderId="2" xfId="0" applyFont="1" applyFill="1" applyBorder="1"/>
    <xf numFmtId="0" fontId="20" fillId="4" borderId="0" xfId="0" applyFont="1" applyFill="1"/>
    <xf numFmtId="3" fontId="20" fillId="4" borderId="2" xfId="0" applyNumberFormat="1" applyFont="1" applyFill="1" applyBorder="1"/>
    <xf numFmtId="0" fontId="20" fillId="4" borderId="10" xfId="0" applyFont="1" applyFill="1" applyBorder="1"/>
    <xf numFmtId="3" fontId="20" fillId="4" borderId="3" xfId="0" applyNumberFormat="1" applyFont="1" applyFill="1" applyBorder="1"/>
    <xf numFmtId="0" fontId="48" fillId="17" borderId="4" xfId="0" applyFont="1" applyFill="1" applyBorder="1" applyAlignment="1">
      <alignment horizontal="left" vertical="center" readingOrder="1"/>
    </xf>
    <xf numFmtId="0" fontId="20" fillId="17" borderId="7" xfId="0" applyFont="1" applyFill="1" applyBorder="1" applyAlignment="1">
      <alignment horizontal="left" vertical="center" readingOrder="1"/>
    </xf>
    <xf numFmtId="0" fontId="20" fillId="4" borderId="7" xfId="0" applyFont="1" applyFill="1" applyBorder="1" applyAlignment="1">
      <alignment horizontal="left" vertical="center" readingOrder="1"/>
    </xf>
    <xf numFmtId="0" fontId="20" fillId="4" borderId="9" xfId="0" applyFont="1" applyFill="1" applyBorder="1" applyAlignment="1">
      <alignment horizontal="left" vertical="center" readingOrder="1"/>
    </xf>
    <xf numFmtId="3" fontId="20" fillId="41" borderId="12" xfId="0" applyNumberFormat="1" applyFont="1" applyFill="1" applyBorder="1"/>
    <xf numFmtId="0" fontId="47" fillId="20" borderId="0" xfId="0" applyFont="1" applyFill="1"/>
    <xf numFmtId="0" fontId="6" fillId="20" borderId="0" xfId="0" applyFont="1" applyFill="1"/>
    <xf numFmtId="3" fontId="28" fillId="29" borderId="0" xfId="0" applyNumberFormat="1" applyFont="1" applyFill="1" applyAlignment="1">
      <alignment horizontal="center" vertical="center" readingOrder="1"/>
    </xf>
    <xf numFmtId="0" fontId="28" fillId="29" borderId="0" xfId="0" applyFont="1" applyFill="1" applyAlignment="1">
      <alignment horizontal="left" vertical="center" readingOrder="1"/>
    </xf>
    <xf numFmtId="0" fontId="45" fillId="29" borderId="0" xfId="0" applyFont="1" applyFill="1" applyAlignment="1">
      <alignment horizontal="left" vertical="center" readingOrder="1"/>
    </xf>
    <xf numFmtId="3" fontId="28" fillId="29" borderId="0" xfId="0" applyNumberFormat="1" applyFont="1" applyFill="1" applyAlignment="1">
      <alignment horizontal="right" vertical="center" readingOrder="1"/>
    </xf>
    <xf numFmtId="0" fontId="45" fillId="29" borderId="0" xfId="0" applyFont="1" applyFill="1" applyAlignment="1">
      <alignment horizontal="right" vertical="center" readingOrder="1"/>
    </xf>
    <xf numFmtId="3" fontId="45" fillId="29" borderId="0" xfId="0" applyNumberFormat="1" applyFont="1" applyFill="1" applyAlignment="1">
      <alignment horizontal="right" vertical="center" readingOrder="1"/>
    </xf>
    <xf numFmtId="0" fontId="28" fillId="29" borderId="0" xfId="0" applyFont="1" applyFill="1" applyAlignment="1">
      <alignment horizontal="right" vertical="center" readingOrder="1"/>
    </xf>
    <xf numFmtId="3" fontId="45" fillId="29" borderId="0" xfId="0" applyNumberFormat="1" applyFont="1" applyFill="1" applyAlignment="1">
      <alignment horizontal="center" vertical="center" readingOrder="1"/>
    </xf>
    <xf numFmtId="0" fontId="27" fillId="20" borderId="22" xfId="0" applyFont="1" applyFill="1" applyBorder="1"/>
    <xf numFmtId="0" fontId="27" fillId="20" borderId="23" xfId="0" applyFont="1" applyFill="1" applyBorder="1"/>
    <xf numFmtId="0" fontId="0" fillId="20" borderId="23" xfId="0" applyFill="1" applyBorder="1"/>
    <xf numFmtId="0" fontId="0" fillId="20" borderId="24" xfId="0" applyFill="1" applyBorder="1"/>
    <xf numFmtId="0" fontId="45" fillId="0" borderId="7" xfId="0" applyFont="1" applyBorder="1"/>
    <xf numFmtId="0" fontId="28" fillId="0" borderId="9" xfId="0" applyFont="1" applyBorder="1"/>
    <xf numFmtId="0" fontId="51" fillId="25" borderId="4" xfId="0" applyFont="1" applyFill="1" applyBorder="1"/>
    <xf numFmtId="0" fontId="0" fillId="25" borderId="5" xfId="0" applyFill="1" applyBorder="1"/>
    <xf numFmtId="0" fontId="2" fillId="25" borderId="6" xfId="0" applyFont="1" applyFill="1" applyBorder="1"/>
    <xf numFmtId="0" fontId="51" fillId="25" borderId="7" xfId="0" applyFont="1" applyFill="1" applyBorder="1"/>
    <xf numFmtId="0" fontId="51" fillId="25" borderId="9" xfId="0" applyFont="1" applyFill="1" applyBorder="1"/>
    <xf numFmtId="0" fontId="0" fillId="25" borderId="10" xfId="0" applyFill="1" applyBorder="1"/>
    <xf numFmtId="0" fontId="2" fillId="25" borderId="11" xfId="0" applyFont="1" applyFill="1" applyBorder="1"/>
    <xf numFmtId="0" fontId="54" fillId="2" borderId="0" xfId="0" applyFont="1" applyFill="1"/>
    <xf numFmtId="164" fontId="2" fillId="4" borderId="7" xfId="1" applyNumberFormat="1" applyFont="1" applyFill="1" applyBorder="1"/>
    <xf numFmtId="164" fontId="2" fillId="4" borderId="0" xfId="1" applyNumberFormat="1" applyFont="1" applyFill="1" applyBorder="1"/>
    <xf numFmtId="164" fontId="2" fillId="4" borderId="8" xfId="1" applyNumberFormat="1" applyFont="1" applyFill="1" applyBorder="1"/>
    <xf numFmtId="9" fontId="24" fillId="26" borderId="0" xfId="0" applyNumberFormat="1" applyFont="1" applyFill="1"/>
    <xf numFmtId="0" fontId="7" fillId="4" borderId="13" xfId="0" applyFont="1" applyFill="1" applyBorder="1" applyAlignment="1">
      <alignment horizontal="center"/>
    </xf>
    <xf numFmtId="3" fontId="7" fillId="4" borderId="16" xfId="0" applyNumberFormat="1" applyFont="1" applyFill="1" applyBorder="1" applyAlignment="1">
      <alignment horizontal="center"/>
    </xf>
    <xf numFmtId="0" fontId="7" fillId="4" borderId="16" xfId="0" applyFont="1" applyFill="1" applyBorder="1"/>
    <xf numFmtId="164" fontId="55" fillId="8" borderId="0" xfId="0" applyNumberFormat="1" applyFont="1" applyFill="1"/>
    <xf numFmtId="0" fontId="7" fillId="4" borderId="22" xfId="0" applyFont="1" applyFill="1" applyBorder="1"/>
    <xf numFmtId="164" fontId="7" fillId="4" borderId="23" xfId="1" applyNumberFormat="1" applyFont="1" applyFill="1" applyBorder="1"/>
    <xf numFmtId="164" fontId="7" fillId="4" borderId="23" xfId="0" applyNumberFormat="1" applyFont="1" applyFill="1" applyBorder="1"/>
    <xf numFmtId="166" fontId="7" fillId="42" borderId="23" xfId="0" applyNumberFormat="1" applyFont="1" applyFill="1" applyBorder="1"/>
    <xf numFmtId="164" fontId="7" fillId="4" borderId="24" xfId="0" applyNumberFormat="1" applyFont="1" applyFill="1" applyBorder="1"/>
    <xf numFmtId="0" fontId="7" fillId="42" borderId="22" xfId="0" applyFont="1" applyFill="1" applyBorder="1"/>
    <xf numFmtId="164" fontId="7" fillId="42" borderId="23" xfId="1" applyNumberFormat="1" applyFont="1" applyFill="1" applyBorder="1"/>
    <xf numFmtId="164" fontId="7" fillId="42" borderId="23" xfId="0" applyNumberFormat="1" applyFont="1" applyFill="1" applyBorder="1"/>
    <xf numFmtId="164" fontId="7" fillId="42" borderId="24" xfId="0" applyNumberFormat="1" applyFont="1" applyFill="1" applyBorder="1"/>
    <xf numFmtId="166" fontId="7" fillId="4" borderId="23" xfId="0" applyNumberFormat="1" applyFont="1" applyFill="1" applyBorder="1"/>
    <xf numFmtId="0" fontId="7" fillId="25" borderId="22" xfId="0" applyFont="1" applyFill="1" applyBorder="1"/>
    <xf numFmtId="164" fontId="7" fillId="25" borderId="23" xfId="1" applyNumberFormat="1" applyFont="1" applyFill="1" applyBorder="1"/>
    <xf numFmtId="164" fontId="7" fillId="25" borderId="12" xfId="0" applyNumberFormat="1" applyFont="1" applyFill="1" applyBorder="1"/>
    <xf numFmtId="166" fontId="7" fillId="25" borderId="23" xfId="0" applyNumberFormat="1" applyFont="1" applyFill="1" applyBorder="1"/>
    <xf numFmtId="164" fontId="7" fillId="25" borderId="23" xfId="0" applyNumberFormat="1" applyFont="1" applyFill="1" applyBorder="1"/>
    <xf numFmtId="164" fontId="7" fillId="25" borderId="24" xfId="0" applyNumberFormat="1" applyFont="1" applyFill="1" applyBorder="1"/>
    <xf numFmtId="164" fontId="0" fillId="4" borderId="0" xfId="1" applyNumberFormat="1" applyFont="1" applyFill="1" applyBorder="1"/>
    <xf numFmtId="164" fontId="0" fillId="43" borderId="7" xfId="1" applyNumberFormat="1" applyFont="1" applyFill="1" applyBorder="1"/>
    <xf numFmtId="0" fontId="5" fillId="0" borderId="7" xfId="0" applyFont="1" applyBorder="1"/>
    <xf numFmtId="164" fontId="56" fillId="2" borderId="0" xfId="1" applyNumberFormat="1" applyFont="1" applyFill="1"/>
    <xf numFmtId="164" fontId="5" fillId="0" borderId="0" xfId="1" applyNumberFormat="1" applyFont="1"/>
    <xf numFmtId="164" fontId="5" fillId="17" borderId="5" xfId="1" quotePrefix="1" applyNumberFormat="1" applyFont="1" applyFill="1" applyBorder="1" applyAlignment="1">
      <alignment horizontal="center"/>
    </xf>
    <xf numFmtId="164" fontId="5" fillId="17" borderId="0" xfId="1" quotePrefix="1" applyNumberFormat="1" applyFont="1" applyFill="1" applyBorder="1" applyAlignment="1">
      <alignment horizontal="center"/>
    </xf>
    <xf numFmtId="164" fontId="5" fillId="0" borderId="0" xfId="1" applyNumberFormat="1" applyFont="1" applyBorder="1"/>
    <xf numFmtId="164" fontId="5" fillId="17" borderId="10" xfId="1" applyNumberFormat="1" applyFont="1" applyFill="1" applyBorder="1"/>
    <xf numFmtId="164" fontId="5" fillId="0" borderId="5" xfId="1" applyNumberFormat="1" applyFont="1" applyBorder="1"/>
    <xf numFmtId="164" fontId="5" fillId="17" borderId="1" xfId="1" quotePrefix="1" applyNumberFormat="1" applyFont="1" applyFill="1" applyBorder="1" applyAlignment="1">
      <alignment horizontal="center"/>
    </xf>
    <xf numFmtId="164" fontId="5" fillId="17" borderId="2" xfId="1" quotePrefix="1" applyNumberFormat="1" applyFont="1" applyFill="1" applyBorder="1" applyAlignment="1">
      <alignment horizontal="center"/>
    </xf>
    <xf numFmtId="164" fontId="5" fillId="0" borderId="2" xfId="1" applyNumberFormat="1" applyFont="1" applyBorder="1"/>
    <xf numFmtId="164" fontId="5" fillId="17" borderId="3" xfId="1" applyNumberFormat="1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9" borderId="3" xfId="0" quotePrefix="1" applyFont="1" applyFill="1" applyBorder="1"/>
    <xf numFmtId="0" fontId="5" fillId="0" borderId="3" xfId="0" quotePrefix="1" applyFont="1" applyBorder="1"/>
    <xf numFmtId="164" fontId="5" fillId="25" borderId="8" xfId="0" applyNumberFormat="1" applyFont="1" applyFill="1" applyBorder="1"/>
    <xf numFmtId="164" fontId="5" fillId="0" borderId="7" xfId="1" applyNumberFormat="1" applyFont="1" applyBorder="1"/>
    <xf numFmtId="164" fontId="5" fillId="17" borderId="7" xfId="1" quotePrefix="1" applyNumberFormat="1" applyFont="1" applyFill="1" applyBorder="1" applyAlignment="1">
      <alignment horizontal="center"/>
    </xf>
    <xf numFmtId="164" fontId="5" fillId="17" borderId="9" xfId="1" applyNumberFormat="1" applyFont="1" applyFill="1" applyBorder="1"/>
    <xf numFmtId="0" fontId="0" fillId="0" borderId="2" xfId="0" applyBorder="1"/>
    <xf numFmtId="0" fontId="5" fillId="9" borderId="1" xfId="0" quotePrefix="1" applyFont="1" applyFill="1" applyBorder="1"/>
    <xf numFmtId="0" fontId="24" fillId="27" borderId="0" xfId="0" applyFont="1" applyFill="1"/>
    <xf numFmtId="164" fontId="24" fillId="9" borderId="8" xfId="0" applyNumberFormat="1" applyFont="1" applyFill="1" applyBorder="1"/>
    <xf numFmtId="0" fontId="5" fillId="28" borderId="0" xfId="0" applyFont="1" applyFill="1"/>
    <xf numFmtId="0" fontId="24" fillId="29" borderId="4" xfId="0" applyFont="1" applyFill="1" applyBorder="1"/>
    <xf numFmtId="0" fontId="0" fillId="29" borderId="5" xfId="0" applyFill="1" applyBorder="1"/>
    <xf numFmtId="0" fontId="0" fillId="29" borderId="6" xfId="0" applyFill="1" applyBorder="1"/>
    <xf numFmtId="0" fontId="5" fillId="28" borderId="7" xfId="0" applyFont="1" applyFill="1" applyBorder="1"/>
    <xf numFmtId="0" fontId="5" fillId="28" borderId="22" xfId="0" quotePrefix="1" applyFont="1" applyFill="1" applyBorder="1"/>
    <xf numFmtId="0" fontId="0" fillId="28" borderId="23" xfId="0" applyFill="1" applyBorder="1"/>
    <xf numFmtId="0" fontId="0" fillId="28" borderId="24" xfId="0" applyFill="1" applyBorder="1"/>
    <xf numFmtId="0" fontId="5" fillId="28" borderId="8" xfId="0" applyFont="1" applyFill="1" applyBorder="1"/>
    <xf numFmtId="0" fontId="42" fillId="28" borderId="0" xfId="0" applyFont="1" applyFill="1"/>
    <xf numFmtId="0" fontId="24" fillId="4" borderId="22" xfId="0" applyFont="1" applyFill="1" applyBorder="1"/>
    <xf numFmtId="0" fontId="24" fillId="4" borderId="23" xfId="0" applyFont="1" applyFill="1" applyBorder="1"/>
    <xf numFmtId="164" fontId="24" fillId="4" borderId="24" xfId="0" applyNumberFormat="1" applyFont="1" applyFill="1" applyBorder="1"/>
    <xf numFmtId="0" fontId="24" fillId="28" borderId="0" xfId="0" applyFont="1" applyFill="1"/>
    <xf numFmtId="0" fontId="24" fillId="28" borderId="8" xfId="0" applyFont="1" applyFill="1" applyBorder="1"/>
    <xf numFmtId="0" fontId="24" fillId="28" borderId="7" xfId="0" applyFont="1" applyFill="1" applyBorder="1"/>
    <xf numFmtId="0" fontId="42" fillId="28" borderId="7" xfId="0" applyFont="1" applyFill="1" applyBorder="1"/>
    <xf numFmtId="0" fontId="57" fillId="28" borderId="7" xfId="0" applyFont="1" applyFill="1" applyBorder="1"/>
    <xf numFmtId="0" fontId="2" fillId="12" borderId="7" xfId="0" applyFont="1" applyFill="1" applyBorder="1"/>
    <xf numFmtId="0" fontId="2" fillId="12" borderId="9" xfId="0" applyFont="1" applyFill="1" applyBorder="1"/>
    <xf numFmtId="0" fontId="2" fillId="4" borderId="0" xfId="0" applyFont="1" applyFill="1" applyAlignment="1">
      <alignment horizontal="center"/>
    </xf>
    <xf numFmtId="3" fontId="2" fillId="4" borderId="10" xfId="0" applyNumberFormat="1" applyFont="1" applyFill="1" applyBorder="1"/>
    <xf numFmtId="0" fontId="3" fillId="44" borderId="0" xfId="0" applyFont="1" applyFill="1" applyAlignment="1">
      <alignment horizontal="center"/>
    </xf>
    <xf numFmtId="3" fontId="2" fillId="44" borderId="0" xfId="0" applyNumberFormat="1" applyFont="1" applyFill="1"/>
    <xf numFmtId="0" fontId="2" fillId="44" borderId="0" xfId="0" applyFont="1" applyFill="1"/>
    <xf numFmtId="0" fontId="2" fillId="42" borderId="8" xfId="0" applyFont="1" applyFill="1" applyBorder="1" applyAlignment="1">
      <alignment horizontal="center"/>
    </xf>
    <xf numFmtId="3" fontId="2" fillId="42" borderId="8" xfId="0" applyNumberFormat="1" applyFont="1" applyFill="1" applyBorder="1"/>
    <xf numFmtId="3" fontId="2" fillId="42" borderId="11" xfId="0" applyNumberFormat="1" applyFont="1" applyFill="1" applyBorder="1"/>
    <xf numFmtId="0" fontId="2" fillId="42" borderId="7" xfId="0" applyFont="1" applyFill="1" applyBorder="1"/>
    <xf numFmtId="3" fontId="2" fillId="42" borderId="7" xfId="0" applyNumberFormat="1" applyFont="1" applyFill="1" applyBorder="1"/>
    <xf numFmtId="0" fontId="2" fillId="42" borderId="8" xfId="0" applyFont="1" applyFill="1" applyBorder="1"/>
    <xf numFmtId="0" fontId="10" fillId="10" borderId="4" xfId="0" applyFont="1" applyFill="1" applyBorder="1"/>
    <xf numFmtId="0" fontId="2" fillId="10" borderId="6" xfId="0" applyFont="1" applyFill="1" applyBorder="1"/>
    <xf numFmtId="3" fontId="2" fillId="10" borderId="7" xfId="0" applyNumberFormat="1" applyFont="1" applyFill="1" applyBorder="1"/>
    <xf numFmtId="3" fontId="2" fillId="10" borderId="10" xfId="0" applyNumberFormat="1" applyFont="1" applyFill="1" applyBorder="1"/>
    <xf numFmtId="0" fontId="3" fillId="30" borderId="1" xfId="0" applyFont="1" applyFill="1" applyBorder="1" applyAlignment="1">
      <alignment horizontal="center"/>
    </xf>
    <xf numFmtId="0" fontId="14" fillId="18" borderId="0" xfId="0" applyFont="1" applyFill="1"/>
    <xf numFmtId="0" fontId="15" fillId="18" borderId="0" xfId="0" applyFont="1" applyFill="1"/>
    <xf numFmtId="0" fontId="15" fillId="18" borderId="0" xfId="0" applyFont="1" applyFill="1" applyAlignment="1">
      <alignment horizontal="right"/>
    </xf>
    <xf numFmtId="3" fontId="15" fillId="18" borderId="0" xfId="0" applyNumberFormat="1" applyFont="1" applyFill="1"/>
    <xf numFmtId="0" fontId="12" fillId="5" borderId="0" xfId="0" applyFont="1" applyFill="1"/>
    <xf numFmtId="0" fontId="12" fillId="20" borderId="0" xfId="0" applyFont="1" applyFill="1" applyAlignment="1">
      <alignment horizontal="right"/>
    </xf>
    <xf numFmtId="3" fontId="12" fillId="20" borderId="0" xfId="0" applyNumberFormat="1" applyFont="1" applyFill="1"/>
    <xf numFmtId="0" fontId="17" fillId="18" borderId="7" xfId="0" applyFont="1" applyFill="1" applyBorder="1"/>
    <xf numFmtId="0" fontId="15" fillId="18" borderId="0" xfId="0" applyFont="1" applyFill="1" applyAlignment="1">
      <alignment horizontal="center"/>
    </xf>
    <xf numFmtId="0" fontId="15" fillId="18" borderId="8" xfId="0" applyFont="1" applyFill="1" applyBorder="1" applyAlignment="1">
      <alignment horizontal="center"/>
    </xf>
    <xf numFmtId="0" fontId="17" fillId="21" borderId="0" xfId="0" applyFont="1" applyFill="1"/>
    <xf numFmtId="0" fontId="17" fillId="18" borderId="0" xfId="0" applyFont="1" applyFill="1"/>
    <xf numFmtId="0" fontId="17" fillId="17" borderId="0" xfId="0" applyFont="1" applyFill="1"/>
    <xf numFmtId="0" fontId="14" fillId="17" borderId="0" xfId="0" applyFont="1" applyFill="1"/>
    <xf numFmtId="3" fontId="14" fillId="17" borderId="0" xfId="0" applyNumberFormat="1" applyFont="1" applyFill="1"/>
    <xf numFmtId="169" fontId="14" fillId="18" borderId="0" xfId="0" applyNumberFormat="1" applyFont="1" applyFill="1"/>
    <xf numFmtId="167" fontId="14" fillId="18" borderId="8" xfId="1" applyNumberFormat="1" applyFont="1" applyFill="1" applyBorder="1"/>
    <xf numFmtId="3" fontId="11" fillId="5" borderId="11" xfId="0" applyNumberFormat="1" applyFont="1" applyFill="1" applyBorder="1"/>
    <xf numFmtId="0" fontId="5" fillId="10" borderId="4" xfId="0" applyFont="1" applyFill="1" applyBorder="1"/>
    <xf numFmtId="0" fontId="0" fillId="22" borderId="5" xfId="0" applyFill="1" applyBorder="1"/>
    <xf numFmtId="0" fontId="0" fillId="22" borderId="6" xfId="0" applyFill="1" applyBorder="1" applyAlignment="1">
      <alignment horizontal="center"/>
    </xf>
    <xf numFmtId="0" fontId="6" fillId="2" borderId="7" xfId="0" applyFont="1" applyFill="1" applyBorder="1"/>
    <xf numFmtId="0" fontId="6" fillId="2" borderId="0" xfId="0" applyFont="1" applyFill="1" applyAlignment="1">
      <alignment horizontal="center"/>
    </xf>
    <xf numFmtId="37" fontId="0" fillId="0" borderId="8" xfId="1" applyNumberFormat="1" applyFont="1" applyBorder="1"/>
    <xf numFmtId="0" fontId="6" fillId="23" borderId="10" xfId="0" applyFont="1" applyFill="1" applyBorder="1"/>
    <xf numFmtId="37" fontId="6" fillId="23" borderId="11" xfId="1" applyNumberFormat="1" applyFont="1" applyFill="1" applyBorder="1"/>
    <xf numFmtId="0" fontId="6" fillId="3" borderId="7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0" borderId="0" xfId="0" applyNumberFormat="1" applyFont="1"/>
    <xf numFmtId="0" fontId="5" fillId="0" borderId="8" xfId="0" applyFont="1" applyBorder="1"/>
    <xf numFmtId="3" fontId="5" fillId="0" borderId="8" xfId="0" applyNumberFormat="1" applyFont="1" applyBorder="1"/>
    <xf numFmtId="0" fontId="5" fillId="13" borderId="9" xfId="0" applyFont="1" applyFill="1" applyBorder="1"/>
    <xf numFmtId="0" fontId="5" fillId="13" borderId="10" xfId="0" applyFont="1" applyFill="1" applyBorder="1"/>
    <xf numFmtId="0" fontId="5" fillId="13" borderId="11" xfId="0" applyFont="1" applyFill="1" applyBorder="1"/>
    <xf numFmtId="0" fontId="0" fillId="4" borderId="0" xfId="0" applyFill="1"/>
    <xf numFmtId="3" fontId="0" fillId="4" borderId="0" xfId="0" applyNumberFormat="1" applyFill="1"/>
    <xf numFmtId="0" fontId="0" fillId="4" borderId="10" xfId="0" applyFill="1" applyBorder="1"/>
    <xf numFmtId="3" fontId="0" fillId="4" borderId="10" xfId="0" applyNumberFormat="1" applyFill="1" applyBorder="1"/>
    <xf numFmtId="37" fontId="5" fillId="0" borderId="8" xfId="1" applyNumberFormat="1" applyFont="1" applyBorder="1"/>
    <xf numFmtId="14" fontId="26" fillId="0" borderId="0" xfId="0" applyNumberFormat="1" applyFont="1"/>
    <xf numFmtId="0" fontId="26" fillId="0" borderId="0" xfId="0" applyFont="1"/>
    <xf numFmtId="0" fontId="26" fillId="0" borderId="7" xfId="0" applyFont="1" applyBorder="1"/>
    <xf numFmtId="0" fontId="26" fillId="0" borderId="8" xfId="0" applyFont="1" applyBorder="1"/>
    <xf numFmtId="3" fontId="26" fillId="0" borderId="0" xfId="0" applyNumberFormat="1" applyFont="1"/>
    <xf numFmtId="0" fontId="26" fillId="35" borderId="0" xfId="0" applyFont="1" applyFill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6" fillId="7" borderId="6" xfId="0" applyFont="1" applyFill="1" applyBorder="1" applyAlignment="1">
      <alignment horizontal="center"/>
    </xf>
    <xf numFmtId="0" fontId="26" fillId="7" borderId="7" xfId="0" applyFont="1" applyFill="1" applyBorder="1" applyAlignment="1">
      <alignment horizontal="center"/>
    </xf>
    <xf numFmtId="0" fontId="26" fillId="7" borderId="8" xfId="0" applyFont="1" applyFill="1" applyBorder="1" applyAlignment="1">
      <alignment horizontal="center"/>
    </xf>
    <xf numFmtId="3" fontId="26" fillId="4" borderId="7" xfId="0" applyNumberFormat="1" applyFont="1" applyFill="1" applyBorder="1"/>
    <xf numFmtId="3" fontId="26" fillId="4" borderId="8" xfId="0" applyNumberFormat="1" applyFont="1" applyFill="1" applyBorder="1"/>
    <xf numFmtId="3" fontId="26" fillId="4" borderId="9" xfId="0" applyNumberFormat="1" applyFont="1" applyFill="1" applyBorder="1"/>
    <xf numFmtId="3" fontId="26" fillId="4" borderId="11" xfId="0" applyNumberFormat="1" applyFont="1" applyFill="1" applyBorder="1"/>
    <xf numFmtId="0" fontId="26" fillId="4" borderId="7" xfId="0" applyFont="1" applyFill="1" applyBorder="1"/>
    <xf numFmtId="0" fontId="29" fillId="4" borderId="0" xfId="0" applyFont="1" applyFill="1"/>
    <xf numFmtId="3" fontId="26" fillId="4" borderId="0" xfId="0" applyNumberFormat="1" applyFont="1" applyFill="1"/>
    <xf numFmtId="0" fontId="26" fillId="4" borderId="0" xfId="0" applyFont="1" applyFill="1"/>
    <xf numFmtId="167" fontId="40" fillId="5" borderId="0" xfId="3" applyNumberFormat="1" applyFont="1" applyFill="1" applyBorder="1"/>
    <xf numFmtId="167" fontId="41" fillId="5" borderId="0" xfId="3" applyNumberFormat="1" applyFont="1" applyFill="1" applyBorder="1"/>
    <xf numFmtId="167" fontId="4" fillId="5" borderId="0" xfId="3" applyNumberFormat="1" applyFont="1" applyFill="1" applyBorder="1"/>
    <xf numFmtId="165" fontId="4" fillId="5" borderId="0" xfId="2" applyNumberFormat="1" applyFont="1" applyFill="1" applyBorder="1"/>
    <xf numFmtId="167" fontId="4" fillId="5" borderId="16" xfId="3" applyNumberFormat="1" applyFont="1" applyFill="1" applyBorder="1"/>
    <xf numFmtId="167" fontId="6" fillId="5" borderId="0" xfId="3" applyNumberFormat="1" applyFont="1" applyFill="1" applyBorder="1"/>
    <xf numFmtId="167" fontId="6" fillId="5" borderId="17" xfId="3" applyNumberFormat="1" applyFont="1" applyFill="1" applyBorder="1"/>
    <xf numFmtId="167" fontId="4" fillId="5" borderId="18" xfId="3" applyNumberFormat="1" applyFont="1" applyFill="1" applyBorder="1"/>
    <xf numFmtId="167" fontId="6" fillId="5" borderId="19" xfId="3" applyNumberFormat="1" applyFont="1" applyFill="1" applyBorder="1"/>
    <xf numFmtId="167" fontId="6" fillId="5" borderId="20" xfId="3" applyNumberFormat="1" applyFont="1" applyFill="1" applyBorder="1"/>
    <xf numFmtId="43" fontId="2" fillId="0" borderId="0" xfId="1" applyFont="1"/>
    <xf numFmtId="0" fontId="2" fillId="22" borderId="4" xfId="0" applyFont="1" applyFill="1" applyBorder="1"/>
    <xf numFmtId="0" fontId="2" fillId="22" borderId="6" xfId="0" applyFont="1" applyFill="1" applyBorder="1"/>
    <xf numFmtId="0" fontId="2" fillId="22" borderId="9" xfId="0" applyFont="1" applyFill="1" applyBorder="1"/>
    <xf numFmtId="0" fontId="2" fillId="22" borderId="11" xfId="0" applyFont="1" applyFill="1" applyBorder="1"/>
    <xf numFmtId="0" fontId="2" fillId="22" borderId="1" xfId="0" applyFont="1" applyFill="1" applyBorder="1"/>
    <xf numFmtId="0" fontId="2" fillId="22" borderId="3" xfId="0" applyFont="1" applyFill="1" applyBorder="1"/>
    <xf numFmtId="0" fontId="2" fillId="22" borderId="22" xfId="0" applyFont="1" applyFill="1" applyBorder="1"/>
    <xf numFmtId="0" fontId="2" fillId="22" borderId="23" xfId="0" applyFont="1" applyFill="1" applyBorder="1"/>
    <xf numFmtId="0" fontId="2" fillId="22" borderId="24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5" borderId="22" xfId="0" applyFont="1" applyFill="1" applyBorder="1"/>
    <xf numFmtId="0" fontId="2" fillId="45" borderId="23" xfId="0" applyFont="1" applyFill="1" applyBorder="1"/>
    <xf numFmtId="0" fontId="2" fillId="45" borderId="24" xfId="0" applyFont="1" applyFill="1" applyBorder="1"/>
    <xf numFmtId="9" fontId="2" fillId="0" borderId="0" xfId="0" applyNumberFormat="1" applyFont="1"/>
    <xf numFmtId="3" fontId="2" fillId="4" borderId="11" xfId="0" applyNumberFormat="1" applyFont="1" applyFill="1" applyBorder="1"/>
    <xf numFmtId="0" fontId="34" fillId="20" borderId="22" xfId="0" applyFont="1" applyFill="1" applyBorder="1" applyAlignment="1">
      <alignment horizontal="center"/>
    </xf>
    <xf numFmtId="0" fontId="34" fillId="20" borderId="23" xfId="0" applyFont="1" applyFill="1" applyBorder="1" applyAlignment="1">
      <alignment horizontal="center"/>
    </xf>
    <xf numFmtId="0" fontId="34" fillId="20" borderId="24" xfId="0" applyFont="1" applyFill="1" applyBorder="1" applyAlignment="1">
      <alignment horizontal="center"/>
    </xf>
    <xf numFmtId="0" fontId="2" fillId="0" borderId="0" xfId="0" applyFont="1" applyBorder="1"/>
    <xf numFmtId="0" fontId="3" fillId="5" borderId="0" xfId="0" applyFont="1" applyFill="1" applyBorder="1"/>
    <xf numFmtId="0" fontId="3" fillId="11" borderId="6" xfId="0" applyFont="1" applyFill="1" applyBorder="1" applyAlignment="1">
      <alignment horizontal="center"/>
    </xf>
    <xf numFmtId="3" fontId="2" fillId="19" borderId="8" xfId="0" applyNumberFormat="1" applyFont="1" applyFill="1" applyBorder="1"/>
    <xf numFmtId="3" fontId="3" fillId="5" borderId="8" xfId="0" applyNumberFormat="1" applyFont="1" applyFill="1" applyBorder="1"/>
    <xf numFmtId="3" fontId="3" fillId="5" borderId="11" xfId="0" applyNumberFormat="1" applyFont="1" applyFill="1" applyBorder="1"/>
    <xf numFmtId="0" fontId="2" fillId="36" borderId="0" xfId="0" applyFont="1" applyFill="1"/>
    <xf numFmtId="3" fontId="2" fillId="36" borderId="0" xfId="0" applyNumberFormat="1" applyFont="1" applyFill="1"/>
    <xf numFmtId="9" fontId="2" fillId="36" borderId="0" xfId="0" applyNumberFormat="1" applyFont="1" applyFill="1"/>
    <xf numFmtId="3" fontId="2" fillId="36" borderId="8" xfId="0" applyNumberFormat="1" applyFont="1" applyFill="1" applyBorder="1"/>
    <xf numFmtId="164" fontId="2" fillId="36" borderId="0" xfId="1" applyNumberFormat="1" applyFont="1" applyFill="1" applyBorder="1"/>
    <xf numFmtId="0" fontId="28" fillId="36" borderId="0" xfId="0" applyFont="1" applyFill="1" applyAlignment="1">
      <alignment horizontal="left" vertical="center" readingOrder="1"/>
    </xf>
    <xf numFmtId="3" fontId="28" fillId="36" borderId="0" xfId="0" applyNumberFormat="1" applyFont="1" applyFill="1" applyAlignment="1">
      <alignment horizontal="right" vertical="center" readingOrder="1"/>
    </xf>
    <xf numFmtId="0" fontId="45" fillId="36" borderId="0" xfId="0" applyFont="1" applyFill="1" applyAlignment="1">
      <alignment horizontal="right" vertical="center" readingOrder="1"/>
    </xf>
    <xf numFmtId="0" fontId="32" fillId="29" borderId="0" xfId="0" applyFont="1" applyFill="1"/>
    <xf numFmtId="0" fontId="2" fillId="45" borderId="0" xfId="0" applyFont="1" applyFill="1"/>
    <xf numFmtId="3" fontId="2" fillId="45" borderId="0" xfId="0" applyNumberFormat="1" applyFont="1" applyFill="1"/>
    <xf numFmtId="165" fontId="2" fillId="45" borderId="0" xfId="2" applyNumberFormat="1" applyFont="1" applyFill="1" applyAlignment="1">
      <alignment horizontal="center"/>
    </xf>
    <xf numFmtId="165" fontId="58" fillId="4" borderId="0" xfId="0" applyNumberFormat="1" applyFont="1" applyFill="1" applyAlignment="1">
      <alignment horizontal="center"/>
    </xf>
  </cellXfs>
  <cellStyles count="4">
    <cellStyle name="Millares" xfId="1" builtinId="3"/>
    <cellStyle name="Millares 2" xfId="3" xr:uid="{FBAF8AF6-0185-459E-A0DA-D6F8B3E12B22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0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4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jpg"/><Relationship Id="rId1" Type="http://schemas.openxmlformats.org/officeDocument/2006/relationships/image" Target="../media/image10.png"/><Relationship Id="rId6" Type="http://schemas.openxmlformats.org/officeDocument/2006/relationships/image" Target="../media/image15.jp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jp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69</xdr:row>
      <xdr:rowOff>25647</xdr:rowOff>
    </xdr:from>
    <xdr:to>
      <xdr:col>9</xdr:col>
      <xdr:colOff>419086</xdr:colOff>
      <xdr:row>87</xdr:row>
      <xdr:rowOff>126452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B99FA4-48C4-4BB7-911B-97AB14F2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9973060"/>
          <a:ext cx="6814102" cy="338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20293</xdr:colOff>
      <xdr:row>87</xdr:row>
      <xdr:rowOff>123572</xdr:rowOff>
    </xdr:from>
    <xdr:to>
      <xdr:col>9</xdr:col>
      <xdr:colOff>418534</xdr:colOff>
      <xdr:row>110</xdr:row>
      <xdr:rowOff>85572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0B553C-34A1-4016-9BDF-4E19E373C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293" y="13477622"/>
          <a:ext cx="6812307" cy="4221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17807</xdr:colOff>
      <xdr:row>110</xdr:row>
      <xdr:rowOff>109607</xdr:rowOff>
    </xdr:from>
    <xdr:to>
      <xdr:col>9</xdr:col>
      <xdr:colOff>424090</xdr:colOff>
      <xdr:row>115</xdr:row>
      <xdr:rowOff>172190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DB536F9-2631-4521-A277-D38B9F9B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807" y="17560201"/>
          <a:ext cx="6820349" cy="97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422827</xdr:colOff>
      <xdr:row>95</xdr:row>
      <xdr:rowOff>68745</xdr:rowOff>
    </xdr:from>
    <xdr:to>
      <xdr:col>0</xdr:col>
      <xdr:colOff>680002</xdr:colOff>
      <xdr:row>97</xdr:row>
      <xdr:rowOff>78270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7689E5AA-1E5D-414B-A3A9-68BEE23C8C63}"/>
            </a:ext>
          </a:extLst>
        </xdr:cNvPr>
        <xdr:cNvSpPr/>
      </xdr:nvSpPr>
      <xdr:spPr>
        <a:xfrm>
          <a:off x="422827" y="14753810"/>
          <a:ext cx="257175" cy="37396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1</xdr:col>
      <xdr:colOff>29308</xdr:colOff>
      <xdr:row>2</xdr:row>
      <xdr:rowOff>29308</xdr:rowOff>
    </xdr:from>
    <xdr:to>
      <xdr:col>9</xdr:col>
      <xdr:colOff>414626</xdr:colOff>
      <xdr:row>16</xdr:row>
      <xdr:rowOff>57262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1094D2-5A39-DAAC-321D-EED597863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1308" y="534866"/>
          <a:ext cx="6799384" cy="2592377"/>
        </a:xfrm>
        <a:prstGeom prst="rect">
          <a:avLst/>
        </a:prstGeom>
        <a:ln>
          <a:solidFill>
            <a:srgbClr val="C00000"/>
          </a:solidFill>
        </a:ln>
      </xdr:spPr>
    </xdr:pic>
    <xdr:clientData/>
  </xdr:twoCellAnchor>
  <xdr:twoCellAnchor editAs="oneCell">
    <xdr:from>
      <xdr:col>1</xdr:col>
      <xdr:colOff>24846</xdr:colOff>
      <xdr:row>30</xdr:row>
      <xdr:rowOff>33131</xdr:rowOff>
    </xdr:from>
    <xdr:to>
      <xdr:col>9</xdr:col>
      <xdr:colOff>402521</xdr:colOff>
      <xdr:row>37</xdr:row>
      <xdr:rowOff>147425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CAC9985-F1ED-F41A-9739-9B7D93924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6846" y="5772979"/>
          <a:ext cx="6791741" cy="1389816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8</xdr:col>
      <xdr:colOff>739515</xdr:colOff>
      <xdr:row>10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53B405-F4D8-4E3F-BD77-70098BCD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683551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7</xdr:col>
      <xdr:colOff>542925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9CC5C-F79C-4C21-BCEF-889614C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"/>
          <a:ext cx="58769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4</xdr:row>
      <xdr:rowOff>161925</xdr:rowOff>
    </xdr:from>
    <xdr:to>
      <xdr:col>7</xdr:col>
      <xdr:colOff>571500</xdr:colOff>
      <xdr:row>12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3CCE78-552D-4A46-A8E4-DF8672C1E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28700"/>
          <a:ext cx="541972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29</xdr:row>
      <xdr:rowOff>38101</xdr:rowOff>
    </xdr:from>
    <xdr:to>
      <xdr:col>17</xdr:col>
      <xdr:colOff>231632</xdr:colOff>
      <xdr:row>39</xdr:row>
      <xdr:rowOff>76201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9A886D9-8A3D-4771-8256-17026A97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915151"/>
          <a:ext cx="6270482" cy="184785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2F4D71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298891</xdr:colOff>
      <xdr:row>34</xdr:row>
      <xdr:rowOff>41853</xdr:rowOff>
    </xdr:from>
    <xdr:to>
      <xdr:col>11</xdr:col>
      <xdr:colOff>437687</xdr:colOff>
      <xdr:row>42</xdr:row>
      <xdr:rowOff>3101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5AAA3E6D-A8C4-4342-8386-9555E646F3F8}"/>
            </a:ext>
          </a:extLst>
        </xdr:cNvPr>
        <xdr:cNvSpPr/>
      </xdr:nvSpPr>
      <xdr:spPr bwMode="auto">
        <a:xfrm rot="17446504">
          <a:off x="8049337" y="8716079"/>
          <a:ext cx="1401904" cy="138796"/>
        </a:xfrm>
        <a:prstGeom prst="rightArrow">
          <a:avLst>
            <a:gd name="adj1" fmla="val 100000"/>
            <a:gd name="adj2" fmla="val 50000"/>
          </a:avLst>
        </a:prstGeom>
        <a:solidFill>
          <a:srgbClr val="FF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lang="es-PE" sz="1100"/>
        </a:p>
      </xdr:txBody>
    </xdr:sp>
    <xdr:clientData/>
  </xdr:twoCellAnchor>
  <xdr:twoCellAnchor>
    <xdr:from>
      <xdr:col>15</xdr:col>
      <xdr:colOff>294970</xdr:colOff>
      <xdr:row>33</xdr:row>
      <xdr:rowOff>16262</xdr:rowOff>
    </xdr:from>
    <xdr:to>
      <xdr:col>15</xdr:col>
      <xdr:colOff>427601</xdr:colOff>
      <xdr:row>44</xdr:row>
      <xdr:rowOff>100462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7B1E5728-97AF-4B23-BC69-C1A379555EBF}"/>
            </a:ext>
          </a:extLst>
        </xdr:cNvPr>
        <xdr:cNvSpPr/>
      </xdr:nvSpPr>
      <xdr:spPr bwMode="auto">
        <a:xfrm rot="2774475" flipH="1">
          <a:off x="10715723" y="8626459"/>
          <a:ext cx="2151125" cy="132631"/>
        </a:xfrm>
        <a:prstGeom prst="rightArrow">
          <a:avLst>
            <a:gd name="adj1" fmla="val 100000"/>
            <a:gd name="adj2" fmla="val 50000"/>
          </a:avLst>
        </a:prstGeom>
        <a:solidFill>
          <a:srgbClr val="FF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457200</xdr:colOff>
      <xdr:row>12</xdr:row>
      <xdr:rowOff>209550</xdr:rowOff>
    </xdr:from>
    <xdr:to>
      <xdr:col>7</xdr:col>
      <xdr:colOff>210260</xdr:colOff>
      <xdr:row>31</xdr:row>
      <xdr:rowOff>124456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FAF0C9F-76B3-AF00-ADF8-3A715628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3105150"/>
          <a:ext cx="5087060" cy="4525006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32</xdr:row>
      <xdr:rowOff>0</xdr:rowOff>
    </xdr:from>
    <xdr:to>
      <xdr:col>7</xdr:col>
      <xdr:colOff>247650</xdr:colOff>
      <xdr:row>50</xdr:row>
      <xdr:rowOff>15372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294394D-16EF-61F8-2096-A68973381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5" y="7686675"/>
          <a:ext cx="5153025" cy="367773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50</xdr:row>
      <xdr:rowOff>257176</xdr:rowOff>
    </xdr:from>
    <xdr:to>
      <xdr:col>7</xdr:col>
      <xdr:colOff>219076</xdr:colOff>
      <xdr:row>73</xdr:row>
      <xdr:rowOff>24594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C81F787-7842-DF0F-5D2B-E3FA5E5A4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9576" y="11487151"/>
          <a:ext cx="5143500" cy="39965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7</xdr:col>
      <xdr:colOff>571500</xdr:colOff>
      <xdr:row>6</xdr:row>
      <xdr:rowOff>56696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B87B36-D0F4-4369-9620-6BE57FA45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57721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160471</xdr:rowOff>
    </xdr:from>
    <xdr:to>
      <xdr:col>7</xdr:col>
      <xdr:colOff>666750</xdr:colOff>
      <xdr:row>25</xdr:row>
      <xdr:rowOff>173624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011DAF-65BE-4E5F-ACEE-CDA41B2F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8395"/>
          <a:ext cx="5978148" cy="3387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46</xdr:row>
      <xdr:rowOff>0</xdr:rowOff>
    </xdr:from>
    <xdr:to>
      <xdr:col>7</xdr:col>
      <xdr:colOff>571500</xdr:colOff>
      <xdr:row>64</xdr:row>
      <xdr:rowOff>125641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857F882-2A41-426B-B055-B7D66E740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001000"/>
          <a:ext cx="5800725" cy="33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470899</xdr:colOff>
      <xdr:row>26</xdr:row>
      <xdr:rowOff>42810</xdr:rowOff>
    </xdr:from>
    <xdr:to>
      <xdr:col>7</xdr:col>
      <xdr:colOff>581890</xdr:colOff>
      <xdr:row>43</xdr:row>
      <xdr:rowOff>26864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512217-7C3A-BA21-ACC9-5BF2AC173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0899" y="4912332"/>
          <a:ext cx="5430008" cy="307700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0</xdr:rowOff>
    </xdr:from>
    <xdr:to>
      <xdr:col>7</xdr:col>
      <xdr:colOff>714375</xdr:colOff>
      <xdr:row>27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A7CB99-CB00-4ACA-9171-A7CEA0CE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962650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27</xdr:row>
      <xdr:rowOff>66675</xdr:rowOff>
    </xdr:from>
    <xdr:to>
      <xdr:col>7</xdr:col>
      <xdr:colOff>628650</xdr:colOff>
      <xdr:row>50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FF55E4-7C69-46CD-848C-56AF09FF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91050"/>
          <a:ext cx="5810250" cy="425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50</xdr:row>
      <xdr:rowOff>85725</xdr:rowOff>
    </xdr:from>
    <xdr:to>
      <xdr:col>7</xdr:col>
      <xdr:colOff>628650</xdr:colOff>
      <xdr:row>59</xdr:row>
      <xdr:rowOff>171449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FB88CD-9FAF-48D4-890E-4257BE2B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72525"/>
          <a:ext cx="581025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142875</xdr:rowOff>
    </xdr:from>
    <xdr:to>
      <xdr:col>7</xdr:col>
      <xdr:colOff>561975</xdr:colOff>
      <xdr:row>23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3D4C6E-2881-4FF9-B0B2-F2BD6EFE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66725"/>
          <a:ext cx="5829300" cy="391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9525</xdr:rowOff>
    </xdr:from>
    <xdr:to>
      <xdr:col>9</xdr:col>
      <xdr:colOff>12885</xdr:colOff>
      <xdr:row>17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4A7E7A-0E28-41E4-93A7-CF19197D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0025"/>
          <a:ext cx="6708960" cy="3057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28576</xdr:rowOff>
    </xdr:from>
    <xdr:to>
      <xdr:col>9</xdr:col>
      <xdr:colOff>752475</xdr:colOff>
      <xdr:row>36</xdr:row>
      <xdr:rowOff>187846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80DE2-5143-43CF-B6AC-1495D1DB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1"/>
          <a:ext cx="7610475" cy="3759720"/>
        </a:xfrm>
        <a:prstGeom prst="rect">
          <a:avLst/>
        </a:prstGeom>
        <a:noFill/>
        <a:ln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238125</xdr:colOff>
      <xdr:row>3</xdr:row>
      <xdr:rowOff>9525</xdr:rowOff>
    </xdr:from>
    <xdr:to>
      <xdr:col>13</xdr:col>
      <xdr:colOff>419100</xdr:colOff>
      <xdr:row>3</xdr:row>
      <xdr:rowOff>171450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EF4A6E23-C316-2324-A544-BE7288FAE814}"/>
            </a:ext>
          </a:extLst>
        </xdr:cNvPr>
        <xdr:cNvSpPr/>
      </xdr:nvSpPr>
      <xdr:spPr>
        <a:xfrm>
          <a:off x="9886950" y="71437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238125</xdr:colOff>
      <xdr:row>3</xdr:row>
      <xdr:rowOff>9525</xdr:rowOff>
    </xdr:from>
    <xdr:to>
      <xdr:col>13</xdr:col>
      <xdr:colOff>419100</xdr:colOff>
      <xdr:row>3</xdr:row>
      <xdr:rowOff>171450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167BA33E-D1A9-43E4-9082-BBFA987674EB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14</xdr:col>
      <xdr:colOff>238125</xdr:colOff>
      <xdr:row>3</xdr:row>
      <xdr:rowOff>9525</xdr:rowOff>
    </xdr:from>
    <xdr:to>
      <xdr:col>14</xdr:col>
      <xdr:colOff>419100</xdr:colOff>
      <xdr:row>3</xdr:row>
      <xdr:rowOff>171450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17CEAC8D-81C1-4322-B9AC-CE713225E41B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14</xdr:col>
      <xdr:colOff>238125</xdr:colOff>
      <xdr:row>3</xdr:row>
      <xdr:rowOff>9525</xdr:rowOff>
    </xdr:from>
    <xdr:to>
      <xdr:col>14</xdr:col>
      <xdr:colOff>419100</xdr:colOff>
      <xdr:row>3</xdr:row>
      <xdr:rowOff>171450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BE62A0D4-8F22-472F-B6BF-7789A2CED5C5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15</xdr:col>
      <xdr:colOff>238125</xdr:colOff>
      <xdr:row>3</xdr:row>
      <xdr:rowOff>9525</xdr:rowOff>
    </xdr:from>
    <xdr:to>
      <xdr:col>15</xdr:col>
      <xdr:colOff>419100</xdr:colOff>
      <xdr:row>3</xdr:row>
      <xdr:rowOff>171450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348B0A89-3EB2-4BE0-8B7C-1D606A4BB371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15</xdr:col>
      <xdr:colOff>238125</xdr:colOff>
      <xdr:row>3</xdr:row>
      <xdr:rowOff>9525</xdr:rowOff>
    </xdr:from>
    <xdr:to>
      <xdr:col>15</xdr:col>
      <xdr:colOff>419100</xdr:colOff>
      <xdr:row>3</xdr:row>
      <xdr:rowOff>171450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B4625970-AFFB-48EB-B5BE-88EC757AF245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238125</xdr:colOff>
      <xdr:row>3</xdr:row>
      <xdr:rowOff>9525</xdr:rowOff>
    </xdr:from>
    <xdr:to>
      <xdr:col>16</xdr:col>
      <xdr:colOff>419100</xdr:colOff>
      <xdr:row>3</xdr:row>
      <xdr:rowOff>171450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8EA912E7-3A89-468B-840A-8B0204CF8077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238125</xdr:colOff>
      <xdr:row>3</xdr:row>
      <xdr:rowOff>9525</xdr:rowOff>
    </xdr:from>
    <xdr:to>
      <xdr:col>16</xdr:col>
      <xdr:colOff>419100</xdr:colOff>
      <xdr:row>3</xdr:row>
      <xdr:rowOff>171450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CB930C98-6188-4F1C-9C11-657F80435623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17</xdr:col>
      <xdr:colOff>238125</xdr:colOff>
      <xdr:row>3</xdr:row>
      <xdr:rowOff>9525</xdr:rowOff>
    </xdr:from>
    <xdr:to>
      <xdr:col>17</xdr:col>
      <xdr:colOff>419100</xdr:colOff>
      <xdr:row>3</xdr:row>
      <xdr:rowOff>171450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1D7A284E-F427-4692-B9E3-9C4DE90CD31B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17</xdr:col>
      <xdr:colOff>238125</xdr:colOff>
      <xdr:row>3</xdr:row>
      <xdr:rowOff>9525</xdr:rowOff>
    </xdr:from>
    <xdr:to>
      <xdr:col>17</xdr:col>
      <xdr:colOff>419100</xdr:colOff>
      <xdr:row>3</xdr:row>
      <xdr:rowOff>171450</xdr:rowOff>
    </xdr:to>
    <xdr:sp macro="" textlink="">
      <xdr:nvSpPr>
        <xdr:cNvPr id="13" name="Flecha: a la derecha 12">
          <a:extLst>
            <a:ext uri="{FF2B5EF4-FFF2-40B4-BE49-F238E27FC236}">
              <a16:creationId xmlns:a16="http://schemas.microsoft.com/office/drawing/2014/main" id="{18DB37DB-D6CD-4924-841C-FB4CD11A432E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18</xdr:col>
      <xdr:colOff>238125</xdr:colOff>
      <xdr:row>3</xdr:row>
      <xdr:rowOff>9525</xdr:rowOff>
    </xdr:from>
    <xdr:to>
      <xdr:col>18</xdr:col>
      <xdr:colOff>419100</xdr:colOff>
      <xdr:row>3</xdr:row>
      <xdr:rowOff>171450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31BCB48D-7408-4B07-9508-01EAD32130EC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18</xdr:col>
      <xdr:colOff>238125</xdr:colOff>
      <xdr:row>3</xdr:row>
      <xdr:rowOff>9525</xdr:rowOff>
    </xdr:from>
    <xdr:to>
      <xdr:col>18</xdr:col>
      <xdr:colOff>419100</xdr:colOff>
      <xdr:row>3</xdr:row>
      <xdr:rowOff>171450</xdr:rowOff>
    </xdr:to>
    <xdr:sp macro="" textlink="">
      <xdr:nvSpPr>
        <xdr:cNvPr id="15" name="Flecha: a la derecha 14">
          <a:extLst>
            <a:ext uri="{FF2B5EF4-FFF2-40B4-BE49-F238E27FC236}">
              <a16:creationId xmlns:a16="http://schemas.microsoft.com/office/drawing/2014/main" id="{E7582357-69D5-44E0-B2B8-EB1AFD9A4B2D}"/>
            </a:ext>
          </a:extLst>
        </xdr:cNvPr>
        <xdr:cNvSpPr/>
      </xdr:nvSpPr>
      <xdr:spPr>
        <a:xfrm>
          <a:off x="9934575" y="733425"/>
          <a:ext cx="180975" cy="1619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155434</xdr:rowOff>
    </xdr:from>
    <xdr:to>
      <xdr:col>9</xdr:col>
      <xdr:colOff>739877</xdr:colOff>
      <xdr:row>18</xdr:row>
      <xdr:rowOff>59741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1B47B8-FDC6-40DF-8610-C1B75FAE1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005"/>
          <a:ext cx="6846763" cy="3371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554991</xdr:colOff>
      <xdr:row>18</xdr:row>
      <xdr:rowOff>90350</xdr:rowOff>
    </xdr:from>
    <xdr:to>
      <xdr:col>10</xdr:col>
      <xdr:colOff>38104</xdr:colOff>
      <xdr:row>20</xdr:row>
      <xdr:rowOff>88926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4A26BC-834B-41BF-8CB0-DB940F9DB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877" y="3884021"/>
          <a:ext cx="6341113" cy="41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38102</xdr:colOff>
      <xdr:row>12</xdr:row>
      <xdr:rowOff>119743</xdr:rowOff>
    </xdr:from>
    <xdr:to>
      <xdr:col>6</xdr:col>
      <xdr:colOff>212273</xdr:colOff>
      <xdr:row>12</xdr:row>
      <xdr:rowOff>130629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1F9B7B8-B670-CF2A-67C2-8325BFCA36A9}"/>
            </a:ext>
          </a:extLst>
        </xdr:cNvPr>
        <xdr:cNvCxnSpPr/>
      </xdr:nvCxnSpPr>
      <xdr:spPr>
        <a:xfrm>
          <a:off x="810988" y="2661557"/>
          <a:ext cx="3222171" cy="1088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4</xdr:row>
      <xdr:rowOff>74544</xdr:rowOff>
    </xdr:from>
    <xdr:to>
      <xdr:col>7</xdr:col>
      <xdr:colOff>670891</xdr:colOff>
      <xdr:row>23</xdr:row>
      <xdr:rowOff>104240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43BC185-4FDC-78CF-0B35-21A6F103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196" y="1118153"/>
          <a:ext cx="5168347" cy="3699378"/>
        </a:xfrm>
        <a:prstGeom prst="rect">
          <a:avLst/>
        </a:prstGeom>
      </xdr:spPr>
    </xdr:pic>
    <xdr:clientData/>
  </xdr:twoCellAnchor>
  <xdr:twoCellAnchor>
    <xdr:from>
      <xdr:col>24</xdr:col>
      <xdr:colOff>323022</xdr:colOff>
      <xdr:row>16</xdr:row>
      <xdr:rowOff>41413</xdr:rowOff>
    </xdr:from>
    <xdr:to>
      <xdr:col>24</xdr:col>
      <xdr:colOff>596348</xdr:colOff>
      <xdr:row>18</xdr:row>
      <xdr:rowOff>99391</xdr:rowOff>
    </xdr:to>
    <xdr:sp macro="" textlink="">
      <xdr:nvSpPr>
        <xdr:cNvPr id="14" name="Flecha: hacia arriba 13">
          <a:extLst>
            <a:ext uri="{FF2B5EF4-FFF2-40B4-BE49-F238E27FC236}">
              <a16:creationId xmlns:a16="http://schemas.microsoft.com/office/drawing/2014/main" id="{D65BD4D8-4A11-DDA0-10C6-103C3AF09602}"/>
            </a:ext>
          </a:extLst>
        </xdr:cNvPr>
        <xdr:cNvSpPr/>
      </xdr:nvSpPr>
      <xdr:spPr>
        <a:xfrm>
          <a:off x="19588370" y="3371022"/>
          <a:ext cx="273326" cy="438978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15</xdr:col>
      <xdr:colOff>265044</xdr:colOff>
      <xdr:row>16</xdr:row>
      <xdr:rowOff>99391</xdr:rowOff>
    </xdr:from>
    <xdr:to>
      <xdr:col>15</xdr:col>
      <xdr:colOff>538370</xdr:colOff>
      <xdr:row>18</xdr:row>
      <xdr:rowOff>157369</xdr:rowOff>
    </xdr:to>
    <xdr:sp macro="" textlink="">
      <xdr:nvSpPr>
        <xdr:cNvPr id="18" name="Flecha: hacia arriba 17">
          <a:extLst>
            <a:ext uri="{FF2B5EF4-FFF2-40B4-BE49-F238E27FC236}">
              <a16:creationId xmlns:a16="http://schemas.microsoft.com/office/drawing/2014/main" id="{280A9DD2-0395-48CA-B5A9-714D556F63A9}"/>
            </a:ext>
          </a:extLst>
        </xdr:cNvPr>
        <xdr:cNvSpPr/>
      </xdr:nvSpPr>
      <xdr:spPr>
        <a:xfrm>
          <a:off x="19348174" y="3429000"/>
          <a:ext cx="273326" cy="438978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31506</xdr:colOff>
      <xdr:row>2</xdr:row>
      <xdr:rowOff>38484</xdr:rowOff>
    </xdr:from>
    <xdr:to>
      <xdr:col>9</xdr:col>
      <xdr:colOff>289792</xdr:colOff>
      <xdr:row>7</xdr:row>
      <xdr:rowOff>162011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C370CA-5962-4BFC-8B0A-A0D1C64E6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032" y="544813"/>
          <a:ext cx="6822869" cy="1025895"/>
        </a:xfrm>
        <a:prstGeom prst="rect">
          <a:avLst/>
        </a:prstGeom>
        <a:noFill/>
        <a:ln w="285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18</xdr:row>
      <xdr:rowOff>131885</xdr:rowOff>
    </xdr:from>
    <xdr:to>
      <xdr:col>6</xdr:col>
      <xdr:colOff>667798</xdr:colOff>
      <xdr:row>26</xdr:row>
      <xdr:rowOff>244670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A51B0B8-F037-4DA4-89DF-C58D2D16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0616" y="4205654"/>
          <a:ext cx="4419182" cy="2054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31216</xdr:colOff>
      <xdr:row>35</xdr:row>
      <xdr:rowOff>13607</xdr:rowOff>
    </xdr:from>
    <xdr:to>
      <xdr:col>14</xdr:col>
      <xdr:colOff>880955</xdr:colOff>
      <xdr:row>62</xdr:row>
      <xdr:rowOff>32719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4907EB-EBAA-4BBE-AA48-A4431004E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216" y="8193901"/>
          <a:ext cx="11107431" cy="516261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64</xdr:row>
      <xdr:rowOff>22412</xdr:rowOff>
    </xdr:from>
    <xdr:ext cx="11194676" cy="3944470"/>
    <xdr:pic>
      <xdr:nvPicPr>
        <xdr:cNvPr id="5" name="image24.png">
          <a:extLst>
            <a:ext uri="{FF2B5EF4-FFF2-40B4-BE49-F238E27FC236}">
              <a16:creationId xmlns:a16="http://schemas.microsoft.com/office/drawing/2014/main" id="{005997FE-A00F-4509-9248-C2E55D28028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3727206"/>
          <a:ext cx="11194676" cy="394447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761999</xdr:colOff>
      <xdr:row>86</xdr:row>
      <xdr:rowOff>0</xdr:rowOff>
    </xdr:from>
    <xdr:ext cx="11149853" cy="5535706"/>
    <xdr:pic>
      <xdr:nvPicPr>
        <xdr:cNvPr id="6" name="image5.png">
          <a:extLst>
            <a:ext uri="{FF2B5EF4-FFF2-40B4-BE49-F238E27FC236}">
              <a16:creationId xmlns:a16="http://schemas.microsoft.com/office/drawing/2014/main" id="{F8B6747D-E834-47AF-8111-35A836DDD8B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1999" y="17895794"/>
          <a:ext cx="11149853" cy="5535706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116</xdr:row>
      <xdr:rowOff>33618</xdr:rowOff>
    </xdr:from>
    <xdr:ext cx="11183471" cy="6409764"/>
    <xdr:pic>
      <xdr:nvPicPr>
        <xdr:cNvPr id="7" name="image26.png">
          <a:extLst>
            <a:ext uri="{FF2B5EF4-FFF2-40B4-BE49-F238E27FC236}">
              <a16:creationId xmlns:a16="http://schemas.microsoft.com/office/drawing/2014/main" id="{5C7B57CC-AAFF-4362-9CB4-5506F62E2416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62000" y="23644412"/>
          <a:ext cx="11183471" cy="640976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0</xdr:colOff>
      <xdr:row>151</xdr:row>
      <xdr:rowOff>0</xdr:rowOff>
    </xdr:from>
    <xdr:to>
      <xdr:col>14</xdr:col>
      <xdr:colOff>858543</xdr:colOff>
      <xdr:row>185</xdr:row>
      <xdr:rowOff>126142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97CDBE-25E6-4AE1-8076-466F19706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0278294"/>
          <a:ext cx="11116235" cy="6603142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23446</xdr:colOff>
      <xdr:row>2</xdr:row>
      <xdr:rowOff>27109</xdr:rowOff>
    </xdr:from>
    <xdr:to>
      <xdr:col>8</xdr:col>
      <xdr:colOff>556846</xdr:colOff>
      <xdr:row>5</xdr:row>
      <xdr:rowOff>84259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2DCA71-3F0D-4CB0-B045-097E06563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446" y="547321"/>
          <a:ext cx="58674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5</xdr:row>
      <xdr:rowOff>171450</xdr:rowOff>
    </xdr:from>
    <xdr:to>
      <xdr:col>8</xdr:col>
      <xdr:colOff>561975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8D1C26-395D-449B-80E0-E4D5D0E4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257300"/>
          <a:ext cx="577215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2</xdr:row>
      <xdr:rowOff>38099</xdr:rowOff>
    </xdr:from>
    <xdr:to>
      <xdr:col>9</xdr:col>
      <xdr:colOff>487972</xdr:colOff>
      <xdr:row>19</xdr:row>
      <xdr:rowOff>20958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BF7420-5BF5-45D9-1EB0-EA10E7E7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099" y="552449"/>
          <a:ext cx="6810375" cy="322135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19</xdr:row>
      <xdr:rowOff>47625</xdr:rowOff>
    </xdr:from>
    <xdr:to>
      <xdr:col>9</xdr:col>
      <xdr:colOff>487973</xdr:colOff>
      <xdr:row>34</xdr:row>
      <xdr:rowOff>160795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A364FD-81C2-8CFE-94D9-6F463465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1" y="3800475"/>
          <a:ext cx="6810374" cy="29706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57</xdr:row>
      <xdr:rowOff>74734</xdr:rowOff>
    </xdr:from>
    <xdr:to>
      <xdr:col>9</xdr:col>
      <xdr:colOff>703384</xdr:colOff>
      <xdr:row>70</xdr:row>
      <xdr:rowOff>99499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2A6095-1E91-411C-8280-AC9F6138E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1402157"/>
          <a:ext cx="7319595" cy="25012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311727</xdr:colOff>
      <xdr:row>29</xdr:row>
      <xdr:rowOff>25977</xdr:rowOff>
    </xdr:from>
    <xdr:to>
      <xdr:col>20</xdr:col>
      <xdr:colOff>450273</xdr:colOff>
      <xdr:row>29</xdr:row>
      <xdr:rowOff>164523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6FD9712D-A5DB-4CB6-84DD-5F957A2BD209}"/>
            </a:ext>
          </a:extLst>
        </xdr:cNvPr>
        <xdr:cNvSpPr/>
      </xdr:nvSpPr>
      <xdr:spPr>
        <a:xfrm>
          <a:off x="13265727" y="5455227"/>
          <a:ext cx="138546" cy="1385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205153</xdr:rowOff>
    </xdr:from>
    <xdr:to>
      <xdr:col>10</xdr:col>
      <xdr:colOff>321946</xdr:colOff>
      <xdr:row>40</xdr:row>
      <xdr:rowOff>30478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547A73-E58A-4D57-B6E5-D40E17F8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538"/>
          <a:ext cx="8110465" cy="7584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44823</xdr:colOff>
      <xdr:row>5</xdr:row>
      <xdr:rowOff>168088</xdr:rowOff>
    </xdr:from>
    <xdr:to>
      <xdr:col>23</xdr:col>
      <xdr:colOff>696058</xdr:colOff>
      <xdr:row>37</xdr:row>
      <xdr:rowOff>4614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00309F-99A5-A941-2C0F-511AFAD82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1088" y="1837764"/>
          <a:ext cx="9099177" cy="557393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38</xdr:row>
      <xdr:rowOff>0</xdr:rowOff>
    </xdr:from>
    <xdr:to>
      <xdr:col>23</xdr:col>
      <xdr:colOff>733801</xdr:colOff>
      <xdr:row>59</xdr:row>
      <xdr:rowOff>112059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FC017FE-14F4-8743-F5A2-06D11980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86265" y="7586382"/>
          <a:ext cx="9181743" cy="387723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60</xdr:row>
      <xdr:rowOff>179293</xdr:rowOff>
    </xdr:from>
    <xdr:to>
      <xdr:col>23</xdr:col>
      <xdr:colOff>686046</xdr:colOff>
      <xdr:row>86</xdr:row>
      <xdr:rowOff>179293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DF13750-CDD4-9CE8-DF27-868A0596B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86265" y="11710146"/>
          <a:ext cx="9133988" cy="4661647"/>
        </a:xfrm>
        <a:prstGeom prst="rect">
          <a:avLst/>
        </a:prstGeom>
      </xdr:spPr>
    </xdr:pic>
    <xdr:clientData/>
  </xdr:twoCellAnchor>
  <xdr:twoCellAnchor editAs="oneCell">
    <xdr:from>
      <xdr:col>12</xdr:col>
      <xdr:colOff>65664</xdr:colOff>
      <xdr:row>88</xdr:row>
      <xdr:rowOff>33616</xdr:rowOff>
    </xdr:from>
    <xdr:to>
      <xdr:col>23</xdr:col>
      <xdr:colOff>744839</xdr:colOff>
      <xdr:row>116</xdr:row>
      <xdr:rowOff>168087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111DF4C-9538-47FA-9666-55B132D6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51929" y="16584704"/>
          <a:ext cx="9127117" cy="5154707"/>
        </a:xfrm>
        <a:prstGeom prst="rect">
          <a:avLst/>
        </a:prstGeom>
      </xdr:spPr>
    </xdr:pic>
    <xdr:clientData/>
  </xdr:twoCellAnchor>
  <xdr:twoCellAnchor editAs="oneCell">
    <xdr:from>
      <xdr:col>12</xdr:col>
      <xdr:colOff>14654</xdr:colOff>
      <xdr:row>134</xdr:row>
      <xdr:rowOff>51288</xdr:rowOff>
    </xdr:from>
    <xdr:to>
      <xdr:col>23</xdr:col>
      <xdr:colOff>713536</xdr:colOff>
      <xdr:row>162</xdr:row>
      <xdr:rowOff>152140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74F7415-FF92-4FBF-8343-0E275C7D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481" y="24830942"/>
          <a:ext cx="9146824" cy="52296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3972-7E4E-45D9-BDE8-EBB9163A6663}">
  <dimension ref="A1:Y21"/>
  <sheetViews>
    <sheetView zoomScale="95" zoomScaleNormal="95" workbookViewId="0">
      <selection activeCell="B2" sqref="B2:O2"/>
    </sheetView>
  </sheetViews>
  <sheetFormatPr baseColWidth="10" defaultRowHeight="18.75" x14ac:dyDescent="0.3"/>
  <cols>
    <col min="1" max="16384" width="11.42578125" style="63"/>
  </cols>
  <sheetData>
    <row r="1" spans="1:25" s="58" customFormat="1" ht="72" customHeight="1" x14ac:dyDescent="1.35">
      <c r="A1" s="44"/>
      <c r="B1" s="65" t="s">
        <v>376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s="58" customFormat="1" ht="72" customHeight="1" x14ac:dyDescent="0.9">
      <c r="A2" s="44"/>
      <c r="B2" s="336" t="s">
        <v>377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s="60" customFormat="1" ht="33.75" customHeight="1" x14ac:dyDescent="0.7">
      <c r="A3" s="61"/>
      <c r="B3" s="66" t="s">
        <v>130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s="60" customFormat="1" ht="30" customHeight="1" x14ac:dyDescent="0.7">
      <c r="A4" s="61"/>
      <c r="B4" s="66" t="s">
        <v>131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26.25" x14ac:dyDescent="0.4">
      <c r="A5" s="62"/>
      <c r="B5" s="64"/>
      <c r="C5" s="64">
        <v>1</v>
      </c>
      <c r="D5" s="64" t="s">
        <v>132</v>
      </c>
      <c r="E5" s="62"/>
      <c r="F5" s="62"/>
      <c r="G5" s="62"/>
      <c r="H5" s="62"/>
      <c r="I5" s="64" t="s">
        <v>163</v>
      </c>
      <c r="J5" s="64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26.25" x14ac:dyDescent="0.4">
      <c r="A6" s="62"/>
      <c r="B6" s="62"/>
      <c r="C6" s="64">
        <f>+C5+1</f>
        <v>2</v>
      </c>
      <c r="D6" s="64" t="s">
        <v>133</v>
      </c>
      <c r="E6" s="62"/>
      <c r="F6" s="62"/>
      <c r="G6" s="62"/>
      <c r="H6" s="62"/>
      <c r="I6" s="64" t="s">
        <v>148</v>
      </c>
      <c r="J6" s="64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26.25" x14ac:dyDescent="0.4">
      <c r="A7" s="62"/>
      <c r="B7" s="62"/>
      <c r="C7" s="64">
        <f t="shared" ref="C7:C20" si="0">+C6+1</f>
        <v>3</v>
      </c>
      <c r="D7" s="64" t="s">
        <v>134</v>
      </c>
      <c r="E7" s="62"/>
      <c r="F7" s="62"/>
      <c r="G7" s="62"/>
      <c r="H7" s="62"/>
      <c r="I7" s="64" t="s">
        <v>149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spans="1:25" ht="26.25" x14ac:dyDescent="0.4">
      <c r="A8" s="62"/>
      <c r="B8" s="62"/>
      <c r="C8" s="64">
        <f t="shared" si="0"/>
        <v>4</v>
      </c>
      <c r="D8" s="64" t="s">
        <v>135</v>
      </c>
      <c r="E8" s="62"/>
      <c r="F8" s="62"/>
      <c r="G8" s="62"/>
      <c r="H8" s="62"/>
      <c r="I8" s="64" t="s">
        <v>150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ht="26.25" x14ac:dyDescent="0.4">
      <c r="A9" s="62"/>
      <c r="B9" s="62"/>
      <c r="C9" s="64">
        <f t="shared" si="0"/>
        <v>5</v>
      </c>
      <c r="D9" s="64" t="s">
        <v>136</v>
      </c>
      <c r="E9" s="62"/>
      <c r="F9" s="62"/>
      <c r="G9" s="62"/>
      <c r="H9" s="62"/>
      <c r="I9" s="64" t="s">
        <v>151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ht="26.25" x14ac:dyDescent="0.4">
      <c r="A10" s="62"/>
      <c r="B10" s="62"/>
      <c r="C10" s="64">
        <f t="shared" si="0"/>
        <v>6</v>
      </c>
      <c r="D10" s="64" t="s">
        <v>137</v>
      </c>
      <c r="E10" s="62"/>
      <c r="F10" s="62"/>
      <c r="G10" s="62"/>
      <c r="H10" s="62"/>
      <c r="I10" s="64" t="s">
        <v>152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  <row r="11" spans="1:25" ht="26.25" x14ac:dyDescent="0.4">
      <c r="A11" s="62"/>
      <c r="B11" s="62"/>
      <c r="C11" s="64">
        <f t="shared" si="0"/>
        <v>7</v>
      </c>
      <c r="D11" s="64" t="s">
        <v>138</v>
      </c>
      <c r="E11" s="62"/>
      <c r="F11" s="62"/>
      <c r="G11" s="62"/>
      <c r="H11" s="62"/>
      <c r="I11" s="64" t="s">
        <v>153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</row>
    <row r="12" spans="1:25" ht="26.25" x14ac:dyDescent="0.4">
      <c r="A12" s="62"/>
      <c r="B12" s="62"/>
      <c r="C12" s="64">
        <f t="shared" si="0"/>
        <v>8</v>
      </c>
      <c r="D12" s="64" t="s">
        <v>139</v>
      </c>
      <c r="E12" s="62"/>
      <c r="F12" s="62"/>
      <c r="G12" s="62"/>
      <c r="H12" s="62"/>
      <c r="I12" s="64" t="s">
        <v>154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6.25" x14ac:dyDescent="0.4">
      <c r="A13" s="62"/>
      <c r="B13" s="62"/>
      <c r="C13" s="64">
        <f t="shared" si="0"/>
        <v>9</v>
      </c>
      <c r="D13" s="64" t="s">
        <v>140</v>
      </c>
      <c r="E13" s="62"/>
      <c r="F13" s="62"/>
      <c r="G13" s="62"/>
      <c r="H13" s="62"/>
      <c r="I13" s="64" t="s">
        <v>155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5" ht="26.25" x14ac:dyDescent="0.4">
      <c r="A14" s="62"/>
      <c r="B14" s="62"/>
      <c r="C14" s="64">
        <f t="shared" si="0"/>
        <v>10</v>
      </c>
      <c r="D14" s="64" t="s">
        <v>141</v>
      </c>
      <c r="E14" s="62"/>
      <c r="F14" s="62"/>
      <c r="G14" s="62"/>
      <c r="H14" s="62"/>
      <c r="I14" s="64" t="s">
        <v>156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</row>
    <row r="15" spans="1:25" ht="26.25" x14ac:dyDescent="0.4">
      <c r="A15" s="62"/>
      <c r="B15" s="62"/>
      <c r="C15" s="64">
        <f t="shared" si="0"/>
        <v>11</v>
      </c>
      <c r="D15" s="64" t="s">
        <v>142</v>
      </c>
      <c r="E15" s="62"/>
      <c r="F15" s="62"/>
      <c r="G15" s="62"/>
      <c r="H15" s="62"/>
      <c r="I15" s="64" t="s">
        <v>157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</row>
    <row r="16" spans="1:25" ht="26.25" x14ac:dyDescent="0.4">
      <c r="A16" s="62"/>
      <c r="B16" s="62"/>
      <c r="C16" s="64">
        <f t="shared" si="0"/>
        <v>12</v>
      </c>
      <c r="D16" s="64" t="s">
        <v>143</v>
      </c>
      <c r="E16" s="62"/>
      <c r="F16" s="62"/>
      <c r="G16" s="62"/>
      <c r="H16" s="62"/>
      <c r="I16" s="64" t="s">
        <v>158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ht="26.25" x14ac:dyDescent="0.4">
      <c r="A17" s="62"/>
      <c r="B17" s="62"/>
      <c r="C17" s="64">
        <f t="shared" si="0"/>
        <v>13</v>
      </c>
      <c r="D17" s="64" t="s">
        <v>144</v>
      </c>
      <c r="E17" s="62"/>
      <c r="F17" s="62"/>
      <c r="G17" s="62"/>
      <c r="H17" s="62"/>
      <c r="I17" s="64" t="s">
        <v>159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25" ht="26.25" x14ac:dyDescent="0.4">
      <c r="A18" s="62"/>
      <c r="B18" s="62"/>
      <c r="C18" s="64">
        <f t="shared" si="0"/>
        <v>14</v>
      </c>
      <c r="D18" s="64" t="s">
        <v>145</v>
      </c>
      <c r="E18" s="62"/>
      <c r="F18" s="62"/>
      <c r="G18" s="62"/>
      <c r="H18" s="62"/>
      <c r="I18" s="64" t="s">
        <v>160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26.25" x14ac:dyDescent="0.4">
      <c r="A19" s="62"/>
      <c r="B19" s="62"/>
      <c r="C19" s="64">
        <f t="shared" si="0"/>
        <v>15</v>
      </c>
      <c r="D19" s="64" t="s">
        <v>146</v>
      </c>
      <c r="E19" s="62"/>
      <c r="F19" s="62"/>
      <c r="G19" s="62"/>
      <c r="H19" s="62"/>
      <c r="I19" s="64" t="s">
        <v>161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1:25" ht="26.25" x14ac:dyDescent="0.4">
      <c r="A20" s="62"/>
      <c r="B20" s="62"/>
      <c r="C20" s="64">
        <f t="shared" si="0"/>
        <v>16</v>
      </c>
      <c r="D20" s="64" t="s">
        <v>147</v>
      </c>
      <c r="E20" s="62"/>
      <c r="F20" s="62"/>
      <c r="G20" s="62"/>
      <c r="H20" s="62"/>
      <c r="I20" s="64" t="s">
        <v>162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25" ht="26.25" x14ac:dyDescent="0.4">
      <c r="A21" s="62"/>
      <c r="B21" s="62"/>
      <c r="C21" s="64"/>
      <c r="D21" s="64"/>
      <c r="E21" s="62"/>
      <c r="F21" s="62"/>
      <c r="G21" s="62"/>
      <c r="H21" s="62"/>
      <c r="I21" s="64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</row>
  </sheetData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1E40-CE42-4C7C-8068-8C2BD2AC6484}">
  <sheetPr>
    <tabColor theme="1"/>
  </sheetPr>
  <dimension ref="A1:Y131"/>
  <sheetViews>
    <sheetView topLeftCell="J1" zoomScale="130" zoomScaleNormal="130" workbookViewId="0">
      <selection activeCell="A129" sqref="A129"/>
    </sheetView>
  </sheetViews>
  <sheetFormatPr baseColWidth="10" defaultRowHeight="14.25" x14ac:dyDescent="0.2"/>
  <cols>
    <col min="1" max="8" width="11.42578125" style="1"/>
    <col min="9" max="9" width="17.7109375" style="1" bestFit="1" customWidth="1"/>
    <col min="10" max="10" width="7.7109375" style="1" customWidth="1"/>
    <col min="11" max="11" width="5" style="1" customWidth="1"/>
    <col min="12" max="12" width="1.140625" style="1" customWidth="1"/>
    <col min="13" max="14" width="11.42578125" style="1"/>
    <col min="15" max="15" width="12.42578125" style="1" bestFit="1" customWidth="1"/>
    <col min="16" max="16384" width="11.42578125" style="1"/>
  </cols>
  <sheetData>
    <row r="1" spans="1:25" s="57" customFormat="1" ht="25.5" x14ac:dyDescent="0.35">
      <c r="A1" s="57" t="s">
        <v>343</v>
      </c>
      <c r="J1" s="59"/>
    </row>
    <row r="2" spans="1:25" ht="26.25" x14ac:dyDescent="0.4">
      <c r="L2" s="281" t="s">
        <v>347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</row>
    <row r="3" spans="1:25" ht="26.25" x14ac:dyDescent="0.4">
      <c r="L3" s="281" t="s">
        <v>344</v>
      </c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</row>
    <row r="4" spans="1:25" ht="26.25" x14ac:dyDescent="0.4">
      <c r="L4" s="281" t="s">
        <v>345</v>
      </c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</row>
    <row r="5" spans="1:25" ht="26.25" x14ac:dyDescent="0.4">
      <c r="L5" s="281" t="s">
        <v>346</v>
      </c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</row>
    <row r="94" spans="10:12" x14ac:dyDescent="0.2">
      <c r="J94" s="3">
        <v>400000</v>
      </c>
    </row>
    <row r="95" spans="10:12" x14ac:dyDescent="0.2">
      <c r="L95" s="495">
        <f>+J94*6</f>
        <v>2400000</v>
      </c>
    </row>
    <row r="118" spans="13:20" ht="15" thickBot="1" x14ac:dyDescent="0.25"/>
    <row r="119" spans="13:20" ht="15" thickBot="1" x14ac:dyDescent="0.25">
      <c r="M119" s="514" t="s">
        <v>388</v>
      </c>
      <c r="N119" s="515"/>
      <c r="O119" s="515"/>
      <c r="P119" s="515"/>
      <c r="Q119" s="515"/>
      <c r="R119" s="515"/>
      <c r="S119" s="515"/>
      <c r="T119" s="516"/>
    </row>
    <row r="120" spans="13:20" ht="15" thickBot="1" x14ac:dyDescent="0.25"/>
    <row r="121" spans="13:20" ht="15" thickBot="1" x14ac:dyDescent="0.25">
      <c r="M121" s="502" t="s">
        <v>383</v>
      </c>
      <c r="N121" s="503"/>
      <c r="O121" s="504">
        <v>900</v>
      </c>
      <c r="Q121" s="505"/>
      <c r="R121" s="506"/>
      <c r="S121" s="507" t="s">
        <v>7</v>
      </c>
      <c r="T121" s="508" t="s">
        <v>8</v>
      </c>
    </row>
    <row r="122" spans="13:20" ht="15" thickBot="1" x14ac:dyDescent="0.25">
      <c r="Q122" s="509" t="s">
        <v>389</v>
      </c>
      <c r="R122" s="11"/>
      <c r="S122" s="11">
        <f>+O124</f>
        <v>100</v>
      </c>
      <c r="T122" s="510"/>
    </row>
    <row r="123" spans="13:20" ht="15" thickBot="1" x14ac:dyDescent="0.25">
      <c r="M123" s="496" t="s">
        <v>383</v>
      </c>
      <c r="N123" s="497"/>
      <c r="O123" s="500">
        <v>800</v>
      </c>
      <c r="Q123" s="511" t="s">
        <v>212</v>
      </c>
      <c r="R123" s="512"/>
      <c r="S123" s="512"/>
      <c r="T123" s="513">
        <f>+S122</f>
        <v>100</v>
      </c>
    </row>
    <row r="124" spans="13:20" ht="15" thickBot="1" x14ac:dyDescent="0.25">
      <c r="M124" s="498" t="s">
        <v>384</v>
      </c>
      <c r="N124" s="499"/>
      <c r="O124" s="501">
        <v>100</v>
      </c>
    </row>
    <row r="125" spans="13:20" ht="15" thickBot="1" x14ac:dyDescent="0.25"/>
    <row r="126" spans="13:20" ht="15" thickBot="1" x14ac:dyDescent="0.25">
      <c r="M126" s="514" t="s">
        <v>390</v>
      </c>
      <c r="N126" s="515"/>
      <c r="O126" s="515"/>
      <c r="P126" s="515"/>
      <c r="Q126" s="515"/>
      <c r="R126" s="515"/>
      <c r="S126" s="515"/>
      <c r="T126" s="516"/>
    </row>
    <row r="128" spans="13:20" ht="15" thickBot="1" x14ac:dyDescent="0.25">
      <c r="M128" s="1" t="s">
        <v>385</v>
      </c>
      <c r="N128" s="1" t="s">
        <v>386</v>
      </c>
      <c r="O128" s="1">
        <v>40</v>
      </c>
    </row>
    <row r="129" spans="13:20" x14ac:dyDescent="0.2">
      <c r="M129" s="1" t="s">
        <v>387</v>
      </c>
      <c r="O129" s="3">
        <v>3000000</v>
      </c>
      <c r="Q129" s="505"/>
      <c r="R129" s="506"/>
      <c r="S129" s="507" t="s">
        <v>7</v>
      </c>
      <c r="T129" s="508" t="s">
        <v>8</v>
      </c>
    </row>
    <row r="130" spans="13:20" x14ac:dyDescent="0.2">
      <c r="M130" s="1" t="s">
        <v>391</v>
      </c>
      <c r="O130" s="517">
        <v>0.08</v>
      </c>
      <c r="Q130" s="509" t="s">
        <v>393</v>
      </c>
      <c r="R130" s="11"/>
      <c r="S130" s="12">
        <f>+O131</f>
        <v>35773840.001238972</v>
      </c>
      <c r="T130" s="510"/>
    </row>
    <row r="131" spans="13:20" ht="15" thickBot="1" x14ac:dyDescent="0.25">
      <c r="M131" s="1" t="s">
        <v>4</v>
      </c>
      <c r="O131" s="3">
        <f>-PV(O130,O128,O129,0,0)</f>
        <v>35773840.001238972</v>
      </c>
      <c r="Q131" s="511" t="s">
        <v>392</v>
      </c>
      <c r="R131" s="512"/>
      <c r="S131" s="512"/>
      <c r="T131" s="518">
        <f>+O131</f>
        <v>35773840.001238972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9309-BBB0-4869-958B-A74D3FD11378}">
  <sheetPr>
    <tabColor rgb="FF00B050"/>
  </sheetPr>
  <dimension ref="A1:AA24"/>
  <sheetViews>
    <sheetView topLeftCell="J4" zoomScale="160" zoomScaleNormal="160" workbookViewId="0">
      <selection activeCell="Q11" sqref="Q11:U11"/>
    </sheetView>
  </sheetViews>
  <sheetFormatPr baseColWidth="10" defaultRowHeight="14.25" x14ac:dyDescent="0.2"/>
  <cols>
    <col min="1" max="9" width="11.42578125" style="1"/>
    <col min="10" max="10" width="4.42578125" style="1" customWidth="1"/>
    <col min="11" max="15" width="11.42578125" style="1"/>
    <col min="16" max="16" width="3" style="1" customWidth="1"/>
    <col min="17" max="19" width="11.42578125" style="1"/>
    <col min="20" max="20" width="13.140625" style="1" bestFit="1" customWidth="1"/>
    <col min="21" max="21" width="11.42578125" style="1"/>
    <col min="22" max="22" width="2" style="1" customWidth="1"/>
    <col min="23" max="25" width="11.42578125" style="1"/>
    <col min="26" max="26" width="13.85546875" style="1" customWidth="1"/>
    <col min="27" max="16384" width="11.42578125" style="1"/>
  </cols>
  <sheetData>
    <row r="1" spans="1:27" s="57" customFormat="1" ht="25.5" x14ac:dyDescent="0.35">
      <c r="A1" s="57" t="s">
        <v>348</v>
      </c>
      <c r="K1" s="59"/>
    </row>
    <row r="3" spans="1:27" ht="15" thickBot="1" x14ac:dyDescent="0.25"/>
    <row r="4" spans="1:27" x14ac:dyDescent="0.2">
      <c r="K4" s="283" t="s">
        <v>114</v>
      </c>
      <c r="L4" s="284"/>
      <c r="M4" s="284"/>
      <c r="N4" s="524" t="s">
        <v>116</v>
      </c>
      <c r="O4" s="285" t="s">
        <v>85</v>
      </c>
      <c r="P4" s="177"/>
      <c r="Q4" s="284" t="s">
        <v>119</v>
      </c>
      <c r="R4" s="284"/>
      <c r="S4" s="284"/>
      <c r="T4" s="284"/>
      <c r="U4" s="284"/>
      <c r="V4" s="177"/>
      <c r="W4" s="284" t="s">
        <v>124</v>
      </c>
      <c r="X4" s="284"/>
      <c r="Y4" s="284"/>
      <c r="Z4" s="284"/>
      <c r="AA4" s="286"/>
    </row>
    <row r="5" spans="1:27" x14ac:dyDescent="0.2">
      <c r="K5" s="171"/>
      <c r="L5" s="522"/>
      <c r="M5" s="522"/>
      <c r="N5" s="173"/>
      <c r="Q5" s="528" t="s">
        <v>122</v>
      </c>
      <c r="R5" s="528"/>
      <c r="S5" s="528"/>
      <c r="T5" s="530">
        <v>1</v>
      </c>
      <c r="U5" s="528"/>
      <c r="W5" s="287" t="s">
        <v>125</v>
      </c>
      <c r="X5" s="287"/>
      <c r="Y5" s="287"/>
      <c r="Z5" s="288">
        <v>1</v>
      </c>
      <c r="AA5" s="289"/>
    </row>
    <row r="6" spans="1:27" x14ac:dyDescent="0.2">
      <c r="K6" s="171" t="s">
        <v>19</v>
      </c>
      <c r="L6" s="522"/>
      <c r="M6" s="522"/>
      <c r="N6" s="172">
        <v>20000</v>
      </c>
      <c r="O6" s="3">
        <v>20000</v>
      </c>
      <c r="Q6" s="528" t="s">
        <v>120</v>
      </c>
      <c r="R6" s="528"/>
      <c r="S6" s="529">
        <v>8000000</v>
      </c>
      <c r="T6" s="528"/>
      <c r="U6" s="528"/>
      <c r="W6" s="287" t="s">
        <v>120</v>
      </c>
      <c r="X6" s="287"/>
      <c r="Y6" s="290">
        <v>30000000</v>
      </c>
      <c r="Z6" s="287"/>
      <c r="AA6" s="289"/>
    </row>
    <row r="7" spans="1:27" x14ac:dyDescent="0.2">
      <c r="K7" s="171" t="s">
        <v>36</v>
      </c>
      <c r="L7" s="522"/>
      <c r="M7" s="522"/>
      <c r="N7" s="172">
        <v>4000000</v>
      </c>
      <c r="O7" s="3">
        <v>3500000</v>
      </c>
      <c r="AA7" s="173"/>
    </row>
    <row r="8" spans="1:27" x14ac:dyDescent="0.2">
      <c r="K8" s="171" t="s">
        <v>63</v>
      </c>
      <c r="L8" s="522"/>
      <c r="M8" s="522"/>
      <c r="N8" s="172">
        <v>500000</v>
      </c>
      <c r="O8" s="3">
        <v>1000000</v>
      </c>
      <c r="T8" s="20" t="s">
        <v>7</v>
      </c>
      <c r="U8" s="20" t="s">
        <v>8</v>
      </c>
      <c r="Z8" s="20" t="s">
        <v>7</v>
      </c>
      <c r="AA8" s="291" t="s">
        <v>8</v>
      </c>
    </row>
    <row r="9" spans="1:27" x14ac:dyDescent="0.2">
      <c r="K9" s="171" t="s">
        <v>118</v>
      </c>
      <c r="L9" s="522"/>
      <c r="M9" s="522"/>
      <c r="N9" s="531"/>
      <c r="O9" s="3">
        <v>5000000</v>
      </c>
      <c r="T9" s="20"/>
      <c r="U9" s="20"/>
      <c r="W9" s="1" t="s">
        <v>19</v>
      </c>
      <c r="Z9" s="51">
        <f>+O6</f>
        <v>20000</v>
      </c>
      <c r="AA9" s="291"/>
    </row>
    <row r="10" spans="1:27" x14ac:dyDescent="0.2">
      <c r="K10" s="171"/>
      <c r="L10" s="522"/>
      <c r="M10" s="522"/>
      <c r="N10" s="525">
        <f>SUM(N6:N8)</f>
        <v>4520000</v>
      </c>
      <c r="O10" s="292">
        <f>SUM(O6:O9)</f>
        <v>9520000</v>
      </c>
      <c r="Q10" s="528" t="s">
        <v>121</v>
      </c>
      <c r="R10" s="528"/>
      <c r="S10" s="528"/>
      <c r="T10" s="532">
        <f>+O18*T5</f>
        <v>5920000</v>
      </c>
      <c r="U10" s="528"/>
      <c r="W10" s="1" t="s">
        <v>36</v>
      </c>
      <c r="Z10" s="51">
        <f>+O7</f>
        <v>3500000</v>
      </c>
      <c r="AA10" s="173"/>
    </row>
    <row r="11" spans="1:27" x14ac:dyDescent="0.2">
      <c r="K11" s="171"/>
      <c r="L11" s="522"/>
      <c r="M11" s="522"/>
      <c r="N11" s="173"/>
      <c r="Q11" s="528" t="s">
        <v>123</v>
      </c>
      <c r="R11" s="528"/>
      <c r="S11" s="528"/>
      <c r="T11" s="532">
        <f>+U12-T10</f>
        <v>2080000</v>
      </c>
      <c r="U11" s="528"/>
      <c r="W11" s="1" t="s">
        <v>63</v>
      </c>
      <c r="Z11" s="51">
        <f>+O8</f>
        <v>1000000</v>
      </c>
      <c r="AA11" s="173"/>
    </row>
    <row r="12" spans="1:27" x14ac:dyDescent="0.2">
      <c r="K12" s="171" t="s">
        <v>65</v>
      </c>
      <c r="L12" s="522"/>
      <c r="M12" s="522"/>
      <c r="N12" s="172">
        <v>1700000</v>
      </c>
      <c r="O12" s="3">
        <v>3800000</v>
      </c>
      <c r="Q12" s="528" t="s">
        <v>19</v>
      </c>
      <c r="R12" s="528"/>
      <c r="S12" s="528"/>
      <c r="T12" s="528"/>
      <c r="U12" s="529">
        <f>+S6</f>
        <v>8000000</v>
      </c>
      <c r="W12" s="1" t="s">
        <v>118</v>
      </c>
      <c r="Z12" s="51">
        <f>+O9</f>
        <v>5000000</v>
      </c>
      <c r="AA12" s="172"/>
    </row>
    <row r="13" spans="1:27" x14ac:dyDescent="0.2">
      <c r="K13" s="192"/>
      <c r="L13" s="523"/>
      <c r="M13" s="523"/>
      <c r="N13" s="526">
        <f>+N10+N12</f>
        <v>6220000</v>
      </c>
      <c r="O13" s="293">
        <f>+O10+O12</f>
        <v>13320000</v>
      </c>
      <c r="W13" s="1" t="s">
        <v>123</v>
      </c>
      <c r="Z13" s="51">
        <f>+T11</f>
        <v>2080000</v>
      </c>
      <c r="AA13" s="173"/>
    </row>
    <row r="14" spans="1:27" x14ac:dyDescent="0.2">
      <c r="K14" s="171"/>
      <c r="L14" s="522"/>
      <c r="M14" s="522"/>
      <c r="N14" s="173"/>
      <c r="W14" s="1" t="s">
        <v>65</v>
      </c>
      <c r="Z14" s="51">
        <f>+O12</f>
        <v>3800000</v>
      </c>
      <c r="AA14" s="173"/>
    </row>
    <row r="15" spans="1:27" x14ac:dyDescent="0.2">
      <c r="K15" s="171" t="s">
        <v>106</v>
      </c>
      <c r="L15" s="522"/>
      <c r="M15" s="522"/>
      <c r="N15" s="172">
        <v>2500000</v>
      </c>
      <c r="O15" s="3">
        <v>2500000</v>
      </c>
      <c r="W15" s="1" t="s">
        <v>106</v>
      </c>
      <c r="AA15" s="172">
        <f>+O15</f>
        <v>2500000</v>
      </c>
    </row>
    <row r="16" spans="1:27" x14ac:dyDescent="0.2">
      <c r="K16" s="171" t="s">
        <v>115</v>
      </c>
      <c r="L16" s="522"/>
      <c r="M16" s="522"/>
      <c r="N16" s="172">
        <v>3000000</v>
      </c>
      <c r="O16" s="3">
        <v>4900000</v>
      </c>
      <c r="W16" s="1" t="s">
        <v>115</v>
      </c>
      <c r="AA16" s="172">
        <f>+O16</f>
        <v>4900000</v>
      </c>
    </row>
    <row r="17" spans="11:27" x14ac:dyDescent="0.2">
      <c r="K17" s="171"/>
      <c r="L17" s="522"/>
      <c r="M17" s="522"/>
      <c r="N17" s="525">
        <f>SUM(N15:N16)</f>
        <v>5500000</v>
      </c>
      <c r="O17" s="292">
        <f>SUM(O15:O16)</f>
        <v>7400000</v>
      </c>
      <c r="W17" s="1" t="s">
        <v>19</v>
      </c>
      <c r="AA17" s="172">
        <f>+S6</f>
        <v>8000000</v>
      </c>
    </row>
    <row r="18" spans="11:27" ht="15" thickBot="1" x14ac:dyDescent="0.25">
      <c r="K18" s="296" t="s">
        <v>117</v>
      </c>
      <c r="L18" s="297"/>
      <c r="M18" s="297"/>
      <c r="N18" s="527">
        <f>+N13-N17</f>
        <v>720000</v>
      </c>
      <c r="O18" s="298">
        <f>+O13-O17</f>
        <v>5920000</v>
      </c>
      <c r="P18" s="182"/>
      <c r="Q18" s="182"/>
      <c r="R18" s="182"/>
      <c r="S18" s="182"/>
      <c r="T18" s="294">
        <f>SUM(T10:T17)</f>
        <v>8000000</v>
      </c>
      <c r="U18" s="294">
        <f>SUM(U10:U17)</f>
        <v>8000000</v>
      </c>
      <c r="V18" s="182"/>
      <c r="W18" s="182"/>
      <c r="X18" s="182"/>
      <c r="Y18" s="182"/>
      <c r="Z18" s="294">
        <f>SUM(Z10:Z17)</f>
        <v>15380000</v>
      </c>
      <c r="AA18" s="295">
        <f>SUM(AA10:AA17)</f>
        <v>15400000</v>
      </c>
    </row>
    <row r="20" spans="11:27" x14ac:dyDescent="0.2">
      <c r="K20" s="528" t="s">
        <v>394</v>
      </c>
      <c r="L20" s="528"/>
      <c r="M20" s="528"/>
      <c r="N20" s="528"/>
      <c r="O20" s="528"/>
    </row>
    <row r="21" spans="11:27" x14ac:dyDescent="0.2">
      <c r="K21" s="528" t="s">
        <v>395</v>
      </c>
      <c r="L21" s="528"/>
      <c r="M21" s="528"/>
      <c r="N21" s="528"/>
      <c r="O21" s="528"/>
    </row>
    <row r="22" spans="11:27" x14ac:dyDescent="0.2">
      <c r="K22" s="528" t="s">
        <v>396</v>
      </c>
      <c r="L22" s="528"/>
      <c r="M22" s="528"/>
      <c r="N22" s="528"/>
      <c r="O22" s="528"/>
    </row>
    <row r="23" spans="11:27" x14ac:dyDescent="0.2">
      <c r="K23" s="528" t="s">
        <v>397</v>
      </c>
      <c r="L23" s="528"/>
      <c r="M23" s="528"/>
      <c r="N23" s="528"/>
      <c r="O23" s="528"/>
    </row>
    <row r="24" spans="11:27" x14ac:dyDescent="0.2">
      <c r="K24" s="528" t="s">
        <v>398</v>
      </c>
      <c r="L24" s="528"/>
      <c r="M24" s="528"/>
      <c r="N24" s="528"/>
      <c r="O24" s="528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D638-C410-4CF9-A3CA-B7DD72AB2A4F}">
  <sheetPr>
    <tabColor rgb="FF00B050"/>
  </sheetPr>
  <dimension ref="A1:T47"/>
  <sheetViews>
    <sheetView topLeftCell="I1" zoomScale="160" zoomScaleNormal="160" workbookViewId="0">
      <pane ySplit="1" topLeftCell="A17" activePane="bottomLeft" state="frozen"/>
      <selection pane="bottomLeft" activeCell="L26" sqref="L26"/>
    </sheetView>
  </sheetViews>
  <sheetFormatPr baseColWidth="10" defaultRowHeight="14.25" x14ac:dyDescent="0.2"/>
  <cols>
    <col min="1" max="16384" width="11.42578125" style="1"/>
  </cols>
  <sheetData>
    <row r="1" spans="1:17" s="57" customFormat="1" ht="25.5" x14ac:dyDescent="0.35">
      <c r="A1" s="57" t="s">
        <v>349</v>
      </c>
      <c r="K1" s="59"/>
    </row>
    <row r="2" spans="1:17" ht="15" thickBot="1" x14ac:dyDescent="0.25"/>
    <row r="3" spans="1:17" ht="18.75" x14ac:dyDescent="0.3">
      <c r="J3" s="308" t="s">
        <v>352</v>
      </c>
      <c r="K3" s="299"/>
      <c r="L3" s="299"/>
      <c r="M3" s="299"/>
      <c r="N3" s="299"/>
      <c r="O3" s="299"/>
      <c r="P3" s="299"/>
      <c r="Q3" s="300">
        <v>5000</v>
      </c>
    </row>
    <row r="4" spans="1:17" ht="18.75" x14ac:dyDescent="0.3">
      <c r="J4" s="309" t="s">
        <v>353</v>
      </c>
      <c r="K4" s="301"/>
      <c r="L4" s="301"/>
      <c r="M4" s="301"/>
      <c r="N4" s="301"/>
      <c r="O4" s="301"/>
      <c r="P4" s="301"/>
      <c r="Q4" s="302">
        <v>3000</v>
      </c>
    </row>
    <row r="5" spans="1:17" ht="18.75" x14ac:dyDescent="0.3">
      <c r="J5" s="309" t="s">
        <v>354</v>
      </c>
      <c r="K5" s="301"/>
      <c r="L5" s="301"/>
      <c r="M5" s="301"/>
      <c r="N5" s="301"/>
      <c r="O5" s="301"/>
      <c r="P5" s="301"/>
      <c r="Q5" s="302">
        <v>2500</v>
      </c>
    </row>
    <row r="6" spans="1:17" ht="18.75" x14ac:dyDescent="0.3">
      <c r="J6" s="309" t="s">
        <v>355</v>
      </c>
      <c r="K6" s="301"/>
      <c r="L6" s="301"/>
      <c r="M6" s="301"/>
      <c r="N6" s="301"/>
      <c r="O6" s="301"/>
      <c r="P6" s="301"/>
      <c r="Q6" s="302">
        <v>1200</v>
      </c>
    </row>
    <row r="7" spans="1:17" ht="18.75" x14ac:dyDescent="0.3">
      <c r="J7" s="309" t="s">
        <v>356</v>
      </c>
      <c r="K7" s="301"/>
      <c r="L7" s="301"/>
      <c r="M7" s="301"/>
      <c r="N7" s="301"/>
      <c r="O7" s="301"/>
      <c r="P7" s="301"/>
      <c r="Q7" s="303">
        <v>400</v>
      </c>
    </row>
    <row r="8" spans="1:17" ht="18.75" x14ac:dyDescent="0.3">
      <c r="J8" s="309" t="s">
        <v>357</v>
      </c>
      <c r="K8" s="301"/>
      <c r="L8" s="301"/>
      <c r="M8" s="301"/>
      <c r="N8" s="301"/>
      <c r="O8" s="301"/>
      <c r="P8" s="301"/>
      <c r="Q8" s="302">
        <v>1800</v>
      </c>
    </row>
    <row r="9" spans="1:17" ht="18.75" x14ac:dyDescent="0.3">
      <c r="J9" s="309" t="s">
        <v>350</v>
      </c>
      <c r="K9" s="301"/>
      <c r="L9" s="301"/>
      <c r="M9" s="301"/>
      <c r="N9" s="301"/>
      <c r="O9" s="301"/>
      <c r="P9" s="301"/>
      <c r="Q9" s="303"/>
    </row>
    <row r="10" spans="1:17" ht="18.75" x14ac:dyDescent="0.3">
      <c r="J10" s="309" t="s">
        <v>351</v>
      </c>
      <c r="K10" s="301"/>
      <c r="L10" s="301"/>
      <c r="M10" s="301"/>
      <c r="N10" s="301"/>
      <c r="O10" s="301"/>
      <c r="P10" s="301"/>
      <c r="Q10" s="303"/>
    </row>
    <row r="11" spans="1:17" ht="18.75" x14ac:dyDescent="0.3">
      <c r="J11" s="310" t="s">
        <v>358</v>
      </c>
      <c r="K11" s="304"/>
      <c r="L11" s="304"/>
      <c r="M11" s="304"/>
      <c r="N11" s="304"/>
      <c r="O11" s="304"/>
      <c r="P11" s="304"/>
      <c r="Q11" s="305">
        <v>3000</v>
      </c>
    </row>
    <row r="12" spans="1:17" ht="18.75" x14ac:dyDescent="0.3">
      <c r="J12" s="310" t="s">
        <v>359</v>
      </c>
      <c r="K12" s="304"/>
      <c r="L12" s="304"/>
      <c r="M12" s="304"/>
      <c r="N12" s="304"/>
      <c r="O12" s="304"/>
      <c r="P12" s="304"/>
      <c r="Q12" s="305">
        <v>2300</v>
      </c>
    </row>
    <row r="13" spans="1:17" ht="19.5" thickBot="1" x14ac:dyDescent="0.35">
      <c r="J13" s="311" t="s">
        <v>360</v>
      </c>
      <c r="K13" s="306"/>
      <c r="L13" s="306"/>
      <c r="M13" s="306"/>
      <c r="N13" s="306"/>
      <c r="O13" s="306"/>
      <c r="P13" s="306"/>
      <c r="Q13" s="307">
        <v>1140</v>
      </c>
    </row>
    <row r="14" spans="1:17" ht="19.5" thickBot="1" x14ac:dyDescent="0.35">
      <c r="J14" s="63"/>
      <c r="K14" s="63"/>
      <c r="L14" s="63"/>
      <c r="M14" s="63"/>
      <c r="N14" s="63"/>
      <c r="O14" s="63"/>
      <c r="P14" s="63"/>
      <c r="Q14" s="312">
        <f>SUM(Q3:Q13)</f>
        <v>20340</v>
      </c>
    </row>
    <row r="15" spans="1:17" ht="24.75" customHeight="1" x14ac:dyDescent="0.2"/>
    <row r="16" spans="1:17" ht="24.75" customHeight="1" x14ac:dyDescent="0.2"/>
    <row r="17" spans="10:17" ht="21" x14ac:dyDescent="0.35">
      <c r="J17" s="313" t="s">
        <v>364</v>
      </c>
      <c r="K17" s="314"/>
      <c r="L17" s="314"/>
      <c r="M17" s="314"/>
      <c r="N17" s="314"/>
      <c r="O17" s="314"/>
      <c r="P17" s="315" t="s">
        <v>7</v>
      </c>
      <c r="Q17" s="315" t="s">
        <v>8</v>
      </c>
    </row>
    <row r="18" spans="10:17" ht="21" x14ac:dyDescent="0.2">
      <c r="J18" s="316" t="s">
        <v>361</v>
      </c>
      <c r="K18" s="317"/>
      <c r="L18" s="317"/>
      <c r="M18" s="317"/>
      <c r="N18" s="317"/>
      <c r="O18" s="317"/>
      <c r="P18" s="318">
        <f>SUM(Q3:Q10)</f>
        <v>13900</v>
      </c>
      <c r="Q18" s="319"/>
    </row>
    <row r="19" spans="10:17" ht="21" x14ac:dyDescent="0.2">
      <c r="J19" s="316" t="s">
        <v>362</v>
      </c>
      <c r="K19" s="316"/>
      <c r="L19" s="316"/>
      <c r="M19" s="316"/>
      <c r="N19" s="316"/>
      <c r="O19" s="316"/>
      <c r="P19" s="318">
        <f>SUM(Q11:Q13)</f>
        <v>6440</v>
      </c>
      <c r="Q19" s="320"/>
    </row>
    <row r="20" spans="10:17" ht="21" x14ac:dyDescent="0.2">
      <c r="J20" s="316" t="s">
        <v>19</v>
      </c>
      <c r="K20" s="316"/>
      <c r="L20" s="316"/>
      <c r="M20" s="316"/>
      <c r="N20" s="316"/>
      <c r="O20" s="316"/>
      <c r="P20" s="321"/>
      <c r="Q20" s="318">
        <f>+Q14</f>
        <v>20340</v>
      </c>
    </row>
    <row r="21" spans="10:17" ht="21" x14ac:dyDescent="0.35">
      <c r="J21" s="280"/>
      <c r="K21" s="280"/>
      <c r="L21" s="280"/>
      <c r="M21" s="280"/>
      <c r="N21" s="280"/>
      <c r="O21" s="280"/>
      <c r="P21" s="280"/>
      <c r="Q21" s="280"/>
    </row>
    <row r="22" spans="10:17" ht="21" x14ac:dyDescent="0.35">
      <c r="J22" s="313" t="s">
        <v>365</v>
      </c>
      <c r="K22" s="314"/>
      <c r="L22" s="314"/>
      <c r="M22" s="314"/>
      <c r="N22" s="314"/>
      <c r="O22" s="314"/>
      <c r="P22" s="322" t="s">
        <v>7</v>
      </c>
      <c r="Q22" s="322" t="s">
        <v>8</v>
      </c>
    </row>
    <row r="23" spans="10:17" ht="21" x14ac:dyDescent="0.2">
      <c r="J23" s="533" t="s">
        <v>363</v>
      </c>
      <c r="K23" s="533"/>
      <c r="L23" s="533"/>
      <c r="M23" s="533"/>
      <c r="N23" s="533"/>
      <c r="O23" s="533"/>
      <c r="P23" s="534">
        <f>SUM(Q3:Q10)</f>
        <v>13900</v>
      </c>
      <c r="Q23" s="535"/>
    </row>
    <row r="24" spans="10:17" ht="21" x14ac:dyDescent="0.2">
      <c r="J24" s="316" t="s">
        <v>362</v>
      </c>
      <c r="K24" s="316"/>
      <c r="L24" s="316"/>
      <c r="M24" s="316"/>
      <c r="N24" s="316"/>
      <c r="O24" s="316"/>
      <c r="P24" s="318">
        <f>SUM(Q11:Q13)</f>
        <v>6440</v>
      </c>
      <c r="Q24" s="319"/>
    </row>
    <row r="25" spans="10:17" ht="21" x14ac:dyDescent="0.2">
      <c r="J25" s="316" t="s">
        <v>19</v>
      </c>
      <c r="K25" s="316"/>
      <c r="L25" s="316"/>
      <c r="M25" s="316"/>
      <c r="N25" s="316"/>
      <c r="O25" s="316"/>
      <c r="P25" s="321"/>
      <c r="Q25" s="318">
        <f>+Q14</f>
        <v>20340</v>
      </c>
    </row>
    <row r="28" spans="10:17" x14ac:dyDescent="0.2">
      <c r="J28" s="1" t="s">
        <v>366</v>
      </c>
    </row>
    <row r="42" spans="10:20" ht="15" thickBot="1" x14ac:dyDescent="0.25"/>
    <row r="43" spans="10:20" ht="19.5" thickBot="1" x14ac:dyDescent="0.35">
      <c r="J43" s="323" t="s">
        <v>367</v>
      </c>
      <c r="K43" s="324"/>
      <c r="L43" s="325"/>
      <c r="M43" s="325"/>
      <c r="N43" s="326"/>
    </row>
    <row r="44" spans="10:20" ht="21" x14ac:dyDescent="0.35">
      <c r="J44" s="327" t="s">
        <v>368</v>
      </c>
      <c r="K44"/>
      <c r="L44"/>
      <c r="M44"/>
      <c r="N44" s="48"/>
      <c r="P44" s="329" t="s">
        <v>372</v>
      </c>
      <c r="Q44" s="330"/>
      <c r="R44" s="330"/>
      <c r="S44" s="330"/>
      <c r="T44" s="331"/>
    </row>
    <row r="45" spans="10:20" ht="21" x14ac:dyDescent="0.35">
      <c r="J45" s="327" t="s">
        <v>369</v>
      </c>
      <c r="K45"/>
      <c r="L45"/>
      <c r="M45"/>
      <c r="N45" s="48"/>
      <c r="P45" s="332" t="s">
        <v>373</v>
      </c>
      <c r="Q45" s="147"/>
      <c r="R45" s="147"/>
      <c r="S45" s="147"/>
      <c r="T45" s="289"/>
    </row>
    <row r="46" spans="10:20" ht="21.75" thickBot="1" x14ac:dyDescent="0.4">
      <c r="J46" s="328" t="s">
        <v>370</v>
      </c>
      <c r="K46" s="50"/>
      <c r="L46" s="50"/>
      <c r="M46" s="50"/>
      <c r="N46" s="146"/>
      <c r="P46" s="332" t="s">
        <v>374</v>
      </c>
      <c r="Q46" s="147"/>
      <c r="R46" s="147"/>
      <c r="S46" s="147"/>
      <c r="T46" s="289"/>
    </row>
    <row r="47" spans="10:20" ht="18.75" thickBot="1" x14ac:dyDescent="0.3">
      <c r="P47" s="333" t="s">
        <v>371</v>
      </c>
      <c r="Q47" s="334"/>
      <c r="R47" s="334"/>
      <c r="S47" s="334"/>
      <c r="T47" s="33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6144-9340-4F4F-BFE5-956A0B06C274}">
  <sheetPr>
    <tabColor rgb="FF00B050"/>
  </sheetPr>
  <dimension ref="A1:T31"/>
  <sheetViews>
    <sheetView topLeftCell="I23" zoomScale="180" zoomScaleNormal="180" workbookViewId="0">
      <selection activeCell="O40" sqref="O40"/>
    </sheetView>
  </sheetViews>
  <sheetFormatPr baseColWidth="10" defaultRowHeight="14.25" x14ac:dyDescent="0.2"/>
  <cols>
    <col min="1" max="8" width="11.42578125" style="1"/>
    <col min="9" max="9" width="4" style="1" customWidth="1"/>
    <col min="10" max="10" width="11.42578125" style="1"/>
    <col min="11" max="11" width="4.85546875" style="1" customWidth="1"/>
    <col min="12" max="12" width="10.85546875" style="1" bestFit="1" customWidth="1"/>
    <col min="13" max="13" width="9.5703125" style="1" bestFit="1" customWidth="1"/>
    <col min="14" max="14" width="8.5703125" style="1" bestFit="1" customWidth="1"/>
    <col min="15" max="15" width="10.85546875" style="1" bestFit="1" customWidth="1"/>
    <col min="16" max="19" width="11.42578125" style="1"/>
    <col min="20" max="20" width="0.28515625" style="1" customWidth="1"/>
    <col min="21" max="16384" width="11.42578125" style="1"/>
  </cols>
  <sheetData>
    <row r="1" spans="1:13" s="57" customFormat="1" ht="25.5" x14ac:dyDescent="0.35">
      <c r="A1" s="57" t="s">
        <v>375</v>
      </c>
      <c r="K1" s="59"/>
    </row>
    <row r="3" spans="1:13" x14ac:dyDescent="0.2">
      <c r="I3" s="16" t="s">
        <v>27</v>
      </c>
      <c r="J3" s="16"/>
      <c r="K3" s="16"/>
      <c r="L3" s="16"/>
    </row>
    <row r="4" spans="1:13" x14ac:dyDescent="0.2">
      <c r="I4" s="15"/>
      <c r="J4" s="13"/>
      <c r="K4" s="13"/>
      <c r="L4" s="14" t="s">
        <v>23</v>
      </c>
    </row>
    <row r="5" spans="1:13" x14ac:dyDescent="0.2">
      <c r="I5" s="15"/>
      <c r="J5" s="1" t="s">
        <v>22</v>
      </c>
      <c r="L5" s="3">
        <v>300000</v>
      </c>
      <c r="M5" s="536" t="s">
        <v>400</v>
      </c>
    </row>
    <row r="6" spans="1:13" x14ac:dyDescent="0.2">
      <c r="I6" s="15"/>
      <c r="J6" s="528" t="s">
        <v>24</v>
      </c>
      <c r="K6" s="528"/>
      <c r="L6" s="529">
        <v>0</v>
      </c>
      <c r="M6" s="536" t="s">
        <v>401</v>
      </c>
    </row>
    <row r="7" spans="1:13" x14ac:dyDescent="0.2">
      <c r="I7" s="15"/>
      <c r="J7" s="528" t="s">
        <v>25</v>
      </c>
      <c r="K7" s="528"/>
      <c r="L7" s="529">
        <v>0</v>
      </c>
      <c r="M7" s="536" t="s">
        <v>402</v>
      </c>
    </row>
    <row r="8" spans="1:13" x14ac:dyDescent="0.2">
      <c r="I8" s="15"/>
      <c r="J8" s="528" t="s">
        <v>399</v>
      </c>
      <c r="K8" s="528"/>
      <c r="L8" s="529">
        <v>0</v>
      </c>
      <c r="M8" s="536" t="s">
        <v>403</v>
      </c>
    </row>
    <row r="9" spans="1:13" x14ac:dyDescent="0.2">
      <c r="I9" s="15"/>
      <c r="J9" s="11"/>
      <c r="K9" s="11"/>
      <c r="L9" s="12">
        <f>SUM(L5:L8)</f>
        <v>300000</v>
      </c>
    </row>
    <row r="10" spans="1:13" x14ac:dyDescent="0.2">
      <c r="L10" s="12">
        <v>40</v>
      </c>
    </row>
    <row r="11" spans="1:13" x14ac:dyDescent="0.2">
      <c r="L11" s="12">
        <f>+L9*L10</f>
        <v>12000000</v>
      </c>
    </row>
    <row r="14" spans="1:13" x14ac:dyDescent="0.2">
      <c r="M14" s="3"/>
    </row>
    <row r="25" spans="9:20" x14ac:dyDescent="0.2">
      <c r="I25" s="16" t="s">
        <v>28</v>
      </c>
      <c r="J25" s="16"/>
      <c r="K25" s="16"/>
      <c r="L25" s="14" t="s">
        <v>29</v>
      </c>
      <c r="M25" s="14"/>
      <c r="N25" s="14" t="s">
        <v>35</v>
      </c>
      <c r="O25" s="14" t="s">
        <v>404</v>
      </c>
      <c r="P25" s="10"/>
      <c r="Q25" s="10"/>
      <c r="R25" s="10"/>
      <c r="S25" s="10"/>
      <c r="T25" s="10"/>
    </row>
    <row r="26" spans="9:20" x14ac:dyDescent="0.2">
      <c r="I26" s="15"/>
      <c r="J26" s="13"/>
      <c r="K26" s="13"/>
      <c r="L26" s="14" t="s">
        <v>23</v>
      </c>
      <c r="M26" s="14" t="s">
        <v>30</v>
      </c>
      <c r="N26" s="14" t="s">
        <v>23</v>
      </c>
      <c r="O26" s="14" t="s">
        <v>23</v>
      </c>
      <c r="P26" s="18" t="s">
        <v>31</v>
      </c>
      <c r="Q26" s="10"/>
      <c r="R26" s="10"/>
      <c r="S26" s="10"/>
      <c r="T26" s="10"/>
    </row>
    <row r="27" spans="9:20" x14ac:dyDescent="0.2">
      <c r="I27" s="15"/>
      <c r="J27" s="537" t="s">
        <v>22</v>
      </c>
      <c r="K27" s="537"/>
      <c r="L27" s="538">
        <v>300000</v>
      </c>
      <c r="M27" s="539">
        <f>+L27/$L$31</f>
        <v>0.98522167487684731</v>
      </c>
      <c r="N27" s="538">
        <f>+M27*$L$9</f>
        <v>295566.5024630542</v>
      </c>
      <c r="O27" s="538">
        <f>+N27*40</f>
        <v>11822660.098522168</v>
      </c>
      <c r="P27" s="537" t="s">
        <v>32</v>
      </c>
      <c r="Q27" s="537"/>
      <c r="R27" s="537"/>
      <c r="S27" s="537"/>
    </row>
    <row r="28" spans="9:20" x14ac:dyDescent="0.2">
      <c r="I28" s="15"/>
      <c r="J28" s="537" t="s">
        <v>24</v>
      </c>
      <c r="K28" s="537"/>
      <c r="L28" s="538">
        <v>1500</v>
      </c>
      <c r="M28" s="539">
        <f>+L28/$L$31</f>
        <v>4.9261083743842365E-3</v>
      </c>
      <c r="N28" s="538">
        <f>+M28*$L$9</f>
        <v>1477.8325123152711</v>
      </c>
      <c r="O28" s="538">
        <f>+N28*40</f>
        <v>59113.300492610841</v>
      </c>
      <c r="P28" s="537" t="s">
        <v>33</v>
      </c>
      <c r="Q28" s="537"/>
      <c r="R28" s="537"/>
      <c r="S28" s="537"/>
    </row>
    <row r="29" spans="9:20" x14ac:dyDescent="0.2">
      <c r="I29" s="15"/>
      <c r="J29" s="537" t="s">
        <v>25</v>
      </c>
      <c r="K29" s="537"/>
      <c r="L29" s="538">
        <v>600</v>
      </c>
      <c r="M29" s="539">
        <f>+L29/$L$31</f>
        <v>1.9704433497536944E-3</v>
      </c>
      <c r="N29" s="538">
        <f>+M29*$L$9</f>
        <v>591.13300492610836</v>
      </c>
      <c r="O29" s="538">
        <f>+N29*40</f>
        <v>23645.320197044333</v>
      </c>
      <c r="P29" s="537" t="s">
        <v>33</v>
      </c>
      <c r="Q29" s="537"/>
      <c r="R29" s="537"/>
      <c r="S29" s="537"/>
    </row>
    <row r="30" spans="9:20" x14ac:dyDescent="0.2">
      <c r="I30" s="15"/>
      <c r="J30" s="537" t="s">
        <v>26</v>
      </c>
      <c r="K30" s="537"/>
      <c r="L30" s="538">
        <v>2400</v>
      </c>
      <c r="M30" s="539">
        <f>+L30/$L$31</f>
        <v>7.8817733990147777E-3</v>
      </c>
      <c r="N30" s="538">
        <f>+M30*$L$9</f>
        <v>2364.5320197044334</v>
      </c>
      <c r="O30" s="538">
        <f>+N30*40</f>
        <v>94581.280788177333</v>
      </c>
      <c r="P30" s="537" t="s">
        <v>34</v>
      </c>
      <c r="Q30" s="537"/>
      <c r="R30" s="537"/>
      <c r="S30" s="537"/>
    </row>
    <row r="31" spans="9:20" x14ac:dyDescent="0.2">
      <c r="I31" s="15"/>
      <c r="J31" s="11"/>
      <c r="K31" s="11"/>
      <c r="L31" s="12">
        <f>SUM(L27:L30)</f>
        <v>304500</v>
      </c>
      <c r="M31" s="17">
        <f>+L31/$L$31</f>
        <v>1</v>
      </c>
      <c r="N31" s="12">
        <f>SUM(N27:N30)</f>
        <v>299999.99999999994</v>
      </c>
      <c r="O31" s="12">
        <f>SUM(O27:O30)</f>
        <v>12000000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921E-E6C4-465A-A40E-095A40A239D3}">
  <sheetPr>
    <tabColor rgb="FF00B050"/>
  </sheetPr>
  <dimension ref="A1:AD29"/>
  <sheetViews>
    <sheetView tabSelected="1" topLeftCell="U1" zoomScale="175" zoomScaleNormal="175" workbookViewId="0">
      <selection activeCell="U7" sqref="U7"/>
    </sheetView>
  </sheetViews>
  <sheetFormatPr baseColWidth="10" defaultRowHeight="14.25" x14ac:dyDescent="0.2"/>
  <cols>
    <col min="1" max="7" width="11.42578125" style="1"/>
    <col min="8" max="8" width="12.28515625" style="1" customWidth="1"/>
    <col min="9" max="9" width="8" style="1" customWidth="1"/>
    <col min="10" max="11" width="11.42578125" style="1"/>
    <col min="12" max="12" width="2.140625" style="1" customWidth="1"/>
    <col min="13" max="13" width="11.42578125" style="1"/>
    <col min="14" max="14" width="14.28515625" style="1" customWidth="1"/>
    <col min="15" max="16" width="11.42578125" style="1"/>
    <col min="17" max="17" width="2.7109375" style="1" customWidth="1"/>
    <col min="18" max="19" width="11.42578125" style="1"/>
    <col min="20" max="20" width="11.42578125" style="1" customWidth="1"/>
    <col min="21" max="21" width="1.140625" style="1" customWidth="1"/>
    <col min="22" max="25" width="11.42578125" style="1"/>
    <col min="26" max="26" width="2.28515625" style="1" customWidth="1"/>
    <col min="27" max="16384" width="11.42578125" style="1"/>
  </cols>
  <sheetData>
    <row r="1" spans="1:30" s="57" customFormat="1" ht="25.5" x14ac:dyDescent="0.35">
      <c r="A1" s="57" t="s">
        <v>129</v>
      </c>
      <c r="K1" s="59" t="s">
        <v>107</v>
      </c>
    </row>
    <row r="3" spans="1:30" x14ac:dyDescent="0.2">
      <c r="I3" s="4" t="s">
        <v>0</v>
      </c>
      <c r="J3" s="4"/>
      <c r="K3" s="4"/>
      <c r="M3" s="9" t="s">
        <v>21</v>
      </c>
      <c r="N3" s="8"/>
      <c r="O3" s="10" t="s">
        <v>7</v>
      </c>
      <c r="P3" s="10" t="s">
        <v>8</v>
      </c>
    </row>
    <row r="4" spans="1:30" x14ac:dyDescent="0.2">
      <c r="I4" s="4" t="s">
        <v>2</v>
      </c>
      <c r="J4" s="540">
        <v>0.01</v>
      </c>
      <c r="K4" s="5" t="s">
        <v>4</v>
      </c>
      <c r="M4" s="11" t="s">
        <v>5</v>
      </c>
      <c r="N4" s="11"/>
      <c r="O4" s="12">
        <f>+K5</f>
        <v>85823.284520816494</v>
      </c>
      <c r="P4" s="11"/>
      <c r="R4" s="1" t="s">
        <v>13</v>
      </c>
      <c r="V4" s="1" t="s">
        <v>14</v>
      </c>
    </row>
    <row r="5" spans="1:30" x14ac:dyDescent="0.2">
      <c r="I5" s="4" t="s">
        <v>3</v>
      </c>
      <c r="J5" s="5" t="s">
        <v>1</v>
      </c>
      <c r="K5" s="7">
        <f>SUM(K6:K29)</f>
        <v>85823.284520816494</v>
      </c>
      <c r="M5" s="11" t="s">
        <v>6</v>
      </c>
      <c r="N5" s="11"/>
      <c r="O5" s="11"/>
      <c r="P5" s="12">
        <f>+O4</f>
        <v>85823.284520816494</v>
      </c>
      <c r="R5" s="6" t="s">
        <v>9</v>
      </c>
      <c r="S5" s="6" t="s">
        <v>10</v>
      </c>
      <c r="T5" s="6" t="s">
        <v>11</v>
      </c>
      <c r="V5" s="6" t="s">
        <v>9</v>
      </c>
      <c r="W5" s="6" t="s">
        <v>16</v>
      </c>
      <c r="X5" s="6" t="s">
        <v>15</v>
      </c>
      <c r="Y5" s="6" t="s">
        <v>11</v>
      </c>
      <c r="AA5" s="9" t="s">
        <v>17</v>
      </c>
      <c r="AB5" s="8"/>
      <c r="AC5" s="10" t="s">
        <v>7</v>
      </c>
      <c r="AD5" s="10" t="s">
        <v>8</v>
      </c>
    </row>
    <row r="6" spans="1:30" x14ac:dyDescent="0.2">
      <c r="I6" s="11">
        <v>1</v>
      </c>
      <c r="J6" s="12">
        <v>4000</v>
      </c>
      <c r="K6" s="3">
        <f>J6/(1+$J$4)^(I6-1)</f>
        <v>4000</v>
      </c>
      <c r="R6" s="3">
        <v>0</v>
      </c>
      <c r="S6" s="3">
        <f>+$P$7</f>
        <v>3575.9701883673538</v>
      </c>
      <c r="T6" s="3">
        <f>SUM(R6:S6)</f>
        <v>3575.9701883673538</v>
      </c>
      <c r="V6" s="12">
        <f>+P5</f>
        <v>85823.284520816494</v>
      </c>
      <c r="W6" s="12">
        <f t="shared" ref="W6:W29" si="0">-J6</f>
        <v>-4000</v>
      </c>
      <c r="X6" s="12">
        <f>(V6+W6)*$J$4</f>
        <v>818.23284520816492</v>
      </c>
      <c r="Y6" s="12">
        <f>+V6+W6+X6</f>
        <v>82641.517366024666</v>
      </c>
      <c r="AA6" s="1" t="s">
        <v>20</v>
      </c>
      <c r="AC6" s="3">
        <f>+X6</f>
        <v>818.23284520816492</v>
      </c>
    </row>
    <row r="7" spans="1:30" x14ac:dyDescent="0.2">
      <c r="I7" s="11">
        <f>+I6+1</f>
        <v>2</v>
      </c>
      <c r="J7" s="12">
        <v>4000</v>
      </c>
      <c r="K7" s="3">
        <f>J7/(1+$J$4)^(I7-1)</f>
        <v>3960.3960396039602</v>
      </c>
      <c r="M7" s="11" t="s">
        <v>12</v>
      </c>
      <c r="N7" s="11"/>
      <c r="O7" s="11"/>
      <c r="P7" s="12">
        <f>+O4/I29</f>
        <v>3575.9701883673538</v>
      </c>
      <c r="R7" s="3">
        <f>+T6</f>
        <v>3575.9701883673538</v>
      </c>
      <c r="S7" s="3">
        <f t="shared" ref="S7:S29" si="1">+$P$7</f>
        <v>3575.9701883673538</v>
      </c>
      <c r="T7" s="3">
        <f>SUM(R7:S7)</f>
        <v>7151.9403767347076</v>
      </c>
      <c r="V7" s="12">
        <f>+Y6</f>
        <v>82641.517366024666</v>
      </c>
      <c r="W7" s="12">
        <f t="shared" si="0"/>
        <v>-4000</v>
      </c>
      <c r="X7" s="12">
        <f t="shared" ref="X7:X29" si="2">(V7+W7)*$J$4</f>
        <v>786.41517366024664</v>
      </c>
      <c r="Y7" s="12">
        <f>+V7+W7+X7</f>
        <v>79427.932539684916</v>
      </c>
      <c r="AA7" s="1" t="s">
        <v>6</v>
      </c>
      <c r="AC7" s="3">
        <f>+AD8-AC6</f>
        <v>3181.7671547918353</v>
      </c>
    </row>
    <row r="8" spans="1:30" x14ac:dyDescent="0.2">
      <c r="I8" s="11">
        <f t="shared" ref="I8:I26" si="3">+I7+1</f>
        <v>3</v>
      </c>
      <c r="J8" s="12">
        <v>4000</v>
      </c>
      <c r="K8" s="3">
        <f>J8/(1+$J$4)^(I8-1)</f>
        <v>3921.1841976276837</v>
      </c>
      <c r="R8" s="3">
        <f t="shared" ref="R8:R29" si="4">+T7</f>
        <v>7151.9403767347076</v>
      </c>
      <c r="S8" s="3">
        <f t="shared" si="1"/>
        <v>3575.9701883673538</v>
      </c>
      <c r="T8" s="3">
        <f>SUM(R8:S8)</f>
        <v>10727.910565102062</v>
      </c>
      <c r="V8" s="12">
        <f t="shared" ref="V8:V29" si="5">+Y7</f>
        <v>79427.932539684916</v>
      </c>
      <c r="W8" s="12">
        <f t="shared" si="0"/>
        <v>-4000</v>
      </c>
      <c r="X8" s="12">
        <f t="shared" si="2"/>
        <v>754.27932539684923</v>
      </c>
      <c r="Y8" s="12">
        <f t="shared" ref="Y8:Y29" si="6">+V8+W8+X8</f>
        <v>76182.211865081772</v>
      </c>
      <c r="AA8" s="1" t="s">
        <v>19</v>
      </c>
      <c r="AD8" s="3">
        <f>-W6</f>
        <v>4000</v>
      </c>
    </row>
    <row r="9" spans="1:30" x14ac:dyDescent="0.2">
      <c r="I9" s="11">
        <f t="shared" si="3"/>
        <v>4</v>
      </c>
      <c r="J9" s="12">
        <v>4000</v>
      </c>
      <c r="K9" s="3">
        <f>J9/(1+$J$4)^(I9-1)</f>
        <v>3882.3605917105783</v>
      </c>
      <c r="M9" s="9" t="s">
        <v>17</v>
      </c>
      <c r="N9" s="8"/>
      <c r="O9" s="10" t="s">
        <v>7</v>
      </c>
      <c r="P9" s="10" t="s">
        <v>8</v>
      </c>
      <c r="R9" s="3">
        <f t="shared" si="4"/>
        <v>10727.910565102062</v>
      </c>
      <c r="S9" s="3">
        <f t="shared" si="1"/>
        <v>3575.9701883673538</v>
      </c>
      <c r="T9" s="3">
        <f>SUM(R9:S9)</f>
        <v>14303.880753469415</v>
      </c>
      <c r="V9" s="3">
        <f t="shared" si="5"/>
        <v>76182.211865081772</v>
      </c>
      <c r="W9" s="12">
        <f t="shared" si="0"/>
        <v>-4000</v>
      </c>
      <c r="X9" s="3">
        <f t="shared" si="2"/>
        <v>721.82211865081774</v>
      </c>
      <c r="Y9" s="3">
        <f t="shared" si="6"/>
        <v>72904.033983732588</v>
      </c>
    </row>
    <row r="10" spans="1:30" x14ac:dyDescent="0.2">
      <c r="I10" s="11">
        <f t="shared" si="3"/>
        <v>5</v>
      </c>
      <c r="J10" s="12">
        <v>4000</v>
      </c>
      <c r="K10" s="3">
        <f>J10/(1+$J$4)^(I10-1)</f>
        <v>3843.9213779312649</v>
      </c>
      <c r="M10" s="11" t="s">
        <v>18</v>
      </c>
      <c r="N10" s="11"/>
      <c r="O10" s="12">
        <f>+S6</f>
        <v>3575.9701883673538</v>
      </c>
      <c r="P10" s="11"/>
      <c r="R10" s="3">
        <f t="shared" si="4"/>
        <v>14303.880753469415</v>
      </c>
      <c r="S10" s="3">
        <f t="shared" si="1"/>
        <v>3575.9701883673538</v>
      </c>
      <c r="T10" s="3">
        <f>SUM(R10:S10)</f>
        <v>17879.850941836768</v>
      </c>
      <c r="V10" s="3">
        <f t="shared" si="5"/>
        <v>72904.033983732588</v>
      </c>
      <c r="W10" s="12">
        <f t="shared" si="0"/>
        <v>-4000</v>
      </c>
      <c r="X10" s="3">
        <f t="shared" si="2"/>
        <v>689.04033983732586</v>
      </c>
      <c r="Y10" s="3">
        <f t="shared" si="6"/>
        <v>69593.074323569919</v>
      </c>
      <c r="AA10" s="9" t="s">
        <v>405</v>
      </c>
      <c r="AB10" s="8"/>
      <c r="AC10" s="10" t="s">
        <v>7</v>
      </c>
      <c r="AD10" s="10" t="s">
        <v>8</v>
      </c>
    </row>
    <row r="11" spans="1:30" x14ac:dyDescent="0.2">
      <c r="I11" s="11">
        <f t="shared" si="3"/>
        <v>6</v>
      </c>
      <c r="J11" s="12">
        <v>4000</v>
      </c>
      <c r="K11" s="3">
        <f>J11/(1+$J$4)^(I11-1)</f>
        <v>3805.8627504269953</v>
      </c>
      <c r="M11" s="11" t="s">
        <v>13</v>
      </c>
      <c r="N11" s="11"/>
      <c r="O11" s="11"/>
      <c r="P11" s="12">
        <f>+O10</f>
        <v>3575.9701883673538</v>
      </c>
      <c r="R11" s="3">
        <f t="shared" si="4"/>
        <v>17879.850941836768</v>
      </c>
      <c r="S11" s="3">
        <f t="shared" si="1"/>
        <v>3575.9701883673538</v>
      </c>
      <c r="T11" s="3">
        <f>SUM(R11:S11)</f>
        <v>21455.821130204124</v>
      </c>
      <c r="V11" s="3">
        <f t="shared" si="5"/>
        <v>69593.074323569919</v>
      </c>
      <c r="W11" s="12">
        <f t="shared" si="0"/>
        <v>-4000</v>
      </c>
      <c r="X11" s="3">
        <f t="shared" si="2"/>
        <v>655.9307432356992</v>
      </c>
      <c r="Y11" s="3">
        <f t="shared" si="6"/>
        <v>66249.005066805621</v>
      </c>
      <c r="AA11" s="1" t="s">
        <v>20</v>
      </c>
      <c r="AC11" s="3">
        <f>+X7</f>
        <v>786.41517366024664</v>
      </c>
    </row>
    <row r="12" spans="1:30" x14ac:dyDescent="0.2">
      <c r="I12" s="11">
        <f t="shared" si="3"/>
        <v>7</v>
      </c>
      <c r="J12" s="12">
        <v>4000</v>
      </c>
      <c r="K12" s="3">
        <f>J12/(1+$J$4)^(I12-1)</f>
        <v>3768.1809410168266</v>
      </c>
      <c r="R12" s="3">
        <f t="shared" si="4"/>
        <v>21455.821130204124</v>
      </c>
      <c r="S12" s="3">
        <f t="shared" si="1"/>
        <v>3575.9701883673538</v>
      </c>
      <c r="T12" s="3">
        <f>SUM(R12:S12)</f>
        <v>25031.791318571479</v>
      </c>
      <c r="V12" s="3">
        <f t="shared" si="5"/>
        <v>66249.005066805621</v>
      </c>
      <c r="W12" s="12">
        <f t="shared" si="0"/>
        <v>-4000</v>
      </c>
      <c r="X12" s="3">
        <f t="shared" si="2"/>
        <v>622.49005066805626</v>
      </c>
      <c r="Y12" s="3">
        <f t="shared" si="6"/>
        <v>62871.495117473678</v>
      </c>
      <c r="AA12" s="1" t="s">
        <v>6</v>
      </c>
      <c r="AC12" s="3">
        <f>+AD13-AC11</f>
        <v>3213.5848263397534</v>
      </c>
    </row>
    <row r="13" spans="1:30" x14ac:dyDescent="0.2">
      <c r="I13" s="11">
        <f t="shared" si="3"/>
        <v>8</v>
      </c>
      <c r="J13" s="12">
        <v>4000</v>
      </c>
      <c r="K13" s="3">
        <f>J13/(1+$J$4)^(I13-1)</f>
        <v>3730.8722188285419</v>
      </c>
      <c r="R13" s="3">
        <f t="shared" si="4"/>
        <v>25031.791318571479</v>
      </c>
      <c r="S13" s="3">
        <f t="shared" si="1"/>
        <v>3575.9701883673538</v>
      </c>
      <c r="T13" s="3">
        <f>SUM(R13:S13)</f>
        <v>28607.761506938834</v>
      </c>
      <c r="V13" s="3">
        <f t="shared" si="5"/>
        <v>62871.495117473678</v>
      </c>
      <c r="W13" s="12">
        <f t="shared" si="0"/>
        <v>-4000</v>
      </c>
      <c r="X13" s="3">
        <f t="shared" si="2"/>
        <v>588.71495117473683</v>
      </c>
      <c r="Y13" s="3">
        <f t="shared" si="6"/>
        <v>59460.210068648412</v>
      </c>
      <c r="AA13" s="1" t="s">
        <v>19</v>
      </c>
      <c r="AD13" s="3">
        <f>-+W7</f>
        <v>4000</v>
      </c>
    </row>
    <row r="14" spans="1:30" x14ac:dyDescent="0.2">
      <c r="I14" s="11">
        <f t="shared" si="3"/>
        <v>9</v>
      </c>
      <c r="J14" s="12">
        <v>4000</v>
      </c>
      <c r="K14" s="3">
        <f>J14/(1+$J$4)^(I14-1)</f>
        <v>3693.9328899292486</v>
      </c>
      <c r="R14" s="3">
        <f t="shared" si="4"/>
        <v>28607.761506938834</v>
      </c>
      <c r="S14" s="3">
        <f t="shared" si="1"/>
        <v>3575.9701883673538</v>
      </c>
      <c r="T14" s="3">
        <f>SUM(R14:S14)</f>
        <v>32183.731695306189</v>
      </c>
      <c r="V14" s="3">
        <f t="shared" si="5"/>
        <v>59460.210068648412</v>
      </c>
      <c r="W14" s="12">
        <f t="shared" si="0"/>
        <v>-4000</v>
      </c>
      <c r="X14" s="3">
        <f t="shared" si="2"/>
        <v>554.60210068648416</v>
      </c>
      <c r="Y14" s="3">
        <f t="shared" si="6"/>
        <v>56014.812169334895</v>
      </c>
    </row>
    <row r="15" spans="1:30" x14ac:dyDescent="0.2">
      <c r="I15" s="11">
        <f t="shared" si="3"/>
        <v>10</v>
      </c>
      <c r="J15" s="12">
        <v>4000</v>
      </c>
      <c r="K15" s="3">
        <f>J15/(1+$J$4)^(I15-1)</f>
        <v>3657.3592969596516</v>
      </c>
      <c r="R15" s="3">
        <f t="shared" si="4"/>
        <v>32183.731695306189</v>
      </c>
      <c r="S15" s="3">
        <f t="shared" si="1"/>
        <v>3575.9701883673538</v>
      </c>
      <c r="T15" s="3">
        <f t="shared" ref="T8:T29" si="7">SUM(R15:S15)</f>
        <v>35759.701883673544</v>
      </c>
      <c r="V15" s="3">
        <f t="shared" si="5"/>
        <v>56014.812169334895</v>
      </c>
      <c r="W15" s="12">
        <f t="shared" si="0"/>
        <v>-4000</v>
      </c>
      <c r="X15" s="3">
        <f t="shared" si="2"/>
        <v>520.14812169334891</v>
      </c>
      <c r="Y15" s="3">
        <f t="shared" si="6"/>
        <v>52534.960291028241</v>
      </c>
    </row>
    <row r="16" spans="1:30" x14ac:dyDescent="0.2">
      <c r="I16" s="11">
        <f t="shared" si="3"/>
        <v>11</v>
      </c>
      <c r="J16" s="12">
        <v>4000</v>
      </c>
      <c r="K16" s="3">
        <f>J16/(1+$J$4)^(I16-1)</f>
        <v>3621.1478187719322</v>
      </c>
      <c r="R16" s="3">
        <f t="shared" si="4"/>
        <v>35759.701883673544</v>
      </c>
      <c r="S16" s="3">
        <f t="shared" si="1"/>
        <v>3575.9701883673538</v>
      </c>
      <c r="T16" s="3">
        <f t="shared" si="7"/>
        <v>39335.672072040899</v>
      </c>
      <c r="V16" s="3">
        <f t="shared" si="5"/>
        <v>52534.960291028241</v>
      </c>
      <c r="W16" s="12">
        <f t="shared" si="0"/>
        <v>-4000</v>
      </c>
      <c r="X16" s="3">
        <f t="shared" si="2"/>
        <v>485.34960291028244</v>
      </c>
      <c r="Y16" s="3">
        <f t="shared" si="6"/>
        <v>49020.309893938524</v>
      </c>
    </row>
    <row r="17" spans="9:25" x14ac:dyDescent="0.2">
      <c r="I17" s="11">
        <f t="shared" si="3"/>
        <v>12</v>
      </c>
      <c r="J17" s="12">
        <v>4000</v>
      </c>
      <c r="K17" s="3">
        <f>J17/(1+$J$4)^(I17-1)</f>
        <v>3585.2948700712209</v>
      </c>
      <c r="R17" s="3">
        <f t="shared" si="4"/>
        <v>39335.672072040899</v>
      </c>
      <c r="S17" s="3">
        <f t="shared" si="1"/>
        <v>3575.9701883673538</v>
      </c>
      <c r="T17" s="3">
        <f t="shared" si="7"/>
        <v>42911.642260408255</v>
      </c>
      <c r="V17" s="3">
        <f t="shared" si="5"/>
        <v>49020.309893938524</v>
      </c>
      <c r="W17" s="12">
        <f t="shared" si="0"/>
        <v>-4000</v>
      </c>
      <c r="X17" s="3">
        <f t="shared" si="2"/>
        <v>450.20309893938526</v>
      </c>
      <c r="Y17" s="3">
        <f t="shared" si="6"/>
        <v>45470.512992877906</v>
      </c>
    </row>
    <row r="18" spans="9:25" x14ac:dyDescent="0.2">
      <c r="I18" s="11">
        <f t="shared" si="3"/>
        <v>13</v>
      </c>
      <c r="J18" s="12">
        <v>4000</v>
      </c>
      <c r="K18" s="3">
        <f>J18/(1+$J$4)^(I18-1)</f>
        <v>3549.7969010606148</v>
      </c>
      <c r="R18" s="3">
        <f t="shared" si="4"/>
        <v>42911.642260408255</v>
      </c>
      <c r="S18" s="3">
        <f t="shared" si="1"/>
        <v>3575.9701883673538</v>
      </c>
      <c r="T18" s="3">
        <f t="shared" si="7"/>
        <v>46487.61244877561</v>
      </c>
      <c r="V18" s="3">
        <f t="shared" si="5"/>
        <v>45470.512992877906</v>
      </c>
      <c r="W18" s="12">
        <f t="shared" si="0"/>
        <v>-4000</v>
      </c>
      <c r="X18" s="3">
        <f t="shared" si="2"/>
        <v>414.70512992877906</v>
      </c>
      <c r="Y18" s="3">
        <f t="shared" si="6"/>
        <v>41885.218122806684</v>
      </c>
    </row>
    <row r="19" spans="9:25" x14ac:dyDescent="0.2">
      <c r="I19" s="11">
        <f t="shared" si="3"/>
        <v>14</v>
      </c>
      <c r="J19" s="12">
        <v>4000</v>
      </c>
      <c r="K19" s="3">
        <f>J19/(1+$J$4)^(I19-1)</f>
        <v>3514.6503970897174</v>
      </c>
      <c r="R19" s="3">
        <f t="shared" si="4"/>
        <v>46487.61244877561</v>
      </c>
      <c r="S19" s="3">
        <f t="shared" si="1"/>
        <v>3575.9701883673538</v>
      </c>
      <c r="T19" s="3">
        <f t="shared" si="7"/>
        <v>50063.582637142965</v>
      </c>
      <c r="V19" s="3">
        <f t="shared" si="5"/>
        <v>41885.218122806684</v>
      </c>
      <c r="W19" s="12">
        <f t="shared" si="0"/>
        <v>-4000</v>
      </c>
      <c r="X19" s="3">
        <f t="shared" si="2"/>
        <v>378.85218122806685</v>
      </c>
      <c r="Y19" s="3">
        <f t="shared" si="6"/>
        <v>38264.070304034751</v>
      </c>
    </row>
    <row r="20" spans="9:25" x14ac:dyDescent="0.2">
      <c r="I20" s="11">
        <f t="shared" si="3"/>
        <v>15</v>
      </c>
      <c r="J20" s="12">
        <v>4000</v>
      </c>
      <c r="K20" s="3">
        <f>J20/(1+$J$4)^(I20-1)</f>
        <v>3479.8518783066502</v>
      </c>
      <c r="R20" s="3">
        <f t="shared" si="4"/>
        <v>50063.582637142965</v>
      </c>
      <c r="S20" s="3">
        <f t="shared" si="1"/>
        <v>3575.9701883673538</v>
      </c>
      <c r="T20" s="3">
        <f t="shared" si="7"/>
        <v>53639.55282551032</v>
      </c>
      <c r="V20" s="3">
        <f t="shared" si="5"/>
        <v>38264.070304034751</v>
      </c>
      <c r="W20" s="12">
        <f t="shared" si="0"/>
        <v>-4000</v>
      </c>
      <c r="X20" s="3">
        <f t="shared" si="2"/>
        <v>342.64070304034749</v>
      </c>
      <c r="Y20" s="3">
        <f t="shared" si="6"/>
        <v>34606.7110070751</v>
      </c>
    </row>
    <row r="21" spans="9:25" x14ac:dyDescent="0.2">
      <c r="I21" s="11">
        <f t="shared" si="3"/>
        <v>16</v>
      </c>
      <c r="J21" s="12">
        <v>4000</v>
      </c>
      <c r="K21" s="3">
        <f>J21/(1+$J$4)^(I21-1)</f>
        <v>3445.3978993135161</v>
      </c>
      <c r="R21" s="3">
        <f t="shared" si="4"/>
        <v>53639.55282551032</v>
      </c>
      <c r="S21" s="3">
        <f t="shared" si="1"/>
        <v>3575.9701883673538</v>
      </c>
      <c r="T21" s="3">
        <f t="shared" si="7"/>
        <v>57215.523013877675</v>
      </c>
      <c r="V21" s="3">
        <f t="shared" si="5"/>
        <v>34606.7110070751</v>
      </c>
      <c r="W21" s="12">
        <f t="shared" si="0"/>
        <v>-4000</v>
      </c>
      <c r="X21" s="3">
        <f t="shared" si="2"/>
        <v>306.06711007075103</v>
      </c>
      <c r="Y21" s="3">
        <f t="shared" si="6"/>
        <v>30912.778117145852</v>
      </c>
    </row>
    <row r="22" spans="9:25" x14ac:dyDescent="0.2">
      <c r="I22" s="11">
        <f t="shared" si="3"/>
        <v>17</v>
      </c>
      <c r="J22" s="12">
        <v>4000</v>
      </c>
      <c r="K22" s="3">
        <f>J22/(1+$J$4)^(I22-1)</f>
        <v>3411.2850488252625</v>
      </c>
      <c r="R22" s="3">
        <f t="shared" si="4"/>
        <v>57215.523013877675</v>
      </c>
      <c r="S22" s="3">
        <f t="shared" si="1"/>
        <v>3575.9701883673538</v>
      </c>
      <c r="T22" s="3">
        <f t="shared" si="7"/>
        <v>60791.49320224503</v>
      </c>
      <c r="V22" s="3">
        <f t="shared" si="5"/>
        <v>30912.778117145852</v>
      </c>
      <c r="W22" s="12">
        <f t="shared" si="0"/>
        <v>-4000</v>
      </c>
      <c r="X22" s="3">
        <f t="shared" si="2"/>
        <v>269.12778117145854</v>
      </c>
      <c r="Y22" s="3">
        <f t="shared" si="6"/>
        <v>27181.905898317309</v>
      </c>
    </row>
    <row r="23" spans="9:25" x14ac:dyDescent="0.2">
      <c r="I23" s="11">
        <f t="shared" si="3"/>
        <v>18</v>
      </c>
      <c r="J23" s="12">
        <v>4000</v>
      </c>
      <c r="K23" s="3">
        <f>J23/(1+$J$4)^(I23-1)</f>
        <v>3377.5099493319431</v>
      </c>
      <c r="R23" s="3">
        <f t="shared" si="4"/>
        <v>60791.49320224503</v>
      </c>
      <c r="S23" s="3">
        <f t="shared" si="1"/>
        <v>3575.9701883673538</v>
      </c>
      <c r="T23" s="3">
        <f t="shared" si="7"/>
        <v>64367.463390612385</v>
      </c>
      <c r="V23" s="3">
        <f t="shared" si="5"/>
        <v>27181.905898317309</v>
      </c>
      <c r="W23" s="12">
        <f t="shared" si="0"/>
        <v>-4000</v>
      </c>
      <c r="X23" s="3">
        <f t="shared" si="2"/>
        <v>231.81905898317311</v>
      </c>
      <c r="Y23" s="3">
        <f t="shared" si="6"/>
        <v>23413.724957300481</v>
      </c>
    </row>
    <row r="24" spans="9:25" x14ac:dyDescent="0.2">
      <c r="I24" s="11">
        <f t="shared" si="3"/>
        <v>19</v>
      </c>
      <c r="J24" s="12">
        <v>4000</v>
      </c>
      <c r="K24" s="3">
        <f>J24/(1+$J$4)^(I24-1)</f>
        <v>3344.0692567643</v>
      </c>
      <c r="R24" s="3">
        <f t="shared" si="4"/>
        <v>64367.463390612385</v>
      </c>
      <c r="S24" s="3">
        <f t="shared" si="1"/>
        <v>3575.9701883673538</v>
      </c>
      <c r="T24" s="3">
        <f t="shared" si="7"/>
        <v>67943.433578979733</v>
      </c>
      <c r="V24" s="3">
        <f t="shared" si="5"/>
        <v>23413.724957300481</v>
      </c>
      <c r="W24" s="12">
        <f t="shared" si="0"/>
        <v>-4000</v>
      </c>
      <c r="X24" s="3">
        <f t="shared" si="2"/>
        <v>194.13724957300482</v>
      </c>
      <c r="Y24" s="3">
        <f t="shared" si="6"/>
        <v>19607.862206873488</v>
      </c>
    </row>
    <row r="25" spans="9:25" x14ac:dyDescent="0.2">
      <c r="I25" s="11">
        <f t="shared" si="3"/>
        <v>20</v>
      </c>
      <c r="J25" s="12">
        <v>4000</v>
      </c>
      <c r="K25" s="3">
        <f>J25/(1+$J$4)^(I25-1)</f>
        <v>3310.959660162674</v>
      </c>
      <c r="R25" s="3">
        <f t="shared" si="4"/>
        <v>67943.433578979733</v>
      </c>
      <c r="S25" s="3">
        <f t="shared" si="1"/>
        <v>3575.9701883673538</v>
      </c>
      <c r="T25" s="3">
        <f t="shared" si="7"/>
        <v>71519.403767347088</v>
      </c>
      <c r="V25" s="3">
        <f t="shared" si="5"/>
        <v>19607.862206873488</v>
      </c>
      <c r="W25" s="12">
        <f t="shared" si="0"/>
        <v>-4000</v>
      </c>
      <c r="X25" s="3">
        <f t="shared" si="2"/>
        <v>156.07862206873489</v>
      </c>
      <c r="Y25" s="3">
        <f t="shared" si="6"/>
        <v>15763.940828942223</v>
      </c>
    </row>
    <row r="26" spans="9:25" x14ac:dyDescent="0.2">
      <c r="I26" s="11">
        <f t="shared" si="3"/>
        <v>21</v>
      </c>
      <c r="J26" s="12">
        <v>4000</v>
      </c>
      <c r="K26" s="3">
        <f>J26/(1+$J$4)^(I26-1)</f>
        <v>3278.1778813491819</v>
      </c>
      <c r="R26" s="3">
        <f t="shared" si="4"/>
        <v>71519.403767347088</v>
      </c>
      <c r="S26" s="3">
        <f t="shared" si="1"/>
        <v>3575.9701883673538</v>
      </c>
      <c r="T26" s="3">
        <f t="shared" si="7"/>
        <v>75095.373955714444</v>
      </c>
      <c r="V26" s="3">
        <f t="shared" si="5"/>
        <v>15763.940828942223</v>
      </c>
      <c r="W26" s="12">
        <f t="shared" si="0"/>
        <v>-4000</v>
      </c>
      <c r="X26" s="3">
        <f t="shared" si="2"/>
        <v>117.63940828942224</v>
      </c>
      <c r="Y26" s="3">
        <f t="shared" si="6"/>
        <v>11881.580237231645</v>
      </c>
    </row>
    <row r="27" spans="9:25" x14ac:dyDescent="0.2">
      <c r="I27" s="11">
        <f t="shared" ref="I27:I29" si="8">+I26+1</f>
        <v>22</v>
      </c>
      <c r="J27" s="12">
        <v>4000</v>
      </c>
      <c r="K27" s="3">
        <f>J27/(1+$J$4)^(I27-1)</f>
        <v>3245.7206746031507</v>
      </c>
      <c r="R27" s="3">
        <f t="shared" si="4"/>
        <v>75095.373955714444</v>
      </c>
      <c r="S27" s="3">
        <f t="shared" si="1"/>
        <v>3575.9701883673538</v>
      </c>
      <c r="T27" s="3">
        <f t="shared" si="7"/>
        <v>78671.344144081799</v>
      </c>
      <c r="V27" s="3">
        <f t="shared" si="5"/>
        <v>11881.580237231645</v>
      </c>
      <c r="W27" s="12">
        <f t="shared" si="0"/>
        <v>-4000</v>
      </c>
      <c r="X27" s="3">
        <f t="shared" si="2"/>
        <v>78.815802372316455</v>
      </c>
      <c r="Y27" s="3">
        <f t="shared" si="6"/>
        <v>7960.3960396039611</v>
      </c>
    </row>
    <row r="28" spans="9:25" x14ac:dyDescent="0.2">
      <c r="I28" s="11">
        <f t="shared" si="8"/>
        <v>23</v>
      </c>
      <c r="J28" s="12">
        <v>4000</v>
      </c>
      <c r="K28" s="3">
        <f>J28/(1+$J$4)^(I28-1)</f>
        <v>3213.584826339752</v>
      </c>
      <c r="R28" s="3">
        <f t="shared" si="4"/>
        <v>78671.344144081799</v>
      </c>
      <c r="S28" s="3">
        <f t="shared" si="1"/>
        <v>3575.9701883673538</v>
      </c>
      <c r="T28" s="3">
        <f t="shared" si="7"/>
        <v>82247.314332449154</v>
      </c>
      <c r="V28" s="3">
        <f t="shared" si="5"/>
        <v>7960.3960396039611</v>
      </c>
      <c r="W28" s="12">
        <f t="shared" si="0"/>
        <v>-4000</v>
      </c>
      <c r="X28" s="3">
        <f t="shared" si="2"/>
        <v>39.603960396039611</v>
      </c>
      <c r="Y28" s="3">
        <f t="shared" si="6"/>
        <v>4000.0000000000009</v>
      </c>
    </row>
    <row r="29" spans="9:25" x14ac:dyDescent="0.2">
      <c r="I29" s="11">
        <f t="shared" si="8"/>
        <v>24</v>
      </c>
      <c r="J29" s="12">
        <v>4000</v>
      </c>
      <c r="K29" s="3">
        <f>J29/(1+$J$4)^(I29-1)</f>
        <v>3181.7671547918344</v>
      </c>
      <c r="R29" s="3">
        <f t="shared" si="4"/>
        <v>82247.314332449154</v>
      </c>
      <c r="S29" s="3">
        <f t="shared" si="1"/>
        <v>3575.9701883673538</v>
      </c>
      <c r="T29" s="3">
        <f t="shared" si="7"/>
        <v>85823.284520816509</v>
      </c>
      <c r="V29" s="3">
        <f t="shared" si="5"/>
        <v>4000.0000000000009</v>
      </c>
      <c r="W29" s="12">
        <f t="shared" si="0"/>
        <v>-4000</v>
      </c>
      <c r="X29" s="12">
        <f t="shared" si="2"/>
        <v>9.0949470177292826E-15</v>
      </c>
      <c r="Y29" s="12">
        <f t="shared" si="6"/>
        <v>9.1858964879065753E-13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0C7C-D435-4C69-8808-BA0ED8D31177}">
  <sheetPr>
    <tabColor theme="4" tint="-0.499984740745262"/>
  </sheetPr>
  <dimension ref="A1:M16"/>
  <sheetViews>
    <sheetView workbookViewId="0">
      <selection activeCell="K17" sqref="K17"/>
    </sheetView>
  </sheetViews>
  <sheetFormatPr baseColWidth="10" defaultRowHeight="14.25" x14ac:dyDescent="0.2"/>
  <cols>
    <col min="1" max="9" width="11.42578125" style="1"/>
    <col min="10" max="11" width="14.5703125" style="1" bestFit="1" customWidth="1"/>
    <col min="12" max="13" width="16.7109375" style="1" customWidth="1"/>
    <col min="14" max="16384" width="11.42578125" style="1"/>
  </cols>
  <sheetData>
    <row r="1" spans="1:13" s="57" customFormat="1" ht="25.5" x14ac:dyDescent="0.35">
      <c r="A1" s="57" t="s">
        <v>342</v>
      </c>
      <c r="J1" s="59"/>
    </row>
    <row r="4" spans="1:13" x14ac:dyDescent="0.2">
      <c r="J4" s="14" t="s">
        <v>108</v>
      </c>
      <c r="K4" s="13"/>
      <c r="L4" s="14" t="s">
        <v>111</v>
      </c>
      <c r="M4" s="13"/>
    </row>
    <row r="5" spans="1:13" x14ac:dyDescent="0.2">
      <c r="J5" s="14" t="s">
        <v>109</v>
      </c>
      <c r="K5" s="14" t="s">
        <v>110</v>
      </c>
      <c r="L5" s="14" t="s">
        <v>30</v>
      </c>
      <c r="M5" s="14" t="s">
        <v>110</v>
      </c>
    </row>
    <row r="6" spans="1:13" x14ac:dyDescent="0.2">
      <c r="J6" s="20">
        <v>1</v>
      </c>
      <c r="K6" s="52">
        <v>500000</v>
      </c>
      <c r="L6" s="53">
        <v>0.16669999999999999</v>
      </c>
      <c r="M6" s="51">
        <f>+K6*L6</f>
        <v>83350</v>
      </c>
    </row>
    <row r="7" spans="1:13" x14ac:dyDescent="0.2">
      <c r="J7" s="20">
        <f>+J6+1</f>
        <v>2</v>
      </c>
      <c r="K7" s="52">
        <f>+K6-50000</f>
        <v>450000</v>
      </c>
      <c r="L7" s="53">
        <v>0.16669999999999999</v>
      </c>
      <c r="M7" s="51">
        <f t="shared" ref="M7:M11" si="0">+K7*L7</f>
        <v>75015</v>
      </c>
    </row>
    <row r="8" spans="1:13" x14ac:dyDescent="0.2">
      <c r="J8" s="20">
        <f t="shared" ref="J8:J11" si="1">+J7+1</f>
        <v>3</v>
      </c>
      <c r="K8" s="52">
        <f t="shared" ref="K8:K11" si="2">+K7-50000</f>
        <v>400000</v>
      </c>
      <c r="L8" s="53">
        <v>0.16669999999999999</v>
      </c>
      <c r="M8" s="51">
        <f t="shared" si="0"/>
        <v>66680</v>
      </c>
    </row>
    <row r="9" spans="1:13" x14ac:dyDescent="0.2">
      <c r="J9" s="20">
        <f t="shared" si="1"/>
        <v>4</v>
      </c>
      <c r="K9" s="52">
        <f t="shared" si="2"/>
        <v>350000</v>
      </c>
      <c r="L9" s="53">
        <v>0.16669999999999999</v>
      </c>
      <c r="M9" s="51">
        <f t="shared" si="0"/>
        <v>58344.999999999993</v>
      </c>
    </row>
    <row r="10" spans="1:13" x14ac:dyDescent="0.2">
      <c r="J10" s="20">
        <f t="shared" si="1"/>
        <v>5</v>
      </c>
      <c r="K10" s="52">
        <f t="shared" si="2"/>
        <v>300000</v>
      </c>
      <c r="L10" s="53">
        <v>0.16669999999999999</v>
      </c>
      <c r="M10" s="51">
        <f t="shared" si="0"/>
        <v>50009.999999999993</v>
      </c>
    </row>
    <row r="11" spans="1:13" x14ac:dyDescent="0.2">
      <c r="J11" s="20">
        <f t="shared" si="1"/>
        <v>6</v>
      </c>
      <c r="K11" s="52">
        <f t="shared" si="2"/>
        <v>250000</v>
      </c>
      <c r="L11" s="53">
        <v>0.16669999999999999</v>
      </c>
      <c r="M11" s="51">
        <f t="shared" si="0"/>
        <v>41675</v>
      </c>
    </row>
    <row r="12" spans="1:13" x14ac:dyDescent="0.2">
      <c r="J12" s="54"/>
      <c r="K12" s="55"/>
      <c r="L12" s="55"/>
      <c r="M12" s="56">
        <f>SUM(M6:M11)</f>
        <v>375075</v>
      </c>
    </row>
    <row r="14" spans="1:13" x14ac:dyDescent="0.2">
      <c r="J14" s="13"/>
      <c r="K14" s="13"/>
      <c r="L14" s="14" t="s">
        <v>7</v>
      </c>
      <c r="M14" s="14" t="s">
        <v>8</v>
      </c>
    </row>
    <row r="15" spans="1:13" x14ac:dyDescent="0.2">
      <c r="J15" s="1" t="s">
        <v>112</v>
      </c>
      <c r="L15" s="3">
        <f>+M12</f>
        <v>375075</v>
      </c>
    </row>
    <row r="16" spans="1:13" x14ac:dyDescent="0.2">
      <c r="J16" s="1" t="s">
        <v>113</v>
      </c>
      <c r="M16" s="3">
        <f>+M12</f>
        <v>375075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D5E8-1BB4-4DFD-B40B-BFEE28BD6030}">
  <sheetPr>
    <tabColor theme="5" tint="-0.249977111117893"/>
  </sheetPr>
  <dimension ref="A1:V6"/>
  <sheetViews>
    <sheetView zoomScale="85" zoomScaleNormal="85" workbookViewId="0">
      <selection activeCell="N14" sqref="N14"/>
    </sheetView>
  </sheetViews>
  <sheetFormatPr baseColWidth="10" defaultRowHeight="15.75" x14ac:dyDescent="0.25"/>
  <cols>
    <col min="11" max="11" width="7.5703125" customWidth="1"/>
    <col min="13" max="13" width="12.140625" style="197" bestFit="1" customWidth="1"/>
    <col min="14" max="19" width="11.42578125" style="197"/>
    <col min="20" max="20" width="12.140625" style="197" bestFit="1" customWidth="1"/>
    <col min="21" max="22" width="11.42578125" style="197"/>
  </cols>
  <sheetData>
    <row r="1" spans="1:22" s="57" customFormat="1" ht="25.5" x14ac:dyDescent="0.35">
      <c r="A1" s="57" t="s">
        <v>255</v>
      </c>
      <c r="J1" s="59"/>
      <c r="K1" s="59"/>
      <c r="M1" s="196"/>
      <c r="N1" s="196"/>
      <c r="O1" s="196"/>
      <c r="P1" s="196"/>
      <c r="Q1" s="196"/>
      <c r="R1" s="196"/>
      <c r="S1" s="196"/>
      <c r="T1" s="196"/>
      <c r="U1" s="196"/>
      <c r="V1" s="196"/>
    </row>
    <row r="4" spans="1:22" x14ac:dyDescent="0.25">
      <c r="M4" s="198">
        <v>45291</v>
      </c>
      <c r="T4" s="198">
        <v>45382</v>
      </c>
    </row>
    <row r="5" spans="1:22" ht="16.5" thickBot="1" x14ac:dyDescent="0.3"/>
    <row r="6" spans="1:22" ht="16.5" thickBot="1" x14ac:dyDescent="0.3">
      <c r="N6" s="519" t="s">
        <v>256</v>
      </c>
      <c r="O6" s="520"/>
      <c r="P6" s="520"/>
      <c r="Q6" s="520"/>
      <c r="R6" s="520"/>
      <c r="S6" s="521"/>
    </row>
  </sheetData>
  <mergeCells count="1">
    <mergeCell ref="N6:S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E176-E9F9-4EA7-982A-E21FABDB19E7}">
  <sheetPr>
    <tabColor theme="1"/>
  </sheetPr>
  <dimension ref="A1:O116"/>
  <sheetViews>
    <sheetView topLeftCell="A25" zoomScale="140" zoomScaleNormal="140" workbookViewId="0">
      <selection activeCell="D58" sqref="A58:XFD58"/>
    </sheetView>
  </sheetViews>
  <sheetFormatPr baseColWidth="10" defaultRowHeight="14.25" x14ac:dyDescent="0.2"/>
  <cols>
    <col min="1" max="1" width="5.7109375" style="2" customWidth="1"/>
    <col min="2" max="4" width="11.42578125" style="2"/>
    <col min="5" max="5" width="13.7109375" style="2" customWidth="1"/>
    <col min="6" max="6" width="13.85546875" style="2" customWidth="1"/>
    <col min="7" max="9" width="11.42578125" style="2"/>
    <col min="10" max="10" width="7.28515625" style="2" customWidth="1"/>
    <col min="11" max="16384" width="11.42578125" style="2"/>
  </cols>
  <sheetData>
    <row r="1" spans="1:15" s="83" customFormat="1" ht="25.5" x14ac:dyDescent="0.35">
      <c r="A1" s="57" t="s">
        <v>378</v>
      </c>
      <c r="B1" s="57"/>
      <c r="C1" s="57"/>
      <c r="D1" s="57"/>
      <c r="E1" s="57"/>
      <c r="F1" s="57"/>
      <c r="G1" s="57"/>
      <c r="H1" s="57"/>
      <c r="I1" s="57"/>
      <c r="J1" s="57"/>
      <c r="K1" s="59"/>
      <c r="L1" s="57"/>
      <c r="M1" s="57"/>
      <c r="N1" s="57"/>
      <c r="O1" s="57"/>
    </row>
    <row r="17" spans="4:8" ht="24" customHeight="1" thickBot="1" x14ac:dyDescent="0.25"/>
    <row r="18" spans="4:8" x14ac:dyDescent="0.2">
      <c r="D18" s="67"/>
      <c r="E18" s="68"/>
      <c r="F18" s="68"/>
      <c r="G18" s="69" t="s">
        <v>164</v>
      </c>
      <c r="H18" s="70" t="s">
        <v>165</v>
      </c>
    </row>
    <row r="19" spans="4:8" x14ac:dyDescent="0.2">
      <c r="D19" s="71"/>
      <c r="E19" s="72"/>
      <c r="F19" s="72"/>
      <c r="G19" s="73" t="s">
        <v>64</v>
      </c>
      <c r="H19" s="74" t="s">
        <v>64</v>
      </c>
    </row>
    <row r="20" spans="4:8" x14ac:dyDescent="0.2">
      <c r="D20" s="75" t="s">
        <v>166</v>
      </c>
      <c r="E20" s="76"/>
      <c r="F20" s="76"/>
      <c r="G20" s="76"/>
      <c r="H20" s="77"/>
    </row>
    <row r="21" spans="4:8" x14ac:dyDescent="0.2">
      <c r="D21" s="75" t="s">
        <v>167</v>
      </c>
      <c r="E21" s="76"/>
      <c r="F21" s="76"/>
      <c r="G21" s="76"/>
      <c r="H21" s="77"/>
    </row>
    <row r="22" spans="4:8" x14ac:dyDescent="0.2">
      <c r="D22" s="71" t="s">
        <v>168</v>
      </c>
      <c r="E22" s="72"/>
      <c r="F22" s="72"/>
      <c r="G22" s="72">
        <f>G20+G21</f>
        <v>0</v>
      </c>
      <c r="H22" s="78">
        <f>H20+H21</f>
        <v>0</v>
      </c>
    </row>
    <row r="23" spans="4:8" x14ac:dyDescent="0.2">
      <c r="D23" s="75" t="s">
        <v>169</v>
      </c>
      <c r="E23" s="76"/>
      <c r="F23" s="76"/>
      <c r="G23" s="76"/>
      <c r="H23" s="77"/>
    </row>
    <row r="24" spans="4:8" x14ac:dyDescent="0.2">
      <c r="D24" s="75" t="s">
        <v>170</v>
      </c>
      <c r="E24" s="76"/>
      <c r="F24" s="76"/>
      <c r="G24" s="76"/>
      <c r="H24" s="77"/>
    </row>
    <row r="25" spans="4:8" x14ac:dyDescent="0.2">
      <c r="D25" s="75" t="s">
        <v>171</v>
      </c>
      <c r="E25" s="76"/>
      <c r="F25" s="76"/>
      <c r="G25" s="76"/>
      <c r="H25" s="77"/>
    </row>
    <row r="26" spans="4:8" x14ac:dyDescent="0.2">
      <c r="D26" s="75" t="s">
        <v>172</v>
      </c>
      <c r="E26" s="76"/>
      <c r="F26" s="76"/>
      <c r="G26" s="76"/>
      <c r="H26" s="77"/>
    </row>
    <row r="27" spans="4:8" x14ac:dyDescent="0.2">
      <c r="D27" s="71" t="s">
        <v>173</v>
      </c>
      <c r="E27" s="72"/>
      <c r="F27" s="72"/>
      <c r="G27" s="72">
        <f>SUM(G22:G26)</f>
        <v>0</v>
      </c>
      <c r="H27" s="78">
        <f>SUM(H22:H26)</f>
        <v>0</v>
      </c>
    </row>
    <row r="28" spans="4:8" x14ac:dyDescent="0.2">
      <c r="D28" s="75" t="s">
        <v>174</v>
      </c>
      <c r="E28" s="76"/>
      <c r="F28" s="76"/>
      <c r="G28" s="76"/>
      <c r="H28" s="77"/>
    </row>
    <row r="29" spans="4:8" ht="15" thickBot="1" x14ac:dyDescent="0.25">
      <c r="D29" s="79" t="s">
        <v>175</v>
      </c>
      <c r="E29" s="80"/>
      <c r="F29" s="80"/>
      <c r="G29" s="80">
        <f>+G27+G28</f>
        <v>0</v>
      </c>
      <c r="H29" s="81">
        <f>+H27+H28</f>
        <v>0</v>
      </c>
    </row>
    <row r="39" spans="4:8" ht="15" thickBot="1" x14ac:dyDescent="0.25"/>
    <row r="40" spans="4:8" x14ac:dyDescent="0.2">
      <c r="D40" s="67"/>
      <c r="E40" s="68"/>
      <c r="F40" s="68"/>
      <c r="G40" s="69" t="s">
        <v>164</v>
      </c>
      <c r="H40" s="70" t="s">
        <v>165</v>
      </c>
    </row>
    <row r="41" spans="4:8" x14ac:dyDescent="0.2">
      <c r="D41" s="71"/>
      <c r="E41" s="72"/>
      <c r="F41" s="72"/>
      <c r="G41" s="73" t="s">
        <v>64</v>
      </c>
      <c r="H41" s="74" t="s">
        <v>64</v>
      </c>
    </row>
    <row r="42" spans="4:8" x14ac:dyDescent="0.2">
      <c r="D42" s="75" t="s">
        <v>166</v>
      </c>
      <c r="E42" s="76"/>
      <c r="F42" s="76"/>
      <c r="G42" s="76"/>
      <c r="H42" s="77"/>
    </row>
    <row r="43" spans="4:8" x14ac:dyDescent="0.2">
      <c r="D43" s="75" t="s">
        <v>167</v>
      </c>
      <c r="E43" s="76"/>
      <c r="F43" s="76"/>
      <c r="G43" s="76"/>
      <c r="H43" s="77"/>
    </row>
    <row r="44" spans="4:8" x14ac:dyDescent="0.2">
      <c r="D44" s="337" t="s">
        <v>176</v>
      </c>
      <c r="E44" s="338"/>
      <c r="F44" s="338"/>
      <c r="G44" s="338"/>
      <c r="H44" s="339"/>
    </row>
    <row r="45" spans="4:8" x14ac:dyDescent="0.2">
      <c r="D45" s="71" t="s">
        <v>168</v>
      </c>
      <c r="E45" s="72"/>
      <c r="F45" s="72"/>
      <c r="G45" s="72">
        <f>G42+G43</f>
        <v>0</v>
      </c>
      <c r="H45" s="78">
        <f>H42+H43</f>
        <v>0</v>
      </c>
    </row>
    <row r="46" spans="4:8" x14ac:dyDescent="0.2">
      <c r="D46" s="75" t="s">
        <v>169</v>
      </c>
      <c r="E46" s="76"/>
      <c r="F46" s="76"/>
      <c r="G46" s="76"/>
      <c r="H46" s="77"/>
    </row>
    <row r="47" spans="4:8" x14ac:dyDescent="0.2">
      <c r="D47" s="75" t="s">
        <v>170</v>
      </c>
      <c r="E47" s="76"/>
      <c r="F47" s="76"/>
      <c r="G47" s="76"/>
      <c r="H47" s="77"/>
    </row>
    <row r="48" spans="4:8" x14ac:dyDescent="0.2">
      <c r="D48" s="75" t="s">
        <v>171</v>
      </c>
      <c r="E48" s="76"/>
      <c r="F48" s="76"/>
      <c r="G48" s="76"/>
      <c r="H48" s="77"/>
    </row>
    <row r="49" spans="4:8" x14ac:dyDescent="0.2">
      <c r="D49" s="75" t="s">
        <v>172</v>
      </c>
      <c r="E49" s="76"/>
      <c r="F49" s="76"/>
      <c r="G49" s="76"/>
      <c r="H49" s="77"/>
    </row>
    <row r="50" spans="4:8" x14ac:dyDescent="0.2">
      <c r="D50" s="71" t="s">
        <v>173</v>
      </c>
      <c r="E50" s="72"/>
      <c r="F50" s="72"/>
      <c r="G50" s="72">
        <f>SUM(G45:G49)</f>
        <v>0</v>
      </c>
      <c r="H50" s="78">
        <f>SUM(H45:H49)</f>
        <v>0</v>
      </c>
    </row>
    <row r="51" spans="4:8" x14ac:dyDescent="0.2">
      <c r="D51" s="75" t="s">
        <v>174</v>
      </c>
      <c r="E51" s="76"/>
      <c r="F51" s="76"/>
      <c r="G51" s="76"/>
      <c r="H51" s="77"/>
    </row>
    <row r="52" spans="4:8" ht="15" thickBot="1" x14ac:dyDescent="0.25">
      <c r="D52" s="79" t="s">
        <v>175</v>
      </c>
      <c r="E52" s="80"/>
      <c r="F52" s="80"/>
      <c r="G52" s="80">
        <f>+G50+G51</f>
        <v>0</v>
      </c>
      <c r="H52" s="81">
        <f>+H50+H51</f>
        <v>0</v>
      </c>
    </row>
    <row r="53" spans="4:8" ht="15" thickBot="1" x14ac:dyDescent="0.25"/>
    <row r="54" spans="4:8" x14ac:dyDescent="0.2">
      <c r="D54" s="67"/>
      <c r="E54" s="68"/>
      <c r="F54" s="68"/>
      <c r="G54" s="69" t="s">
        <v>164</v>
      </c>
      <c r="H54" s="70" t="s">
        <v>165</v>
      </c>
    </row>
    <row r="55" spans="4:8" x14ac:dyDescent="0.2">
      <c r="D55" s="71"/>
      <c r="E55" s="72"/>
      <c r="F55" s="72"/>
      <c r="G55" s="73" t="s">
        <v>64</v>
      </c>
      <c r="H55" s="74" t="s">
        <v>64</v>
      </c>
    </row>
    <row r="56" spans="4:8" x14ac:dyDescent="0.2">
      <c r="D56" s="75" t="s">
        <v>166</v>
      </c>
      <c r="E56" s="76"/>
      <c r="F56" s="76"/>
      <c r="G56" s="76"/>
      <c r="H56" s="77"/>
    </row>
    <row r="57" spans="4:8" x14ac:dyDescent="0.2">
      <c r="D57" s="75" t="s">
        <v>167</v>
      </c>
      <c r="E57" s="76"/>
      <c r="F57" s="76"/>
      <c r="G57" s="76"/>
      <c r="H57" s="77"/>
    </row>
    <row r="58" spans="4:8" x14ac:dyDescent="0.2">
      <c r="D58" s="337" t="s">
        <v>177</v>
      </c>
      <c r="E58" s="338"/>
      <c r="F58" s="338"/>
      <c r="G58" s="338">
        <f>+G56+G57</f>
        <v>0</v>
      </c>
      <c r="H58" s="339">
        <f>+H56+H57</f>
        <v>0</v>
      </c>
    </row>
    <row r="59" spans="4:8" x14ac:dyDescent="0.2">
      <c r="D59" s="75" t="s">
        <v>176</v>
      </c>
      <c r="E59" s="76"/>
      <c r="F59" s="76"/>
      <c r="G59" s="76"/>
      <c r="H59" s="77"/>
    </row>
    <row r="60" spans="4:8" x14ac:dyDescent="0.2">
      <c r="D60" s="337" t="s">
        <v>379</v>
      </c>
      <c r="E60" s="338"/>
      <c r="F60" s="338"/>
      <c r="G60" s="338">
        <f>+G58+G59</f>
        <v>0</v>
      </c>
      <c r="H60" s="339">
        <f>+H58+H59</f>
        <v>0</v>
      </c>
    </row>
    <row r="61" spans="4:8" x14ac:dyDescent="0.2">
      <c r="D61" s="75" t="s">
        <v>169</v>
      </c>
      <c r="E61" s="76"/>
      <c r="F61" s="76"/>
      <c r="G61" s="76"/>
      <c r="H61" s="77"/>
    </row>
    <row r="62" spans="4:8" x14ac:dyDescent="0.2">
      <c r="D62" s="75" t="s">
        <v>170</v>
      </c>
      <c r="E62" s="76"/>
      <c r="F62" s="76"/>
      <c r="G62" s="76"/>
      <c r="H62" s="77"/>
    </row>
    <row r="63" spans="4:8" x14ac:dyDescent="0.2">
      <c r="D63" s="75" t="s">
        <v>171</v>
      </c>
      <c r="E63" s="76"/>
      <c r="F63" s="76"/>
      <c r="G63" s="76"/>
      <c r="H63" s="77"/>
    </row>
    <row r="64" spans="4:8" x14ac:dyDescent="0.2">
      <c r="D64" s="75" t="s">
        <v>172</v>
      </c>
      <c r="E64" s="76"/>
      <c r="F64" s="76"/>
      <c r="G64" s="76"/>
      <c r="H64" s="77"/>
    </row>
    <row r="65" spans="2:10" x14ac:dyDescent="0.2">
      <c r="D65" s="71" t="s">
        <v>173</v>
      </c>
      <c r="E65" s="72"/>
      <c r="F65" s="72"/>
      <c r="G65" s="72">
        <f>SUM(G60:G64)</f>
        <v>0</v>
      </c>
      <c r="H65" s="78">
        <f>SUM(H60:H64)</f>
        <v>0</v>
      </c>
    </row>
    <row r="66" spans="2:10" x14ac:dyDescent="0.2">
      <c r="D66" s="75" t="s">
        <v>174</v>
      </c>
      <c r="E66" s="76"/>
      <c r="F66" s="76"/>
      <c r="G66" s="76"/>
      <c r="H66" s="77"/>
    </row>
    <row r="67" spans="2:10" ht="15" thickBot="1" x14ac:dyDescent="0.25">
      <c r="D67" s="79" t="s">
        <v>175</v>
      </c>
      <c r="E67" s="80"/>
      <c r="F67" s="80"/>
      <c r="G67" s="80">
        <f>+G65+G66</f>
        <v>0</v>
      </c>
      <c r="H67" s="81">
        <f>+H65+H66</f>
        <v>0</v>
      </c>
    </row>
    <row r="70" spans="2:10" x14ac:dyDescent="0.2">
      <c r="B70" s="82"/>
      <c r="C70" s="82"/>
      <c r="D70" s="82"/>
      <c r="E70" s="82"/>
      <c r="F70" s="82"/>
      <c r="G70" s="82"/>
      <c r="H70" s="82"/>
      <c r="I70" s="82"/>
      <c r="J70" s="82"/>
    </row>
    <row r="71" spans="2:10" x14ac:dyDescent="0.2">
      <c r="B71" s="82"/>
      <c r="C71" s="82"/>
      <c r="D71" s="82"/>
      <c r="E71" s="82"/>
      <c r="F71" s="82"/>
      <c r="G71" s="82"/>
      <c r="H71" s="82"/>
      <c r="I71" s="82"/>
      <c r="J71" s="82"/>
    </row>
    <row r="72" spans="2:10" x14ac:dyDescent="0.2">
      <c r="B72" s="82"/>
      <c r="C72" s="82"/>
      <c r="D72" s="82"/>
      <c r="E72" s="82"/>
      <c r="F72" s="82"/>
      <c r="G72" s="82"/>
      <c r="H72" s="82"/>
      <c r="I72" s="82"/>
      <c r="J72" s="82"/>
    </row>
    <row r="73" spans="2:10" x14ac:dyDescent="0.2">
      <c r="B73" s="82"/>
      <c r="C73" s="82"/>
      <c r="D73" s="82"/>
      <c r="E73" s="82"/>
      <c r="F73" s="82"/>
      <c r="G73" s="82"/>
      <c r="H73" s="82"/>
      <c r="I73" s="82"/>
      <c r="J73" s="82"/>
    </row>
    <row r="74" spans="2:10" x14ac:dyDescent="0.2">
      <c r="B74" s="82"/>
      <c r="C74" s="82"/>
      <c r="D74" s="82"/>
      <c r="E74" s="82"/>
      <c r="F74" s="82"/>
      <c r="G74" s="82"/>
      <c r="H74" s="82"/>
      <c r="I74" s="82"/>
      <c r="J74" s="82"/>
    </row>
    <row r="75" spans="2:10" x14ac:dyDescent="0.2">
      <c r="B75" s="82"/>
      <c r="C75" s="82"/>
      <c r="D75" s="82"/>
      <c r="E75" s="82"/>
      <c r="F75" s="82"/>
      <c r="G75" s="82"/>
      <c r="H75" s="82"/>
      <c r="I75" s="82"/>
      <c r="J75" s="82"/>
    </row>
    <row r="76" spans="2:10" x14ac:dyDescent="0.2">
      <c r="B76" s="82"/>
      <c r="C76" s="82"/>
      <c r="D76" s="82"/>
      <c r="E76" s="82"/>
      <c r="F76" s="82"/>
      <c r="G76" s="82"/>
      <c r="H76" s="82"/>
      <c r="I76" s="82"/>
      <c r="J76" s="82"/>
    </row>
    <row r="77" spans="2:10" x14ac:dyDescent="0.2">
      <c r="B77" s="82"/>
      <c r="C77" s="82"/>
      <c r="D77" s="82"/>
      <c r="E77" s="82"/>
      <c r="F77" s="82"/>
      <c r="G77" s="82"/>
      <c r="H77" s="82"/>
      <c r="I77" s="82"/>
      <c r="J77" s="82"/>
    </row>
    <row r="78" spans="2:10" x14ac:dyDescent="0.2">
      <c r="B78" s="82"/>
      <c r="C78" s="82"/>
      <c r="D78" s="82"/>
      <c r="E78" s="82"/>
      <c r="F78" s="82"/>
      <c r="G78" s="82"/>
      <c r="H78" s="82"/>
      <c r="I78" s="82"/>
      <c r="J78" s="82"/>
    </row>
    <row r="79" spans="2:10" x14ac:dyDescent="0.2">
      <c r="B79" s="82"/>
      <c r="C79" s="82"/>
      <c r="D79" s="82"/>
      <c r="E79" s="82"/>
      <c r="F79" s="82"/>
      <c r="G79" s="82"/>
      <c r="H79" s="82"/>
      <c r="I79" s="82"/>
      <c r="J79" s="82"/>
    </row>
    <row r="80" spans="2:10" x14ac:dyDescent="0.2">
      <c r="B80" s="82"/>
      <c r="C80" s="82"/>
      <c r="D80" s="82"/>
      <c r="E80" s="82"/>
      <c r="F80" s="82"/>
      <c r="G80" s="82"/>
      <c r="H80" s="82"/>
      <c r="I80" s="82"/>
      <c r="J80" s="82"/>
    </row>
    <row r="81" spans="1:11" x14ac:dyDescent="0.2">
      <c r="B81" s="82"/>
      <c r="C81" s="82"/>
      <c r="D81" s="82"/>
      <c r="E81" s="82"/>
      <c r="F81" s="82"/>
      <c r="G81" s="82"/>
      <c r="H81" s="82"/>
      <c r="I81" s="82"/>
      <c r="J81" s="82"/>
    </row>
    <row r="82" spans="1:11" x14ac:dyDescent="0.2">
      <c r="B82" s="82"/>
      <c r="C82" s="82"/>
      <c r="D82" s="82"/>
      <c r="E82" s="82"/>
      <c r="F82" s="82"/>
      <c r="G82" s="82"/>
      <c r="H82" s="82"/>
      <c r="I82" s="82"/>
      <c r="J82" s="82"/>
    </row>
    <row r="83" spans="1:11" x14ac:dyDescent="0.2">
      <c r="B83" s="82"/>
      <c r="C83" s="82"/>
      <c r="D83" s="82"/>
      <c r="E83" s="82"/>
      <c r="F83" s="82"/>
      <c r="G83" s="82"/>
      <c r="H83" s="82"/>
      <c r="I83" s="82"/>
      <c r="J83" s="82"/>
    </row>
    <row r="84" spans="1:11" x14ac:dyDescent="0.2">
      <c r="B84" s="82"/>
      <c r="C84" s="82"/>
      <c r="D84" s="82"/>
      <c r="E84" s="82"/>
      <c r="F84" s="82"/>
      <c r="G84" s="82"/>
      <c r="H84" s="82"/>
      <c r="I84" s="82"/>
      <c r="J84" s="82"/>
    </row>
    <row r="85" spans="1:11" x14ac:dyDescent="0.2">
      <c r="B85" s="82"/>
      <c r="C85" s="82"/>
      <c r="D85" s="82"/>
      <c r="E85" s="82"/>
      <c r="F85" s="82"/>
      <c r="G85" s="82"/>
      <c r="H85" s="82"/>
      <c r="I85" s="82"/>
      <c r="J85" s="82"/>
    </row>
    <row r="86" spans="1:11" x14ac:dyDescent="0.2">
      <c r="B86" s="82"/>
      <c r="C86" s="82"/>
      <c r="D86" s="82"/>
      <c r="E86" s="82"/>
      <c r="F86" s="82"/>
      <c r="G86" s="82"/>
      <c r="H86" s="82"/>
      <c r="I86" s="82"/>
      <c r="J86" s="82"/>
    </row>
    <row r="87" spans="1:11" x14ac:dyDescent="0.2">
      <c r="B87" s="82"/>
      <c r="C87" s="82"/>
      <c r="D87" s="82"/>
      <c r="E87" s="82"/>
      <c r="F87" s="82"/>
      <c r="G87" s="82"/>
      <c r="H87" s="82"/>
      <c r="I87" s="82"/>
      <c r="J87" s="82"/>
    </row>
    <row r="88" spans="1:11" x14ac:dyDescent="0.2">
      <c r="B88" s="82"/>
      <c r="C88" s="82"/>
      <c r="D88" s="82"/>
      <c r="E88" s="82"/>
      <c r="F88" s="82"/>
      <c r="G88" s="82"/>
      <c r="H88" s="82"/>
      <c r="I88" s="82"/>
      <c r="J88" s="82"/>
    </row>
    <row r="89" spans="1:11" x14ac:dyDescent="0.2">
      <c r="B89" s="82"/>
      <c r="C89" s="82"/>
      <c r="D89" s="82"/>
      <c r="E89" s="82"/>
      <c r="F89" s="82"/>
      <c r="G89" s="82"/>
      <c r="H89" s="82"/>
      <c r="I89" s="82"/>
      <c r="J89" s="82"/>
    </row>
    <row r="90" spans="1:11" x14ac:dyDescent="0.2">
      <c r="B90" s="82"/>
      <c r="C90" s="82"/>
      <c r="D90" s="82"/>
      <c r="E90" s="82"/>
      <c r="F90" s="82"/>
      <c r="G90" s="82"/>
      <c r="H90" s="82"/>
      <c r="I90" s="82"/>
      <c r="J90" s="82"/>
    </row>
    <row r="91" spans="1:11" x14ac:dyDescent="0.2">
      <c r="B91" s="82"/>
      <c r="C91" s="82"/>
      <c r="D91" s="82"/>
      <c r="E91" s="82"/>
      <c r="F91" s="82"/>
      <c r="G91" s="82"/>
      <c r="H91" s="82"/>
      <c r="I91" s="82"/>
      <c r="J91" s="82"/>
    </row>
    <row r="92" spans="1:11" x14ac:dyDescent="0.2">
      <c r="B92" s="82"/>
      <c r="C92" s="82"/>
      <c r="D92" s="82"/>
      <c r="E92" s="82"/>
      <c r="F92" s="82"/>
      <c r="G92" s="82"/>
      <c r="H92" s="82"/>
      <c r="I92" s="82"/>
      <c r="J92" s="82"/>
    </row>
    <row r="93" spans="1:11" x14ac:dyDescent="0.2">
      <c r="B93" s="82"/>
      <c r="C93" s="82"/>
      <c r="D93" s="82"/>
      <c r="E93" s="82"/>
      <c r="F93" s="82"/>
      <c r="G93" s="82"/>
      <c r="H93" s="82"/>
      <c r="I93" s="82"/>
      <c r="J93" s="82"/>
    </row>
    <row r="94" spans="1:11" x14ac:dyDescent="0.2">
      <c r="B94" s="82"/>
      <c r="C94" s="82"/>
      <c r="D94" s="82"/>
      <c r="E94" s="82"/>
      <c r="F94" s="82"/>
      <c r="G94" s="82"/>
      <c r="H94" s="82"/>
      <c r="I94" s="82"/>
      <c r="J94" s="82"/>
    </row>
    <row r="95" spans="1:11" ht="15" thickBot="1" x14ac:dyDescent="0.25">
      <c r="B95" s="82"/>
      <c r="C95" s="82"/>
      <c r="D95" s="82"/>
      <c r="E95" s="82"/>
      <c r="F95" s="82"/>
      <c r="G95" s="82"/>
      <c r="H95" s="82"/>
      <c r="I95" s="82"/>
      <c r="J95" s="82"/>
    </row>
    <row r="96" spans="1:11" x14ac:dyDescent="0.2">
      <c r="A96" s="84"/>
      <c r="B96" s="85"/>
      <c r="C96" s="85"/>
      <c r="D96" s="85"/>
      <c r="E96" s="85"/>
      <c r="F96" s="85"/>
      <c r="G96" s="85"/>
      <c r="H96" s="85"/>
      <c r="I96" s="85"/>
      <c r="J96" s="85"/>
      <c r="K96" s="86"/>
    </row>
    <row r="97" spans="1:11" x14ac:dyDescent="0.2">
      <c r="A97" s="87"/>
      <c r="B97" s="88"/>
      <c r="C97" s="88"/>
      <c r="D97" s="88"/>
      <c r="E97" s="88"/>
      <c r="F97" s="88"/>
      <c r="G97" s="88"/>
      <c r="H97" s="88"/>
      <c r="I97" s="88"/>
      <c r="J97" s="88"/>
      <c r="K97" s="89"/>
    </row>
    <row r="98" spans="1:11" ht="15" thickBot="1" x14ac:dyDescent="0.25">
      <c r="A98" s="90"/>
      <c r="B98" s="91"/>
      <c r="C98" s="91"/>
      <c r="D98" s="91"/>
      <c r="E98" s="91"/>
      <c r="F98" s="91"/>
      <c r="G98" s="91"/>
      <c r="H98" s="91"/>
      <c r="I98" s="91"/>
      <c r="J98" s="91"/>
      <c r="K98" s="92"/>
    </row>
    <row r="99" spans="1:11" x14ac:dyDescent="0.2">
      <c r="B99" s="82"/>
      <c r="C99" s="82"/>
      <c r="D99" s="82"/>
      <c r="E99" s="82"/>
      <c r="F99" s="82"/>
      <c r="G99" s="82"/>
      <c r="H99" s="82"/>
      <c r="I99" s="82"/>
      <c r="J99" s="82"/>
    </row>
    <row r="100" spans="1:11" x14ac:dyDescent="0.2">
      <c r="B100" s="82"/>
      <c r="C100" s="82"/>
      <c r="D100" s="82"/>
      <c r="E100" s="82"/>
      <c r="F100" s="82"/>
      <c r="G100" s="82"/>
      <c r="H100" s="82"/>
      <c r="I100" s="82"/>
      <c r="J100" s="82"/>
    </row>
    <row r="101" spans="1:11" x14ac:dyDescent="0.2">
      <c r="B101" s="82"/>
      <c r="C101" s="82"/>
      <c r="D101" s="82"/>
      <c r="E101" s="82"/>
      <c r="F101" s="82"/>
      <c r="G101" s="82"/>
      <c r="H101" s="82"/>
      <c r="I101" s="82"/>
      <c r="J101" s="82"/>
    </row>
    <row r="102" spans="1:11" x14ac:dyDescent="0.2">
      <c r="B102" s="82"/>
      <c r="C102" s="82"/>
      <c r="D102" s="82"/>
      <c r="E102" s="82"/>
      <c r="F102" s="82"/>
      <c r="G102" s="82"/>
      <c r="H102" s="82"/>
      <c r="I102" s="82"/>
      <c r="J102" s="82"/>
    </row>
    <row r="103" spans="1:11" x14ac:dyDescent="0.2">
      <c r="B103" s="82"/>
      <c r="C103" s="82"/>
      <c r="D103" s="82"/>
      <c r="E103" s="82"/>
      <c r="F103" s="82"/>
      <c r="G103" s="82"/>
      <c r="H103" s="82"/>
      <c r="I103" s="82"/>
      <c r="J103" s="82"/>
    </row>
    <row r="104" spans="1:11" x14ac:dyDescent="0.2">
      <c r="B104" s="82"/>
      <c r="C104" s="82"/>
      <c r="D104" s="82"/>
      <c r="E104" s="82"/>
      <c r="F104" s="82"/>
      <c r="G104" s="82"/>
      <c r="H104" s="82"/>
      <c r="I104" s="82"/>
      <c r="J104" s="82"/>
    </row>
    <row r="105" spans="1:11" x14ac:dyDescent="0.2">
      <c r="B105" s="82"/>
      <c r="C105" s="82"/>
      <c r="D105" s="82"/>
      <c r="E105" s="82"/>
      <c r="F105" s="82"/>
      <c r="G105" s="82"/>
      <c r="H105" s="82"/>
      <c r="I105" s="82"/>
      <c r="J105" s="82"/>
    </row>
    <row r="106" spans="1:11" x14ac:dyDescent="0.2">
      <c r="B106" s="82"/>
      <c r="C106" s="82"/>
      <c r="D106" s="82"/>
      <c r="E106" s="82"/>
      <c r="F106" s="82"/>
      <c r="G106" s="82"/>
      <c r="H106" s="82"/>
      <c r="I106" s="82"/>
      <c r="J106" s="82"/>
    </row>
    <row r="107" spans="1:11" x14ac:dyDescent="0.2">
      <c r="B107" s="82"/>
      <c r="C107" s="82"/>
      <c r="D107" s="82"/>
      <c r="E107" s="82"/>
      <c r="F107" s="82"/>
      <c r="G107" s="82"/>
      <c r="H107" s="82"/>
      <c r="I107" s="82"/>
      <c r="J107" s="82"/>
    </row>
    <row r="108" spans="1:11" x14ac:dyDescent="0.2">
      <c r="B108" s="82"/>
      <c r="C108" s="82"/>
      <c r="D108" s="82"/>
      <c r="E108" s="82"/>
      <c r="F108" s="82"/>
      <c r="G108" s="82"/>
      <c r="H108" s="82"/>
      <c r="I108" s="82"/>
      <c r="J108" s="82"/>
    </row>
    <row r="109" spans="1:11" x14ac:dyDescent="0.2">
      <c r="B109" s="82"/>
      <c r="C109" s="82"/>
      <c r="D109" s="82"/>
      <c r="E109" s="82"/>
      <c r="F109" s="82"/>
      <c r="G109" s="82"/>
      <c r="H109" s="82"/>
      <c r="I109" s="82"/>
      <c r="J109" s="82"/>
    </row>
    <row r="110" spans="1:11" x14ac:dyDescent="0.2">
      <c r="B110" s="82"/>
      <c r="C110" s="82"/>
      <c r="D110" s="82"/>
      <c r="E110" s="82"/>
      <c r="F110" s="82"/>
      <c r="G110" s="82"/>
      <c r="H110" s="82"/>
      <c r="I110" s="82"/>
      <c r="J110" s="82"/>
    </row>
    <row r="111" spans="1:11" x14ac:dyDescent="0.2">
      <c r="B111" s="82"/>
      <c r="C111" s="82"/>
      <c r="D111" s="82"/>
      <c r="E111" s="82"/>
      <c r="F111" s="82"/>
      <c r="G111" s="82"/>
      <c r="H111" s="82"/>
      <c r="I111" s="82"/>
      <c r="J111" s="82"/>
    </row>
    <row r="112" spans="1:11" x14ac:dyDescent="0.2">
      <c r="B112" s="82"/>
      <c r="C112" s="82"/>
      <c r="D112" s="82"/>
      <c r="E112" s="82"/>
      <c r="F112" s="82"/>
      <c r="G112" s="82"/>
      <c r="H112" s="82"/>
      <c r="I112" s="82"/>
      <c r="J112" s="82"/>
    </row>
    <row r="113" spans="2:10" x14ac:dyDescent="0.2">
      <c r="B113" s="82"/>
      <c r="C113" s="82"/>
      <c r="D113" s="82"/>
      <c r="E113" s="82"/>
      <c r="F113" s="82"/>
      <c r="G113" s="82"/>
      <c r="H113" s="82"/>
      <c r="I113" s="82"/>
      <c r="J113" s="82"/>
    </row>
    <row r="114" spans="2:10" x14ac:dyDescent="0.2">
      <c r="B114" s="82"/>
      <c r="C114" s="82"/>
      <c r="D114" s="82"/>
      <c r="E114" s="82"/>
      <c r="F114" s="82"/>
      <c r="G114" s="82"/>
      <c r="H114" s="82"/>
      <c r="I114" s="82"/>
      <c r="J114" s="82"/>
    </row>
    <row r="115" spans="2:10" x14ac:dyDescent="0.2">
      <c r="B115" s="82"/>
      <c r="C115" s="82"/>
      <c r="D115" s="82"/>
      <c r="E115" s="82"/>
      <c r="F115" s="82"/>
      <c r="G115" s="82"/>
      <c r="H115" s="82"/>
      <c r="I115" s="82"/>
      <c r="J115" s="82"/>
    </row>
    <row r="116" spans="2:10" x14ac:dyDescent="0.2">
      <c r="B116" s="82"/>
      <c r="C116" s="82"/>
      <c r="D116" s="82"/>
      <c r="E116" s="82"/>
      <c r="F116" s="82"/>
      <c r="G116" s="82"/>
      <c r="H116" s="82"/>
      <c r="I116" s="82"/>
      <c r="J116" s="82"/>
    </row>
  </sheetData>
  <pageMargins left="0.7" right="0.7" top="0.75" bottom="0.75" header="0.3" footer="0.3"/>
  <pageSetup paperSize="9" orientation="portrait" r:id="rId1"/>
  <ignoredErrors>
    <ignoredError sqref="G18:H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8957-453E-4237-AECB-02C76C09A019}">
  <sheetPr>
    <tabColor theme="1"/>
  </sheetPr>
  <dimension ref="A1:S32"/>
  <sheetViews>
    <sheetView topLeftCell="J7" zoomScale="175" zoomScaleNormal="175" workbookViewId="0">
      <selection activeCell="L19" sqref="L19"/>
    </sheetView>
  </sheetViews>
  <sheetFormatPr baseColWidth="10" defaultRowHeight="15.75" x14ac:dyDescent="0.25"/>
  <cols>
    <col min="1" max="1" width="0.140625" customWidth="1"/>
    <col min="11" max="11" width="1.140625" customWidth="1"/>
    <col min="12" max="12" width="14.28515625" style="19" bestFit="1" customWidth="1"/>
    <col min="13" max="14" width="13.7109375" style="19" bestFit="1" customWidth="1"/>
    <col min="15" max="15" width="13" style="19" bestFit="1" customWidth="1"/>
    <col min="16" max="16" width="13.5703125" style="19" bestFit="1" customWidth="1"/>
    <col min="17" max="17" width="14.85546875" style="19" bestFit="1" customWidth="1"/>
    <col min="18" max="16384" width="11.42578125" style="19"/>
  </cols>
  <sheetData>
    <row r="1" spans="1:19" s="83" customFormat="1" ht="25.5" x14ac:dyDescent="0.35">
      <c r="A1" s="57" t="s">
        <v>126</v>
      </c>
      <c r="B1" s="57"/>
      <c r="C1" s="57"/>
      <c r="D1" s="57"/>
      <c r="E1" s="57"/>
      <c r="F1" s="57"/>
      <c r="G1" s="57"/>
      <c r="H1" s="57"/>
      <c r="I1" s="57"/>
      <c r="J1" s="59" t="s">
        <v>63</v>
      </c>
      <c r="K1" s="59"/>
      <c r="L1" s="57"/>
      <c r="M1" s="57"/>
      <c r="N1" s="57"/>
      <c r="O1" s="57"/>
      <c r="P1" s="57"/>
      <c r="Q1" s="57"/>
      <c r="R1" s="57"/>
      <c r="S1" s="57"/>
    </row>
    <row r="2" spans="1:19" x14ac:dyDescent="0.25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  <c r="L2" s="341" t="s">
        <v>54</v>
      </c>
      <c r="M2" s="103" t="s">
        <v>38</v>
      </c>
      <c r="N2" s="104" t="s">
        <v>51</v>
      </c>
      <c r="O2" s="104" t="s">
        <v>52</v>
      </c>
      <c r="P2" s="104" t="s">
        <v>52</v>
      </c>
      <c r="Q2" s="105" t="s">
        <v>52</v>
      </c>
    </row>
    <row r="3" spans="1:19" x14ac:dyDescent="0.25">
      <c r="A3" s="97"/>
      <c r="B3" s="98"/>
      <c r="C3" s="98"/>
      <c r="D3" s="98"/>
      <c r="E3" s="98"/>
      <c r="F3" s="98"/>
      <c r="G3" s="98"/>
      <c r="H3" s="98"/>
      <c r="I3" s="98"/>
      <c r="J3" s="98"/>
      <c r="K3" s="99"/>
      <c r="L3" s="342">
        <v>3000000</v>
      </c>
      <c r="M3" s="106" t="s">
        <v>57</v>
      </c>
      <c r="N3" s="107" t="s">
        <v>38</v>
      </c>
      <c r="O3" s="107" t="s">
        <v>53</v>
      </c>
      <c r="P3" s="107" t="s">
        <v>53</v>
      </c>
      <c r="Q3" s="108" t="s">
        <v>53</v>
      </c>
    </row>
    <row r="4" spans="1:19" x14ac:dyDescent="0.25">
      <c r="A4" s="97"/>
      <c r="B4" s="98"/>
      <c r="C4" s="98"/>
      <c r="D4" s="98"/>
      <c r="E4" s="98"/>
      <c r="F4" s="98"/>
      <c r="G4" s="98"/>
      <c r="H4" s="98"/>
      <c r="I4" s="98"/>
      <c r="J4" s="98"/>
      <c r="K4" s="99"/>
      <c r="L4" s="343"/>
      <c r="M4" s="106" t="s">
        <v>178</v>
      </c>
      <c r="N4" s="107" t="s">
        <v>56</v>
      </c>
      <c r="O4" s="107" t="s">
        <v>55</v>
      </c>
      <c r="P4" s="107" t="s">
        <v>58</v>
      </c>
      <c r="Q4" s="108" t="s">
        <v>59</v>
      </c>
    </row>
    <row r="5" spans="1:19" x14ac:dyDescent="0.25">
      <c r="A5" s="97"/>
      <c r="B5" s="98"/>
      <c r="C5" s="98"/>
      <c r="D5" s="98"/>
      <c r="E5" s="98"/>
      <c r="F5" s="98"/>
      <c r="G5" s="98"/>
      <c r="H5" s="98"/>
      <c r="I5" s="98"/>
      <c r="J5" s="98"/>
      <c r="K5" s="99"/>
      <c r="L5" s="109" t="s">
        <v>39</v>
      </c>
      <c r="M5" s="110">
        <v>840000</v>
      </c>
      <c r="N5" s="107" t="s">
        <v>178</v>
      </c>
      <c r="O5" s="111"/>
      <c r="P5" s="111"/>
      <c r="Q5" s="112"/>
    </row>
    <row r="6" spans="1:19" x14ac:dyDescent="0.25">
      <c r="A6" s="97"/>
      <c r="B6" s="98"/>
      <c r="C6" s="98"/>
      <c r="D6" s="98"/>
      <c r="E6" s="98"/>
      <c r="F6" s="98"/>
      <c r="G6" s="98"/>
      <c r="H6" s="98"/>
      <c r="I6" s="98"/>
      <c r="J6" s="98"/>
      <c r="K6" s="99"/>
      <c r="L6" s="109" t="s">
        <v>40</v>
      </c>
      <c r="M6" s="110">
        <v>850000</v>
      </c>
      <c r="N6" s="111"/>
      <c r="O6" s="111"/>
      <c r="P6" s="111"/>
      <c r="Q6" s="112"/>
    </row>
    <row r="7" spans="1:19" x14ac:dyDescent="0.25">
      <c r="A7" s="97"/>
      <c r="B7" s="98"/>
      <c r="C7" s="98"/>
      <c r="D7" s="98"/>
      <c r="E7" s="98"/>
      <c r="F7" s="98"/>
      <c r="G7" s="98"/>
      <c r="H7" s="98"/>
      <c r="I7" s="98"/>
      <c r="J7" s="98"/>
      <c r="K7" s="99"/>
      <c r="L7" s="109" t="s">
        <v>41</v>
      </c>
      <c r="M7" s="110">
        <v>830000</v>
      </c>
      <c r="N7" s="111"/>
      <c r="O7" s="111"/>
      <c r="P7" s="111"/>
      <c r="Q7" s="112"/>
    </row>
    <row r="8" spans="1:19" x14ac:dyDescent="0.25">
      <c r="A8" s="97"/>
      <c r="B8" s="98"/>
      <c r="C8" s="98"/>
      <c r="D8" s="98"/>
      <c r="E8" s="98"/>
      <c r="F8" s="98"/>
      <c r="G8" s="98"/>
      <c r="H8" s="98"/>
      <c r="I8" s="98"/>
      <c r="J8" s="98"/>
      <c r="K8" s="99"/>
      <c r="L8" s="109" t="s">
        <v>42</v>
      </c>
      <c r="M8" s="110">
        <v>820000</v>
      </c>
      <c r="N8" s="111"/>
      <c r="O8" s="111"/>
      <c r="P8" s="111"/>
      <c r="Q8" s="112"/>
    </row>
    <row r="9" spans="1:19" ht="16.5" thickBot="1" x14ac:dyDescent="0.3">
      <c r="A9" s="97"/>
      <c r="B9" s="98"/>
      <c r="C9" s="98"/>
      <c r="D9" s="98"/>
      <c r="E9" s="98"/>
      <c r="F9" s="98"/>
      <c r="G9" s="98"/>
      <c r="H9" s="98"/>
      <c r="I9" s="98"/>
      <c r="J9" s="98"/>
      <c r="K9" s="99"/>
      <c r="L9" s="109" t="s">
        <v>43</v>
      </c>
      <c r="M9" s="110">
        <v>810000</v>
      </c>
      <c r="N9" s="111"/>
      <c r="O9" s="111"/>
      <c r="P9" s="344"/>
      <c r="Q9" s="112"/>
    </row>
    <row r="10" spans="1:19" ht="16.5" thickBot="1" x14ac:dyDescent="0.3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345" t="s">
        <v>44</v>
      </c>
      <c r="M10" s="346">
        <v>840000</v>
      </c>
      <c r="N10" s="347">
        <f t="shared" ref="N10:N22" si="0">AVERAGE(M5:M10)</f>
        <v>831666.66666666663</v>
      </c>
      <c r="O10" s="354">
        <f>+$L$3/N10</f>
        <v>3.6072144288577155</v>
      </c>
      <c r="P10" s="347">
        <f>+IF(M10*O10&gt;=$L$3,$L$3,M10*O10)</f>
        <v>3000000</v>
      </c>
      <c r="Q10" s="349">
        <f>+$L$3-P10</f>
        <v>0</v>
      </c>
    </row>
    <row r="11" spans="1:19" ht="16.5" thickBot="1" x14ac:dyDescent="0.3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350" t="s">
        <v>45</v>
      </c>
      <c r="M11" s="351">
        <v>820000</v>
      </c>
      <c r="N11" s="352">
        <f>AVERAGE(M6:M11)</f>
        <v>828333.33333333337</v>
      </c>
      <c r="O11" s="348">
        <f t="shared" ref="O11:O22" si="1">+$L$3/N11</f>
        <v>3.6217303822937623</v>
      </c>
      <c r="P11" s="352">
        <f t="shared" ref="P11:P22" si="2">+IF(M11*O11&gt;=$L$3,$L$3,M11*O11)</f>
        <v>2969818.9134808853</v>
      </c>
      <c r="Q11" s="353">
        <f t="shared" ref="Q11:Q22" si="3">+$L$3-P11</f>
        <v>30181.086519114673</v>
      </c>
    </row>
    <row r="12" spans="1:19" x14ac:dyDescent="0.25">
      <c r="A12" s="97"/>
      <c r="B12" s="98"/>
      <c r="C12" s="98"/>
      <c r="D12" s="98"/>
      <c r="E12" s="98"/>
      <c r="F12" s="98"/>
      <c r="G12" s="98"/>
      <c r="H12" s="98"/>
      <c r="I12" s="98"/>
      <c r="J12" s="98"/>
      <c r="K12" s="99"/>
      <c r="L12" s="109" t="s">
        <v>46</v>
      </c>
      <c r="M12" s="110">
        <v>830000</v>
      </c>
      <c r="N12" s="113">
        <f t="shared" si="0"/>
        <v>825000</v>
      </c>
      <c r="O12" s="114">
        <f t="shared" si="1"/>
        <v>3.6363636363636362</v>
      </c>
      <c r="P12" s="113">
        <f t="shared" si="2"/>
        <v>3000000</v>
      </c>
      <c r="Q12" s="115">
        <f t="shared" si="3"/>
        <v>0</v>
      </c>
    </row>
    <row r="13" spans="1:19" x14ac:dyDescent="0.25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9"/>
      <c r="L13" s="109" t="s">
        <v>47</v>
      </c>
      <c r="M13" s="110">
        <v>800000</v>
      </c>
      <c r="N13" s="113">
        <f t="shared" si="0"/>
        <v>820000</v>
      </c>
      <c r="O13" s="114">
        <f t="shared" si="1"/>
        <v>3.6585365853658538</v>
      </c>
      <c r="P13" s="113">
        <f t="shared" si="2"/>
        <v>2926829.2682926832</v>
      </c>
      <c r="Q13" s="115">
        <f t="shared" si="3"/>
        <v>73170.731707316823</v>
      </c>
    </row>
    <row r="14" spans="1:19" x14ac:dyDescent="0.25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9"/>
      <c r="L14" s="109" t="s">
        <v>48</v>
      </c>
      <c r="M14" s="110">
        <v>810000</v>
      </c>
      <c r="N14" s="113">
        <f t="shared" si="0"/>
        <v>818333.33333333337</v>
      </c>
      <c r="O14" s="114">
        <f t="shared" si="1"/>
        <v>3.6659877800407332</v>
      </c>
      <c r="P14" s="113">
        <f t="shared" si="2"/>
        <v>2969450.1018329938</v>
      </c>
      <c r="Q14" s="115">
        <f t="shared" si="3"/>
        <v>30549.898167006206</v>
      </c>
    </row>
    <row r="15" spans="1:19" x14ac:dyDescent="0.25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9"/>
      <c r="L15" s="109" t="s">
        <v>49</v>
      </c>
      <c r="M15" s="110">
        <v>840000</v>
      </c>
      <c r="N15" s="113">
        <f t="shared" si="0"/>
        <v>823333.33333333337</v>
      </c>
      <c r="O15" s="114">
        <f t="shared" si="1"/>
        <v>3.6437246963562751</v>
      </c>
      <c r="P15" s="113">
        <f t="shared" si="2"/>
        <v>3000000</v>
      </c>
      <c r="Q15" s="115">
        <f t="shared" si="3"/>
        <v>0</v>
      </c>
    </row>
    <row r="16" spans="1:19" x14ac:dyDescent="0.25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9"/>
      <c r="L16" s="109" t="s">
        <v>50</v>
      </c>
      <c r="M16" s="110">
        <v>820000</v>
      </c>
      <c r="N16" s="113">
        <f t="shared" si="0"/>
        <v>820000</v>
      </c>
      <c r="O16" s="114">
        <f t="shared" si="1"/>
        <v>3.6585365853658538</v>
      </c>
      <c r="P16" s="113">
        <f t="shared" si="2"/>
        <v>3000000</v>
      </c>
      <c r="Q16" s="115">
        <f t="shared" si="3"/>
        <v>0</v>
      </c>
    </row>
    <row r="17" spans="1:17" x14ac:dyDescent="0.25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9"/>
      <c r="L17" s="109" t="s">
        <v>39</v>
      </c>
      <c r="M17" s="110">
        <v>810000</v>
      </c>
      <c r="N17" s="113">
        <f t="shared" si="0"/>
        <v>818333.33333333337</v>
      </c>
      <c r="O17" s="114">
        <f t="shared" si="1"/>
        <v>3.6659877800407332</v>
      </c>
      <c r="P17" s="113">
        <f t="shared" si="2"/>
        <v>2969450.1018329938</v>
      </c>
      <c r="Q17" s="115">
        <f t="shared" si="3"/>
        <v>30549.898167006206</v>
      </c>
    </row>
    <row r="18" spans="1:17" ht="16.5" thickBot="1" x14ac:dyDescent="0.3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9"/>
      <c r="L18" s="109" t="s">
        <v>40</v>
      </c>
      <c r="M18" s="110">
        <v>800000</v>
      </c>
      <c r="N18" s="113">
        <f t="shared" si="0"/>
        <v>813333.33333333337</v>
      </c>
      <c r="O18" s="114">
        <f t="shared" si="1"/>
        <v>3.6885245901639343</v>
      </c>
      <c r="P18" s="113">
        <f t="shared" si="2"/>
        <v>2950819.6721311472</v>
      </c>
      <c r="Q18" s="115">
        <f t="shared" si="3"/>
        <v>49180.327868852764</v>
      </c>
    </row>
    <row r="19" spans="1:17" ht="16.5" thickBot="1" x14ac:dyDescent="0.3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355" t="s">
        <v>41</v>
      </c>
      <c r="M19" s="356">
        <v>500</v>
      </c>
      <c r="N19" s="357">
        <f>AVERAGE(M13:M18)</f>
        <v>813333.33333333337</v>
      </c>
      <c r="O19" s="358">
        <f t="shared" si="1"/>
        <v>3.6885245901639343</v>
      </c>
      <c r="P19" s="359">
        <f t="shared" si="2"/>
        <v>1844.2622950819671</v>
      </c>
      <c r="Q19" s="360">
        <f t="shared" si="3"/>
        <v>2998155.7377049183</v>
      </c>
    </row>
    <row r="20" spans="1:17" x14ac:dyDescent="0.25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9"/>
      <c r="L20" s="109" t="s">
        <v>42</v>
      </c>
      <c r="M20" s="110">
        <v>600</v>
      </c>
      <c r="N20" s="93">
        <f>AVERAGE(M15:M20)</f>
        <v>545183.33333333337</v>
      </c>
      <c r="O20" s="114">
        <f t="shared" si="1"/>
        <v>5.5027360826633238</v>
      </c>
      <c r="P20" s="113">
        <f t="shared" si="2"/>
        <v>3301.6416495979943</v>
      </c>
      <c r="Q20" s="115">
        <f t="shared" si="3"/>
        <v>2996698.3583504022</v>
      </c>
    </row>
    <row r="21" spans="1:17" x14ac:dyDescent="0.2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9"/>
      <c r="L21" s="109" t="s">
        <v>43</v>
      </c>
      <c r="M21" s="110">
        <v>500</v>
      </c>
      <c r="N21" s="93">
        <f>AVERAGE(M16:M21)</f>
        <v>405266.66666666669</v>
      </c>
      <c r="O21" s="114">
        <f t="shared" si="1"/>
        <v>7.4025333113999006</v>
      </c>
      <c r="P21" s="113">
        <f t="shared" si="2"/>
        <v>3701.2666556999502</v>
      </c>
      <c r="Q21" s="115">
        <f t="shared" si="3"/>
        <v>2996298.7333443002</v>
      </c>
    </row>
    <row r="22" spans="1:17" x14ac:dyDescent="0.25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2"/>
      <c r="L22" s="116" t="s">
        <v>44</v>
      </c>
      <c r="M22" s="117">
        <v>1000</v>
      </c>
      <c r="N22" s="118">
        <f t="shared" si="0"/>
        <v>268766.66666666669</v>
      </c>
      <c r="O22" s="119">
        <f t="shared" si="1"/>
        <v>11.162098474513208</v>
      </c>
      <c r="P22" s="120">
        <f t="shared" si="2"/>
        <v>11162.098474513208</v>
      </c>
      <c r="Q22" s="121">
        <f t="shared" si="3"/>
        <v>2988837.9015254867</v>
      </c>
    </row>
    <row r="23" spans="1:17" x14ac:dyDescent="0.25">
      <c r="B23" s="122"/>
    </row>
    <row r="24" spans="1:17" x14ac:dyDescent="0.25">
      <c r="B24" s="122"/>
      <c r="C24" s="123" t="s">
        <v>179</v>
      </c>
      <c r="D24" s="124"/>
      <c r="E24" s="124"/>
      <c r="F24" s="124"/>
      <c r="G24" s="124"/>
      <c r="H24" s="125"/>
    </row>
    <row r="25" spans="1:17" x14ac:dyDescent="0.25">
      <c r="C25" s="126" t="s">
        <v>180</v>
      </c>
      <c r="D25" s="127"/>
      <c r="E25" s="127"/>
      <c r="F25" s="127"/>
      <c r="G25" s="127"/>
      <c r="H25" s="128"/>
    </row>
    <row r="26" spans="1:17" x14ac:dyDescent="0.25">
      <c r="C26" s="126" t="s">
        <v>181</v>
      </c>
      <c r="D26" s="127"/>
      <c r="E26" s="127"/>
      <c r="F26" s="340">
        <v>1</v>
      </c>
      <c r="G26" s="127"/>
      <c r="H26" s="128"/>
    </row>
    <row r="27" spans="1:17" x14ac:dyDescent="0.25">
      <c r="C27" s="126" t="s">
        <v>182</v>
      </c>
      <c r="D27" s="127"/>
      <c r="E27" s="127"/>
      <c r="F27" s="127"/>
      <c r="G27" s="127"/>
      <c r="H27" s="128"/>
    </row>
    <row r="28" spans="1:17" x14ac:dyDescent="0.25">
      <c r="C28" s="126" t="s">
        <v>183</v>
      </c>
      <c r="D28" s="127"/>
      <c r="E28" s="127"/>
      <c r="F28" s="127"/>
      <c r="G28" s="127"/>
      <c r="H28" s="128"/>
    </row>
    <row r="29" spans="1:17" x14ac:dyDescent="0.25">
      <c r="C29" s="126" t="s">
        <v>184</v>
      </c>
      <c r="D29" s="127"/>
      <c r="E29" s="127"/>
      <c r="F29" s="127"/>
      <c r="G29" s="127"/>
      <c r="H29" s="128"/>
    </row>
    <row r="30" spans="1:17" x14ac:dyDescent="0.25">
      <c r="C30" s="126" t="s">
        <v>185</v>
      </c>
      <c r="D30" s="127"/>
      <c r="E30" s="127"/>
      <c r="F30" s="127"/>
      <c r="G30" s="127"/>
      <c r="H30" s="128"/>
    </row>
    <row r="31" spans="1:17" x14ac:dyDescent="0.25">
      <c r="C31" s="126" t="s">
        <v>186</v>
      </c>
      <c r="D31" s="127"/>
      <c r="E31" s="127"/>
      <c r="F31" s="127"/>
      <c r="G31" s="127"/>
      <c r="H31" s="128"/>
    </row>
    <row r="32" spans="1:17" x14ac:dyDescent="0.25">
      <c r="C32" s="129" t="s">
        <v>187</v>
      </c>
      <c r="D32" s="130"/>
      <c r="E32" s="130"/>
      <c r="F32" s="130"/>
      <c r="G32" s="130"/>
      <c r="H32" s="131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4FF2C-4A03-43E3-BDBD-52CE7F427BBA}">
  <sheetPr>
    <tabColor theme="1"/>
  </sheetPr>
  <dimension ref="A1:AI39"/>
  <sheetViews>
    <sheetView topLeftCell="AE1" zoomScale="170" zoomScaleNormal="170" workbookViewId="0">
      <selection activeCell="AG5" sqref="AG5"/>
    </sheetView>
  </sheetViews>
  <sheetFormatPr baseColWidth="10" defaultRowHeight="15" x14ac:dyDescent="0.25"/>
  <cols>
    <col min="1" max="1" width="2.42578125" customWidth="1"/>
    <col min="9" max="9" width="2.140625" customWidth="1"/>
    <col min="10" max="10" width="24.85546875" bestFit="1" customWidth="1"/>
    <col min="11" max="12" width="11.42578125" style="136"/>
    <col min="13" max="14" width="11.42578125" style="365"/>
    <col min="16" max="16" width="14.140625" bestFit="1" customWidth="1"/>
    <col min="19" max="19" width="24.85546875" bestFit="1" customWidth="1"/>
    <col min="20" max="22" width="11.42578125" style="122"/>
    <col min="25" max="25" width="14.140625" bestFit="1" customWidth="1"/>
    <col min="28" max="28" width="24.85546875" bestFit="1" customWidth="1"/>
    <col min="29" max="32" width="11.42578125" style="122"/>
    <col min="34" max="34" width="11.28515625" customWidth="1"/>
  </cols>
  <sheetData>
    <row r="1" spans="1:35" s="57" customFormat="1" ht="25.5" x14ac:dyDescent="0.35">
      <c r="A1" s="57" t="s">
        <v>189</v>
      </c>
      <c r="J1" s="59"/>
      <c r="M1" s="364"/>
      <c r="N1" s="364"/>
      <c r="T1" s="364"/>
      <c r="U1" s="364"/>
      <c r="V1" s="364"/>
      <c r="AC1" s="364"/>
      <c r="AD1" s="364"/>
      <c r="AE1" s="364"/>
      <c r="AF1" s="364"/>
    </row>
    <row r="2" spans="1:35" ht="21.75" thickBot="1" x14ac:dyDescent="0.4">
      <c r="A2" s="132" t="s">
        <v>200</v>
      </c>
    </row>
    <row r="3" spans="1:35" ht="15.75" thickBot="1" x14ac:dyDescent="0.3">
      <c r="J3" s="45"/>
      <c r="K3" s="151" t="s">
        <v>208</v>
      </c>
      <c r="L3" s="137"/>
      <c r="M3" s="370"/>
      <c r="N3" s="371" t="s">
        <v>201</v>
      </c>
      <c r="O3" s="46"/>
      <c r="P3" s="46"/>
      <c r="Q3" s="139"/>
      <c r="S3" s="45"/>
      <c r="T3" s="151" t="s">
        <v>209</v>
      </c>
      <c r="U3" s="370"/>
      <c r="V3" s="370"/>
      <c r="W3" s="138" t="s">
        <v>210</v>
      </c>
      <c r="X3" s="46"/>
      <c r="Y3" s="46"/>
      <c r="Z3" s="139"/>
      <c r="AB3" s="45"/>
      <c r="AC3" s="151" t="s">
        <v>228</v>
      </c>
      <c r="AD3" s="370"/>
      <c r="AE3" s="370"/>
      <c r="AF3" s="366" t="s">
        <v>104</v>
      </c>
      <c r="AG3" s="154" t="s">
        <v>230</v>
      </c>
      <c r="AH3" s="46"/>
      <c r="AI3" s="139"/>
    </row>
    <row r="4" spans="1:35" ht="19.5" thickBot="1" x14ac:dyDescent="0.35">
      <c r="B4" s="133" t="s">
        <v>188</v>
      </c>
      <c r="C4" s="134"/>
      <c r="D4" s="134"/>
      <c r="E4" s="134"/>
      <c r="F4" s="134"/>
      <c r="G4" s="134"/>
      <c r="H4" s="135"/>
      <c r="J4" s="47"/>
      <c r="K4" s="140"/>
      <c r="L4" s="141"/>
      <c r="M4" s="368"/>
      <c r="N4" s="372" t="s">
        <v>202</v>
      </c>
      <c r="Q4" s="48"/>
      <c r="S4" s="47"/>
      <c r="T4" s="380"/>
      <c r="U4" s="368"/>
      <c r="V4" s="368"/>
      <c r="W4" s="142" t="s">
        <v>211</v>
      </c>
      <c r="Z4" s="48"/>
      <c r="AB4" s="47"/>
      <c r="AC4" s="380"/>
      <c r="AD4" s="368"/>
      <c r="AE4" s="368"/>
      <c r="AF4" s="367" t="s">
        <v>202</v>
      </c>
      <c r="AG4" s="397" t="s">
        <v>247</v>
      </c>
      <c r="AH4" s="398"/>
      <c r="AI4" s="399">
        <f>--+AE15</f>
        <v>-300</v>
      </c>
    </row>
    <row r="5" spans="1:35" x14ac:dyDescent="0.25">
      <c r="B5" s="153"/>
      <c r="C5" s="153"/>
      <c r="D5" s="153"/>
      <c r="E5" s="153"/>
      <c r="F5" s="153"/>
      <c r="G5" s="153"/>
      <c r="H5" s="153"/>
      <c r="J5" s="47"/>
      <c r="K5" s="143" t="s">
        <v>164</v>
      </c>
      <c r="L5" s="142" t="s">
        <v>165</v>
      </c>
      <c r="M5" s="367" t="s">
        <v>198</v>
      </c>
      <c r="N5" s="372" t="s">
        <v>203</v>
      </c>
      <c r="Q5" s="48"/>
      <c r="S5" s="47"/>
      <c r="T5" s="381" t="s">
        <v>164</v>
      </c>
      <c r="U5" s="367" t="s">
        <v>165</v>
      </c>
      <c r="V5" s="367" t="s">
        <v>198</v>
      </c>
      <c r="W5" s="142" t="s">
        <v>212</v>
      </c>
      <c r="Z5" s="48"/>
      <c r="AB5" s="47"/>
      <c r="AC5" s="381" t="s">
        <v>164</v>
      </c>
      <c r="AD5" s="367" t="s">
        <v>165</v>
      </c>
      <c r="AE5" s="367" t="s">
        <v>198</v>
      </c>
      <c r="AF5" s="367" t="s">
        <v>229</v>
      </c>
      <c r="AG5" s="385" t="s">
        <v>231</v>
      </c>
      <c r="AH5" s="385"/>
      <c r="AI5" s="386">
        <f>+AF10</f>
        <v>-1000</v>
      </c>
    </row>
    <row r="6" spans="1:35" x14ac:dyDescent="0.25">
      <c r="B6" s="153"/>
      <c r="C6" s="153"/>
      <c r="D6" s="153"/>
      <c r="E6" s="153"/>
      <c r="F6" s="153"/>
      <c r="G6" s="153"/>
      <c r="H6" s="153"/>
      <c r="J6" s="47"/>
      <c r="K6" s="140"/>
      <c r="L6" s="141"/>
      <c r="M6" s="368"/>
      <c r="N6" s="373"/>
      <c r="Q6" s="48"/>
      <c r="S6" s="47"/>
      <c r="T6" s="380"/>
      <c r="U6" s="368"/>
      <c r="V6" s="368"/>
      <c r="W6" s="141"/>
      <c r="Z6" s="48"/>
      <c r="AB6" s="47"/>
      <c r="AC6" s="380"/>
      <c r="AD6" s="368"/>
      <c r="AE6" s="368"/>
      <c r="AF6" s="368"/>
      <c r="AG6" s="385" t="s">
        <v>167</v>
      </c>
      <c r="AH6" s="385"/>
      <c r="AI6" s="386">
        <f>+AE23</f>
        <v>-27850</v>
      </c>
    </row>
    <row r="7" spans="1:35" x14ac:dyDescent="0.25">
      <c r="B7" s="153"/>
      <c r="C7" s="153"/>
      <c r="D7" s="153"/>
      <c r="E7" s="153"/>
      <c r="F7" s="153"/>
      <c r="G7" s="153"/>
      <c r="H7" s="153"/>
      <c r="J7" s="47" t="s">
        <v>19</v>
      </c>
      <c r="K7" s="362">
        <v>1000</v>
      </c>
      <c r="L7" s="361">
        <v>700</v>
      </c>
      <c r="M7" s="368">
        <f t="shared" ref="M7:M13" si="0">+L7-K7</f>
        <v>-300</v>
      </c>
      <c r="N7" s="373"/>
      <c r="Q7" s="48"/>
      <c r="S7" s="47" t="s">
        <v>19</v>
      </c>
      <c r="T7" s="380">
        <v>1000</v>
      </c>
      <c r="U7" s="368">
        <v>700</v>
      </c>
      <c r="V7" s="368">
        <f t="shared" ref="V7:V13" si="1">+U7-T7</f>
        <v>-300</v>
      </c>
      <c r="W7" s="141"/>
      <c r="Z7" s="48"/>
      <c r="AB7" s="47" t="s">
        <v>19</v>
      </c>
      <c r="AC7" s="380">
        <v>1000</v>
      </c>
      <c r="AD7" s="368">
        <v>700</v>
      </c>
      <c r="AE7" s="368">
        <f t="shared" ref="AE7:AE13" si="2">+AD7-AC7</f>
        <v>-300</v>
      </c>
      <c r="AF7" s="368"/>
      <c r="AG7" s="147"/>
      <c r="AH7" s="147"/>
      <c r="AI7" s="379">
        <f>SUM(AI4:AI6)</f>
        <v>-29150</v>
      </c>
    </row>
    <row r="8" spans="1:35" ht="15.75" thickBot="1" x14ac:dyDescent="0.3">
      <c r="B8" s="153"/>
      <c r="C8" s="153"/>
      <c r="D8" s="153"/>
      <c r="E8" s="153"/>
      <c r="F8" s="153"/>
      <c r="G8" s="153"/>
      <c r="H8" s="153"/>
      <c r="J8" s="47" t="s">
        <v>190</v>
      </c>
      <c r="K8" s="362">
        <v>2500</v>
      </c>
      <c r="L8" s="361">
        <v>2100</v>
      </c>
      <c r="M8" s="368">
        <f t="shared" si="0"/>
        <v>-400</v>
      </c>
      <c r="N8" s="373">
        <f>+M8</f>
        <v>-400</v>
      </c>
      <c r="Q8" s="48"/>
      <c r="S8" s="47" t="s">
        <v>190</v>
      </c>
      <c r="T8" s="380">
        <v>2500</v>
      </c>
      <c r="U8" s="368">
        <v>2100</v>
      </c>
      <c r="V8" s="368">
        <f t="shared" si="1"/>
        <v>-400</v>
      </c>
      <c r="W8" s="141"/>
      <c r="Z8" s="48"/>
      <c r="AB8" s="47" t="s">
        <v>190</v>
      </c>
      <c r="AC8" s="380">
        <v>2500</v>
      </c>
      <c r="AD8" s="368">
        <v>2100</v>
      </c>
      <c r="AE8" s="368">
        <f t="shared" si="2"/>
        <v>-400</v>
      </c>
      <c r="AF8" s="368"/>
      <c r="AI8" s="48"/>
    </row>
    <row r="9" spans="1:35" x14ac:dyDescent="0.25">
      <c r="B9" s="153"/>
      <c r="C9" s="153"/>
      <c r="D9" s="153"/>
      <c r="E9" s="153"/>
      <c r="F9" s="153"/>
      <c r="G9" s="153"/>
      <c r="H9" s="153"/>
      <c r="J9" s="47" t="s">
        <v>191</v>
      </c>
      <c r="K9" s="362">
        <v>-50</v>
      </c>
      <c r="L9" s="361">
        <v>0</v>
      </c>
      <c r="M9" s="368">
        <f t="shared" si="0"/>
        <v>50</v>
      </c>
      <c r="N9" s="373">
        <f>+M9</f>
        <v>50</v>
      </c>
      <c r="Q9" s="48"/>
      <c r="S9" s="47" t="s">
        <v>191</v>
      </c>
      <c r="T9" s="380">
        <v>-50</v>
      </c>
      <c r="U9" s="368">
        <v>0</v>
      </c>
      <c r="V9" s="368">
        <f t="shared" si="1"/>
        <v>50</v>
      </c>
      <c r="W9" s="141"/>
      <c r="Z9" s="48"/>
      <c r="AB9" s="47" t="s">
        <v>191</v>
      </c>
      <c r="AC9" s="380">
        <v>-50</v>
      </c>
      <c r="AD9" s="368">
        <v>0</v>
      </c>
      <c r="AE9" s="368">
        <f t="shared" si="2"/>
        <v>50</v>
      </c>
      <c r="AF9" s="368"/>
      <c r="AG9" s="388" t="s">
        <v>234</v>
      </c>
      <c r="AH9" s="389"/>
      <c r="AI9" s="390"/>
    </row>
    <row r="10" spans="1:35" x14ac:dyDescent="0.25">
      <c r="B10" s="153"/>
      <c r="C10" s="153"/>
      <c r="D10" s="153"/>
      <c r="E10" s="153"/>
      <c r="F10" s="153"/>
      <c r="G10" s="153"/>
      <c r="H10" s="153"/>
      <c r="J10" s="47" t="s">
        <v>192</v>
      </c>
      <c r="K10" s="362">
        <v>4000</v>
      </c>
      <c r="L10" s="361">
        <v>3000</v>
      </c>
      <c r="M10" s="368">
        <f t="shared" si="0"/>
        <v>-1000</v>
      </c>
      <c r="N10" s="373"/>
      <c r="Q10" s="48"/>
      <c r="S10" s="47" t="s">
        <v>192</v>
      </c>
      <c r="T10" s="380">
        <v>4000</v>
      </c>
      <c r="U10" s="368">
        <v>3000</v>
      </c>
      <c r="V10" s="368">
        <f t="shared" si="1"/>
        <v>-1000</v>
      </c>
      <c r="W10" s="141"/>
      <c r="Z10" s="48"/>
      <c r="AB10" s="47" t="s">
        <v>192</v>
      </c>
      <c r="AC10" s="380">
        <v>4000</v>
      </c>
      <c r="AD10" s="368">
        <v>3000</v>
      </c>
      <c r="AE10" s="368">
        <f t="shared" si="2"/>
        <v>-1000</v>
      </c>
      <c r="AF10" s="368">
        <f>+AE10</f>
        <v>-1000</v>
      </c>
      <c r="AG10" s="391" t="s">
        <v>240</v>
      </c>
      <c r="AH10" s="155"/>
      <c r="AI10" s="156"/>
    </row>
    <row r="11" spans="1:35" x14ac:dyDescent="0.25">
      <c r="B11" s="153"/>
      <c r="C11" s="153"/>
      <c r="D11" s="153"/>
      <c r="E11" s="153"/>
      <c r="F11" s="153"/>
      <c r="G11" s="153"/>
      <c r="H11" s="153"/>
      <c r="J11" s="47" t="s">
        <v>193</v>
      </c>
      <c r="K11" s="362">
        <v>-80</v>
      </c>
      <c r="L11" s="361">
        <v>0</v>
      </c>
      <c r="M11" s="368">
        <f t="shared" si="0"/>
        <v>80</v>
      </c>
      <c r="N11" s="373"/>
      <c r="Q11" s="48"/>
      <c r="S11" s="47" t="s">
        <v>193</v>
      </c>
      <c r="T11" s="380">
        <v>-80</v>
      </c>
      <c r="U11" s="368">
        <v>0</v>
      </c>
      <c r="V11" s="368">
        <f t="shared" si="1"/>
        <v>80</v>
      </c>
      <c r="W11" s="141"/>
      <c r="Z11" s="48"/>
      <c r="AB11" s="47" t="s">
        <v>193</v>
      </c>
      <c r="AC11" s="380">
        <v>-80</v>
      </c>
      <c r="AD11" s="368">
        <v>0</v>
      </c>
      <c r="AE11" s="368">
        <f t="shared" si="2"/>
        <v>80</v>
      </c>
      <c r="AF11" s="368">
        <f>+AE11</f>
        <v>80</v>
      </c>
      <c r="AG11" s="164" t="s">
        <v>216</v>
      </c>
      <c r="AH11" s="155"/>
      <c r="AI11" s="156"/>
    </row>
    <row r="12" spans="1:35" x14ac:dyDescent="0.25">
      <c r="B12" s="153"/>
      <c r="C12" s="153"/>
      <c r="D12" s="153"/>
      <c r="E12" s="153"/>
      <c r="F12" s="153"/>
      <c r="G12" s="153"/>
      <c r="H12" s="153"/>
      <c r="J12" s="47" t="s">
        <v>194</v>
      </c>
      <c r="K12" s="362">
        <v>15000</v>
      </c>
      <c r="L12" s="361">
        <v>13000</v>
      </c>
      <c r="M12" s="368">
        <f t="shared" si="0"/>
        <v>-2000</v>
      </c>
      <c r="N12" s="373"/>
      <c r="O12" s="122" t="s">
        <v>207</v>
      </c>
      <c r="Q12" s="48"/>
      <c r="S12" s="47" t="s">
        <v>194</v>
      </c>
      <c r="T12" s="380">
        <v>15000</v>
      </c>
      <c r="U12" s="368">
        <v>13000</v>
      </c>
      <c r="V12" s="368">
        <f t="shared" si="1"/>
        <v>-2000</v>
      </c>
      <c r="W12" s="141">
        <f>+V12</f>
        <v>-2000</v>
      </c>
      <c r="X12" s="122" t="s">
        <v>213</v>
      </c>
      <c r="Z12" s="48"/>
      <c r="AB12" s="47" t="s">
        <v>194</v>
      </c>
      <c r="AC12" s="380">
        <v>15000</v>
      </c>
      <c r="AD12" s="368">
        <v>13000</v>
      </c>
      <c r="AE12" s="368">
        <f t="shared" si="2"/>
        <v>-2000</v>
      </c>
      <c r="AF12" s="368"/>
      <c r="AG12" s="164" t="s">
        <v>233</v>
      </c>
      <c r="AH12" s="155"/>
      <c r="AI12" s="156"/>
    </row>
    <row r="13" spans="1:35" ht="15.75" thickBot="1" x14ac:dyDescent="0.3">
      <c r="B13" s="153"/>
      <c r="C13" s="153"/>
      <c r="D13" s="153"/>
      <c r="E13" s="153"/>
      <c r="F13" s="153"/>
      <c r="G13" s="153"/>
      <c r="H13" s="153"/>
      <c r="J13" s="47" t="s">
        <v>195</v>
      </c>
      <c r="K13" s="362">
        <v>-3200</v>
      </c>
      <c r="L13" s="361">
        <v>-2600</v>
      </c>
      <c r="M13" s="368">
        <f t="shared" si="0"/>
        <v>600</v>
      </c>
      <c r="N13" s="373"/>
      <c r="O13" s="149" t="s">
        <v>204</v>
      </c>
      <c r="P13" s="149"/>
      <c r="Q13" s="150">
        <f>+L8</f>
        <v>2100</v>
      </c>
      <c r="S13" s="47" t="s">
        <v>195</v>
      </c>
      <c r="T13" s="380">
        <v>-3200</v>
      </c>
      <c r="U13" s="368">
        <v>-2600</v>
      </c>
      <c r="V13" s="368">
        <f t="shared" si="1"/>
        <v>600</v>
      </c>
      <c r="W13" s="141">
        <f>+V13</f>
        <v>600</v>
      </c>
      <c r="X13" s="149" t="s">
        <v>221</v>
      </c>
      <c r="Y13" s="149"/>
      <c r="Z13" s="150">
        <f>+T12</f>
        <v>15000</v>
      </c>
      <c r="AB13" s="47" t="s">
        <v>195</v>
      </c>
      <c r="AC13" s="380">
        <v>-3200</v>
      </c>
      <c r="AD13" s="368">
        <v>-2600</v>
      </c>
      <c r="AE13" s="368">
        <f t="shared" si="2"/>
        <v>600</v>
      </c>
      <c r="AF13" s="368"/>
      <c r="AG13" s="161" t="s">
        <v>241</v>
      </c>
      <c r="AH13" s="162"/>
      <c r="AI13" s="163"/>
    </row>
    <row r="14" spans="1:35" x14ac:dyDescent="0.25">
      <c r="B14" s="153"/>
      <c r="C14" s="153"/>
      <c r="D14" s="153"/>
      <c r="E14" s="153"/>
      <c r="F14" s="153"/>
      <c r="G14" s="153"/>
      <c r="H14" s="153"/>
      <c r="J14" s="47"/>
      <c r="K14" s="362"/>
      <c r="L14" s="361"/>
      <c r="M14" s="368"/>
      <c r="N14" s="373"/>
      <c r="O14" s="149" t="s">
        <v>205</v>
      </c>
      <c r="P14" s="149"/>
      <c r="Q14" s="150">
        <f>+M22</f>
        <v>40000</v>
      </c>
      <c r="S14" s="47"/>
      <c r="T14" s="380"/>
      <c r="U14" s="368"/>
      <c r="V14" s="368"/>
      <c r="W14" s="141"/>
      <c r="X14" s="149" t="s">
        <v>222</v>
      </c>
      <c r="Y14" s="149"/>
      <c r="Z14" s="150">
        <f>-U12</f>
        <v>-13000</v>
      </c>
      <c r="AB14" s="47"/>
      <c r="AC14" s="380"/>
      <c r="AD14" s="368"/>
      <c r="AE14" s="368"/>
      <c r="AF14" s="368"/>
      <c r="AI14" s="48"/>
    </row>
    <row r="15" spans="1:35" x14ac:dyDescent="0.25">
      <c r="B15" s="153"/>
      <c r="C15" s="153"/>
      <c r="D15" s="153"/>
      <c r="E15" s="153"/>
      <c r="F15" s="153"/>
      <c r="G15" s="153"/>
      <c r="H15" s="153"/>
      <c r="J15" s="47" t="s">
        <v>196</v>
      </c>
      <c r="K15" s="362">
        <v>-4500</v>
      </c>
      <c r="L15" s="361">
        <v>-4800</v>
      </c>
      <c r="M15" s="368">
        <f>+L15-K15</f>
        <v>-300</v>
      </c>
      <c r="N15" s="373"/>
      <c r="O15" s="149" t="s">
        <v>206</v>
      </c>
      <c r="P15" s="149"/>
      <c r="Q15" s="150">
        <f>-K8</f>
        <v>-2500</v>
      </c>
      <c r="S15" s="47" t="s">
        <v>196</v>
      </c>
      <c r="T15" s="380">
        <v>-4500</v>
      </c>
      <c r="U15" s="368">
        <v>-4800</v>
      </c>
      <c r="V15" s="368">
        <f t="shared" ref="V15:V17" si="3">+U15-T15</f>
        <v>-300</v>
      </c>
      <c r="W15" s="141"/>
      <c r="X15" s="149" t="s">
        <v>224</v>
      </c>
      <c r="Y15" s="149"/>
      <c r="Z15" s="150">
        <f>+T24</f>
        <v>700</v>
      </c>
      <c r="AB15" s="47" t="s">
        <v>196</v>
      </c>
      <c r="AC15" s="380">
        <v>-4500</v>
      </c>
      <c r="AD15" s="368">
        <v>-4800</v>
      </c>
      <c r="AE15" s="368">
        <f t="shared" ref="AE15:AE17" si="4">+AD15-AC15</f>
        <v>-300</v>
      </c>
      <c r="AF15" s="368">
        <f>+AE15</f>
        <v>-300</v>
      </c>
      <c r="AG15" s="158" t="s">
        <v>232</v>
      </c>
      <c r="AH15" s="159"/>
      <c r="AI15" s="160"/>
    </row>
    <row r="16" spans="1:35" x14ac:dyDescent="0.25">
      <c r="B16" s="153"/>
      <c r="C16" s="153"/>
      <c r="D16" s="153"/>
      <c r="E16" s="153"/>
      <c r="F16" s="153"/>
      <c r="G16" s="153"/>
      <c r="H16" s="153"/>
      <c r="J16" s="47" t="s">
        <v>197</v>
      </c>
      <c r="K16" s="362">
        <v>-1300</v>
      </c>
      <c r="L16" s="361">
        <v>-1200</v>
      </c>
      <c r="M16" s="368">
        <f>+L16-K16</f>
        <v>100</v>
      </c>
      <c r="N16" s="373"/>
      <c r="O16" s="147"/>
      <c r="P16" s="147"/>
      <c r="Q16" s="379">
        <f>SUM(Q13:Q15)</f>
        <v>39600</v>
      </c>
      <c r="S16" s="47" t="s">
        <v>197</v>
      </c>
      <c r="T16" s="380">
        <v>-1300</v>
      </c>
      <c r="U16" s="368">
        <v>-1200</v>
      </c>
      <c r="V16" s="368">
        <f t="shared" si="3"/>
        <v>100</v>
      </c>
      <c r="W16" s="141"/>
      <c r="X16" s="147"/>
      <c r="Y16" s="147"/>
      <c r="Z16" s="148">
        <f>SUM(Z13:Z15)</f>
        <v>2700</v>
      </c>
      <c r="AB16" s="47" t="s">
        <v>197</v>
      </c>
      <c r="AC16" s="380">
        <v>-1300</v>
      </c>
      <c r="AD16" s="368">
        <v>-1200</v>
      </c>
      <c r="AE16" s="368">
        <f t="shared" si="4"/>
        <v>100</v>
      </c>
      <c r="AF16" s="368"/>
      <c r="AG16" s="387" t="s">
        <v>240</v>
      </c>
      <c r="AH16" s="387"/>
      <c r="AI16" s="395"/>
    </row>
    <row r="17" spans="2:35" x14ac:dyDescent="0.25">
      <c r="B17" s="153"/>
      <c r="C17" s="153"/>
      <c r="D17" s="153"/>
      <c r="E17" s="153"/>
      <c r="F17" s="153"/>
      <c r="G17" s="153"/>
      <c r="H17" s="153"/>
      <c r="J17" s="47" t="s">
        <v>94</v>
      </c>
      <c r="K17" s="362">
        <v>-1250</v>
      </c>
      <c r="L17" s="361">
        <v>-1600</v>
      </c>
      <c r="M17" s="368">
        <f>+L17-K17</f>
        <v>-350</v>
      </c>
      <c r="N17" s="373"/>
      <c r="Q17" s="48"/>
      <c r="S17" s="47" t="s">
        <v>94</v>
      </c>
      <c r="T17" s="380">
        <v>-1250</v>
      </c>
      <c r="U17" s="368">
        <v>-1600</v>
      </c>
      <c r="V17" s="368">
        <f t="shared" si="3"/>
        <v>-350</v>
      </c>
      <c r="W17" s="141"/>
      <c r="Z17" s="48"/>
      <c r="AB17" s="47" t="s">
        <v>94</v>
      </c>
      <c r="AC17" s="380">
        <v>-1250</v>
      </c>
      <c r="AD17" s="368">
        <v>-1600</v>
      </c>
      <c r="AE17" s="368">
        <f t="shared" si="4"/>
        <v>-350</v>
      </c>
      <c r="AF17" s="368"/>
      <c r="AG17" s="387" t="s">
        <v>242</v>
      </c>
      <c r="AH17" s="387"/>
      <c r="AI17" s="395"/>
    </row>
    <row r="18" spans="2:35" ht="15.75" thickBot="1" x14ac:dyDescent="0.3">
      <c r="B18" s="153"/>
      <c r="C18" s="153"/>
      <c r="D18" s="153"/>
      <c r="E18" s="153"/>
      <c r="F18" s="153"/>
      <c r="G18" s="153"/>
      <c r="H18" s="153"/>
      <c r="J18" s="47"/>
      <c r="K18" s="362"/>
      <c r="L18" s="361"/>
      <c r="M18" s="368"/>
      <c r="N18" s="373"/>
      <c r="Q18" s="48"/>
      <c r="S18" s="47"/>
      <c r="T18" s="380"/>
      <c r="U18" s="368"/>
      <c r="V18" s="368"/>
      <c r="W18" s="141"/>
      <c r="Z18" s="48"/>
      <c r="AB18" s="47"/>
      <c r="AC18" s="380"/>
      <c r="AD18" s="368"/>
      <c r="AE18" s="368"/>
      <c r="AF18" s="368"/>
      <c r="AG18" s="396" t="s">
        <v>216</v>
      </c>
      <c r="AH18" s="387"/>
      <c r="AI18" s="395"/>
    </row>
    <row r="19" spans="2:35" ht="15.75" thickBot="1" x14ac:dyDescent="0.3">
      <c r="B19" s="153"/>
      <c r="C19" s="153"/>
      <c r="D19" s="153"/>
      <c r="E19" s="153"/>
      <c r="F19" s="153"/>
      <c r="G19" s="153"/>
      <c r="H19" s="153"/>
      <c r="J19" s="47" t="s">
        <v>70</v>
      </c>
      <c r="K19" s="362">
        <v>-9000</v>
      </c>
      <c r="L19" s="361">
        <v>-8000</v>
      </c>
      <c r="M19" s="368">
        <f t="shared" ref="M19:M28" si="5">+L19-K19</f>
        <v>1000</v>
      </c>
      <c r="N19" s="373"/>
      <c r="Q19" s="48"/>
      <c r="S19" s="47" t="s">
        <v>70</v>
      </c>
      <c r="T19" s="380">
        <v>-9000</v>
      </c>
      <c r="U19" s="368">
        <v>-8000</v>
      </c>
      <c r="V19" s="368">
        <f t="shared" ref="V19:V21" si="6">+U19-T19</f>
        <v>1000</v>
      </c>
      <c r="W19" s="141"/>
      <c r="Z19" s="48"/>
      <c r="AB19" s="47" t="s">
        <v>70</v>
      </c>
      <c r="AC19" s="380">
        <v>-9000</v>
      </c>
      <c r="AD19" s="368">
        <v>-8000</v>
      </c>
      <c r="AE19" s="368">
        <f t="shared" ref="AE19:AE21" si="7">+AD19-AC19</f>
        <v>1000</v>
      </c>
      <c r="AF19" s="368"/>
      <c r="AG19" s="392" t="s">
        <v>235</v>
      </c>
      <c r="AH19" s="393"/>
      <c r="AI19" s="394"/>
    </row>
    <row r="20" spans="2:35" x14ac:dyDescent="0.25">
      <c r="B20" s="153"/>
      <c r="C20" s="153"/>
      <c r="D20" s="153"/>
      <c r="E20" s="153"/>
      <c r="F20" s="153"/>
      <c r="G20" s="153"/>
      <c r="H20" s="153"/>
      <c r="J20" s="47" t="s">
        <v>61</v>
      </c>
      <c r="K20" s="362">
        <v>-400</v>
      </c>
      <c r="L20" s="361">
        <v>-600</v>
      </c>
      <c r="M20" s="368">
        <f t="shared" si="5"/>
        <v>-200</v>
      </c>
      <c r="N20" s="373"/>
      <c r="P20" s="152" t="s">
        <v>227</v>
      </c>
      <c r="Q20" s="48"/>
      <c r="S20" s="47" t="s">
        <v>61</v>
      </c>
      <c r="T20" s="380">
        <v>-400</v>
      </c>
      <c r="U20" s="368">
        <v>-600</v>
      </c>
      <c r="V20" s="368">
        <f t="shared" si="6"/>
        <v>-200</v>
      </c>
      <c r="W20" s="141"/>
      <c r="Y20" s="384" t="s">
        <v>220</v>
      </c>
      <c r="Z20" s="48"/>
      <c r="AB20" s="47" t="s">
        <v>61</v>
      </c>
      <c r="AC20" s="380">
        <v>-400</v>
      </c>
      <c r="AD20" s="368">
        <v>-600</v>
      </c>
      <c r="AE20" s="368">
        <f t="shared" si="7"/>
        <v>-200</v>
      </c>
      <c r="AF20" s="368"/>
      <c r="AI20" s="48"/>
    </row>
    <row r="21" spans="2:35" x14ac:dyDescent="0.25">
      <c r="B21" s="153"/>
      <c r="C21" s="153"/>
      <c r="D21" s="153"/>
      <c r="E21" s="153"/>
      <c r="F21" s="153"/>
      <c r="G21" s="153"/>
      <c r="H21" s="153"/>
      <c r="J21" s="47"/>
      <c r="K21" s="362"/>
      <c r="L21" s="141"/>
      <c r="M21" s="368">
        <f t="shared" si="5"/>
        <v>0</v>
      </c>
      <c r="N21" s="373"/>
      <c r="P21" s="376" t="s">
        <v>215</v>
      </c>
      <c r="Q21" s="48"/>
      <c r="S21" s="47"/>
      <c r="T21" s="380"/>
      <c r="U21" s="368"/>
      <c r="V21" s="368">
        <f t="shared" si="6"/>
        <v>0</v>
      </c>
      <c r="W21" s="141"/>
      <c r="Y21" s="376" t="s">
        <v>221</v>
      </c>
      <c r="Z21" s="48"/>
      <c r="AB21" s="47"/>
      <c r="AC21" s="380"/>
      <c r="AD21" s="368"/>
      <c r="AE21" s="368">
        <f t="shared" si="7"/>
        <v>0</v>
      </c>
      <c r="AF21" s="368"/>
      <c r="AG21" s="158" t="s">
        <v>236</v>
      </c>
      <c r="AH21" s="159"/>
      <c r="AI21" s="160"/>
    </row>
    <row r="22" spans="2:35" x14ac:dyDescent="0.25">
      <c r="B22" s="153"/>
      <c r="C22" s="153"/>
      <c r="D22" s="153"/>
      <c r="E22" s="153"/>
      <c r="F22" s="153"/>
      <c r="G22" s="153"/>
      <c r="H22" s="153"/>
      <c r="J22" s="47" t="s">
        <v>166</v>
      </c>
      <c r="K22" s="362">
        <v>-40000</v>
      </c>
      <c r="L22" s="141"/>
      <c r="M22" s="368">
        <f t="shared" si="5"/>
        <v>40000</v>
      </c>
      <c r="N22" s="373">
        <f t="shared" ref="N22" si="8">+M22-L22</f>
        <v>40000</v>
      </c>
      <c r="P22" s="376" t="s">
        <v>219</v>
      </c>
      <c r="Q22" s="48"/>
      <c r="S22" s="47" t="s">
        <v>166</v>
      </c>
      <c r="T22" s="380">
        <v>-40000</v>
      </c>
      <c r="U22" s="368"/>
      <c r="V22" s="368">
        <f t="shared" ref="V22:V28" si="9">+U22-T22</f>
        <v>40000</v>
      </c>
      <c r="W22" s="141"/>
      <c r="Y22" s="376" t="s">
        <v>222</v>
      </c>
      <c r="Z22" s="48"/>
      <c r="AB22" s="47" t="s">
        <v>166</v>
      </c>
      <c r="AC22" s="380">
        <v>-40000</v>
      </c>
      <c r="AD22" s="368"/>
      <c r="AE22" s="368">
        <f t="shared" ref="AE22:AE28" si="10">+AD22-AC22</f>
        <v>40000</v>
      </c>
      <c r="AF22" s="368"/>
      <c r="AG22" s="387" t="s">
        <v>243</v>
      </c>
      <c r="AH22" s="155"/>
      <c r="AI22" s="156"/>
    </row>
    <row r="23" spans="2:35" ht="15.75" thickBot="1" x14ac:dyDescent="0.3">
      <c r="B23" s="153"/>
      <c r="C23" s="153"/>
      <c r="D23" s="153"/>
      <c r="E23" s="153"/>
      <c r="F23" s="153"/>
      <c r="G23" s="153"/>
      <c r="H23" s="153"/>
      <c r="J23" s="47" t="s">
        <v>167</v>
      </c>
      <c r="K23" s="362">
        <v>27850</v>
      </c>
      <c r="L23" s="141"/>
      <c r="M23" s="368">
        <f t="shared" si="5"/>
        <v>-27850</v>
      </c>
      <c r="N23" s="373"/>
      <c r="P23" s="378" t="s">
        <v>223</v>
      </c>
      <c r="Q23" s="48"/>
      <c r="S23" s="47" t="s">
        <v>167</v>
      </c>
      <c r="T23" s="380">
        <v>27850</v>
      </c>
      <c r="U23" s="368"/>
      <c r="V23" s="368">
        <f t="shared" si="9"/>
        <v>-27850</v>
      </c>
      <c r="W23" s="141"/>
      <c r="Y23" s="378" t="s">
        <v>223</v>
      </c>
      <c r="Z23" s="48"/>
      <c r="AB23" s="47" t="s">
        <v>167</v>
      </c>
      <c r="AC23" s="380">
        <v>27850</v>
      </c>
      <c r="AD23" s="368"/>
      <c r="AE23" s="368">
        <f t="shared" si="10"/>
        <v>-27850</v>
      </c>
      <c r="AF23" s="368">
        <f>+AE23</f>
        <v>-27850</v>
      </c>
      <c r="AG23" s="387" t="s">
        <v>216</v>
      </c>
      <c r="AH23" s="155"/>
      <c r="AI23" s="156"/>
    </row>
    <row r="24" spans="2:35" ht="15.75" thickBot="1" x14ac:dyDescent="0.3">
      <c r="B24" s="153"/>
      <c r="C24" s="153"/>
      <c r="D24" s="153"/>
      <c r="E24" s="153"/>
      <c r="F24" s="153"/>
      <c r="G24" s="153"/>
      <c r="H24" s="153"/>
      <c r="J24" s="47" t="s">
        <v>214</v>
      </c>
      <c r="K24" s="362">
        <v>700</v>
      </c>
      <c r="L24" s="141"/>
      <c r="M24" s="368">
        <f t="shared" si="5"/>
        <v>-700</v>
      </c>
      <c r="N24" s="373"/>
      <c r="Q24" s="48"/>
      <c r="S24" s="47" t="s">
        <v>214</v>
      </c>
      <c r="T24" s="380">
        <v>700</v>
      </c>
      <c r="U24" s="368"/>
      <c r="V24" s="368">
        <f t="shared" si="9"/>
        <v>-700</v>
      </c>
      <c r="W24" s="141">
        <f>+V24</f>
        <v>-700</v>
      </c>
      <c r="Z24" s="48"/>
      <c r="AB24" s="47" t="s">
        <v>214</v>
      </c>
      <c r="AC24" s="380">
        <v>700</v>
      </c>
      <c r="AD24" s="368"/>
      <c r="AE24" s="368">
        <f t="shared" si="10"/>
        <v>-700</v>
      </c>
      <c r="AF24" s="368"/>
      <c r="AG24" s="387" t="s">
        <v>237</v>
      </c>
      <c r="AH24" s="155"/>
      <c r="AI24" s="156"/>
    </row>
    <row r="25" spans="2:35" x14ac:dyDescent="0.25">
      <c r="B25" s="153"/>
      <c r="C25" s="153"/>
      <c r="D25" s="153"/>
      <c r="E25" s="153"/>
      <c r="F25" s="153"/>
      <c r="G25" s="153"/>
      <c r="H25" s="153"/>
      <c r="J25" s="47" t="s">
        <v>199</v>
      </c>
      <c r="K25" s="362">
        <v>8000</v>
      </c>
      <c r="L25" s="141"/>
      <c r="M25" s="368">
        <f t="shared" si="5"/>
        <v>-8000</v>
      </c>
      <c r="N25" s="373"/>
      <c r="P25" s="375" t="s">
        <v>215</v>
      </c>
      <c r="Q25" s="48"/>
      <c r="S25" s="47" t="s">
        <v>199</v>
      </c>
      <c r="T25" s="380">
        <v>8000</v>
      </c>
      <c r="U25" s="368"/>
      <c r="V25" s="368">
        <f t="shared" si="9"/>
        <v>-8000</v>
      </c>
      <c r="W25" s="141"/>
      <c r="Y25" s="375" t="s">
        <v>215</v>
      </c>
      <c r="Z25" s="48"/>
      <c r="AB25" s="47" t="s">
        <v>199</v>
      </c>
      <c r="AC25" s="380">
        <v>8000</v>
      </c>
      <c r="AD25" s="368"/>
      <c r="AE25" s="368">
        <f t="shared" si="10"/>
        <v>-8000</v>
      </c>
      <c r="AF25" s="368"/>
      <c r="AG25" s="157" t="s">
        <v>244</v>
      </c>
      <c r="AH25" s="155"/>
      <c r="AI25" s="156"/>
    </row>
    <row r="26" spans="2:35" x14ac:dyDescent="0.25">
      <c r="B26" s="153"/>
      <c r="C26" s="153"/>
      <c r="D26" s="153"/>
      <c r="E26" s="153"/>
      <c r="F26" s="153"/>
      <c r="G26" s="153"/>
      <c r="H26" s="153"/>
      <c r="J26" s="47" t="s">
        <v>191</v>
      </c>
      <c r="K26" s="362">
        <v>50</v>
      </c>
      <c r="L26" s="141"/>
      <c r="M26" s="368">
        <f t="shared" si="5"/>
        <v>-50</v>
      </c>
      <c r="N26" s="373">
        <f>+M26</f>
        <v>-50</v>
      </c>
      <c r="P26" s="376" t="s">
        <v>225</v>
      </c>
      <c r="Q26" s="48"/>
      <c r="S26" s="47" t="s">
        <v>191</v>
      </c>
      <c r="T26" s="380">
        <v>50</v>
      </c>
      <c r="U26" s="368"/>
      <c r="V26" s="368">
        <f t="shared" si="9"/>
        <v>-50</v>
      </c>
      <c r="W26" s="141"/>
      <c r="Y26" s="383" t="s">
        <v>216</v>
      </c>
      <c r="Z26" s="48"/>
      <c r="AB26" s="47" t="s">
        <v>191</v>
      </c>
      <c r="AC26" s="380">
        <v>50</v>
      </c>
      <c r="AD26" s="368"/>
      <c r="AE26" s="368">
        <f t="shared" si="10"/>
        <v>-50</v>
      </c>
      <c r="AF26" s="368"/>
      <c r="AI26" s="48"/>
    </row>
    <row r="27" spans="2:35" x14ac:dyDescent="0.25">
      <c r="B27" s="153"/>
      <c r="C27" s="153"/>
      <c r="D27" s="153"/>
      <c r="E27" s="153"/>
      <c r="F27" s="153"/>
      <c r="G27" s="153"/>
      <c r="H27" s="153"/>
      <c r="J27" s="47" t="s">
        <v>193</v>
      </c>
      <c r="K27" s="362">
        <v>80</v>
      </c>
      <c r="L27" s="141"/>
      <c r="M27" s="368">
        <f t="shared" si="5"/>
        <v>-80</v>
      </c>
      <c r="N27" s="373"/>
      <c r="P27" s="376" t="s">
        <v>226</v>
      </c>
      <c r="Q27" s="48"/>
      <c r="S27" s="47" t="s">
        <v>193</v>
      </c>
      <c r="T27" s="380">
        <v>80</v>
      </c>
      <c r="U27" s="368"/>
      <c r="V27" s="368">
        <f t="shared" si="9"/>
        <v>-80</v>
      </c>
      <c r="W27" s="141"/>
      <c r="Y27" s="376" t="s">
        <v>217</v>
      </c>
      <c r="Z27" s="48"/>
      <c r="AB27" s="47" t="s">
        <v>193</v>
      </c>
      <c r="AC27" s="380">
        <v>80</v>
      </c>
      <c r="AD27" s="368"/>
      <c r="AE27" s="368">
        <f t="shared" si="10"/>
        <v>-80</v>
      </c>
      <c r="AF27" s="368">
        <f>+AE27</f>
        <v>-80</v>
      </c>
      <c r="AG27" s="158" t="s">
        <v>238</v>
      </c>
      <c r="AH27" s="159"/>
      <c r="AI27" s="160"/>
    </row>
    <row r="28" spans="2:35" ht="15.75" thickBot="1" x14ac:dyDescent="0.3">
      <c r="B28" s="153"/>
      <c r="C28" s="153"/>
      <c r="D28" s="153"/>
      <c r="E28" s="153"/>
      <c r="F28" s="153"/>
      <c r="G28" s="153"/>
      <c r="H28" s="153"/>
      <c r="J28" s="47" t="s">
        <v>380</v>
      </c>
      <c r="K28" s="362">
        <v>600</v>
      </c>
      <c r="L28" s="141"/>
      <c r="M28" s="368">
        <f t="shared" si="5"/>
        <v>-600</v>
      </c>
      <c r="N28" s="373"/>
      <c r="P28" s="377" t="s">
        <v>218</v>
      </c>
      <c r="Q28" s="48"/>
      <c r="S28" s="47" t="s">
        <v>381</v>
      </c>
      <c r="T28" s="380">
        <v>600</v>
      </c>
      <c r="U28" s="368"/>
      <c r="V28" s="368">
        <f t="shared" si="9"/>
        <v>-600</v>
      </c>
      <c r="W28" s="141">
        <f>+V28</f>
        <v>-600</v>
      </c>
      <c r="Y28" s="377" t="s">
        <v>218</v>
      </c>
      <c r="Z28" s="48"/>
      <c r="AB28" s="47" t="s">
        <v>195</v>
      </c>
      <c r="AC28" s="380">
        <v>600</v>
      </c>
      <c r="AD28" s="368"/>
      <c r="AE28" s="368">
        <f t="shared" si="10"/>
        <v>-600</v>
      </c>
      <c r="AF28" s="368"/>
      <c r="AG28" s="400" t="s">
        <v>221</v>
      </c>
      <c r="AH28" s="400"/>
      <c r="AI28" s="401"/>
    </row>
    <row r="29" spans="2:35" ht="15.75" thickBot="1" x14ac:dyDescent="0.3">
      <c r="B29" s="153"/>
      <c r="C29" s="153"/>
      <c r="D29" s="153"/>
      <c r="E29" s="153"/>
      <c r="F29" s="153"/>
      <c r="G29" s="153"/>
      <c r="H29" s="153"/>
      <c r="J29" s="49"/>
      <c r="K29" s="144">
        <f>SUM(K7:K28)</f>
        <v>0</v>
      </c>
      <c r="L29" s="145">
        <f>SUM(L7:L28)</f>
        <v>0</v>
      </c>
      <c r="M29" s="369">
        <f>SUM(M7:M28)</f>
        <v>0</v>
      </c>
      <c r="N29" s="374">
        <f>SUM(N7:N28)</f>
        <v>39600</v>
      </c>
      <c r="O29" s="50"/>
      <c r="P29" s="50"/>
      <c r="Q29" s="146"/>
      <c r="S29" s="49"/>
      <c r="T29" s="382">
        <f>SUM(T7:T28)</f>
        <v>0</v>
      </c>
      <c r="U29" s="369">
        <f>SUM(U7:U28)</f>
        <v>0</v>
      </c>
      <c r="V29" s="369">
        <f>SUM(V7:V28)</f>
        <v>0</v>
      </c>
      <c r="W29" s="369">
        <f>SUM(W7:W28)</f>
        <v>-2700</v>
      </c>
      <c r="X29" s="50"/>
      <c r="Y29" s="50"/>
      <c r="Z29" s="146"/>
      <c r="AB29" s="49"/>
      <c r="AC29" s="382">
        <f>SUM(AC7:AC28)</f>
        <v>0</v>
      </c>
      <c r="AD29" s="369">
        <f>SUM(AD7:AD28)</f>
        <v>0</v>
      </c>
      <c r="AE29" s="369">
        <f>SUM(AE7:AE28)</f>
        <v>0</v>
      </c>
      <c r="AF29" s="369">
        <f>SUM(AF7:AF28)</f>
        <v>-29150</v>
      </c>
      <c r="AG29" s="400" t="s">
        <v>222</v>
      </c>
      <c r="AH29" s="400"/>
      <c r="AI29" s="401"/>
    </row>
    <row r="30" spans="2:35" x14ac:dyDescent="0.25">
      <c r="AG30" s="402" t="s">
        <v>239</v>
      </c>
      <c r="AH30" s="400"/>
      <c r="AI30" s="401"/>
    </row>
    <row r="31" spans="2:35" x14ac:dyDescent="0.25">
      <c r="AG31" s="166" t="s">
        <v>220</v>
      </c>
      <c r="AH31" s="155"/>
      <c r="AI31" s="156"/>
    </row>
    <row r="32" spans="2:35" x14ac:dyDescent="0.25">
      <c r="AG32" s="47"/>
      <c r="AI32" s="48"/>
    </row>
    <row r="33" spans="11:35" x14ac:dyDescent="0.25">
      <c r="AG33" s="165" t="s">
        <v>232</v>
      </c>
      <c r="AH33" s="159"/>
      <c r="AI33" s="160"/>
    </row>
    <row r="34" spans="11:35" s="122" customFormat="1" x14ac:dyDescent="0.25">
      <c r="K34" s="365"/>
      <c r="L34" s="365"/>
      <c r="M34" s="365"/>
      <c r="N34" s="365"/>
      <c r="AG34" s="403" t="s">
        <v>240</v>
      </c>
      <c r="AH34" s="387"/>
      <c r="AI34" s="395"/>
    </row>
    <row r="35" spans="11:35" s="122" customFormat="1" x14ac:dyDescent="0.25">
      <c r="K35" s="365"/>
      <c r="L35" s="365"/>
      <c r="M35" s="365"/>
      <c r="N35" s="365"/>
      <c r="AG35" s="403" t="s">
        <v>242</v>
      </c>
      <c r="AH35" s="387"/>
      <c r="AI35" s="395"/>
    </row>
    <row r="36" spans="11:35" x14ac:dyDescent="0.25">
      <c r="AG36" s="404" t="s">
        <v>245</v>
      </c>
      <c r="AH36" s="155"/>
      <c r="AI36" s="156"/>
    </row>
    <row r="37" spans="11:35" x14ac:dyDescent="0.25">
      <c r="AG37" s="404" t="s">
        <v>246</v>
      </c>
      <c r="AH37" s="155"/>
      <c r="AI37" s="156"/>
    </row>
    <row r="38" spans="11:35" x14ac:dyDescent="0.25">
      <c r="AG38" s="391" t="s">
        <v>239</v>
      </c>
      <c r="AH38" s="155"/>
      <c r="AI38" s="156"/>
    </row>
    <row r="39" spans="11:35" ht="15.75" thickBot="1" x14ac:dyDescent="0.3">
      <c r="AG39" s="161" t="s">
        <v>235</v>
      </c>
      <c r="AH39" s="162"/>
      <c r="AI39" s="16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835D-B991-43BA-A386-D7FF0EBF19E4}">
  <sheetPr>
    <tabColor theme="1"/>
  </sheetPr>
  <dimension ref="A1:K50"/>
  <sheetViews>
    <sheetView zoomScale="170" zoomScaleNormal="170" workbookViewId="0">
      <selection activeCell="J28" activeCellId="1" sqref="G1:G1048576 J1:J1048576"/>
    </sheetView>
  </sheetViews>
  <sheetFormatPr baseColWidth="10" defaultRowHeight="14.25" x14ac:dyDescent="0.2"/>
  <cols>
    <col min="1" max="1" width="3" style="1" customWidth="1"/>
    <col min="2" max="2" width="14.5703125" style="1" customWidth="1"/>
    <col min="3" max="3" width="12.140625" style="1" bestFit="1" customWidth="1"/>
    <col min="4" max="4" width="12.28515625" style="1" bestFit="1" customWidth="1"/>
    <col min="5" max="6" width="11.42578125" style="1"/>
    <col min="7" max="7" width="13.85546875" style="1" customWidth="1"/>
    <col min="8" max="9" width="11.42578125" style="1"/>
    <col min="10" max="10" width="13.5703125" style="1" customWidth="1"/>
    <col min="11" max="11" width="9.28515625" style="1" customWidth="1"/>
    <col min="12" max="12" width="11.5703125" style="1" customWidth="1"/>
    <col min="13" max="13" width="12.140625" style="1" bestFit="1" customWidth="1"/>
    <col min="14" max="14" width="12.28515625" style="1" bestFit="1" customWidth="1"/>
    <col min="15" max="16" width="11.42578125" style="1"/>
    <col min="17" max="17" width="12.140625" style="1" bestFit="1" customWidth="1"/>
    <col min="18" max="19" width="11.42578125" style="1"/>
    <col min="20" max="20" width="12.140625" style="1" bestFit="1" customWidth="1"/>
    <col min="21" max="16384" width="11.42578125" style="1"/>
  </cols>
  <sheetData>
    <row r="1" spans="1:11" s="57" customFormat="1" ht="25.5" x14ac:dyDescent="0.35">
      <c r="A1" s="57" t="s">
        <v>382</v>
      </c>
      <c r="K1" s="59"/>
    </row>
    <row r="2" spans="1:11" x14ac:dyDescent="0.2">
      <c r="B2" s="13" t="s">
        <v>37</v>
      </c>
      <c r="C2" s="13"/>
      <c r="D2" s="13"/>
      <c r="E2" s="13"/>
      <c r="F2" s="13"/>
      <c r="G2" s="13"/>
      <c r="H2" s="13"/>
      <c r="I2" s="13"/>
      <c r="J2" s="13"/>
    </row>
    <row r="9" spans="1:11" ht="15" thickBot="1" x14ac:dyDescent="0.25"/>
    <row r="10" spans="1:11" x14ac:dyDescent="0.2">
      <c r="B10" s="176" t="s">
        <v>251</v>
      </c>
      <c r="C10" s="177"/>
      <c r="D10" s="177"/>
      <c r="E10" s="168"/>
    </row>
    <row r="11" spans="1:11" x14ac:dyDescent="0.2">
      <c r="B11" s="171"/>
      <c r="E11" s="173"/>
    </row>
    <row r="12" spans="1:11" x14ac:dyDescent="0.2">
      <c r="B12" s="405"/>
      <c r="C12" s="407">
        <v>2021</v>
      </c>
      <c r="D12" s="409">
        <v>2022</v>
      </c>
      <c r="E12" s="412">
        <v>2023</v>
      </c>
    </row>
    <row r="13" spans="1:11" x14ac:dyDescent="0.2">
      <c r="B13" s="171" t="s">
        <v>60</v>
      </c>
      <c r="C13" s="12">
        <v>100000</v>
      </c>
      <c r="D13" s="410">
        <v>100000</v>
      </c>
      <c r="E13" s="413">
        <v>100000</v>
      </c>
    </row>
    <row r="14" spans="1:11" x14ac:dyDescent="0.2">
      <c r="B14" s="171" t="s">
        <v>13</v>
      </c>
      <c r="C14" s="12">
        <v>-20000</v>
      </c>
      <c r="D14" s="410">
        <v>-30000</v>
      </c>
      <c r="E14" s="413">
        <v>-40000</v>
      </c>
    </row>
    <row r="15" spans="1:11" ht="15" thickBot="1" x14ac:dyDescent="0.25">
      <c r="B15" s="406"/>
      <c r="C15" s="408">
        <f>+C13+C14</f>
        <v>80000</v>
      </c>
      <c r="D15" s="421">
        <f t="shared" ref="D15:E15" si="0">+D13+D14</f>
        <v>70000</v>
      </c>
      <c r="E15" s="414">
        <f t="shared" si="0"/>
        <v>60000</v>
      </c>
    </row>
    <row r="17" spans="2:10" ht="15" thickBot="1" x14ac:dyDescent="0.25"/>
    <row r="18" spans="2:10" x14ac:dyDescent="0.2">
      <c r="B18" s="176" t="s">
        <v>252</v>
      </c>
      <c r="C18" s="177" t="s">
        <v>250</v>
      </c>
      <c r="D18" s="177" t="s">
        <v>250</v>
      </c>
      <c r="E18" s="177" t="s">
        <v>250</v>
      </c>
      <c r="F18" s="177" t="s">
        <v>250</v>
      </c>
      <c r="G18" s="418" t="s">
        <v>62</v>
      </c>
      <c r="H18" s="419"/>
    </row>
    <row r="19" spans="2:10" x14ac:dyDescent="0.2">
      <c r="B19" s="171"/>
      <c r="C19" s="178">
        <v>2021</v>
      </c>
      <c r="D19" s="178">
        <v>2021</v>
      </c>
      <c r="E19" s="179">
        <v>2022</v>
      </c>
      <c r="F19" s="179">
        <v>2022</v>
      </c>
      <c r="G19" s="169">
        <v>2023</v>
      </c>
      <c r="H19" s="170">
        <v>2023</v>
      </c>
    </row>
    <row r="20" spans="2:10" x14ac:dyDescent="0.2">
      <c r="B20" s="171"/>
      <c r="C20" s="178" t="s">
        <v>7</v>
      </c>
      <c r="D20" s="178" t="s">
        <v>8</v>
      </c>
      <c r="E20" s="179" t="s">
        <v>7</v>
      </c>
      <c r="F20" s="179" t="s">
        <v>8</v>
      </c>
      <c r="G20" s="169" t="s">
        <v>7</v>
      </c>
      <c r="H20" s="170" t="s">
        <v>8</v>
      </c>
    </row>
    <row r="21" spans="2:10" x14ac:dyDescent="0.2">
      <c r="B21" s="171" t="s">
        <v>60</v>
      </c>
      <c r="C21" s="11"/>
      <c r="D21" s="12">
        <f>+C13</f>
        <v>100000</v>
      </c>
      <c r="E21" s="411"/>
      <c r="F21" s="410">
        <f>+D13</f>
        <v>100000</v>
      </c>
      <c r="G21" s="415"/>
      <c r="H21" s="413">
        <f>+E13</f>
        <v>100000</v>
      </c>
    </row>
    <row r="22" spans="2:10" x14ac:dyDescent="0.2">
      <c r="B22" s="171" t="s">
        <v>13</v>
      </c>
      <c r="C22" s="12">
        <f>-C14</f>
        <v>20000</v>
      </c>
      <c r="D22" s="11"/>
      <c r="E22" s="410">
        <f>-D14</f>
        <v>30000</v>
      </c>
      <c r="F22" s="411"/>
      <c r="G22" s="416">
        <f>-E14</f>
        <v>40000</v>
      </c>
      <c r="H22" s="417"/>
    </row>
    <row r="23" spans="2:10" x14ac:dyDescent="0.2">
      <c r="B23" s="171" t="s">
        <v>18</v>
      </c>
      <c r="C23" s="11"/>
      <c r="D23" s="11"/>
      <c r="E23" s="411"/>
      <c r="F23" s="410">
        <f>-D14+C14</f>
        <v>10000</v>
      </c>
      <c r="G23" s="415"/>
      <c r="H23" s="413">
        <f>-E14+D14</f>
        <v>10000</v>
      </c>
    </row>
    <row r="24" spans="2:10" x14ac:dyDescent="0.2">
      <c r="B24" s="171" t="s">
        <v>61</v>
      </c>
      <c r="C24" s="12">
        <f>+C15</f>
        <v>80000</v>
      </c>
      <c r="D24" s="11"/>
      <c r="E24" s="410">
        <f>+C24</f>
        <v>80000</v>
      </c>
      <c r="F24" s="411"/>
      <c r="G24" s="420">
        <f>+E24-F23</f>
        <v>70000</v>
      </c>
      <c r="H24" s="417"/>
    </row>
    <row r="25" spans="2:10" ht="15" thickBot="1" x14ac:dyDescent="0.25">
      <c r="B25" s="180"/>
      <c r="C25" s="181">
        <f t="shared" ref="C25:G25" si="1">SUM(C21:C24)</f>
        <v>100000</v>
      </c>
      <c r="D25" s="181">
        <f t="shared" si="1"/>
        <v>100000</v>
      </c>
      <c r="E25" s="183">
        <f t="shared" si="1"/>
        <v>110000</v>
      </c>
      <c r="F25" s="183">
        <f t="shared" si="1"/>
        <v>110000</v>
      </c>
      <c r="G25" s="174">
        <f t="shared" si="1"/>
        <v>110000</v>
      </c>
      <c r="H25" s="175">
        <f>SUM(H21:H24)</f>
        <v>110000</v>
      </c>
    </row>
    <row r="28" spans="2:10" ht="15" thickBot="1" x14ac:dyDescent="0.25"/>
    <row r="29" spans="2:10" x14ac:dyDescent="0.2">
      <c r="B29" s="167" t="s">
        <v>253</v>
      </c>
      <c r="C29" s="177"/>
      <c r="D29" s="177"/>
      <c r="E29" s="177"/>
      <c r="F29" s="177"/>
      <c r="G29" s="184" t="s">
        <v>250</v>
      </c>
      <c r="H29" s="177"/>
      <c r="I29" s="177"/>
      <c r="J29" s="185" t="s">
        <v>250</v>
      </c>
    </row>
    <row r="30" spans="2:10" x14ac:dyDescent="0.2">
      <c r="B30" s="195" t="s">
        <v>254</v>
      </c>
      <c r="G30" s="186" t="s">
        <v>249</v>
      </c>
      <c r="J30" s="187" t="s">
        <v>249</v>
      </c>
    </row>
    <row r="31" spans="2:10" ht="15" thickBot="1" x14ac:dyDescent="0.25">
      <c r="B31" s="171"/>
      <c r="G31" s="186" t="s">
        <v>248</v>
      </c>
      <c r="J31" s="187" t="s">
        <v>248</v>
      </c>
    </row>
    <row r="32" spans="2:10" x14ac:dyDescent="0.2">
      <c r="B32" s="171"/>
      <c r="C32" s="422" t="s">
        <v>74</v>
      </c>
      <c r="D32" s="188" t="s">
        <v>74</v>
      </c>
      <c r="E32" s="1" t="s">
        <v>75</v>
      </c>
      <c r="F32" s="1" t="s">
        <v>75</v>
      </c>
      <c r="G32" s="21" t="s">
        <v>76</v>
      </c>
      <c r="H32" s="1" t="s">
        <v>75</v>
      </c>
      <c r="I32" s="1" t="s">
        <v>75</v>
      </c>
      <c r="J32" s="21" t="s">
        <v>76</v>
      </c>
    </row>
    <row r="33" spans="2:10" x14ac:dyDescent="0.2">
      <c r="B33" s="189"/>
      <c r="C33" s="22">
        <v>2022</v>
      </c>
      <c r="D33" s="178">
        <v>2021</v>
      </c>
      <c r="E33" s="179">
        <v>2022</v>
      </c>
      <c r="F33" s="179">
        <v>2022</v>
      </c>
      <c r="G33" s="22">
        <v>2022</v>
      </c>
      <c r="H33" s="178">
        <v>2021</v>
      </c>
      <c r="I33" s="178">
        <v>2021</v>
      </c>
      <c r="J33" s="22">
        <v>2021</v>
      </c>
    </row>
    <row r="34" spans="2:10" x14ac:dyDescent="0.2">
      <c r="B34" s="171"/>
      <c r="C34" s="23" t="s">
        <v>64</v>
      </c>
      <c r="D34" s="20" t="s">
        <v>64</v>
      </c>
      <c r="E34" s="20" t="s">
        <v>7</v>
      </c>
      <c r="F34" s="20" t="s">
        <v>8</v>
      </c>
      <c r="G34" s="23" t="s">
        <v>64</v>
      </c>
      <c r="H34" s="20" t="s">
        <v>7</v>
      </c>
      <c r="I34" s="20" t="s">
        <v>8</v>
      </c>
      <c r="J34" s="23" t="s">
        <v>64</v>
      </c>
    </row>
    <row r="35" spans="2:10" x14ac:dyDescent="0.2">
      <c r="B35" s="171" t="s">
        <v>19</v>
      </c>
      <c r="C35" s="24">
        <v>250000</v>
      </c>
      <c r="D35" s="76">
        <v>200000</v>
      </c>
      <c r="G35" s="24">
        <f>+C35+E35-F35</f>
        <v>250000</v>
      </c>
      <c r="J35" s="24">
        <f>+D35+H35-I35</f>
        <v>200000</v>
      </c>
    </row>
    <row r="36" spans="2:10" x14ac:dyDescent="0.2">
      <c r="B36" s="171" t="s">
        <v>63</v>
      </c>
      <c r="C36" s="24">
        <f>1250000+650000</f>
        <v>1900000</v>
      </c>
      <c r="D36" s="76">
        <f>1200000+450000</f>
        <v>1650000</v>
      </c>
      <c r="G36" s="24">
        <f>+C36+E36-F36</f>
        <v>1900000</v>
      </c>
      <c r="J36" s="24">
        <f>+D36+H36-I36</f>
        <v>1650000</v>
      </c>
    </row>
    <row r="37" spans="2:10" x14ac:dyDescent="0.2">
      <c r="B37" s="190" t="s">
        <v>67</v>
      </c>
      <c r="C37" s="25">
        <f>SUM(C35:C36)</f>
        <v>2150000</v>
      </c>
      <c r="D37" s="191">
        <f>SUM(D35:D36)</f>
        <v>1850000</v>
      </c>
      <c r="G37" s="25">
        <f>SUM(G35:G36)</f>
        <v>2150000</v>
      </c>
      <c r="J37" s="25">
        <f>SUM(J35:J36)</f>
        <v>1850000</v>
      </c>
    </row>
    <row r="38" spans="2:10" x14ac:dyDescent="0.2">
      <c r="B38" s="171"/>
      <c r="C38" s="24"/>
      <c r="D38" s="76"/>
      <c r="G38" s="24"/>
      <c r="J38" s="24"/>
    </row>
    <row r="39" spans="2:10" x14ac:dyDescent="0.2">
      <c r="B39" s="171" t="s">
        <v>65</v>
      </c>
      <c r="C39" s="24">
        <v>700000</v>
      </c>
      <c r="D39" s="76">
        <v>600000</v>
      </c>
      <c r="F39" s="3">
        <f>+F21-E22</f>
        <v>70000</v>
      </c>
      <c r="G39" s="24">
        <f>+C39+E39-F39</f>
        <v>630000</v>
      </c>
      <c r="I39" s="3">
        <f>+D21-C22</f>
        <v>80000</v>
      </c>
      <c r="J39" s="24">
        <f>+D39+H39-I39</f>
        <v>520000</v>
      </c>
    </row>
    <row r="40" spans="2:10" x14ac:dyDescent="0.2">
      <c r="B40" s="192" t="s">
        <v>66</v>
      </c>
      <c r="C40" s="26">
        <f>+C37+C39</f>
        <v>2850000</v>
      </c>
      <c r="D40" s="193">
        <f>+D37+D39</f>
        <v>2450000</v>
      </c>
      <c r="G40" s="26">
        <f>+G37+G39</f>
        <v>2780000</v>
      </c>
      <c r="J40" s="26">
        <f>+J37+J39</f>
        <v>2370000</v>
      </c>
    </row>
    <row r="41" spans="2:10" x14ac:dyDescent="0.2">
      <c r="B41" s="171"/>
      <c r="C41" s="24"/>
      <c r="D41" s="76"/>
      <c r="G41" s="24"/>
      <c r="J41" s="24"/>
    </row>
    <row r="42" spans="2:10" x14ac:dyDescent="0.2">
      <c r="B42" s="171" t="s">
        <v>68</v>
      </c>
      <c r="C42" s="24">
        <v>900000</v>
      </c>
      <c r="D42" s="76">
        <v>800000</v>
      </c>
      <c r="G42" s="24">
        <f>+C42-E42+F42</f>
        <v>900000</v>
      </c>
      <c r="J42" s="24">
        <f>+D42-H42+I42</f>
        <v>800000</v>
      </c>
    </row>
    <row r="43" spans="2:10" x14ac:dyDescent="0.2">
      <c r="B43" s="190" t="s">
        <v>69</v>
      </c>
      <c r="C43" s="25">
        <f>+C42</f>
        <v>900000</v>
      </c>
      <c r="D43" s="191">
        <f>+D42</f>
        <v>800000</v>
      </c>
      <c r="G43" s="25">
        <f>+G42</f>
        <v>900000</v>
      </c>
      <c r="J43" s="25">
        <f>+J42</f>
        <v>800000</v>
      </c>
    </row>
    <row r="44" spans="2:10" x14ac:dyDescent="0.2">
      <c r="B44" s="171"/>
      <c r="C44" s="24"/>
      <c r="D44" s="76"/>
      <c r="G44" s="24"/>
      <c r="J44" s="24"/>
    </row>
    <row r="45" spans="2:10" x14ac:dyDescent="0.2">
      <c r="B45" s="171" t="s">
        <v>70</v>
      </c>
      <c r="C45" s="24">
        <v>50000</v>
      </c>
      <c r="D45" s="76">
        <v>50000</v>
      </c>
      <c r="G45" s="24">
        <f>+C45-E45+F45</f>
        <v>50000</v>
      </c>
      <c r="J45" s="24">
        <f>+D45-H45+I45</f>
        <v>50000</v>
      </c>
    </row>
    <row r="46" spans="2:10" x14ac:dyDescent="0.2">
      <c r="B46" s="171" t="s">
        <v>61</v>
      </c>
      <c r="C46" s="24">
        <v>1200000</v>
      </c>
      <c r="D46" s="76">
        <f>900000+700000</f>
        <v>1600000</v>
      </c>
      <c r="E46" s="3">
        <f>E24</f>
        <v>80000</v>
      </c>
      <c r="G46" s="24">
        <f>+C46-E46+F46</f>
        <v>1120000</v>
      </c>
      <c r="H46" s="3">
        <f>+C24</f>
        <v>80000</v>
      </c>
      <c r="J46" s="24">
        <f t="shared" ref="J46:J47" si="2">+D46-H46+I46</f>
        <v>1520000</v>
      </c>
    </row>
    <row r="47" spans="2:10" x14ac:dyDescent="0.2">
      <c r="B47" s="171" t="s">
        <v>71</v>
      </c>
      <c r="C47" s="24">
        <v>700000</v>
      </c>
      <c r="D47" s="76">
        <v>0</v>
      </c>
      <c r="F47" s="3">
        <f>+F23</f>
        <v>10000</v>
      </c>
      <c r="G47" s="24">
        <f>+C47-E47+F47</f>
        <v>710000</v>
      </c>
      <c r="J47" s="24">
        <f t="shared" si="2"/>
        <v>0</v>
      </c>
    </row>
    <row r="48" spans="2:10" x14ac:dyDescent="0.2">
      <c r="B48" s="190" t="s">
        <v>72</v>
      </c>
      <c r="C48" s="25">
        <f>SUM(C45:C47)</f>
        <v>1950000</v>
      </c>
      <c r="D48" s="191">
        <f>SUM(D45:D47)</f>
        <v>1650000</v>
      </c>
      <c r="G48" s="25">
        <f>SUM(G45:G47)</f>
        <v>1880000</v>
      </c>
      <c r="J48" s="25">
        <f>SUM(J45:J47)</f>
        <v>1570000</v>
      </c>
    </row>
    <row r="49" spans="2:10" x14ac:dyDescent="0.2">
      <c r="B49" s="192" t="s">
        <v>73</v>
      </c>
      <c r="C49" s="26">
        <f>+C43+C48</f>
        <v>2850000</v>
      </c>
      <c r="D49" s="193">
        <f>+D43+D48</f>
        <v>2450000</v>
      </c>
      <c r="G49" s="26">
        <f>+G43+G48</f>
        <v>2780000</v>
      </c>
      <c r="J49" s="26">
        <f>+J43+J48</f>
        <v>2370000</v>
      </c>
    </row>
    <row r="50" spans="2:10" ht="15" thickBot="1" x14ac:dyDescent="0.25">
      <c r="B50" s="180"/>
      <c r="C50" s="27">
        <f>+C49-C40</f>
        <v>0</v>
      </c>
      <c r="D50" s="194">
        <f>+D49-D40</f>
        <v>0</v>
      </c>
      <c r="E50" s="182"/>
      <c r="F50" s="182"/>
      <c r="G50" s="27">
        <f>+G49-G40</f>
        <v>0</v>
      </c>
      <c r="H50" s="182"/>
      <c r="I50" s="182"/>
      <c r="J50" s="27">
        <f>+J49-J40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8D90-9D07-477D-B5F0-FE4C03D25BD0}">
  <sheetPr>
    <tabColor theme="1"/>
  </sheetPr>
  <dimension ref="B1:L34"/>
  <sheetViews>
    <sheetView topLeftCell="A37" zoomScale="130" zoomScaleNormal="130" workbookViewId="0">
      <selection activeCell="A24" sqref="A24"/>
    </sheetView>
  </sheetViews>
  <sheetFormatPr baseColWidth="10" defaultRowHeight="15" x14ac:dyDescent="0.25"/>
  <cols>
    <col min="12" max="12" width="16.7109375" customWidth="1"/>
    <col min="15" max="15" width="18.5703125" customWidth="1"/>
  </cols>
  <sheetData>
    <row r="1" spans="2:11" s="57" customFormat="1" ht="25.5" x14ac:dyDescent="0.35">
      <c r="B1" s="57" t="s">
        <v>127</v>
      </c>
      <c r="K1" s="59" t="s">
        <v>128</v>
      </c>
    </row>
    <row r="2" spans="2:11" ht="15.75" thickBot="1" x14ac:dyDescent="0.3"/>
    <row r="3" spans="2:11" ht="17.25" x14ac:dyDescent="0.3">
      <c r="B3" s="199" t="s">
        <v>257</v>
      </c>
      <c r="C3" s="200"/>
      <c r="D3" s="201"/>
      <c r="E3" s="201"/>
      <c r="F3" s="201"/>
      <c r="G3" s="201"/>
      <c r="H3" s="201"/>
      <c r="I3" s="201"/>
      <c r="J3" s="201"/>
      <c r="K3" s="200"/>
    </row>
    <row r="4" spans="2:11" ht="18" thickBot="1" x14ac:dyDescent="0.35">
      <c r="B4" s="202">
        <v>43</v>
      </c>
      <c r="C4" s="203" t="s">
        <v>258</v>
      </c>
      <c r="D4" s="203"/>
      <c r="E4" s="203"/>
      <c r="F4" s="203"/>
      <c r="G4" s="203"/>
      <c r="H4" s="203"/>
      <c r="I4" s="203"/>
      <c r="J4" s="203"/>
      <c r="K4" s="204"/>
    </row>
    <row r="5" spans="2:11" ht="17.25" x14ac:dyDescent="0.3">
      <c r="B5" s="205"/>
      <c r="C5" s="206" t="s">
        <v>259</v>
      </c>
      <c r="D5" s="206"/>
      <c r="E5" s="206"/>
      <c r="F5" s="206"/>
      <c r="G5" s="206"/>
      <c r="H5" s="206"/>
      <c r="I5" s="206"/>
      <c r="J5" s="206"/>
      <c r="K5" s="207"/>
    </row>
    <row r="6" spans="2:11" ht="18" thickBot="1" x14ac:dyDescent="0.35">
      <c r="B6" s="208"/>
      <c r="C6" s="209" t="s">
        <v>260</v>
      </c>
      <c r="D6" s="209"/>
      <c r="E6" s="209"/>
      <c r="F6" s="209"/>
      <c r="G6" s="209"/>
      <c r="H6" s="209"/>
      <c r="I6" s="209"/>
      <c r="J6" s="209"/>
      <c r="K6" s="210"/>
    </row>
    <row r="7" spans="2:11" ht="18" thickBot="1" x14ac:dyDescent="0.35">
      <c r="B7" s="202">
        <v>45</v>
      </c>
      <c r="C7" s="203" t="s">
        <v>261</v>
      </c>
      <c r="D7" s="211"/>
      <c r="E7" s="211"/>
      <c r="F7" s="211"/>
      <c r="G7" s="211"/>
      <c r="H7" s="211"/>
      <c r="I7" s="211"/>
      <c r="J7" s="211"/>
      <c r="K7" s="204"/>
    </row>
    <row r="8" spans="2:11" ht="17.25" x14ac:dyDescent="0.3">
      <c r="B8" s="205"/>
      <c r="C8" s="206" t="s">
        <v>262</v>
      </c>
      <c r="D8" s="206"/>
      <c r="E8" s="206"/>
      <c r="F8" s="206"/>
      <c r="G8" s="206"/>
      <c r="H8" s="206"/>
      <c r="I8" s="206"/>
      <c r="J8" s="206"/>
      <c r="K8" s="207"/>
    </row>
    <row r="9" spans="2:11" ht="17.25" x14ac:dyDescent="0.3">
      <c r="B9" s="212"/>
      <c r="C9" s="213" t="s">
        <v>263</v>
      </c>
      <c r="D9" s="213"/>
      <c r="E9" s="213"/>
      <c r="F9" s="213"/>
      <c r="G9" s="213"/>
      <c r="H9" s="213"/>
      <c r="I9" s="213"/>
      <c r="J9" s="213"/>
      <c r="K9" s="214"/>
    </row>
    <row r="10" spans="2:11" ht="17.25" x14ac:dyDescent="0.3">
      <c r="B10" s="212"/>
      <c r="C10" s="213" t="s">
        <v>264</v>
      </c>
      <c r="D10" s="213"/>
      <c r="E10" s="213"/>
      <c r="F10" s="213"/>
      <c r="G10" s="213"/>
      <c r="H10" s="213"/>
      <c r="I10" s="213"/>
      <c r="J10" s="213"/>
      <c r="K10" s="214"/>
    </row>
    <row r="11" spans="2:11" ht="18" thickBot="1" x14ac:dyDescent="0.35">
      <c r="B11" s="208"/>
      <c r="C11" s="209" t="s">
        <v>265</v>
      </c>
      <c r="D11" s="209"/>
      <c r="E11" s="209"/>
      <c r="F11" s="209"/>
      <c r="G11" s="209"/>
      <c r="H11" s="209"/>
      <c r="I11" s="209"/>
      <c r="J11" s="209"/>
      <c r="K11" s="210"/>
    </row>
    <row r="12" spans="2:11" ht="18" thickBot="1" x14ac:dyDescent="0.35">
      <c r="B12" s="202">
        <v>47</v>
      </c>
      <c r="C12" s="203" t="s">
        <v>266</v>
      </c>
      <c r="D12" s="211"/>
      <c r="E12" s="211"/>
      <c r="F12" s="211"/>
      <c r="G12" s="211"/>
      <c r="H12" s="211"/>
      <c r="I12" s="211"/>
      <c r="J12" s="211"/>
      <c r="K12" s="204"/>
    </row>
    <row r="13" spans="2:11" ht="17.25" x14ac:dyDescent="0.3">
      <c r="B13" s="205"/>
      <c r="C13" s="206" t="s">
        <v>267</v>
      </c>
      <c r="D13" s="206"/>
      <c r="E13" s="206"/>
      <c r="F13" s="206"/>
      <c r="G13" s="206"/>
      <c r="H13" s="206"/>
      <c r="I13" s="206"/>
      <c r="J13" s="206"/>
      <c r="K13" s="207"/>
    </row>
    <row r="14" spans="2:11" ht="18" thickBot="1" x14ac:dyDescent="0.35">
      <c r="B14" s="208"/>
      <c r="C14" s="209" t="s">
        <v>268</v>
      </c>
      <c r="D14" s="209"/>
      <c r="E14" s="209"/>
      <c r="F14" s="209"/>
      <c r="G14" s="209"/>
      <c r="H14" s="209"/>
      <c r="I14" s="209"/>
      <c r="J14" s="209"/>
      <c r="K14" s="210"/>
    </row>
    <row r="15" spans="2:11" ht="18" thickBot="1" x14ac:dyDescent="0.35">
      <c r="B15" s="202">
        <v>48</v>
      </c>
      <c r="C15" s="203" t="s">
        <v>269</v>
      </c>
      <c r="D15" s="211"/>
      <c r="E15" s="211"/>
      <c r="F15" s="211"/>
      <c r="G15" s="211"/>
      <c r="H15" s="211"/>
      <c r="I15" s="211"/>
      <c r="J15" s="211"/>
      <c r="K15" s="204"/>
    </row>
    <row r="16" spans="2:11" ht="17.25" x14ac:dyDescent="0.3">
      <c r="B16" s="205"/>
      <c r="C16" s="206" t="s">
        <v>270</v>
      </c>
      <c r="D16" s="206"/>
      <c r="E16" s="206"/>
      <c r="F16" s="206"/>
      <c r="G16" s="206"/>
      <c r="H16" s="206"/>
      <c r="I16" s="206"/>
      <c r="J16" s="206"/>
      <c r="K16" s="207"/>
    </row>
    <row r="17" spans="2:12" ht="18" thickBot="1" x14ac:dyDescent="0.35">
      <c r="B17" s="208"/>
      <c r="C17" s="209" t="s">
        <v>271</v>
      </c>
      <c r="D17" s="209"/>
      <c r="E17" s="209"/>
      <c r="F17" s="209"/>
      <c r="G17" s="209"/>
      <c r="H17" s="209"/>
      <c r="I17" s="209"/>
      <c r="J17" s="209"/>
      <c r="K17" s="210"/>
    </row>
    <row r="18" spans="2:12" ht="15.75" thickBot="1" x14ac:dyDescent="0.3"/>
    <row r="19" spans="2:12" ht="15.75" thickBot="1" x14ac:dyDescent="0.3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139"/>
    </row>
    <row r="20" spans="2:12" ht="19.5" x14ac:dyDescent="0.3">
      <c r="B20" s="28"/>
      <c r="C20" s="29"/>
      <c r="D20" s="30"/>
      <c r="E20" s="30"/>
      <c r="F20" s="30"/>
      <c r="G20" s="30"/>
      <c r="H20" s="31" t="s">
        <v>23</v>
      </c>
      <c r="I20" s="32">
        <v>150000</v>
      </c>
      <c r="J20" s="33">
        <f>I20/$I$28</f>
        <v>0.15</v>
      </c>
      <c r="K20" s="29" t="s">
        <v>77</v>
      </c>
      <c r="L20" s="34"/>
    </row>
    <row r="21" spans="2:12" ht="19.5" x14ac:dyDescent="0.3">
      <c r="B21" s="35"/>
      <c r="C21" s="423"/>
      <c r="D21" s="424"/>
      <c r="E21" s="424"/>
      <c r="F21" s="424"/>
      <c r="G21" s="424"/>
      <c r="H21" s="423"/>
      <c r="I21" s="423"/>
      <c r="J21" s="36"/>
      <c r="K21" s="423" t="s">
        <v>78</v>
      </c>
      <c r="L21" s="37"/>
    </row>
    <row r="22" spans="2:12" ht="19.5" x14ac:dyDescent="0.3">
      <c r="B22" s="35"/>
      <c r="C22" s="423"/>
      <c r="D22" s="424"/>
      <c r="E22" s="424"/>
      <c r="F22" s="424"/>
      <c r="G22" s="424"/>
      <c r="H22" s="423"/>
      <c r="I22" s="423"/>
      <c r="J22" s="36"/>
      <c r="K22" s="423"/>
      <c r="L22" s="37"/>
    </row>
    <row r="23" spans="2:12" ht="19.5" x14ac:dyDescent="0.3">
      <c r="B23" s="35"/>
      <c r="C23" s="423"/>
      <c r="D23" s="424"/>
      <c r="E23" s="424"/>
      <c r="F23" s="424"/>
      <c r="G23" s="424"/>
      <c r="H23" s="423"/>
      <c r="I23" s="423"/>
      <c r="J23" s="36"/>
      <c r="K23" s="423"/>
      <c r="L23" s="37"/>
    </row>
    <row r="24" spans="2:12" ht="19.5" x14ac:dyDescent="0.3">
      <c r="B24" s="35"/>
      <c r="C24" s="423"/>
      <c r="D24" s="424"/>
      <c r="E24" s="424"/>
      <c r="F24" s="424"/>
      <c r="G24" s="424"/>
      <c r="H24" s="425" t="s">
        <v>23</v>
      </c>
      <c r="I24" s="426">
        <v>150000</v>
      </c>
      <c r="J24" s="36">
        <f>I24/$I$28</f>
        <v>0.15</v>
      </c>
      <c r="K24" s="423" t="s">
        <v>77</v>
      </c>
      <c r="L24" s="37"/>
    </row>
    <row r="25" spans="2:12" ht="19.5" x14ac:dyDescent="0.3">
      <c r="B25" s="35"/>
      <c r="C25" s="423"/>
      <c r="D25" s="424"/>
      <c r="E25" s="424"/>
      <c r="F25" s="424"/>
      <c r="G25" s="424"/>
      <c r="H25" s="423"/>
      <c r="I25" s="423"/>
      <c r="J25" s="36"/>
      <c r="K25" s="423" t="s">
        <v>78</v>
      </c>
      <c r="L25" s="37"/>
    </row>
    <row r="26" spans="2:12" ht="19.5" x14ac:dyDescent="0.3">
      <c r="B26" s="35"/>
      <c r="C26" s="423"/>
      <c r="D26" s="424"/>
      <c r="E26" s="424"/>
      <c r="F26" s="424"/>
      <c r="G26" s="424"/>
      <c r="H26" s="423"/>
      <c r="I26" s="423"/>
      <c r="J26" s="36"/>
      <c r="K26" s="423"/>
      <c r="L26" s="37"/>
    </row>
    <row r="27" spans="2:12" ht="19.5" x14ac:dyDescent="0.3">
      <c r="B27" s="35"/>
      <c r="C27" s="423"/>
      <c r="D27" s="424"/>
      <c r="E27" s="424"/>
      <c r="F27" s="424"/>
      <c r="G27" s="424"/>
      <c r="H27" s="425" t="s">
        <v>23</v>
      </c>
      <c r="I27" s="426">
        <v>700000</v>
      </c>
      <c r="J27" s="36">
        <f>I27/$I$28</f>
        <v>0.7</v>
      </c>
      <c r="K27" s="423"/>
      <c r="L27" s="37"/>
    </row>
    <row r="28" spans="2:12" ht="19.5" x14ac:dyDescent="0.3">
      <c r="B28" s="38"/>
      <c r="C28" s="424"/>
      <c r="D28" s="427" t="s">
        <v>79</v>
      </c>
      <c r="E28" s="427"/>
      <c r="F28" s="427"/>
      <c r="G28" s="427"/>
      <c r="H28" s="428" t="s">
        <v>23</v>
      </c>
      <c r="I28" s="429">
        <f>SUM(I20:I27)</f>
        <v>1000000</v>
      </c>
      <c r="J28" s="39">
        <f>I28/$I$28</f>
        <v>1</v>
      </c>
      <c r="K28" s="424"/>
      <c r="L28" s="40"/>
    </row>
    <row r="29" spans="2:12" ht="17.25" x14ac:dyDescent="0.3">
      <c r="B29" s="430" t="s">
        <v>80</v>
      </c>
      <c r="C29" s="424"/>
      <c r="D29" s="424"/>
      <c r="E29" s="424"/>
      <c r="F29" s="424"/>
      <c r="G29" s="424"/>
      <c r="H29" s="424"/>
      <c r="I29" s="424"/>
      <c r="J29" s="424"/>
      <c r="K29" s="431" t="s">
        <v>81</v>
      </c>
      <c r="L29" s="432" t="s">
        <v>82</v>
      </c>
    </row>
    <row r="30" spans="2:12" ht="17.25" x14ac:dyDescent="0.3">
      <c r="B30" s="38" t="s">
        <v>83</v>
      </c>
      <c r="C30" s="433" t="s">
        <v>84</v>
      </c>
      <c r="D30" s="433"/>
      <c r="E30" s="434"/>
      <c r="F30" s="434"/>
      <c r="G30" s="434"/>
      <c r="H30" s="431" t="s">
        <v>60</v>
      </c>
      <c r="I30" s="431" t="s">
        <v>85</v>
      </c>
      <c r="J30" s="431" t="s">
        <v>86</v>
      </c>
      <c r="K30" s="431" t="s">
        <v>87</v>
      </c>
      <c r="L30" s="432" t="s">
        <v>88</v>
      </c>
    </row>
    <row r="31" spans="2:12" ht="17.25" x14ac:dyDescent="0.3">
      <c r="B31" s="35"/>
      <c r="C31" s="423"/>
      <c r="D31" s="435" t="s">
        <v>89</v>
      </c>
      <c r="E31" s="436"/>
      <c r="F31" s="436"/>
      <c r="G31" s="436"/>
      <c r="H31" s="437">
        <f>+I20</f>
        <v>150000</v>
      </c>
      <c r="I31" s="437">
        <v>0</v>
      </c>
      <c r="J31" s="437">
        <f>+H31-I31</f>
        <v>150000</v>
      </c>
      <c r="K31" s="438">
        <v>1.5</v>
      </c>
      <c r="L31" s="439">
        <f>J31/(K31*12)</f>
        <v>8333.3333333333339</v>
      </c>
    </row>
    <row r="32" spans="2:12" ht="17.25" x14ac:dyDescent="0.3">
      <c r="B32" s="35"/>
      <c r="C32" s="423"/>
      <c r="D32" s="435" t="s">
        <v>90</v>
      </c>
      <c r="E32" s="436"/>
      <c r="F32" s="436"/>
      <c r="G32" s="436"/>
      <c r="H32" s="437">
        <f>+I24</f>
        <v>150000</v>
      </c>
      <c r="I32" s="437">
        <v>0</v>
      </c>
      <c r="J32" s="437">
        <f>+H32-I32</f>
        <v>150000</v>
      </c>
      <c r="K32" s="438">
        <v>1.5</v>
      </c>
      <c r="L32" s="439">
        <f>J32/(K32*12)</f>
        <v>8333.3333333333339</v>
      </c>
    </row>
    <row r="33" spans="2:12" ht="17.25" x14ac:dyDescent="0.3">
      <c r="B33" s="35"/>
      <c r="C33" s="423"/>
      <c r="D33" s="435" t="s">
        <v>91</v>
      </c>
      <c r="E33" s="436"/>
      <c r="F33" s="436"/>
      <c r="G33" s="436"/>
      <c r="H33" s="437">
        <f>+I27</f>
        <v>700000</v>
      </c>
      <c r="I33" s="437">
        <v>0</v>
      </c>
      <c r="J33" s="437">
        <f>+H33-I33</f>
        <v>700000</v>
      </c>
      <c r="K33" s="438">
        <v>10</v>
      </c>
      <c r="L33" s="439">
        <f>J33/(K33*12)</f>
        <v>5833.333333333333</v>
      </c>
    </row>
    <row r="34" spans="2:12" ht="18" thickBot="1" x14ac:dyDescent="0.35">
      <c r="B34" s="41"/>
      <c r="C34" s="42"/>
      <c r="D34" s="42"/>
      <c r="E34" s="42"/>
      <c r="F34" s="42"/>
      <c r="G34" s="42"/>
      <c r="H34" s="43">
        <f>SUM(H31:H33)</f>
        <v>1000000</v>
      </c>
      <c r="I34" s="43">
        <f>SUM(I31:I33)</f>
        <v>0</v>
      </c>
      <c r="J34" s="43">
        <f>SUM(J31:J33)</f>
        <v>1000000</v>
      </c>
      <c r="K34" s="42"/>
      <c r="L34" s="440">
        <f>SUM(L31:L33)</f>
        <v>22500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D527-18FD-43DB-9C22-670E3017441D}">
  <sheetPr>
    <tabColor theme="1"/>
  </sheetPr>
  <dimension ref="A1:K23"/>
  <sheetViews>
    <sheetView topLeftCell="A10" zoomScale="145" zoomScaleNormal="145" workbookViewId="0">
      <selection activeCell="J23" activeCellId="1" sqref="G18:J18 G23:J23"/>
    </sheetView>
  </sheetViews>
  <sheetFormatPr baseColWidth="10" defaultRowHeight="15" x14ac:dyDescent="0.25"/>
  <sheetData>
    <row r="1" spans="1:11" s="57" customFormat="1" ht="25.5" x14ac:dyDescent="0.35">
      <c r="A1" s="57" t="s">
        <v>272</v>
      </c>
      <c r="K1" s="59"/>
    </row>
    <row r="2" spans="1:11" ht="15.75" thickBot="1" x14ac:dyDescent="0.3"/>
    <row r="3" spans="1:11" x14ac:dyDescent="0.25">
      <c r="B3" s="45"/>
      <c r="C3" s="46"/>
      <c r="D3" s="46"/>
      <c r="E3" s="46"/>
      <c r="F3" s="46"/>
      <c r="G3" s="46"/>
      <c r="H3" s="46"/>
      <c r="I3" s="139"/>
    </row>
    <row r="4" spans="1:11" x14ac:dyDescent="0.25">
      <c r="B4" s="47"/>
      <c r="I4" s="48"/>
    </row>
    <row r="5" spans="1:11" x14ac:dyDescent="0.25">
      <c r="B5" s="47"/>
      <c r="I5" s="48"/>
    </row>
    <row r="6" spans="1:11" x14ac:dyDescent="0.25">
      <c r="B6" s="47"/>
      <c r="I6" s="48"/>
    </row>
    <row r="7" spans="1:11" x14ac:dyDescent="0.25">
      <c r="B7" s="47"/>
      <c r="I7" s="48"/>
    </row>
    <row r="8" spans="1:11" ht="15.75" thickBot="1" x14ac:dyDescent="0.3">
      <c r="B8" s="49"/>
      <c r="C8" s="50"/>
      <c r="D8" s="50"/>
      <c r="E8" s="50"/>
      <c r="F8" s="50"/>
      <c r="G8" s="50"/>
      <c r="H8" s="50"/>
      <c r="I8" s="146"/>
    </row>
    <row r="9" spans="1:11" ht="15.75" thickBot="1" x14ac:dyDescent="0.3"/>
    <row r="10" spans="1:11" x14ac:dyDescent="0.25">
      <c r="B10" s="452" t="s">
        <v>92</v>
      </c>
      <c r="C10" s="453"/>
      <c r="D10" s="453"/>
      <c r="E10" s="454"/>
      <c r="F10" s="454" t="s">
        <v>7</v>
      </c>
      <c r="G10" s="455" t="s">
        <v>8</v>
      </c>
    </row>
    <row r="11" spans="1:11" x14ac:dyDescent="0.25">
      <c r="B11" s="363"/>
      <c r="C11" s="122" t="s">
        <v>93</v>
      </c>
      <c r="D11" s="122"/>
      <c r="E11" s="122"/>
      <c r="F11" s="456">
        <v>1000000</v>
      </c>
      <c r="G11" s="457"/>
    </row>
    <row r="12" spans="1:11" x14ac:dyDescent="0.25">
      <c r="B12" s="363"/>
      <c r="C12" s="122" t="s">
        <v>94</v>
      </c>
      <c r="D12" s="122"/>
      <c r="E12" s="122"/>
      <c r="F12" s="122"/>
      <c r="G12" s="458">
        <f>+F11</f>
        <v>1000000</v>
      </c>
    </row>
    <row r="13" spans="1:11" ht="15.75" thickBot="1" x14ac:dyDescent="0.3">
      <c r="B13" s="459" t="s">
        <v>98</v>
      </c>
      <c r="C13" s="460">
        <v>20</v>
      </c>
      <c r="D13" s="460" t="s">
        <v>99</v>
      </c>
      <c r="E13" s="460"/>
      <c r="F13" s="460"/>
      <c r="G13" s="461"/>
    </row>
    <row r="14" spans="1:11" ht="15.75" thickBot="1" x14ac:dyDescent="0.3"/>
    <row r="15" spans="1:11" x14ac:dyDescent="0.25">
      <c r="B15" s="441" t="s">
        <v>96</v>
      </c>
      <c r="C15" s="442"/>
      <c r="D15" s="442"/>
      <c r="E15" s="442"/>
      <c r="F15" s="442"/>
      <c r="G15" s="442"/>
      <c r="H15" s="442"/>
      <c r="I15" s="442"/>
      <c r="J15" s="443" t="s">
        <v>64</v>
      </c>
    </row>
    <row r="16" spans="1:11" x14ac:dyDescent="0.25">
      <c r="B16" s="444" t="s">
        <v>95</v>
      </c>
      <c r="C16" s="44"/>
      <c r="D16" s="44"/>
      <c r="E16" s="445" t="s">
        <v>7</v>
      </c>
      <c r="F16" s="445" t="s">
        <v>8</v>
      </c>
      <c r="G16" s="122" t="s">
        <v>100</v>
      </c>
      <c r="H16" s="122"/>
      <c r="I16" s="122"/>
      <c r="J16" s="466">
        <f>-+F11/20</f>
        <v>-50000</v>
      </c>
    </row>
    <row r="17" spans="2:10" x14ac:dyDescent="0.25">
      <c r="B17" s="47"/>
      <c r="C17" s="462" t="s">
        <v>274</v>
      </c>
      <c r="D17" s="462"/>
      <c r="E17" s="463">
        <f>+F11*0.3</f>
        <v>300000</v>
      </c>
      <c r="F17" s="462"/>
      <c r="G17" s="122" t="s">
        <v>101</v>
      </c>
      <c r="H17" s="122"/>
      <c r="I17" s="122"/>
      <c r="J17" s="466">
        <f>+E17/20</f>
        <v>15000</v>
      </c>
    </row>
    <row r="18" spans="2:10" ht="15.75" thickBot="1" x14ac:dyDescent="0.3">
      <c r="B18" s="49"/>
      <c r="C18" s="464" t="s">
        <v>273</v>
      </c>
      <c r="D18" s="464"/>
      <c r="E18" s="464"/>
      <c r="F18" s="465">
        <f>+E17</f>
        <v>300000</v>
      </c>
      <c r="G18" s="447" t="s">
        <v>102</v>
      </c>
      <c r="H18" s="447"/>
      <c r="I18" s="447"/>
      <c r="J18" s="448">
        <f>+J16+J17</f>
        <v>-35000</v>
      </c>
    </row>
    <row r="19" spans="2:10" ht="15.75" thickBot="1" x14ac:dyDescent="0.3"/>
    <row r="20" spans="2:10" x14ac:dyDescent="0.25">
      <c r="B20" s="441" t="s">
        <v>97</v>
      </c>
      <c r="C20" s="442"/>
      <c r="D20" s="442"/>
      <c r="E20" s="442"/>
      <c r="F20" s="442"/>
      <c r="G20" s="442"/>
      <c r="H20" s="442"/>
      <c r="I20" s="442"/>
      <c r="J20" s="443" t="s">
        <v>64</v>
      </c>
    </row>
    <row r="21" spans="2:10" x14ac:dyDescent="0.25">
      <c r="B21" s="449" t="s">
        <v>95</v>
      </c>
      <c r="C21" s="450"/>
      <c r="D21" s="450"/>
      <c r="E21" s="451" t="s">
        <v>7</v>
      </c>
      <c r="F21" s="451" t="s">
        <v>8</v>
      </c>
      <c r="G21" s="122" t="s">
        <v>100</v>
      </c>
      <c r="H21" s="122"/>
      <c r="I21" s="122"/>
      <c r="J21" s="466">
        <f>-+(F11-F23)/20</f>
        <v>-35000</v>
      </c>
    </row>
    <row r="22" spans="2:10" x14ac:dyDescent="0.25">
      <c r="B22" s="47"/>
      <c r="C22" s="462" t="s">
        <v>274</v>
      </c>
      <c r="D22" s="462"/>
      <c r="E22" s="463">
        <f>+E17</f>
        <v>300000</v>
      </c>
      <c r="F22" s="462"/>
      <c r="J22" s="446"/>
    </row>
    <row r="23" spans="2:10" ht="15.75" thickBot="1" x14ac:dyDescent="0.3">
      <c r="B23" s="49"/>
      <c r="C23" s="464" t="s">
        <v>93</v>
      </c>
      <c r="D23" s="464"/>
      <c r="E23" s="464"/>
      <c r="F23" s="465">
        <f>+E22</f>
        <v>300000</v>
      </c>
      <c r="G23" s="447" t="s">
        <v>102</v>
      </c>
      <c r="H23" s="447"/>
      <c r="I23" s="447"/>
      <c r="J23" s="448">
        <f>+J21+J22</f>
        <v>-35000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7EDF-1B91-4B2B-AF2D-C7B6CE7583D5}">
  <sheetPr>
    <tabColor theme="1"/>
  </sheetPr>
  <dimension ref="A1:K57"/>
  <sheetViews>
    <sheetView topLeftCell="A57" zoomScale="130" zoomScaleNormal="130" workbookViewId="0">
      <selection activeCell="B49" sqref="B49:J55"/>
    </sheetView>
  </sheetViews>
  <sheetFormatPr baseColWidth="10" defaultRowHeight="15" x14ac:dyDescent="0.25"/>
  <cols>
    <col min="1" max="1" width="4" customWidth="1"/>
    <col min="3" max="3" width="13.42578125" customWidth="1"/>
    <col min="4" max="4" width="11.85546875" bestFit="1" customWidth="1"/>
    <col min="5" max="6" width="11.5703125" bestFit="1" customWidth="1"/>
    <col min="7" max="7" width="12.42578125" bestFit="1" customWidth="1"/>
    <col min="8" max="9" width="11.5703125" bestFit="1" customWidth="1"/>
  </cols>
  <sheetData>
    <row r="1" spans="1:11" s="57" customFormat="1" ht="25.5" x14ac:dyDescent="0.35">
      <c r="A1" s="57" t="s">
        <v>275</v>
      </c>
      <c r="K1" s="59"/>
    </row>
    <row r="37" spans="1:10" ht="18.75" x14ac:dyDescent="0.3">
      <c r="A37" s="224" t="s">
        <v>284</v>
      </c>
      <c r="B37" s="225"/>
      <c r="C37" s="225"/>
      <c r="D37" s="225"/>
      <c r="E37" s="225"/>
      <c r="F37" s="225"/>
      <c r="G37" s="225"/>
      <c r="H37" s="225"/>
      <c r="I37" s="225"/>
      <c r="J37" s="225"/>
    </row>
    <row r="38" spans="1:10" ht="15.75" thickBot="1" x14ac:dyDescent="0.3"/>
    <row r="39" spans="1:10" s="197" customFormat="1" ht="15.75" x14ac:dyDescent="0.25">
      <c r="B39" s="215" t="s">
        <v>276</v>
      </c>
      <c r="C39" s="216"/>
      <c r="D39" s="216"/>
      <c r="E39" s="216"/>
      <c r="F39" s="216"/>
      <c r="G39" s="216"/>
      <c r="H39" s="216"/>
      <c r="I39" s="216"/>
      <c r="J39" s="217"/>
    </row>
    <row r="40" spans="1:10" s="468" customFormat="1" ht="15.75" x14ac:dyDescent="0.25">
      <c r="B40" s="469" t="s">
        <v>277</v>
      </c>
      <c r="J40" s="470"/>
    </row>
    <row r="41" spans="1:10" s="468" customFormat="1" ht="15.75" x14ac:dyDescent="0.25">
      <c r="B41" s="469" t="s">
        <v>278</v>
      </c>
      <c r="D41" s="471">
        <v>1000000</v>
      </c>
      <c r="E41" s="468" t="s">
        <v>23</v>
      </c>
      <c r="J41" s="470"/>
    </row>
    <row r="42" spans="1:10" s="197" customFormat="1" ht="16.5" thickBot="1" x14ac:dyDescent="0.3">
      <c r="B42" s="218"/>
      <c r="J42" s="219"/>
    </row>
    <row r="43" spans="1:10" s="197" customFormat="1" ht="15.75" x14ac:dyDescent="0.25">
      <c r="B43" s="218"/>
      <c r="E43" s="472" t="s">
        <v>7</v>
      </c>
      <c r="F43" s="472" t="s">
        <v>8</v>
      </c>
      <c r="G43" s="473" t="s">
        <v>7</v>
      </c>
      <c r="H43" s="474" t="s">
        <v>8</v>
      </c>
      <c r="J43" s="219"/>
    </row>
    <row r="44" spans="1:10" s="197" customFormat="1" ht="15.75" x14ac:dyDescent="0.25">
      <c r="B44" s="218" t="s">
        <v>282</v>
      </c>
      <c r="C44" s="467">
        <v>43190</v>
      </c>
      <c r="E44" s="472" t="s">
        <v>23</v>
      </c>
      <c r="F44" s="472" t="s">
        <v>23</v>
      </c>
      <c r="G44" s="475" t="s">
        <v>281</v>
      </c>
      <c r="H44" s="476" t="s">
        <v>281</v>
      </c>
      <c r="I44" s="197">
        <v>3.7890000000000001</v>
      </c>
      <c r="J44" s="219"/>
    </row>
    <row r="45" spans="1:10" s="197" customFormat="1" ht="15.75" x14ac:dyDescent="0.25">
      <c r="B45" s="481" t="s">
        <v>279</v>
      </c>
      <c r="C45" s="482"/>
      <c r="D45" s="482"/>
      <c r="E45" s="483">
        <v>1000000</v>
      </c>
      <c r="F45" s="484"/>
      <c r="G45" s="477">
        <f>+E45*I44</f>
        <v>3789000</v>
      </c>
      <c r="H45" s="478"/>
      <c r="J45" s="219"/>
    </row>
    <row r="46" spans="1:10" s="197" customFormat="1" ht="16.5" thickBot="1" x14ac:dyDescent="0.3">
      <c r="B46" s="469" t="s">
        <v>280</v>
      </c>
      <c r="E46" s="468"/>
      <c r="F46" s="471">
        <f>+E45</f>
        <v>1000000</v>
      </c>
      <c r="G46" s="479"/>
      <c r="H46" s="480">
        <f>+G45</f>
        <v>3789000</v>
      </c>
      <c r="J46" s="219"/>
    </row>
    <row r="47" spans="1:10" s="197" customFormat="1" ht="16.5" thickBot="1" x14ac:dyDescent="0.3">
      <c r="B47" s="220"/>
      <c r="C47" s="221"/>
      <c r="D47" s="221"/>
      <c r="E47" s="221"/>
      <c r="F47" s="221"/>
      <c r="G47" s="221"/>
      <c r="H47" s="221"/>
      <c r="I47" s="221"/>
      <c r="J47" s="222"/>
    </row>
    <row r="48" spans="1:10" s="197" customFormat="1" ht="16.5" thickBot="1" x14ac:dyDescent="0.3"/>
    <row r="49" spans="1:10" s="197" customFormat="1" ht="15.75" x14ac:dyDescent="0.25">
      <c r="B49" s="215" t="s">
        <v>276</v>
      </c>
      <c r="C49" s="216"/>
      <c r="D49" s="216"/>
      <c r="E49" s="216"/>
      <c r="F49" s="216"/>
      <c r="G49" s="216"/>
      <c r="H49" s="216"/>
      <c r="I49" s="216"/>
      <c r="J49" s="217"/>
    </row>
    <row r="50" spans="1:10" s="197" customFormat="1" ht="16.5" thickBot="1" x14ac:dyDescent="0.3">
      <c r="B50" s="218"/>
      <c r="J50" s="219"/>
    </row>
    <row r="51" spans="1:10" s="197" customFormat="1" ht="15.75" x14ac:dyDescent="0.25">
      <c r="B51" s="218"/>
      <c r="G51" s="473" t="s">
        <v>7</v>
      </c>
      <c r="H51" s="474" t="s">
        <v>8</v>
      </c>
      <c r="J51" s="219"/>
    </row>
    <row r="52" spans="1:10" s="197" customFormat="1" ht="15.75" x14ac:dyDescent="0.25">
      <c r="B52" s="469" t="s">
        <v>282</v>
      </c>
      <c r="C52" s="467">
        <v>43465</v>
      </c>
      <c r="G52" s="475" t="s">
        <v>281</v>
      </c>
      <c r="H52" s="476" t="s">
        <v>281</v>
      </c>
      <c r="I52" s="223">
        <v>3.85</v>
      </c>
      <c r="J52" s="219"/>
    </row>
    <row r="53" spans="1:10" s="197" customFormat="1" ht="15.75" x14ac:dyDescent="0.25">
      <c r="B53" s="469" t="s">
        <v>279</v>
      </c>
      <c r="G53" s="477">
        <f>+E45*I52-G45</f>
        <v>61000</v>
      </c>
      <c r="H53" s="478"/>
      <c r="J53" s="219"/>
    </row>
    <row r="54" spans="1:10" s="197" customFormat="1" ht="16.5" thickBot="1" x14ac:dyDescent="0.3">
      <c r="B54" s="469" t="s">
        <v>283</v>
      </c>
      <c r="G54" s="479"/>
      <c r="H54" s="480">
        <f>+G53</f>
        <v>61000</v>
      </c>
      <c r="J54" s="219"/>
    </row>
    <row r="55" spans="1:10" s="197" customFormat="1" ht="16.5" thickBot="1" x14ac:dyDescent="0.3">
      <c r="B55" s="220"/>
      <c r="C55" s="221"/>
      <c r="D55" s="221"/>
      <c r="E55" s="221"/>
      <c r="F55" s="221"/>
      <c r="G55" s="221"/>
      <c r="H55" s="221"/>
      <c r="I55" s="221"/>
      <c r="J55" s="222"/>
    </row>
    <row r="57" spans="1:10" ht="18.75" x14ac:dyDescent="0.3">
      <c r="A57" s="224" t="s">
        <v>285</v>
      </c>
      <c r="B57" s="225"/>
      <c r="C57" s="225"/>
      <c r="D57" s="225"/>
      <c r="E57" s="225"/>
      <c r="F57" s="225"/>
      <c r="G57" s="225"/>
      <c r="H57" s="225"/>
      <c r="I57" s="225"/>
      <c r="J57" s="22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680D-5921-48F6-8731-10DC084ED58B}">
  <sheetPr>
    <tabColor theme="1"/>
  </sheetPr>
  <dimension ref="A1:AC53"/>
  <sheetViews>
    <sheetView topLeftCell="P1" zoomScale="160" zoomScaleNormal="160" workbookViewId="0">
      <selection activeCell="W21" sqref="W21"/>
    </sheetView>
  </sheetViews>
  <sheetFormatPr baseColWidth="10" defaultRowHeight="15" x14ac:dyDescent="0.25"/>
  <cols>
    <col min="1" max="1" width="6.5703125" style="229" customWidth="1"/>
    <col min="2" max="2" width="11.42578125" style="229"/>
    <col min="3" max="3" width="13.85546875" style="229" customWidth="1"/>
    <col min="4" max="4" width="11.42578125" style="229"/>
    <col min="5" max="5" width="12.5703125" style="229" customWidth="1"/>
    <col min="6" max="6" width="12.42578125" style="229" bestFit="1" customWidth="1"/>
    <col min="7" max="7" width="7" style="229" customWidth="1"/>
    <col min="8" max="8" width="2.140625" style="229" customWidth="1"/>
    <col min="9" max="9" width="5.7109375" style="229" customWidth="1"/>
    <col min="10" max="10" width="12.42578125" style="229" bestFit="1" customWidth="1"/>
    <col min="11" max="11" width="10.140625" style="229" bestFit="1" customWidth="1"/>
    <col min="12" max="13" width="10.140625" style="229" customWidth="1"/>
    <col min="14" max="14" width="10.5703125" style="229" customWidth="1"/>
    <col min="15" max="15" width="12.85546875" style="229" bestFit="1" customWidth="1"/>
    <col min="16" max="16" width="1.5703125" style="229" customWidth="1"/>
    <col min="17" max="17" width="5" style="229" customWidth="1"/>
    <col min="18" max="21" width="11.42578125" style="229"/>
    <col min="22" max="22" width="2.5703125" style="229" customWidth="1"/>
    <col min="23" max="24" width="11.42578125" style="229"/>
    <col min="25" max="25" width="13" style="229" customWidth="1"/>
    <col min="26" max="26" width="11.42578125" style="229"/>
    <col min="27" max="27" width="14.140625" style="229" customWidth="1"/>
    <col min="28" max="28" width="11.42578125" style="229"/>
    <col min="29" max="29" width="11.140625" style="229" customWidth="1"/>
    <col min="30" max="16384" width="11.42578125" style="229"/>
  </cols>
  <sheetData>
    <row r="1" spans="1:28" s="57" customFormat="1" ht="25.5" x14ac:dyDescent="0.35">
      <c r="A1" s="57" t="s">
        <v>286</v>
      </c>
      <c r="K1" s="59"/>
    </row>
    <row r="2" spans="1:28" x14ac:dyDescent="0.25">
      <c r="A2" s="226" t="s">
        <v>287</v>
      </c>
      <c r="B2" s="227"/>
      <c r="C2" s="227"/>
      <c r="D2" s="227"/>
      <c r="E2" s="227"/>
      <c r="F2" s="227"/>
      <c r="G2" s="228"/>
      <c r="I2" s="230" t="s">
        <v>288</v>
      </c>
      <c r="J2" s="231"/>
      <c r="K2" s="231"/>
      <c r="L2" s="231"/>
      <c r="M2" s="231"/>
      <c r="N2" s="231"/>
      <c r="O2" s="231"/>
      <c r="Q2" s="230" t="s">
        <v>289</v>
      </c>
      <c r="R2" s="231"/>
      <c r="S2" s="231"/>
      <c r="T2" s="231"/>
      <c r="U2" s="231"/>
      <c r="W2" s="230" t="s">
        <v>290</v>
      </c>
      <c r="X2" s="231"/>
      <c r="Y2" s="231"/>
      <c r="Z2" s="231"/>
      <c r="AA2" s="231"/>
      <c r="AB2" s="231"/>
    </row>
    <row r="3" spans="1:28" x14ac:dyDescent="0.25">
      <c r="A3" s="232" t="s">
        <v>291</v>
      </c>
      <c r="B3" s="233"/>
      <c r="C3" s="234"/>
      <c r="D3" s="234"/>
      <c r="E3" s="234"/>
      <c r="F3" s="234"/>
      <c r="G3" s="235"/>
      <c r="I3" s="236"/>
      <c r="J3" s="237"/>
      <c r="K3" s="237"/>
      <c r="L3" s="237"/>
      <c r="M3" s="237" t="s">
        <v>1</v>
      </c>
      <c r="N3" s="237"/>
      <c r="O3" s="237" t="s">
        <v>292</v>
      </c>
      <c r="Q3" s="237"/>
      <c r="R3" s="237"/>
      <c r="S3" s="237"/>
      <c r="T3" s="237"/>
      <c r="U3" s="237"/>
      <c r="W3" s="238" t="s">
        <v>306</v>
      </c>
      <c r="X3" s="239"/>
      <c r="Y3" s="239"/>
      <c r="Z3" s="239"/>
      <c r="AA3" s="239"/>
      <c r="AB3" s="239"/>
    </row>
    <row r="4" spans="1:28" x14ac:dyDescent="0.25">
      <c r="A4" s="232"/>
      <c r="B4" s="485" t="s">
        <v>293</v>
      </c>
      <c r="C4" s="486"/>
      <c r="D4" s="486"/>
      <c r="E4" s="486"/>
      <c r="F4" s="486"/>
      <c r="G4" s="235"/>
      <c r="I4" s="236"/>
      <c r="J4" s="237" t="s">
        <v>294</v>
      </c>
      <c r="K4" s="237" t="s">
        <v>295</v>
      </c>
      <c r="L4" s="237" t="s">
        <v>296</v>
      </c>
      <c r="M4" s="237" t="s">
        <v>297</v>
      </c>
      <c r="N4" s="237" t="s">
        <v>1</v>
      </c>
      <c r="O4" s="237" t="s">
        <v>298</v>
      </c>
      <c r="Q4" s="237"/>
      <c r="R4" s="237"/>
      <c r="S4" s="240"/>
      <c r="T4" s="237"/>
      <c r="U4" s="237"/>
      <c r="W4" s="241" t="s">
        <v>308</v>
      </c>
      <c r="X4" s="241"/>
      <c r="Y4" s="241"/>
      <c r="Z4" s="241"/>
      <c r="AA4" s="241"/>
      <c r="AB4" s="241"/>
    </row>
    <row r="5" spans="1:28" x14ac:dyDescent="0.25">
      <c r="A5" s="232"/>
      <c r="B5" s="485" t="s">
        <v>299</v>
      </c>
      <c r="C5" s="485"/>
      <c r="D5" s="485"/>
      <c r="E5" s="485"/>
      <c r="F5" s="485"/>
      <c r="G5" s="243"/>
      <c r="I5" s="244">
        <v>0</v>
      </c>
      <c r="J5" s="245">
        <f>+F10</f>
        <v>10000000</v>
      </c>
      <c r="K5" s="245">
        <f>-F14*F10</f>
        <v>-300000</v>
      </c>
      <c r="L5" s="245"/>
      <c r="M5" s="245"/>
      <c r="N5" s="245"/>
      <c r="O5" s="245">
        <f>SUM(J5:N5)</f>
        <v>9700000</v>
      </c>
      <c r="P5" s="242"/>
      <c r="Q5" s="236"/>
      <c r="R5" s="246" t="s">
        <v>9</v>
      </c>
      <c r="S5" s="246" t="s">
        <v>300</v>
      </c>
      <c r="T5" s="246" t="s">
        <v>233</v>
      </c>
      <c r="U5" s="246" t="s">
        <v>301</v>
      </c>
      <c r="W5" s="238" t="s">
        <v>310</v>
      </c>
      <c r="X5" s="239"/>
      <c r="Y5" s="239"/>
      <c r="Z5" s="239"/>
      <c r="AA5" s="239"/>
      <c r="AB5" s="239"/>
    </row>
    <row r="6" spans="1:28" x14ac:dyDescent="0.25">
      <c r="A6" s="232"/>
      <c r="B6" s="485" t="s">
        <v>302</v>
      </c>
      <c r="C6" s="485"/>
      <c r="D6" s="485"/>
      <c r="E6" s="485"/>
      <c r="F6" s="485"/>
      <c r="G6" s="243"/>
      <c r="I6" s="247">
        <f>+I5+1</f>
        <v>1</v>
      </c>
      <c r="J6" s="241"/>
      <c r="K6" s="241"/>
      <c r="L6" s="241"/>
      <c r="M6" s="241"/>
      <c r="N6" s="248">
        <f>-$F$13</f>
        <v>-470734.72223264701</v>
      </c>
      <c r="O6" s="249">
        <f t="shared" ref="O6:O15" si="0">+J6+K6+M6+N6</f>
        <v>-470734.72223264701</v>
      </c>
      <c r="Q6" s="250">
        <f>+Q5+1</f>
        <v>1</v>
      </c>
      <c r="R6" s="238">
        <f>+O5</f>
        <v>9700000</v>
      </c>
      <c r="S6" s="251">
        <f>+R6*$O$30</f>
        <v>121976.36938593836</v>
      </c>
      <c r="T6" s="252">
        <f>+O6</f>
        <v>-470734.72223264701</v>
      </c>
      <c r="U6" s="253">
        <f>+R6+S6+T6</f>
        <v>9351241.6471532919</v>
      </c>
      <c r="W6" s="241" t="s">
        <v>312</v>
      </c>
      <c r="X6" s="241"/>
      <c r="Y6" s="241"/>
      <c r="Z6" s="241"/>
      <c r="AA6" s="241"/>
      <c r="AB6" s="241"/>
    </row>
    <row r="7" spans="1:28" x14ac:dyDescent="0.25">
      <c r="A7" s="232" t="s">
        <v>303</v>
      </c>
      <c r="B7" s="254"/>
      <c r="C7" s="233"/>
      <c r="D7" s="233"/>
      <c r="E7" s="233"/>
      <c r="F7" s="233"/>
      <c r="G7" s="243"/>
      <c r="I7" s="247">
        <f t="shared" ref="I7:I29" si="1">+I6+1</f>
        <v>2</v>
      </c>
      <c r="J7" s="241"/>
      <c r="K7" s="241"/>
      <c r="L7" s="241"/>
      <c r="M7" s="241"/>
      <c r="N7" s="248">
        <f>-$F$13</f>
        <v>-470734.72223264701</v>
      </c>
      <c r="O7" s="241">
        <f t="shared" si="0"/>
        <v>-470734.72223264701</v>
      </c>
      <c r="Q7" s="250">
        <f t="shared" ref="Q7:Q29" si="2">+Q6+1</f>
        <v>2</v>
      </c>
      <c r="R7" s="255">
        <f>+U6</f>
        <v>9351241.6471532919</v>
      </c>
      <c r="S7" s="256">
        <f>+R7*$O$30</f>
        <v>117590.77374951965</v>
      </c>
      <c r="T7" s="257">
        <f t="shared" ref="T7:T29" si="3">+O7</f>
        <v>-470734.72223264701</v>
      </c>
      <c r="U7" s="257">
        <f>+R7+S7+T7</f>
        <v>8998097.6986701638</v>
      </c>
      <c r="W7" s="250" t="s">
        <v>313</v>
      </c>
      <c r="X7" s="260"/>
      <c r="Y7" s="260"/>
      <c r="Z7" s="260"/>
      <c r="AA7" s="260"/>
      <c r="AB7" s="260"/>
    </row>
    <row r="8" spans="1:28" x14ac:dyDescent="0.25">
      <c r="A8" s="258"/>
      <c r="B8" s="487" t="s">
        <v>304</v>
      </c>
      <c r="C8" s="487"/>
      <c r="D8" s="487"/>
      <c r="E8" s="487"/>
      <c r="F8" s="487"/>
      <c r="G8" s="235"/>
      <c r="I8" s="247">
        <f t="shared" si="1"/>
        <v>3</v>
      </c>
      <c r="J8" s="241"/>
      <c r="K8" s="241"/>
      <c r="L8" s="241"/>
      <c r="M8" s="241"/>
      <c r="N8" s="248">
        <f t="shared" ref="N8:N29" si="4">-$F$13</f>
        <v>-470734.72223264701</v>
      </c>
      <c r="O8" s="241">
        <f t="shared" si="0"/>
        <v>-470734.72223264701</v>
      </c>
      <c r="Q8" s="250">
        <f t="shared" si="2"/>
        <v>3</v>
      </c>
      <c r="R8" s="255">
        <f>+U7</f>
        <v>8998097.6986701638</v>
      </c>
      <c r="S8" s="256">
        <f>+R8*$O$30</f>
        <v>113150.02975914988</v>
      </c>
      <c r="T8" s="257">
        <f t="shared" si="3"/>
        <v>-470734.72223264701</v>
      </c>
      <c r="U8" s="257">
        <f>+R8+S8+T8</f>
        <v>8640513.0061966665</v>
      </c>
      <c r="W8" s="241" t="s">
        <v>315</v>
      </c>
      <c r="X8" s="241"/>
      <c r="Y8" s="241"/>
      <c r="Z8" s="241"/>
      <c r="AA8" s="241"/>
      <c r="AB8" s="241"/>
    </row>
    <row r="9" spans="1:28" x14ac:dyDescent="0.25">
      <c r="A9" s="258"/>
      <c r="B9" s="234"/>
      <c r="C9" s="234"/>
      <c r="D9" s="234"/>
      <c r="E9" s="234"/>
      <c r="F9" s="234"/>
      <c r="G9" s="235"/>
      <c r="I9" s="247">
        <f t="shared" si="1"/>
        <v>4</v>
      </c>
      <c r="J9" s="241"/>
      <c r="K9" s="241"/>
      <c r="L9" s="241"/>
      <c r="M9" s="241"/>
      <c r="N9" s="248">
        <f t="shared" si="4"/>
        <v>-470734.72223264701</v>
      </c>
      <c r="O9" s="241">
        <f t="shared" si="0"/>
        <v>-470734.72223264701</v>
      </c>
      <c r="Q9" s="250">
        <f t="shared" si="2"/>
        <v>4</v>
      </c>
      <c r="R9" s="257">
        <f t="shared" ref="R9:R29" si="5">+U8</f>
        <v>8640513.0061966665</v>
      </c>
      <c r="S9" s="256">
        <f t="shared" ref="S9:S29" si="6">+R9*$O$30</f>
        <v>108653.44393070613</v>
      </c>
      <c r="T9" s="257">
        <f t="shared" si="3"/>
        <v>-470734.72223264701</v>
      </c>
      <c r="U9" s="257">
        <f t="shared" ref="U9:U28" si="7">+R9+S9+T9</f>
        <v>8278431.7278947253</v>
      </c>
      <c r="W9" s="241" t="s">
        <v>317</v>
      </c>
      <c r="X9" s="241"/>
      <c r="Y9" s="241"/>
      <c r="Z9" s="241"/>
      <c r="AA9" s="241"/>
      <c r="AB9" s="241"/>
    </row>
    <row r="10" spans="1:28" ht="15.75" thickBot="1" x14ac:dyDescent="0.3">
      <c r="A10" s="258"/>
      <c r="B10" s="487" t="s">
        <v>305</v>
      </c>
      <c r="C10" s="487"/>
      <c r="D10" s="487"/>
      <c r="E10" s="487"/>
      <c r="F10" s="487">
        <v>10000000</v>
      </c>
      <c r="G10" s="235"/>
      <c r="I10" s="247">
        <f t="shared" si="1"/>
        <v>5</v>
      </c>
      <c r="J10" s="241"/>
      <c r="K10" s="241"/>
      <c r="L10" s="241"/>
      <c r="M10" s="241"/>
      <c r="N10" s="248">
        <f t="shared" si="4"/>
        <v>-470734.72223264701</v>
      </c>
      <c r="O10" s="241">
        <f t="shared" si="0"/>
        <v>-470734.72223264701</v>
      </c>
      <c r="Q10" s="250">
        <f t="shared" si="2"/>
        <v>5</v>
      </c>
      <c r="R10" s="257">
        <f t="shared" si="5"/>
        <v>8278431.7278947253</v>
      </c>
      <c r="S10" s="251">
        <f t="shared" si="6"/>
        <v>104100.3140595834</v>
      </c>
      <c r="T10" s="257">
        <f t="shared" si="3"/>
        <v>-470734.72223264701</v>
      </c>
      <c r="U10" s="257">
        <f t="shared" si="7"/>
        <v>7911797.3197216615</v>
      </c>
      <c r="W10" s="261" t="s">
        <v>319</v>
      </c>
      <c r="X10" s="241"/>
      <c r="Y10" s="241"/>
      <c r="Z10" s="241"/>
      <c r="AA10" s="241"/>
      <c r="AB10" s="241"/>
    </row>
    <row r="11" spans="1:28" ht="15.75" thickBot="1" x14ac:dyDescent="0.3">
      <c r="A11" s="258"/>
      <c r="B11" s="487" t="s">
        <v>103</v>
      </c>
      <c r="C11" s="487"/>
      <c r="D11" s="487"/>
      <c r="E11" s="487"/>
      <c r="F11" s="269">
        <v>0.01</v>
      </c>
      <c r="G11" s="235"/>
      <c r="I11" s="247">
        <f t="shared" si="1"/>
        <v>6</v>
      </c>
      <c r="J11" s="241"/>
      <c r="K11" s="241"/>
      <c r="L11" s="241"/>
      <c r="M11" s="241"/>
      <c r="N11" s="248">
        <f t="shared" si="4"/>
        <v>-470734.72223264701</v>
      </c>
      <c r="O11" s="241">
        <f t="shared" si="0"/>
        <v>-470734.72223264701</v>
      </c>
      <c r="Q11" s="250">
        <f t="shared" si="2"/>
        <v>6</v>
      </c>
      <c r="R11" s="257">
        <f t="shared" si="5"/>
        <v>7911797.3197216615</v>
      </c>
      <c r="S11" s="256">
        <f t="shared" si="6"/>
        <v>99489.929111035715</v>
      </c>
      <c r="T11" s="257">
        <f t="shared" si="3"/>
        <v>-470734.72223264701</v>
      </c>
      <c r="U11" s="257">
        <f t="shared" si="7"/>
        <v>7540552.5266000498</v>
      </c>
      <c r="W11" s="261" t="s">
        <v>321</v>
      </c>
      <c r="X11" s="241"/>
      <c r="Y11" s="241"/>
      <c r="Z11" s="241"/>
      <c r="AA11" s="241"/>
      <c r="AB11" s="241"/>
    </row>
    <row r="12" spans="1:28" x14ac:dyDescent="0.25">
      <c r="A12" s="258"/>
      <c r="B12" s="487" t="s">
        <v>307</v>
      </c>
      <c r="C12" s="487"/>
      <c r="D12" s="487"/>
      <c r="E12" s="487"/>
      <c r="F12" s="487">
        <v>24</v>
      </c>
      <c r="G12" s="235"/>
      <c r="I12" s="247">
        <f t="shared" si="1"/>
        <v>7</v>
      </c>
      <c r="J12" s="241"/>
      <c r="K12" s="241"/>
      <c r="L12" s="241"/>
      <c r="M12" s="241"/>
      <c r="N12" s="248">
        <f t="shared" si="4"/>
        <v>-470734.72223264701</v>
      </c>
      <c r="O12" s="241">
        <f t="shared" si="0"/>
        <v>-470734.72223264701</v>
      </c>
      <c r="Q12" s="250">
        <f t="shared" si="2"/>
        <v>7</v>
      </c>
      <c r="R12" s="257">
        <f t="shared" si="5"/>
        <v>7540552.5266000498</v>
      </c>
      <c r="S12" s="256">
        <f t="shared" si="6"/>
        <v>94821.569109137985</v>
      </c>
      <c r="T12" s="257">
        <f t="shared" si="3"/>
        <v>-470734.72223264701</v>
      </c>
      <c r="U12" s="257">
        <f t="shared" si="7"/>
        <v>7164639.3734765407</v>
      </c>
      <c r="W12" s="261" t="s">
        <v>325</v>
      </c>
      <c r="X12" s="241"/>
      <c r="Y12" s="241"/>
      <c r="Z12" s="241"/>
      <c r="AA12" s="241"/>
      <c r="AB12" s="241"/>
    </row>
    <row r="13" spans="1:28" x14ac:dyDescent="0.25">
      <c r="A13" s="258"/>
      <c r="B13" s="487" t="s">
        <v>309</v>
      </c>
      <c r="C13" s="487"/>
      <c r="D13" s="487"/>
      <c r="E13" s="487"/>
      <c r="F13" s="487">
        <f>-PMT(F11,F12,F10,0,0)</f>
        <v>470734.72223264701</v>
      </c>
      <c r="G13" s="235"/>
      <c r="I13" s="247">
        <f t="shared" si="1"/>
        <v>8</v>
      </c>
      <c r="J13" s="241"/>
      <c r="K13" s="241"/>
      <c r="L13" s="241"/>
      <c r="M13" s="241"/>
      <c r="N13" s="248">
        <f t="shared" si="4"/>
        <v>-470734.72223264701</v>
      </c>
      <c r="O13" s="241">
        <f t="shared" si="0"/>
        <v>-470734.72223264701</v>
      </c>
      <c r="Q13" s="250">
        <f t="shared" si="2"/>
        <v>8</v>
      </c>
      <c r="R13" s="257">
        <f t="shared" si="5"/>
        <v>7164639.3734765407</v>
      </c>
      <c r="S13" s="256">
        <f t="shared" si="6"/>
        <v>90094.505024351805</v>
      </c>
      <c r="T13" s="257">
        <f t="shared" si="3"/>
        <v>-470734.72223264701</v>
      </c>
      <c r="U13" s="257">
        <f t="shared" si="7"/>
        <v>6783999.1562682455</v>
      </c>
      <c r="W13" s="250" t="s">
        <v>327</v>
      </c>
      <c r="X13" s="260"/>
      <c r="Y13" s="260"/>
      <c r="Z13" s="260"/>
      <c r="AA13" s="260"/>
      <c r="AB13" s="260"/>
    </row>
    <row r="14" spans="1:28" x14ac:dyDescent="0.25">
      <c r="A14" s="258"/>
      <c r="B14" s="487" t="s">
        <v>311</v>
      </c>
      <c r="C14" s="487"/>
      <c r="D14" s="487"/>
      <c r="E14" s="487"/>
      <c r="F14" s="488">
        <v>0.03</v>
      </c>
      <c r="G14" s="235"/>
      <c r="I14" s="247">
        <f t="shared" si="1"/>
        <v>9</v>
      </c>
      <c r="J14" s="241"/>
      <c r="K14" s="241"/>
      <c r="L14" s="241"/>
      <c r="M14" s="241"/>
      <c r="N14" s="248">
        <f t="shared" si="4"/>
        <v>-470734.72223264701</v>
      </c>
      <c r="O14" s="241">
        <f t="shared" si="0"/>
        <v>-470734.72223264701</v>
      </c>
      <c r="Q14" s="250">
        <f t="shared" si="2"/>
        <v>9</v>
      </c>
      <c r="R14" s="257">
        <f t="shared" si="5"/>
        <v>6783999.1562682455</v>
      </c>
      <c r="S14" s="259">
        <f t="shared" si="6"/>
        <v>85307.998659677294</v>
      </c>
      <c r="T14" s="257">
        <f t="shared" si="3"/>
        <v>-470734.72223264701</v>
      </c>
      <c r="U14" s="257">
        <f t="shared" si="7"/>
        <v>6398572.4326952752</v>
      </c>
      <c r="W14" s="241" t="s">
        <v>328</v>
      </c>
      <c r="X14" s="241"/>
      <c r="Y14" s="241"/>
      <c r="Z14" s="241"/>
      <c r="AA14" s="241"/>
      <c r="AB14" s="241"/>
    </row>
    <row r="15" spans="1:28" x14ac:dyDescent="0.25">
      <c r="A15" s="258"/>
      <c r="B15" s="234"/>
      <c r="C15" s="234"/>
      <c r="D15" s="234"/>
      <c r="E15" s="234"/>
      <c r="F15" s="234"/>
      <c r="G15" s="235"/>
      <c r="I15" s="247">
        <f t="shared" si="1"/>
        <v>10</v>
      </c>
      <c r="J15" s="241"/>
      <c r="K15" s="241"/>
      <c r="L15" s="241"/>
      <c r="M15" s="241"/>
      <c r="N15" s="248">
        <f t="shared" si="4"/>
        <v>-470734.72223264701</v>
      </c>
      <c r="O15" s="241">
        <f t="shared" si="0"/>
        <v>-470734.72223264701</v>
      </c>
      <c r="Q15" s="250">
        <f t="shared" si="2"/>
        <v>10</v>
      </c>
      <c r="R15" s="257">
        <f t="shared" si="5"/>
        <v>6398572.4326952752</v>
      </c>
      <c r="S15" s="259">
        <f t="shared" si="6"/>
        <v>80461.30253537331</v>
      </c>
      <c r="T15" s="257">
        <f t="shared" si="3"/>
        <v>-470734.72223264701</v>
      </c>
      <c r="U15" s="257">
        <f t="shared" si="7"/>
        <v>6008299.0129980016</v>
      </c>
      <c r="W15" s="241" t="s">
        <v>329</v>
      </c>
      <c r="X15" s="241"/>
      <c r="Y15" s="241"/>
      <c r="Z15" s="241"/>
      <c r="AA15" s="241"/>
      <c r="AB15" s="241"/>
    </row>
    <row r="16" spans="1:28" x14ac:dyDescent="0.25">
      <c r="A16" s="489" t="s">
        <v>314</v>
      </c>
      <c r="B16" s="490"/>
      <c r="C16" s="490"/>
      <c r="D16" s="490"/>
      <c r="E16" s="490"/>
      <c r="F16" s="490"/>
      <c r="G16" s="491"/>
      <c r="I16" s="247">
        <f t="shared" si="1"/>
        <v>11</v>
      </c>
      <c r="J16" s="241"/>
      <c r="K16" s="241"/>
      <c r="L16" s="241"/>
      <c r="M16" s="241"/>
      <c r="N16" s="248">
        <f t="shared" si="4"/>
        <v>-470734.72223264701</v>
      </c>
      <c r="O16" s="241">
        <f>SUM(J16:N16)</f>
        <v>-470734.72223264701</v>
      </c>
      <c r="Q16" s="250">
        <f t="shared" si="2"/>
        <v>11</v>
      </c>
      <c r="R16" s="257">
        <f t="shared" si="5"/>
        <v>6008299.0129980016</v>
      </c>
      <c r="S16" s="259">
        <f t="shared" si="6"/>
        <v>75553.659772228159</v>
      </c>
      <c r="T16" s="257">
        <f t="shared" si="3"/>
        <v>-470734.72223264701</v>
      </c>
      <c r="U16" s="257">
        <f t="shared" si="7"/>
        <v>5613117.9505375829</v>
      </c>
      <c r="W16" s="241" t="s">
        <v>330</v>
      </c>
      <c r="X16" s="241"/>
      <c r="Y16" s="241"/>
      <c r="Z16" s="241"/>
      <c r="AA16" s="241"/>
      <c r="AB16" s="241"/>
    </row>
    <row r="17" spans="1:29" x14ac:dyDescent="0.25">
      <c r="A17" s="489" t="s">
        <v>316</v>
      </c>
      <c r="B17" s="490"/>
      <c r="C17" s="490"/>
      <c r="D17" s="490"/>
      <c r="E17" s="490"/>
      <c r="F17" s="490"/>
      <c r="G17" s="491"/>
      <c r="I17" s="247">
        <f t="shared" si="1"/>
        <v>12</v>
      </c>
      <c r="J17" s="241"/>
      <c r="K17" s="241"/>
      <c r="L17" s="241"/>
      <c r="M17" s="241"/>
      <c r="N17" s="248">
        <f t="shared" si="4"/>
        <v>-470734.72223264701</v>
      </c>
      <c r="O17" s="241">
        <f t="shared" ref="O17:O29" si="8">+J17+K17+M17+N17</f>
        <v>-470734.72223264701</v>
      </c>
      <c r="Q17" s="250">
        <f t="shared" si="2"/>
        <v>12</v>
      </c>
      <c r="R17" s="257">
        <f t="shared" si="5"/>
        <v>5613117.9505375829</v>
      </c>
      <c r="S17" s="259">
        <f t="shared" si="6"/>
        <v>70584.303973362214</v>
      </c>
      <c r="T17" s="257">
        <f t="shared" si="3"/>
        <v>-470734.72223264701</v>
      </c>
      <c r="U17" s="257">
        <f t="shared" si="7"/>
        <v>5212967.5322782975</v>
      </c>
      <c r="W17" s="250" t="s">
        <v>331</v>
      </c>
      <c r="X17" s="260"/>
      <c r="Y17" s="260"/>
      <c r="Z17" s="260"/>
      <c r="AA17" s="260"/>
      <c r="AB17" s="260"/>
    </row>
    <row r="18" spans="1:29" x14ac:dyDescent="0.25">
      <c r="A18" s="492" t="s">
        <v>318</v>
      </c>
      <c r="B18" s="493"/>
      <c r="C18" s="493"/>
      <c r="D18" s="493"/>
      <c r="E18" s="493"/>
      <c r="F18" s="493"/>
      <c r="G18" s="494"/>
      <c r="I18" s="247">
        <f t="shared" si="1"/>
        <v>13</v>
      </c>
      <c r="J18" s="241"/>
      <c r="K18" s="241"/>
      <c r="L18" s="241"/>
      <c r="M18" s="241"/>
      <c r="N18" s="248">
        <f t="shared" si="4"/>
        <v>-470734.72223264701</v>
      </c>
      <c r="O18" s="241">
        <f t="shared" si="8"/>
        <v>-470734.72223264701</v>
      </c>
      <c r="Q18" s="250">
        <f t="shared" si="2"/>
        <v>13</v>
      </c>
      <c r="R18" s="257">
        <f t="shared" si="5"/>
        <v>5212967.5322782975</v>
      </c>
      <c r="S18" s="259">
        <f t="shared" si="6"/>
        <v>65552.459104544454</v>
      </c>
      <c r="T18" s="257">
        <f t="shared" si="3"/>
        <v>-470734.72223264701</v>
      </c>
      <c r="U18" s="257">
        <f t="shared" si="7"/>
        <v>4807785.2691501947</v>
      </c>
      <c r="W18" s="241" t="s">
        <v>332</v>
      </c>
      <c r="X18" s="241"/>
      <c r="Y18" s="241"/>
      <c r="Z18" s="241"/>
      <c r="AA18" s="241"/>
      <c r="AB18" s="241"/>
    </row>
    <row r="19" spans="1:29" x14ac:dyDescent="0.25">
      <c r="A19" s="242" t="s">
        <v>320</v>
      </c>
      <c r="I19" s="247">
        <f t="shared" si="1"/>
        <v>14</v>
      </c>
      <c r="J19" s="241"/>
      <c r="K19" s="241"/>
      <c r="L19" s="241"/>
      <c r="M19" s="241"/>
      <c r="N19" s="248">
        <f t="shared" si="4"/>
        <v>-470734.72223264701</v>
      </c>
      <c r="O19" s="241">
        <f t="shared" si="8"/>
        <v>-470734.72223264701</v>
      </c>
      <c r="Q19" s="250">
        <f t="shared" si="2"/>
        <v>14</v>
      </c>
      <c r="R19" s="257">
        <f t="shared" si="5"/>
        <v>4807785.2691501947</v>
      </c>
      <c r="S19" s="259">
        <f t="shared" si="6"/>
        <v>60457.339373003844</v>
      </c>
      <c r="T19" s="257">
        <f t="shared" si="3"/>
        <v>-470734.72223264701</v>
      </c>
      <c r="U19" s="257">
        <f t="shared" si="7"/>
        <v>4397507.8862905512</v>
      </c>
      <c r="W19" s="241" t="s">
        <v>333</v>
      </c>
      <c r="X19" s="241"/>
      <c r="Y19" s="241"/>
      <c r="Z19" s="241"/>
      <c r="AA19" s="241"/>
      <c r="AB19" s="241"/>
    </row>
    <row r="20" spans="1:29" x14ac:dyDescent="0.25">
      <c r="C20" s="262" t="s">
        <v>322</v>
      </c>
      <c r="D20" s="262" t="s">
        <v>323</v>
      </c>
      <c r="E20" s="262" t="s">
        <v>324</v>
      </c>
      <c r="I20" s="247">
        <f t="shared" si="1"/>
        <v>15</v>
      </c>
      <c r="J20" s="241"/>
      <c r="K20" s="241"/>
      <c r="L20" s="241"/>
      <c r="M20" s="241"/>
      <c r="N20" s="248">
        <f t="shared" si="4"/>
        <v>-470734.72223264701</v>
      </c>
      <c r="O20" s="241">
        <f t="shared" si="8"/>
        <v>-470734.72223264701</v>
      </c>
      <c r="Q20" s="250">
        <f t="shared" si="2"/>
        <v>15</v>
      </c>
      <c r="R20" s="257">
        <f t="shared" si="5"/>
        <v>4397507.8862905512</v>
      </c>
      <c r="S20" s="259">
        <f t="shared" si="6"/>
        <v>55298.149104716838</v>
      </c>
      <c r="T20" s="257">
        <f t="shared" si="3"/>
        <v>-470734.72223264701</v>
      </c>
      <c r="U20" s="257">
        <f t="shared" si="7"/>
        <v>3982071.3131626211</v>
      </c>
      <c r="W20" s="241" t="s">
        <v>334</v>
      </c>
      <c r="X20" s="241"/>
      <c r="Y20" s="241"/>
      <c r="Z20" s="241"/>
      <c r="AA20" s="241"/>
      <c r="AB20" s="241"/>
    </row>
    <row r="21" spans="1:29" x14ac:dyDescent="0.25">
      <c r="B21" s="229">
        <v>1</v>
      </c>
      <c r="C21" s="263">
        <f t="shared" ref="C21:C44" si="9">PPMT($F$11,B21,24,-$F$10,0,0)</f>
        <v>370734.72223264701</v>
      </c>
      <c r="D21" s="263">
        <f t="shared" ref="D21:D44" si="10">IPMT($F$11,B21,24,-$F$10,0,0)</f>
        <v>100000</v>
      </c>
      <c r="E21" s="229">
        <f>+C21+D21</f>
        <v>470734.72223264701</v>
      </c>
      <c r="I21" s="247">
        <f t="shared" si="1"/>
        <v>16</v>
      </c>
      <c r="J21" s="241"/>
      <c r="K21" s="241"/>
      <c r="L21" s="241"/>
      <c r="M21" s="241"/>
      <c r="N21" s="248">
        <f t="shared" si="4"/>
        <v>-470734.72223264701</v>
      </c>
      <c r="O21" s="241">
        <f t="shared" si="8"/>
        <v>-470734.72223264701</v>
      </c>
      <c r="Q21" s="250">
        <f t="shared" si="2"/>
        <v>16</v>
      </c>
      <c r="R21" s="257">
        <f t="shared" si="5"/>
        <v>3982071.3131626211</v>
      </c>
      <c r="S21" s="259">
        <f t="shared" si="6"/>
        <v>50074.082620151807</v>
      </c>
      <c r="T21" s="257">
        <f t="shared" si="3"/>
        <v>-470734.72223264701</v>
      </c>
      <c r="U21" s="257">
        <f t="shared" si="7"/>
        <v>3561410.6735501261</v>
      </c>
    </row>
    <row r="22" spans="1:29" x14ac:dyDescent="0.25">
      <c r="B22" s="229">
        <f>+B21+1</f>
        <v>2</v>
      </c>
      <c r="C22" s="263">
        <f t="shared" si="9"/>
        <v>374442.06945497351</v>
      </c>
      <c r="D22" s="263">
        <f t="shared" si="10"/>
        <v>96292.652777673531</v>
      </c>
      <c r="E22" s="229">
        <f t="shared" ref="E22:E44" si="11">+C22+D22</f>
        <v>470734.72223264701</v>
      </c>
      <c r="I22" s="247">
        <f t="shared" si="1"/>
        <v>17</v>
      </c>
      <c r="J22" s="241"/>
      <c r="K22" s="241"/>
      <c r="L22" s="241"/>
      <c r="M22" s="241"/>
      <c r="N22" s="248">
        <f t="shared" si="4"/>
        <v>-470734.72223264701</v>
      </c>
      <c r="O22" s="241">
        <f t="shared" si="8"/>
        <v>-470734.72223264701</v>
      </c>
      <c r="Q22" s="250">
        <f t="shared" si="2"/>
        <v>17</v>
      </c>
      <c r="R22" s="257">
        <f t="shared" si="5"/>
        <v>3561410.6735501261</v>
      </c>
      <c r="S22" s="259">
        <f t="shared" si="6"/>
        <v>44784.324108450899</v>
      </c>
      <c r="T22" s="257">
        <f t="shared" si="3"/>
        <v>-470734.72223264701</v>
      </c>
      <c r="U22" s="257">
        <f t="shared" si="7"/>
        <v>3135460.2754259296</v>
      </c>
    </row>
    <row r="23" spans="1:29" x14ac:dyDescent="0.25">
      <c r="B23" s="229">
        <f t="shared" ref="B23:B44" si="12">+B22+1</f>
        <v>3</v>
      </c>
      <c r="C23" s="263">
        <f t="shared" si="9"/>
        <v>378186.49014952325</v>
      </c>
      <c r="D23" s="263">
        <f t="shared" si="10"/>
        <v>92548.232083123818</v>
      </c>
      <c r="E23" s="229">
        <f t="shared" si="11"/>
        <v>470734.72223264707</v>
      </c>
      <c r="I23" s="247">
        <f t="shared" si="1"/>
        <v>18</v>
      </c>
      <c r="J23" s="241"/>
      <c r="K23" s="241"/>
      <c r="L23" s="241"/>
      <c r="M23" s="241"/>
      <c r="N23" s="248">
        <f t="shared" si="4"/>
        <v>-470734.72223264701</v>
      </c>
      <c r="O23" s="241">
        <f t="shared" si="8"/>
        <v>-470734.72223264701</v>
      </c>
      <c r="Q23" s="250">
        <f t="shared" si="2"/>
        <v>18</v>
      </c>
      <c r="R23" s="257">
        <f t="shared" si="5"/>
        <v>3135460.2754259296</v>
      </c>
      <c r="S23" s="259">
        <f t="shared" si="6"/>
        <v>39428.047500029817</v>
      </c>
      <c r="T23" s="257">
        <f t="shared" si="3"/>
        <v>-470734.72223264701</v>
      </c>
      <c r="U23" s="257">
        <f t="shared" si="7"/>
        <v>2704153.6006933125</v>
      </c>
    </row>
    <row r="24" spans="1:29" x14ac:dyDescent="0.25">
      <c r="B24" s="229">
        <f t="shared" si="12"/>
        <v>4</v>
      </c>
      <c r="C24" s="263">
        <f t="shared" si="9"/>
        <v>381968.35505101847</v>
      </c>
      <c r="D24" s="263">
        <f t="shared" si="10"/>
        <v>88766.367181628579</v>
      </c>
      <c r="E24" s="229">
        <f t="shared" si="11"/>
        <v>470734.72223264707</v>
      </c>
      <c r="I24" s="247">
        <f t="shared" si="1"/>
        <v>19</v>
      </c>
      <c r="J24" s="241"/>
      <c r="K24" s="241"/>
      <c r="L24" s="241"/>
      <c r="M24" s="241"/>
      <c r="N24" s="248">
        <f t="shared" si="4"/>
        <v>-470734.72223264701</v>
      </c>
      <c r="O24" s="241">
        <f t="shared" si="8"/>
        <v>-470734.72223264701</v>
      </c>
      <c r="Q24" s="250">
        <f t="shared" si="2"/>
        <v>19</v>
      </c>
      <c r="R24" s="257">
        <f t="shared" si="5"/>
        <v>2704153.6006933125</v>
      </c>
      <c r="S24" s="259">
        <f t="shared" si="6"/>
        <v>34004.416337575545</v>
      </c>
      <c r="T24" s="257">
        <f t="shared" si="3"/>
        <v>-470734.72223264701</v>
      </c>
      <c r="U24" s="257">
        <f t="shared" si="7"/>
        <v>2267423.294798241</v>
      </c>
    </row>
    <row r="25" spans="1:29" x14ac:dyDescent="0.25">
      <c r="B25" s="229">
        <f t="shared" si="12"/>
        <v>5</v>
      </c>
      <c r="C25" s="263">
        <f t="shared" si="9"/>
        <v>385788.03860152862</v>
      </c>
      <c r="D25" s="263">
        <f t="shared" si="10"/>
        <v>84946.683631118387</v>
      </c>
      <c r="E25" s="229">
        <f t="shared" si="11"/>
        <v>470734.72223264701</v>
      </c>
      <c r="I25" s="247">
        <f t="shared" si="1"/>
        <v>20</v>
      </c>
      <c r="J25" s="241"/>
      <c r="K25" s="241"/>
      <c r="L25" s="241"/>
      <c r="M25" s="241"/>
      <c r="N25" s="248">
        <f t="shared" si="4"/>
        <v>-470734.72223264701</v>
      </c>
      <c r="O25" s="241">
        <f t="shared" si="8"/>
        <v>-470734.72223264701</v>
      </c>
      <c r="Q25" s="250">
        <f t="shared" si="2"/>
        <v>20</v>
      </c>
      <c r="R25" s="257">
        <f t="shared" si="5"/>
        <v>2267423.294798241</v>
      </c>
      <c r="S25" s="259">
        <f t="shared" si="6"/>
        <v>28512.583645421822</v>
      </c>
      <c r="T25" s="257">
        <f t="shared" si="3"/>
        <v>-470734.72223264701</v>
      </c>
      <c r="U25" s="257">
        <f t="shared" si="7"/>
        <v>1825201.156211016</v>
      </c>
    </row>
    <row r="26" spans="1:29" x14ac:dyDescent="0.25">
      <c r="B26" s="229">
        <f t="shared" si="12"/>
        <v>6</v>
      </c>
      <c r="C26" s="263">
        <f t="shared" si="9"/>
        <v>389645.9189875439</v>
      </c>
      <c r="D26" s="263">
        <f t="shared" si="10"/>
        <v>81088.803245103103</v>
      </c>
      <c r="E26" s="229">
        <f t="shared" si="11"/>
        <v>470734.72223264701</v>
      </c>
      <c r="I26" s="247">
        <f t="shared" si="1"/>
        <v>21</v>
      </c>
      <c r="J26" s="241"/>
      <c r="K26" s="241"/>
      <c r="L26" s="241"/>
      <c r="M26" s="241"/>
      <c r="N26" s="248">
        <f t="shared" si="4"/>
        <v>-470734.72223264701</v>
      </c>
      <c r="O26" s="241">
        <f t="shared" si="8"/>
        <v>-470734.72223264701</v>
      </c>
      <c r="Q26" s="250">
        <f t="shared" si="2"/>
        <v>21</v>
      </c>
      <c r="R26" s="257">
        <f t="shared" si="5"/>
        <v>1825201.156211016</v>
      </c>
      <c r="S26" s="259">
        <f t="shared" si="6"/>
        <v>22951.691797282132</v>
      </c>
      <c r="T26" s="257">
        <f t="shared" si="3"/>
        <v>-470734.72223264701</v>
      </c>
      <c r="U26" s="257">
        <f t="shared" si="7"/>
        <v>1377418.1257756511</v>
      </c>
    </row>
    <row r="27" spans="1:29" x14ac:dyDescent="0.25">
      <c r="B27" s="229">
        <f t="shared" si="12"/>
        <v>7</v>
      </c>
      <c r="C27" s="263">
        <f t="shared" si="9"/>
        <v>393542.37817741936</v>
      </c>
      <c r="D27" s="263">
        <f t="shared" si="10"/>
        <v>77192.344055227644</v>
      </c>
      <c r="E27" s="229">
        <f t="shared" si="11"/>
        <v>470734.72223264701</v>
      </c>
      <c r="I27" s="247">
        <f t="shared" si="1"/>
        <v>22</v>
      </c>
      <c r="J27" s="241"/>
      <c r="K27" s="241"/>
      <c r="L27" s="241"/>
      <c r="M27" s="241"/>
      <c r="N27" s="248">
        <f t="shared" si="4"/>
        <v>-470734.72223264701</v>
      </c>
      <c r="O27" s="241">
        <f t="shared" si="8"/>
        <v>-470734.72223264701</v>
      </c>
      <c r="Q27" s="250">
        <f t="shared" si="2"/>
        <v>22</v>
      </c>
      <c r="R27" s="257">
        <f t="shared" si="5"/>
        <v>1377418.1257756511</v>
      </c>
      <c r="S27" s="259">
        <f t="shared" si="6"/>
        <v>17320.872382319354</v>
      </c>
      <c r="T27" s="257">
        <f t="shared" si="3"/>
        <v>-470734.72223264701</v>
      </c>
      <c r="U27" s="257">
        <f t="shared" si="7"/>
        <v>924004.27592532337</v>
      </c>
    </row>
    <row r="28" spans="1:29" ht="15.75" thickBot="1" x14ac:dyDescent="0.3">
      <c r="B28" s="229">
        <f t="shared" si="12"/>
        <v>8</v>
      </c>
      <c r="C28" s="263">
        <f t="shared" si="9"/>
        <v>397477.8019591936</v>
      </c>
      <c r="D28" s="263">
        <f t="shared" si="10"/>
        <v>73256.920273453463</v>
      </c>
      <c r="E28" s="229">
        <f t="shared" si="11"/>
        <v>470734.72223264707</v>
      </c>
      <c r="I28" s="247">
        <f t="shared" si="1"/>
        <v>23</v>
      </c>
      <c r="J28" s="241"/>
      <c r="K28" s="241"/>
      <c r="L28" s="241"/>
      <c r="M28" s="241"/>
      <c r="N28" s="248">
        <f t="shared" si="4"/>
        <v>-470734.72223264701</v>
      </c>
      <c r="O28" s="241">
        <f t="shared" si="8"/>
        <v>-470734.72223264701</v>
      </c>
      <c r="Q28" s="250">
        <f t="shared" si="2"/>
        <v>23</v>
      </c>
      <c r="R28" s="257">
        <f t="shared" si="5"/>
        <v>924004.27592532337</v>
      </c>
      <c r="S28" s="259">
        <f t="shared" si="6"/>
        <v>11619.246069531315</v>
      </c>
      <c r="T28" s="257">
        <f t="shared" si="3"/>
        <v>-470734.72223264701</v>
      </c>
      <c r="U28" s="257">
        <f t="shared" si="7"/>
        <v>464888.79976220767</v>
      </c>
    </row>
    <row r="29" spans="1:29" ht="15.75" thickBot="1" x14ac:dyDescent="0.3">
      <c r="B29" s="229">
        <f t="shared" si="12"/>
        <v>9</v>
      </c>
      <c r="C29" s="263">
        <f t="shared" si="9"/>
        <v>401452.57997878554</v>
      </c>
      <c r="D29" s="263">
        <f t="shared" si="10"/>
        <v>69282.142253861515</v>
      </c>
      <c r="E29" s="229">
        <f t="shared" si="11"/>
        <v>470734.72223264707</v>
      </c>
      <c r="I29" s="247">
        <f t="shared" si="1"/>
        <v>24</v>
      </c>
      <c r="J29" s="241"/>
      <c r="K29" s="241"/>
      <c r="L29" s="241"/>
      <c r="M29" s="241"/>
      <c r="N29" s="248">
        <f t="shared" si="4"/>
        <v>-470734.72223264701</v>
      </c>
      <c r="O29" s="249">
        <f t="shared" si="8"/>
        <v>-470734.72223264701</v>
      </c>
      <c r="Q29" s="250">
        <f t="shared" si="2"/>
        <v>24</v>
      </c>
      <c r="R29" s="257">
        <f t="shared" si="5"/>
        <v>464888.79976220767</v>
      </c>
      <c r="S29" s="259">
        <f t="shared" si="6"/>
        <v>5845.9224704309872</v>
      </c>
      <c r="T29" s="257">
        <f t="shared" si="3"/>
        <v>-470734.72223264701</v>
      </c>
      <c r="U29" s="265">
        <f>+R29+S29+T29</f>
        <v>-8.3819031715393066E-9</v>
      </c>
    </row>
    <row r="30" spans="1:29" ht="15.75" thickBot="1" x14ac:dyDescent="0.3">
      <c r="B30" s="229">
        <f t="shared" si="12"/>
        <v>10</v>
      </c>
      <c r="C30" s="263">
        <f t="shared" si="9"/>
        <v>405467.10577857337</v>
      </c>
      <c r="D30" s="263">
        <f t="shared" si="10"/>
        <v>65267.616454073657</v>
      </c>
      <c r="E30" s="229">
        <f t="shared" si="11"/>
        <v>470734.72223264701</v>
      </c>
      <c r="I30" s="266"/>
      <c r="J30" s="267"/>
      <c r="K30" s="267"/>
      <c r="L30" s="267"/>
      <c r="M30" s="267"/>
      <c r="N30" s="268" t="s">
        <v>105</v>
      </c>
      <c r="O30" s="269">
        <f>IRR(O5:O29)</f>
        <v>1.2574883441849316E-2</v>
      </c>
      <c r="Q30" s="270"/>
      <c r="R30" s="270"/>
      <c r="S30" s="270">
        <f>SUM(S6:S29)</f>
        <v>1597633.3335835231</v>
      </c>
      <c r="T30" s="270"/>
      <c r="U30" s="271"/>
    </row>
    <row r="31" spans="1:29" x14ac:dyDescent="0.25">
      <c r="B31" s="229">
        <f t="shared" si="12"/>
        <v>11</v>
      </c>
      <c r="C31" s="263">
        <f t="shared" si="9"/>
        <v>409521.77683635906</v>
      </c>
      <c r="D31" s="263">
        <f t="shared" si="10"/>
        <v>61212.945396287934</v>
      </c>
      <c r="E31" s="229">
        <f t="shared" si="11"/>
        <v>470734.72223264701</v>
      </c>
      <c r="U31" s="264" t="s">
        <v>326</v>
      </c>
      <c r="AC31" s="242"/>
    </row>
    <row r="32" spans="1:29" x14ac:dyDescent="0.25">
      <c r="B32" s="229">
        <f t="shared" si="12"/>
        <v>12</v>
      </c>
      <c r="C32" s="263">
        <f t="shared" si="9"/>
        <v>413616.99460472271</v>
      </c>
      <c r="D32" s="263">
        <f t="shared" si="10"/>
        <v>57117.727627924345</v>
      </c>
      <c r="E32" s="229">
        <f t="shared" si="11"/>
        <v>470734.72223264707</v>
      </c>
    </row>
    <row r="33" spans="1:29" s="242" customFormat="1" x14ac:dyDescent="0.25">
      <c r="A33" s="229"/>
      <c r="B33" s="229">
        <f t="shared" si="12"/>
        <v>13</v>
      </c>
      <c r="C33" s="263">
        <f t="shared" si="9"/>
        <v>417753.16455076996</v>
      </c>
      <c r="D33" s="263">
        <f t="shared" si="10"/>
        <v>52981.557681877108</v>
      </c>
      <c r="E33" s="229">
        <f t="shared" si="11"/>
        <v>470734.72223264707</v>
      </c>
      <c r="F33" s="229"/>
      <c r="G33" s="229"/>
      <c r="I33" s="229"/>
      <c r="J33" s="229"/>
      <c r="K33" s="229"/>
      <c r="L33" s="229"/>
      <c r="M33" s="229"/>
      <c r="N33" s="229"/>
      <c r="O33" s="229"/>
      <c r="R33" s="272" t="s">
        <v>335</v>
      </c>
      <c r="S33" s="272"/>
      <c r="T33" s="273" t="s">
        <v>7</v>
      </c>
      <c r="U33" s="273" t="s">
        <v>8</v>
      </c>
      <c r="W33" s="229"/>
      <c r="AC33" s="229"/>
    </row>
    <row r="34" spans="1:29" x14ac:dyDescent="0.25">
      <c r="B34" s="229">
        <f t="shared" si="12"/>
        <v>14</v>
      </c>
      <c r="C34" s="263">
        <f t="shared" si="9"/>
        <v>421930.69619627768</v>
      </c>
      <c r="D34" s="263">
        <f t="shared" si="10"/>
        <v>48804.026036369411</v>
      </c>
      <c r="E34" s="229">
        <f t="shared" si="11"/>
        <v>470734.72223264712</v>
      </c>
      <c r="W34" s="242"/>
      <c r="X34" s="242"/>
      <c r="Y34" s="242"/>
      <c r="Z34" s="242"/>
      <c r="AA34" s="242"/>
      <c r="AB34" s="242"/>
    </row>
    <row r="35" spans="1:29" x14ac:dyDescent="0.25">
      <c r="B35" s="229">
        <f t="shared" si="12"/>
        <v>15</v>
      </c>
      <c r="C35" s="263">
        <f t="shared" si="9"/>
        <v>426150.0031582404</v>
      </c>
      <c r="D35" s="263">
        <f t="shared" si="10"/>
        <v>44584.719074406632</v>
      </c>
      <c r="E35" s="229">
        <f t="shared" si="11"/>
        <v>470734.72223264701</v>
      </c>
      <c r="R35" s="260" t="s">
        <v>19</v>
      </c>
      <c r="S35" s="260"/>
      <c r="T35" s="260">
        <f>R6</f>
        <v>9700000</v>
      </c>
      <c r="U35" s="260"/>
      <c r="W35" s="242"/>
      <c r="X35" s="242"/>
      <c r="Y35" s="242"/>
      <c r="Z35" s="242"/>
      <c r="AA35" s="242"/>
      <c r="AB35" s="242"/>
    </row>
    <row r="36" spans="1:29" x14ac:dyDescent="0.25">
      <c r="B36" s="229">
        <f t="shared" si="12"/>
        <v>16</v>
      </c>
      <c r="C36" s="263">
        <f t="shared" si="9"/>
        <v>430411.50318982283</v>
      </c>
      <c r="D36" s="263">
        <f t="shared" si="10"/>
        <v>40323.219042824232</v>
      </c>
      <c r="E36" s="229">
        <f t="shared" si="11"/>
        <v>470734.72223264707</v>
      </c>
      <c r="R36" s="260" t="s">
        <v>336</v>
      </c>
      <c r="S36" s="260"/>
      <c r="T36" s="260"/>
      <c r="U36" s="260">
        <f>+T35</f>
        <v>9700000</v>
      </c>
      <c r="W36" s="242"/>
      <c r="X36" s="242"/>
      <c r="Y36" s="242"/>
      <c r="Z36" s="242"/>
      <c r="AA36" s="242"/>
      <c r="AB36" s="242"/>
    </row>
    <row r="37" spans="1:29" x14ac:dyDescent="0.25">
      <c r="B37" s="229">
        <f t="shared" si="12"/>
        <v>17</v>
      </c>
      <c r="C37" s="263">
        <f t="shared" si="9"/>
        <v>434715.61822172097</v>
      </c>
      <c r="D37" s="263">
        <f t="shared" si="10"/>
        <v>36019.104010925999</v>
      </c>
      <c r="E37" s="229">
        <f t="shared" si="11"/>
        <v>470734.72223264695</v>
      </c>
      <c r="W37" s="242"/>
      <c r="X37" s="242"/>
      <c r="Y37" s="242"/>
      <c r="Z37" s="242"/>
      <c r="AA37" s="242"/>
      <c r="AB37" s="242"/>
    </row>
    <row r="38" spans="1:29" x14ac:dyDescent="0.25">
      <c r="B38" s="229">
        <f t="shared" si="12"/>
        <v>18</v>
      </c>
      <c r="C38" s="263">
        <f t="shared" si="9"/>
        <v>439062.77440393821</v>
      </c>
      <c r="D38" s="263">
        <f t="shared" si="10"/>
        <v>31671.947828708784</v>
      </c>
      <c r="E38" s="229">
        <f t="shared" si="11"/>
        <v>470734.72223264701</v>
      </c>
      <c r="R38" s="260" t="s">
        <v>20</v>
      </c>
      <c r="S38" s="260"/>
      <c r="T38" s="260">
        <f>S6</f>
        <v>121976.36938593836</v>
      </c>
      <c r="U38" s="260"/>
      <c r="W38" s="242"/>
      <c r="X38" s="242"/>
      <c r="Y38" s="242"/>
      <c r="Z38" s="242"/>
      <c r="AA38" s="242"/>
      <c r="AB38" s="242"/>
    </row>
    <row r="39" spans="1:29" x14ac:dyDescent="0.25">
      <c r="B39" s="229">
        <f t="shared" si="12"/>
        <v>19</v>
      </c>
      <c r="C39" s="263">
        <f t="shared" si="9"/>
        <v>443453.40214797761</v>
      </c>
      <c r="D39" s="263">
        <f t="shared" si="10"/>
        <v>27281.320084669405</v>
      </c>
      <c r="E39" s="229">
        <f t="shared" si="11"/>
        <v>470734.72223264701</v>
      </c>
      <c r="R39" s="260" t="s">
        <v>336</v>
      </c>
      <c r="S39" s="260"/>
      <c r="T39" s="260"/>
      <c r="U39" s="260">
        <f>+T38</f>
        <v>121976.36938593836</v>
      </c>
      <c r="W39" s="242"/>
      <c r="X39" s="242"/>
      <c r="Y39" s="242"/>
      <c r="Z39" s="242"/>
      <c r="AA39" s="242"/>
      <c r="AB39" s="242"/>
    </row>
    <row r="40" spans="1:29" x14ac:dyDescent="0.25">
      <c r="B40" s="229">
        <f t="shared" si="12"/>
        <v>20</v>
      </c>
      <c r="C40" s="263">
        <f t="shared" si="9"/>
        <v>447887.93616945739</v>
      </c>
      <c r="D40" s="263">
        <f t="shared" si="10"/>
        <v>22846.786063189629</v>
      </c>
      <c r="E40" s="229">
        <f t="shared" si="11"/>
        <v>470734.72223264701</v>
      </c>
      <c r="W40" s="242"/>
      <c r="X40" s="242"/>
      <c r="Y40" s="242"/>
      <c r="Z40" s="242"/>
      <c r="AA40" s="242"/>
      <c r="AB40" s="242"/>
    </row>
    <row r="41" spans="1:29" x14ac:dyDescent="0.25">
      <c r="B41" s="229">
        <f t="shared" si="12"/>
        <v>21</v>
      </c>
      <c r="C41" s="263">
        <f t="shared" si="9"/>
        <v>452366.81553115195</v>
      </c>
      <c r="D41" s="263">
        <f t="shared" si="10"/>
        <v>18367.906701495052</v>
      </c>
      <c r="E41" s="229">
        <f t="shared" si="11"/>
        <v>470734.72223264701</v>
      </c>
      <c r="R41" s="260" t="s">
        <v>336</v>
      </c>
      <c r="S41" s="260"/>
      <c r="T41" s="260">
        <f>-T6</f>
        <v>470734.72223264701</v>
      </c>
      <c r="U41" s="260"/>
    </row>
    <row r="42" spans="1:29" x14ac:dyDescent="0.25">
      <c r="B42" s="229">
        <f t="shared" si="12"/>
        <v>22</v>
      </c>
      <c r="C42" s="263">
        <f t="shared" si="9"/>
        <v>456890.48368646344</v>
      </c>
      <c r="D42" s="263">
        <f t="shared" si="10"/>
        <v>13844.238546183533</v>
      </c>
      <c r="E42" s="229">
        <f t="shared" si="11"/>
        <v>470734.72223264695</v>
      </c>
      <c r="R42" s="260" t="s">
        <v>19</v>
      </c>
      <c r="S42" s="260"/>
      <c r="T42" s="260"/>
      <c r="U42" s="260">
        <f>+T41</f>
        <v>470734.72223264701</v>
      </c>
      <c r="W42" s="242">
        <f>+U36+T38-T41</f>
        <v>9351241.6471532919</v>
      </c>
    </row>
    <row r="43" spans="1:29" x14ac:dyDescent="0.25">
      <c r="B43" s="229">
        <f t="shared" si="12"/>
        <v>23</v>
      </c>
      <c r="C43" s="263">
        <f t="shared" si="9"/>
        <v>461459.38852332812</v>
      </c>
      <c r="D43" s="263">
        <f t="shared" si="10"/>
        <v>9275.3337093188984</v>
      </c>
      <c r="E43" s="229">
        <f t="shared" si="11"/>
        <v>470734.72223264701</v>
      </c>
    </row>
    <row r="44" spans="1:29" x14ac:dyDescent="0.25">
      <c r="B44" s="229">
        <f t="shared" si="12"/>
        <v>24</v>
      </c>
      <c r="C44" s="263">
        <f t="shared" si="9"/>
        <v>466073.98240856139</v>
      </c>
      <c r="D44" s="263">
        <f t="shared" si="10"/>
        <v>4660.7398240856155</v>
      </c>
      <c r="E44" s="229">
        <f t="shared" si="11"/>
        <v>470734.72223264701</v>
      </c>
      <c r="R44" s="274" t="s">
        <v>337</v>
      </c>
      <c r="S44" s="274"/>
      <c r="T44" s="274">
        <f>+S7</f>
        <v>117590.77374951965</v>
      </c>
      <c r="U44" s="274"/>
    </row>
    <row r="45" spans="1:29" x14ac:dyDescent="0.25">
      <c r="B45" s="229" t="s">
        <v>338</v>
      </c>
      <c r="D45" s="275">
        <f>SUM(D21:D44)</f>
        <v>1297633.3335835305</v>
      </c>
      <c r="E45" s="242">
        <f>SUM(E21:E44)</f>
        <v>11297633.333583532</v>
      </c>
      <c r="R45" s="274" t="s">
        <v>336</v>
      </c>
      <c r="S45" s="274"/>
      <c r="T45" s="274"/>
      <c r="U45" s="274">
        <f>+T44</f>
        <v>117590.77374951965</v>
      </c>
    </row>
    <row r="46" spans="1:29" ht="15.75" thickBot="1" x14ac:dyDescent="0.3">
      <c r="B46" s="229" t="s">
        <v>339</v>
      </c>
      <c r="D46" s="275">
        <f>+S30</f>
        <v>1597633.3335835231</v>
      </c>
    </row>
    <row r="47" spans="1:29" ht="15.75" thickBot="1" x14ac:dyDescent="0.3">
      <c r="B47" s="276" t="s">
        <v>340</v>
      </c>
      <c r="C47" s="277"/>
      <c r="D47" s="278">
        <f>+D46-D45</f>
        <v>299999.99999999255</v>
      </c>
      <c r="R47" s="274" t="s">
        <v>336</v>
      </c>
      <c r="S47" s="274"/>
      <c r="T47" s="274">
        <f>-T7</f>
        <v>470734.72223264701</v>
      </c>
      <c r="U47" s="274"/>
    </row>
    <row r="48" spans="1:29" x14ac:dyDescent="0.25">
      <c r="R48" s="274" t="s">
        <v>19</v>
      </c>
      <c r="S48" s="274"/>
      <c r="T48" s="274"/>
      <c r="U48" s="274">
        <f>+T47</f>
        <v>470734.72223264701</v>
      </c>
    </row>
    <row r="50" spans="18:21" x14ac:dyDescent="0.25">
      <c r="R50" s="260" t="s">
        <v>341</v>
      </c>
      <c r="S50" s="260"/>
      <c r="T50" s="260"/>
      <c r="U50" s="260"/>
    </row>
    <row r="51" spans="18:21" x14ac:dyDescent="0.25">
      <c r="R51" s="279" t="s">
        <v>20</v>
      </c>
      <c r="S51" s="279"/>
      <c r="T51" s="279"/>
      <c r="U51" s="279">
        <f>+S30-U52</f>
        <v>973833.08289962192</v>
      </c>
    </row>
    <row r="52" spans="18:21" x14ac:dyDescent="0.25">
      <c r="R52" s="279" t="s">
        <v>212</v>
      </c>
      <c r="S52" s="279"/>
      <c r="T52" s="279"/>
      <c r="U52" s="279">
        <f>+S7+S8+S9+S11+S12+S13</f>
        <v>623800.25068390113</v>
      </c>
    </row>
    <row r="53" spans="18:21" x14ac:dyDescent="0.25">
      <c r="R53" s="260"/>
      <c r="S53" s="260"/>
      <c r="T53" s="260"/>
      <c r="U53" s="260">
        <f>SUM(U51:U52)</f>
        <v>1597633.3335835231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0</vt:lpstr>
      <vt:lpstr>NIC1</vt:lpstr>
      <vt:lpstr>NIC2</vt:lpstr>
      <vt:lpstr>NIC7</vt:lpstr>
      <vt:lpstr>NIC8</vt:lpstr>
      <vt:lpstr>NIC16</vt:lpstr>
      <vt:lpstr>NIC20</vt:lpstr>
      <vt:lpstr>NIC21</vt:lpstr>
      <vt:lpstr>NIC23</vt:lpstr>
      <vt:lpstr>NIC40</vt:lpstr>
      <vt:lpstr>NIIF 3</vt:lpstr>
      <vt:lpstr>NIIF6</vt:lpstr>
      <vt:lpstr>NIIF 15</vt:lpstr>
      <vt:lpstr>NIIF 16</vt:lpstr>
      <vt:lpstr>NIC37</vt:lpstr>
      <vt:lpstr>NIC10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cp:lastPrinted>2024-01-31T02:18:11Z</cp:lastPrinted>
  <dcterms:created xsi:type="dcterms:W3CDTF">2020-09-28T17:05:57Z</dcterms:created>
  <dcterms:modified xsi:type="dcterms:W3CDTF">2024-01-31T03:03:59Z</dcterms:modified>
</cp:coreProperties>
</file>