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conta\Downloads\"/>
    </mc:Choice>
  </mc:AlternateContent>
  <xr:revisionPtr revIDLastSave="0" documentId="13_ncr:1_{8CB5BC41-E781-47E5-95A5-9CC2A025A7F1}" xr6:coauthVersionLast="47" xr6:coauthVersionMax="47" xr10:uidLastSave="{00000000-0000-0000-0000-000000000000}"/>
  <bookViews>
    <workbookView xWindow="-120" yWindow="-120" windowWidth="29040" windowHeight="15720" tabRatio="575" activeTab="1" xr2:uid="{580BE91F-A18B-456D-A812-66A5862575EE}"/>
  </bookViews>
  <sheets>
    <sheet name="INTRO" sheetId="6" r:id="rId1"/>
    <sheet name="PROFE" sheetId="5" r:id="rId2"/>
    <sheet name="Arrendadora" sheetId="3" r:id="rId3"/>
    <sheet name="Contabilidad" sheetId="4" r:id="rId4"/>
    <sheet name="Hoja3" sheetId="7" r:id="rId5"/>
  </sheets>
  <definedNames>
    <definedName name="_xlnm.Print_Area" localSheetId="2">Arrendadora!$A$4:$AB$84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7" l="1"/>
  <c r="B16" i="7"/>
  <c r="C15" i="7"/>
  <c r="B15" i="7"/>
  <c r="C12" i="7"/>
  <c r="Z3" i="5"/>
  <c r="X6" i="5"/>
  <c r="V9" i="5"/>
  <c r="V8" i="5"/>
  <c r="V7" i="5"/>
  <c r="V6" i="5"/>
  <c r="V5" i="5"/>
  <c r="T17" i="5"/>
  <c r="N5" i="5"/>
  <c r="S11" i="5"/>
  <c r="S5" i="5"/>
  <c r="S6" i="5"/>
  <c r="L12" i="3"/>
  <c r="B55" i="3"/>
  <c r="K15" i="6"/>
  <c r="K11" i="6"/>
  <c r="K8" i="6"/>
  <c r="AF9" i="5"/>
  <c r="V53" i="5"/>
  <c r="Z53" i="5" s="1"/>
  <c r="Z7" i="5"/>
  <c r="Z8" i="5"/>
  <c r="Z9" i="5"/>
  <c r="V10" i="5"/>
  <c r="Z10" i="5" s="1"/>
  <c r="V11" i="5"/>
  <c r="Z11" i="5" s="1"/>
  <c r="V12" i="5"/>
  <c r="Z12" i="5" s="1"/>
  <c r="V13" i="5"/>
  <c r="V14" i="5"/>
  <c r="V15" i="5"/>
  <c r="Z15" i="5" s="1"/>
  <c r="V16" i="5"/>
  <c r="Z16" i="5" s="1"/>
  <c r="V17" i="5"/>
  <c r="Z17" i="5" s="1"/>
  <c r="V18" i="5"/>
  <c r="Z18" i="5" s="1"/>
  <c r="V19" i="5"/>
  <c r="Z19" i="5" s="1"/>
  <c r="V20" i="5"/>
  <c r="Z20" i="5" s="1"/>
  <c r="V21" i="5"/>
  <c r="Z21" i="5" s="1"/>
  <c r="V22" i="5"/>
  <c r="Z22" i="5" s="1"/>
  <c r="V23" i="5"/>
  <c r="Z23" i="5" s="1"/>
  <c r="V24" i="5"/>
  <c r="Z24" i="5" s="1"/>
  <c r="V25" i="5"/>
  <c r="Z25" i="5" s="1"/>
  <c r="V26" i="5"/>
  <c r="V27" i="5"/>
  <c r="Z27" i="5" s="1"/>
  <c r="V28" i="5"/>
  <c r="Z28" i="5" s="1"/>
  <c r="V29" i="5"/>
  <c r="Z29" i="5" s="1"/>
  <c r="V30" i="5"/>
  <c r="Z30" i="5" s="1"/>
  <c r="V31" i="5"/>
  <c r="Z31" i="5" s="1"/>
  <c r="V32" i="5"/>
  <c r="Z32" i="5" s="1"/>
  <c r="V33" i="5"/>
  <c r="Z33" i="5" s="1"/>
  <c r="V34" i="5"/>
  <c r="Z34" i="5" s="1"/>
  <c r="V35" i="5"/>
  <c r="V36" i="5"/>
  <c r="Z36" i="5" s="1"/>
  <c r="V37" i="5"/>
  <c r="Z37" i="5" s="1"/>
  <c r="V38" i="5"/>
  <c r="Z38" i="5" s="1"/>
  <c r="V39" i="5"/>
  <c r="Z39" i="5" s="1"/>
  <c r="V40" i="5"/>
  <c r="Z40" i="5" s="1"/>
  <c r="V41" i="5"/>
  <c r="Z41" i="5" s="1"/>
  <c r="V42" i="5"/>
  <c r="Z42" i="5" s="1"/>
  <c r="V43" i="5"/>
  <c r="Z43" i="5" s="1"/>
  <c r="V44" i="5"/>
  <c r="Z44" i="5" s="1"/>
  <c r="V45" i="5"/>
  <c r="Z45" i="5" s="1"/>
  <c r="V46" i="5"/>
  <c r="Z46" i="5" s="1"/>
  <c r="V47" i="5"/>
  <c r="Z47" i="5" s="1"/>
  <c r="V48" i="5"/>
  <c r="Z48" i="5" s="1"/>
  <c r="V49" i="5"/>
  <c r="Z49" i="5" s="1"/>
  <c r="V50" i="5"/>
  <c r="Z50" i="5" s="1"/>
  <c r="V51" i="5"/>
  <c r="Z51" i="5" s="1"/>
  <c r="V52" i="5"/>
  <c r="Z52" i="5" s="1"/>
  <c r="Z6" i="5"/>
  <c r="W7" i="5"/>
  <c r="W8" i="5" s="1"/>
  <c r="Z35" i="5"/>
  <c r="Z13" i="5"/>
  <c r="Z14" i="5"/>
  <c r="Z26" i="5"/>
  <c r="W9" i="5" l="1"/>
  <c r="W10" i="5" s="1"/>
  <c r="W11" i="5" s="1"/>
  <c r="W12" i="5" s="1"/>
  <c r="W13" i="5" s="1"/>
  <c r="W14" i="5" s="1"/>
  <c r="W15" i="5" s="1"/>
  <c r="W16" i="5" s="1"/>
  <c r="W17" i="5" s="1"/>
  <c r="W18" i="5" s="1"/>
  <c r="W19" i="5" s="1"/>
  <c r="W20" i="5" s="1"/>
  <c r="W21" i="5" s="1"/>
  <c r="W22" i="5" s="1"/>
  <c r="W23" i="5" s="1"/>
  <c r="W24" i="5" s="1"/>
  <c r="W25" i="5" s="1"/>
  <c r="W26" i="5" s="1"/>
  <c r="W27" i="5" s="1"/>
  <c r="W28" i="5" s="1"/>
  <c r="W29" i="5" s="1"/>
  <c r="W30" i="5" s="1"/>
  <c r="W31" i="5" s="1"/>
  <c r="W32" i="5" s="1"/>
  <c r="W33" i="5" s="1"/>
  <c r="W34" i="5" s="1"/>
  <c r="W35" i="5" s="1"/>
  <c r="W36" i="5" s="1"/>
  <c r="W37" i="5" s="1"/>
  <c r="W38" i="5" s="1"/>
  <c r="W39" i="5" s="1"/>
  <c r="W40" i="5" s="1"/>
  <c r="W41" i="5" s="1"/>
  <c r="W42" i="5" s="1"/>
  <c r="W43" i="5" s="1"/>
  <c r="W44" i="5" s="1"/>
  <c r="W45" i="5" s="1"/>
  <c r="W46" i="5" s="1"/>
  <c r="W47" i="5" s="1"/>
  <c r="W48" i="5" s="1"/>
  <c r="W49" i="5" s="1"/>
  <c r="W50" i="5" s="1"/>
  <c r="W51" i="5" s="1"/>
  <c r="W52" i="5" s="1"/>
  <c r="W53" i="5" s="1"/>
  <c r="V4" i="5" l="1"/>
  <c r="S10" i="5"/>
  <c r="F55" i="5"/>
  <c r="E55" i="5"/>
  <c r="D55" i="5"/>
  <c r="G54" i="5"/>
  <c r="G5" i="5"/>
  <c r="H5" i="5" s="1"/>
  <c r="T12" i="5" s="1"/>
  <c r="F4" i="5"/>
  <c r="C5" i="4"/>
  <c r="G55" i="5" l="1"/>
  <c r="S14" i="5"/>
  <c r="T15" i="5" s="1"/>
  <c r="G4" i="5"/>
  <c r="H54" i="5"/>
  <c r="H55" i="5" s="1"/>
  <c r="H4" i="5" l="1"/>
  <c r="T8" i="5" s="1"/>
  <c r="S7" i="5"/>
  <c r="AG12" i="5"/>
  <c r="AG14" i="5" s="1"/>
  <c r="AF11" i="5"/>
  <c r="Y6" i="5"/>
  <c r="AA6" i="5" s="1"/>
  <c r="X7" i="5" s="1"/>
  <c r="G59" i="4"/>
  <c r="J59" i="4" s="1"/>
  <c r="K59" i="4" s="1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10" i="4"/>
  <c r="N9" i="4"/>
  <c r="M10" i="4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M39" i="4" s="1"/>
  <c r="M40" i="4" s="1"/>
  <c r="M41" i="4" s="1"/>
  <c r="M42" i="4" s="1"/>
  <c r="M43" i="4" s="1"/>
  <c r="M44" i="4" s="1"/>
  <c r="M45" i="4" s="1"/>
  <c r="M46" i="4" s="1"/>
  <c r="M47" i="4" s="1"/>
  <c r="M48" i="4" s="1"/>
  <c r="M49" i="4" s="1"/>
  <c r="M50" i="4" s="1"/>
  <c r="M51" i="4" s="1"/>
  <c r="M52" i="4" s="1"/>
  <c r="M53" i="4" s="1"/>
  <c r="M54" i="4" s="1"/>
  <c r="M55" i="4" s="1"/>
  <c r="M56" i="4" s="1"/>
  <c r="M57" i="4" s="1"/>
  <c r="N10" i="4"/>
  <c r="X10" i="4" s="1"/>
  <c r="N11" i="4"/>
  <c r="X11" i="4" s="1"/>
  <c r="T11" i="4"/>
  <c r="T12" i="4" s="1"/>
  <c r="T13" i="4" s="1"/>
  <c r="T14" i="4" s="1"/>
  <c r="T15" i="4" s="1"/>
  <c r="T16" i="4" s="1"/>
  <c r="T17" i="4" s="1"/>
  <c r="T18" i="4" s="1"/>
  <c r="T19" i="4" s="1"/>
  <c r="T20" i="4" s="1"/>
  <c r="T21" i="4" s="1"/>
  <c r="T22" i="4" s="1"/>
  <c r="T23" i="4" s="1"/>
  <c r="T24" i="4" s="1"/>
  <c r="T25" i="4" s="1"/>
  <c r="T26" i="4" s="1"/>
  <c r="T27" i="4" s="1"/>
  <c r="T28" i="4" s="1"/>
  <c r="T29" i="4" s="1"/>
  <c r="T30" i="4" s="1"/>
  <c r="T31" i="4" s="1"/>
  <c r="T32" i="4" s="1"/>
  <c r="T33" i="4" s="1"/>
  <c r="T34" i="4" s="1"/>
  <c r="T35" i="4" s="1"/>
  <c r="T36" i="4" s="1"/>
  <c r="T37" i="4" s="1"/>
  <c r="T38" i="4" s="1"/>
  <c r="T39" i="4" s="1"/>
  <c r="T40" i="4" s="1"/>
  <c r="T41" i="4" s="1"/>
  <c r="T42" i="4" s="1"/>
  <c r="T43" i="4" s="1"/>
  <c r="T44" i="4" s="1"/>
  <c r="T45" i="4" s="1"/>
  <c r="T46" i="4" s="1"/>
  <c r="T47" i="4" s="1"/>
  <c r="T48" i="4" s="1"/>
  <c r="T49" i="4" s="1"/>
  <c r="T50" i="4" s="1"/>
  <c r="T51" i="4" s="1"/>
  <c r="T52" i="4" s="1"/>
  <c r="T53" i="4" s="1"/>
  <c r="T54" i="4" s="1"/>
  <c r="T55" i="4" s="1"/>
  <c r="T56" i="4" s="1"/>
  <c r="T57" i="4" s="1"/>
  <c r="N12" i="4"/>
  <c r="X12" i="4" s="1"/>
  <c r="N13" i="4"/>
  <c r="X13" i="4" s="1"/>
  <c r="N14" i="4"/>
  <c r="X14" i="4" s="1"/>
  <c r="N15" i="4"/>
  <c r="X15" i="4" s="1"/>
  <c r="N16" i="4"/>
  <c r="X16" i="4" s="1"/>
  <c r="N17" i="4"/>
  <c r="X17" i="4" s="1"/>
  <c r="N18" i="4"/>
  <c r="X18" i="4" s="1"/>
  <c r="N19" i="4"/>
  <c r="X19" i="4" s="1"/>
  <c r="N20" i="4"/>
  <c r="X20" i="4" s="1"/>
  <c r="N21" i="4"/>
  <c r="X21" i="4" s="1"/>
  <c r="N22" i="4"/>
  <c r="X22" i="4" s="1"/>
  <c r="N23" i="4"/>
  <c r="X23" i="4" s="1"/>
  <c r="N24" i="4"/>
  <c r="X24" i="4" s="1"/>
  <c r="N25" i="4"/>
  <c r="X25" i="4" s="1"/>
  <c r="N26" i="4"/>
  <c r="X26" i="4" s="1"/>
  <c r="N27" i="4"/>
  <c r="X27" i="4" s="1"/>
  <c r="N28" i="4"/>
  <c r="X28" i="4" s="1"/>
  <c r="N29" i="4"/>
  <c r="X29" i="4" s="1"/>
  <c r="N30" i="4"/>
  <c r="X30" i="4" s="1"/>
  <c r="N31" i="4"/>
  <c r="X31" i="4" s="1"/>
  <c r="N32" i="4"/>
  <c r="X32" i="4" s="1"/>
  <c r="N33" i="4"/>
  <c r="X33" i="4" s="1"/>
  <c r="N34" i="4"/>
  <c r="X34" i="4" s="1"/>
  <c r="N35" i="4"/>
  <c r="X35" i="4" s="1"/>
  <c r="N36" i="4"/>
  <c r="X36" i="4" s="1"/>
  <c r="N37" i="4"/>
  <c r="X37" i="4" s="1"/>
  <c r="N38" i="4"/>
  <c r="X38" i="4" s="1"/>
  <c r="N39" i="4"/>
  <c r="X39" i="4" s="1"/>
  <c r="N40" i="4"/>
  <c r="X40" i="4" s="1"/>
  <c r="N41" i="4"/>
  <c r="X41" i="4" s="1"/>
  <c r="N42" i="4"/>
  <c r="X42" i="4" s="1"/>
  <c r="N43" i="4"/>
  <c r="X43" i="4" s="1"/>
  <c r="N44" i="4"/>
  <c r="X44" i="4" s="1"/>
  <c r="N45" i="4"/>
  <c r="X45" i="4" s="1"/>
  <c r="N46" i="4"/>
  <c r="X46" i="4" s="1"/>
  <c r="N47" i="4"/>
  <c r="X47" i="4" s="1"/>
  <c r="N48" i="4"/>
  <c r="X48" i="4" s="1"/>
  <c r="N49" i="4"/>
  <c r="X49" i="4" s="1"/>
  <c r="N50" i="4"/>
  <c r="X50" i="4" s="1"/>
  <c r="N51" i="4"/>
  <c r="X51" i="4" s="1"/>
  <c r="N52" i="4"/>
  <c r="X52" i="4" s="1"/>
  <c r="N53" i="4"/>
  <c r="X53" i="4" s="1"/>
  <c r="N54" i="4"/>
  <c r="X54" i="4" s="1"/>
  <c r="N55" i="4"/>
  <c r="X55" i="4" s="1"/>
  <c r="N56" i="4"/>
  <c r="X56" i="4" s="1"/>
  <c r="N57" i="4"/>
  <c r="X57" i="4" s="1"/>
  <c r="Y7" i="5" l="1"/>
  <c r="AA7" i="5" s="1"/>
  <c r="X8" i="5" s="1"/>
  <c r="I58" i="4"/>
  <c r="I60" i="4" s="1"/>
  <c r="N8" i="4"/>
  <c r="F7" i="4" s="1"/>
  <c r="F8" i="4" s="1"/>
  <c r="U10" i="4"/>
  <c r="AD10" i="4" s="1"/>
  <c r="Y8" i="5" l="1"/>
  <c r="AA8" i="5" s="1"/>
  <c r="X9" i="5" s="1"/>
  <c r="AD12" i="4"/>
  <c r="AE11" i="4"/>
  <c r="AE12" i="4" s="1"/>
  <c r="G57" i="4"/>
  <c r="F54" i="4"/>
  <c r="W54" i="4" s="1"/>
  <c r="G51" i="4"/>
  <c r="F16" i="4"/>
  <c r="W16" i="4" s="1"/>
  <c r="G45" i="4"/>
  <c r="F48" i="4"/>
  <c r="W48" i="4" s="1"/>
  <c r="F50" i="4"/>
  <c r="W50" i="4" s="1"/>
  <c r="G54" i="4"/>
  <c r="G49" i="4"/>
  <c r="F44" i="4"/>
  <c r="W44" i="4" s="1"/>
  <c r="G33" i="4"/>
  <c r="F27" i="4"/>
  <c r="W27" i="4" s="1"/>
  <c r="F43" i="4"/>
  <c r="W43" i="4" s="1"/>
  <c r="F13" i="4"/>
  <c r="W13" i="4" s="1"/>
  <c r="F47" i="4"/>
  <c r="W47" i="4" s="1"/>
  <c r="G48" i="4"/>
  <c r="F24" i="4"/>
  <c r="W24" i="4" s="1"/>
  <c r="F51" i="4"/>
  <c r="W51" i="4" s="1"/>
  <c r="G38" i="4"/>
  <c r="G22" i="4"/>
  <c r="F56" i="4"/>
  <c r="W56" i="4" s="1"/>
  <c r="F42" i="4"/>
  <c r="W42" i="4" s="1"/>
  <c r="G39" i="4"/>
  <c r="F10" i="4"/>
  <c r="G43" i="4"/>
  <c r="F38" i="4"/>
  <c r="W38" i="4" s="1"/>
  <c r="G27" i="4"/>
  <c r="F21" i="4"/>
  <c r="G44" i="4"/>
  <c r="G20" i="4"/>
  <c r="F41" i="4"/>
  <c r="W41" i="4" s="1"/>
  <c r="G42" i="4"/>
  <c r="G28" i="4"/>
  <c r="F18" i="4"/>
  <c r="W18" i="4" s="1"/>
  <c r="F45" i="4"/>
  <c r="W45" i="4" s="1"/>
  <c r="G50" i="4"/>
  <c r="F39" i="4"/>
  <c r="W39" i="4" s="1"/>
  <c r="G26" i="4"/>
  <c r="F33" i="4"/>
  <c r="W33" i="4" s="1"/>
  <c r="F53" i="4"/>
  <c r="W53" i="4" s="1"/>
  <c r="G37" i="4"/>
  <c r="F32" i="4"/>
  <c r="W32" i="4" s="1"/>
  <c r="G21" i="4"/>
  <c r="F15" i="4"/>
  <c r="W15" i="4" s="1"/>
  <c r="G32" i="4"/>
  <c r="G53" i="4"/>
  <c r="F35" i="4"/>
  <c r="W35" i="4" s="1"/>
  <c r="G36" i="4"/>
  <c r="G56" i="4"/>
  <c r="G11" i="4"/>
  <c r="F12" i="4"/>
  <c r="W12" i="4" s="1"/>
  <c r="G16" i="4"/>
  <c r="G55" i="4"/>
  <c r="F31" i="4"/>
  <c r="W31" i="4" s="1"/>
  <c r="G31" i="4"/>
  <c r="F26" i="4"/>
  <c r="W26" i="4" s="1"/>
  <c r="G15" i="4"/>
  <c r="G10" i="4"/>
  <c r="F52" i="4"/>
  <c r="W52" i="4" s="1"/>
  <c r="G47" i="4"/>
  <c r="F29" i="4"/>
  <c r="W29" i="4" s="1"/>
  <c r="G30" i="4"/>
  <c r="G17" i="4"/>
  <c r="G25" i="4"/>
  <c r="F20" i="4"/>
  <c r="W20" i="4" s="1"/>
  <c r="F55" i="4"/>
  <c r="W55" i="4" s="1"/>
  <c r="G52" i="4"/>
  <c r="F46" i="4"/>
  <c r="W46" i="4" s="1"/>
  <c r="G41" i="4"/>
  <c r="F23" i="4"/>
  <c r="W23" i="4" s="1"/>
  <c r="G24" i="4"/>
  <c r="V10" i="4"/>
  <c r="Y10" i="4" s="1"/>
  <c r="U11" i="4" s="1"/>
  <c r="V11" i="4" s="1"/>
  <c r="G19" i="4"/>
  <c r="F14" i="4"/>
  <c r="W14" i="4" s="1"/>
  <c r="F49" i="4"/>
  <c r="W49" i="4" s="1"/>
  <c r="G46" i="4"/>
  <c r="F40" i="4"/>
  <c r="W40" i="4" s="1"/>
  <c r="G35" i="4"/>
  <c r="F17" i="4"/>
  <c r="W17" i="4" s="1"/>
  <c r="G18" i="4"/>
  <c r="F22" i="4"/>
  <c r="W22" i="4" s="1"/>
  <c r="F36" i="4"/>
  <c r="W36" i="4" s="1"/>
  <c r="G13" i="4"/>
  <c r="F37" i="4"/>
  <c r="W37" i="4" s="1"/>
  <c r="G14" i="4"/>
  <c r="G40" i="4"/>
  <c r="F34" i="4"/>
  <c r="W34" i="4" s="1"/>
  <c r="G29" i="4"/>
  <c r="F11" i="4"/>
  <c r="W11" i="4" s="1"/>
  <c r="G12" i="4"/>
  <c r="F30" i="4"/>
  <c r="W30" i="4" s="1"/>
  <c r="F25" i="4"/>
  <c r="W25" i="4" s="1"/>
  <c r="F19" i="4"/>
  <c r="W19" i="4" s="1"/>
  <c r="F57" i="4"/>
  <c r="W57" i="4" s="1"/>
  <c r="G34" i="4"/>
  <c r="F28" i="4"/>
  <c r="W28" i="4" s="1"/>
  <c r="G23" i="4"/>
  <c r="Y9" i="5" l="1"/>
  <c r="AA9" i="5" s="1"/>
  <c r="X10" i="5" s="1"/>
  <c r="H50" i="4"/>
  <c r="H51" i="4"/>
  <c r="F58" i="4"/>
  <c r="F60" i="4" s="1"/>
  <c r="W10" i="4"/>
  <c r="G58" i="4"/>
  <c r="G60" i="4" s="1"/>
  <c r="J21" i="4"/>
  <c r="W21" i="4"/>
  <c r="H31" i="4"/>
  <c r="J39" i="4"/>
  <c r="J28" i="4"/>
  <c r="J26" i="4"/>
  <c r="J37" i="4"/>
  <c r="H38" i="4"/>
  <c r="J10" i="4"/>
  <c r="J56" i="4"/>
  <c r="J19" i="4"/>
  <c r="J53" i="4"/>
  <c r="J34" i="4"/>
  <c r="J12" i="4"/>
  <c r="J33" i="4"/>
  <c r="J14" i="4"/>
  <c r="J38" i="4"/>
  <c r="J27" i="4"/>
  <c r="J52" i="4"/>
  <c r="J35" i="4"/>
  <c r="J45" i="4"/>
  <c r="H57" i="4"/>
  <c r="J57" i="4"/>
  <c r="J36" i="4"/>
  <c r="J23" i="4"/>
  <c r="J18" i="4"/>
  <c r="J42" i="4"/>
  <c r="J44" i="4"/>
  <c r="H22" i="4"/>
  <c r="J22" i="4"/>
  <c r="J46" i="4"/>
  <c r="J17" i="4"/>
  <c r="J41" i="4"/>
  <c r="J50" i="4"/>
  <c r="K50" i="4" s="1"/>
  <c r="J15" i="4"/>
  <c r="J30" i="4"/>
  <c r="J55" i="4"/>
  <c r="J31" i="4"/>
  <c r="J32" i="4"/>
  <c r="J51" i="4"/>
  <c r="J48" i="4"/>
  <c r="J25" i="4"/>
  <c r="H11" i="4"/>
  <c r="J11" i="4"/>
  <c r="J40" i="4"/>
  <c r="H20" i="4"/>
  <c r="J20" i="4"/>
  <c r="J24" i="4"/>
  <c r="J16" i="4"/>
  <c r="H49" i="4"/>
  <c r="J49" i="4"/>
  <c r="J47" i="4"/>
  <c r="J13" i="4"/>
  <c r="J54" i="4"/>
  <c r="J29" i="4"/>
  <c r="J43" i="4"/>
  <c r="H55" i="4"/>
  <c r="H25" i="4"/>
  <c r="H48" i="4"/>
  <c r="H39" i="4"/>
  <c r="H40" i="4"/>
  <c r="H13" i="4"/>
  <c r="H28" i="4"/>
  <c r="H23" i="4"/>
  <c r="H18" i="4"/>
  <c r="H56" i="4"/>
  <c r="H29" i="4"/>
  <c r="H37" i="4"/>
  <c r="H52" i="4"/>
  <c r="H35" i="4"/>
  <c r="H45" i="4"/>
  <c r="H19" i="4"/>
  <c r="K19" i="4" s="1"/>
  <c r="H26" i="4"/>
  <c r="Y11" i="4"/>
  <c r="U12" i="4" s="1"/>
  <c r="V12" i="4" s="1"/>
  <c r="Y12" i="4" s="1"/>
  <c r="U13" i="4" s="1"/>
  <c r="H15" i="4"/>
  <c r="H17" i="4"/>
  <c r="H41" i="4"/>
  <c r="H24" i="4"/>
  <c r="H46" i="4"/>
  <c r="H53" i="4"/>
  <c r="H21" i="4"/>
  <c r="H16" i="4"/>
  <c r="H33" i="4"/>
  <c r="H12" i="4"/>
  <c r="H47" i="4"/>
  <c r="H14" i="4"/>
  <c r="H54" i="4"/>
  <c r="H34" i="4"/>
  <c r="H36" i="4"/>
  <c r="H42" i="4"/>
  <c r="H44" i="4"/>
  <c r="H27" i="4"/>
  <c r="H30" i="4"/>
  <c r="H10" i="4"/>
  <c r="H32" i="4"/>
  <c r="H43" i="4"/>
  <c r="Y10" i="5" l="1"/>
  <c r="AA10" i="5" s="1"/>
  <c r="X11" i="5" s="1"/>
  <c r="K29" i="4"/>
  <c r="K51" i="4"/>
  <c r="K14" i="4"/>
  <c r="K31" i="4"/>
  <c r="K33" i="4"/>
  <c r="K39" i="4"/>
  <c r="H58" i="4"/>
  <c r="H60" i="4" s="1"/>
  <c r="K21" i="4"/>
  <c r="K11" i="4"/>
  <c r="J58" i="4"/>
  <c r="J60" i="4" s="1"/>
  <c r="K12" i="4"/>
  <c r="K32" i="4"/>
  <c r="K28" i="4"/>
  <c r="K40" i="4"/>
  <c r="K38" i="4"/>
  <c r="K34" i="4"/>
  <c r="K23" i="4"/>
  <c r="K54" i="4"/>
  <c r="K26" i="4"/>
  <c r="K49" i="4"/>
  <c r="K56" i="4"/>
  <c r="K17" i="4"/>
  <c r="K37" i="4"/>
  <c r="K48" i="4"/>
  <c r="K22" i="4"/>
  <c r="K10" i="4"/>
  <c r="K35" i="4"/>
  <c r="K53" i="4"/>
  <c r="K43" i="4"/>
  <c r="K57" i="4"/>
  <c r="K24" i="4"/>
  <c r="K55" i="4"/>
  <c r="K42" i="4"/>
  <c r="K41" i="4"/>
  <c r="K20" i="4"/>
  <c r="K30" i="4"/>
  <c r="K18" i="4"/>
  <c r="K15" i="4"/>
  <c r="K13" i="4"/>
  <c r="K36" i="4"/>
  <c r="K47" i="4"/>
  <c r="K25" i="4"/>
  <c r="K46" i="4"/>
  <c r="K45" i="4"/>
  <c r="K52" i="4"/>
  <c r="K27" i="4"/>
  <c r="K16" i="4"/>
  <c r="K44" i="4"/>
  <c r="V13" i="4"/>
  <c r="Y13" i="4" s="1"/>
  <c r="U14" i="4" s="1"/>
  <c r="Y11" i="5" l="1"/>
  <c r="AA11" i="5" s="1"/>
  <c r="X12" i="5" s="1"/>
  <c r="K58" i="4"/>
  <c r="K60" i="4" s="1"/>
  <c r="V14" i="4"/>
  <c r="Y14" i="4" s="1"/>
  <c r="U15" i="4" s="1"/>
  <c r="Y12" i="5" l="1"/>
  <c r="AA12" i="5" s="1"/>
  <c r="X13" i="5" s="1"/>
  <c r="Y13" i="5" s="1"/>
  <c r="V15" i="4"/>
  <c r="Y15" i="4" s="1"/>
  <c r="U16" i="4" s="1"/>
  <c r="AA13" i="5" l="1"/>
  <c r="X14" i="5" s="1"/>
  <c r="Y14" i="5" s="1"/>
  <c r="AA14" i="5" s="1"/>
  <c r="X15" i="5" s="1"/>
  <c r="AF10" i="5"/>
  <c r="AF8" i="5"/>
  <c r="AF14" i="5" s="1"/>
  <c r="AG15" i="5" s="1"/>
  <c r="V16" i="4"/>
  <c r="Y16" i="4" s="1"/>
  <c r="U17" i="4" s="1"/>
  <c r="Y15" i="5" l="1"/>
  <c r="AA15" i="5" s="1"/>
  <c r="X16" i="5" s="1"/>
  <c r="V17" i="4"/>
  <c r="Y17" i="4" s="1"/>
  <c r="U18" i="4" s="1"/>
  <c r="Y16" i="5" l="1"/>
  <c r="AA16" i="5" s="1"/>
  <c r="X17" i="5" s="1"/>
  <c r="V18" i="4"/>
  <c r="Y18" i="4" s="1"/>
  <c r="U19" i="4" s="1"/>
  <c r="Y17" i="5" l="1"/>
  <c r="AA17" i="5" s="1"/>
  <c r="X18" i="5" s="1"/>
  <c r="V19" i="4"/>
  <c r="Y19" i="4" s="1"/>
  <c r="U20" i="4" s="1"/>
  <c r="Y18" i="5" l="1"/>
  <c r="AA18" i="5" s="1"/>
  <c r="X19" i="5" s="1"/>
  <c r="V20" i="4"/>
  <c r="Y20" i="4" s="1"/>
  <c r="U21" i="4" s="1"/>
  <c r="Y19" i="5" l="1"/>
  <c r="AA19" i="5" s="1"/>
  <c r="X20" i="5" s="1"/>
  <c r="V21" i="4"/>
  <c r="Y21" i="4" s="1"/>
  <c r="U22" i="4" s="1"/>
  <c r="Y20" i="5" l="1"/>
  <c r="AA20" i="5" s="1"/>
  <c r="X21" i="5" s="1"/>
  <c r="V22" i="4"/>
  <c r="Y22" i="4" s="1"/>
  <c r="U23" i="4" s="1"/>
  <c r="Y21" i="5" l="1"/>
  <c r="AA21" i="5" s="1"/>
  <c r="X22" i="5" s="1"/>
  <c r="V23" i="4"/>
  <c r="Y23" i="4" s="1"/>
  <c r="U24" i="4" s="1"/>
  <c r="Y22" i="5" l="1"/>
  <c r="AA22" i="5" s="1"/>
  <c r="X23" i="5" s="1"/>
  <c r="V24" i="4"/>
  <c r="Y24" i="4" s="1"/>
  <c r="U25" i="4" s="1"/>
  <c r="Y23" i="5" l="1"/>
  <c r="AA23" i="5" s="1"/>
  <c r="X24" i="5" s="1"/>
  <c r="V25" i="4"/>
  <c r="Y25" i="4" s="1"/>
  <c r="U26" i="4" s="1"/>
  <c r="Y24" i="5" l="1"/>
  <c r="AA24" i="5" s="1"/>
  <c r="X25" i="5" s="1"/>
  <c r="V26" i="4"/>
  <c r="Y26" i="4" s="1"/>
  <c r="U27" i="4" s="1"/>
  <c r="Y25" i="5" l="1"/>
  <c r="AA25" i="5" s="1"/>
  <c r="X26" i="5" s="1"/>
  <c r="V27" i="4"/>
  <c r="Y27" i="4" s="1"/>
  <c r="U28" i="4" s="1"/>
  <c r="Y26" i="5" l="1"/>
  <c r="AA26" i="5" s="1"/>
  <c r="X27" i="5" s="1"/>
  <c r="V28" i="4"/>
  <c r="Y28" i="4" s="1"/>
  <c r="U29" i="4" s="1"/>
  <c r="Y27" i="5" l="1"/>
  <c r="AA27" i="5" s="1"/>
  <c r="X28" i="5" s="1"/>
  <c r="V29" i="4"/>
  <c r="Y29" i="4" s="1"/>
  <c r="U30" i="4" s="1"/>
  <c r="Y28" i="5" l="1"/>
  <c r="AA28" i="5" s="1"/>
  <c r="X29" i="5" s="1"/>
  <c r="V30" i="4"/>
  <c r="Y30" i="4" s="1"/>
  <c r="U31" i="4" s="1"/>
  <c r="Y29" i="5" l="1"/>
  <c r="AA29" i="5" s="1"/>
  <c r="X30" i="5" s="1"/>
  <c r="V31" i="4"/>
  <c r="Y31" i="4" s="1"/>
  <c r="U32" i="4" s="1"/>
  <c r="Y30" i="5" l="1"/>
  <c r="AA30" i="5" s="1"/>
  <c r="X31" i="5" s="1"/>
  <c r="V32" i="4"/>
  <c r="Y32" i="4" s="1"/>
  <c r="U33" i="4" s="1"/>
  <c r="Y31" i="5" l="1"/>
  <c r="AA31" i="5" s="1"/>
  <c r="X32" i="5" s="1"/>
  <c r="V33" i="4"/>
  <c r="Y33" i="4" s="1"/>
  <c r="U34" i="4" s="1"/>
  <c r="Y32" i="5" l="1"/>
  <c r="AA32" i="5" s="1"/>
  <c r="X33" i="5" s="1"/>
  <c r="V34" i="4"/>
  <c r="Y34" i="4" s="1"/>
  <c r="U35" i="4" s="1"/>
  <c r="Y33" i="5" l="1"/>
  <c r="AA33" i="5" s="1"/>
  <c r="X34" i="5" s="1"/>
  <c r="V35" i="4"/>
  <c r="Y35" i="4" s="1"/>
  <c r="U36" i="4" s="1"/>
  <c r="Y34" i="5" l="1"/>
  <c r="AA34" i="5" s="1"/>
  <c r="X35" i="5" s="1"/>
  <c r="V36" i="4"/>
  <c r="Y36" i="4" s="1"/>
  <c r="U37" i="4" s="1"/>
  <c r="Y35" i="5" l="1"/>
  <c r="AA35" i="5" s="1"/>
  <c r="X36" i="5" s="1"/>
  <c r="V37" i="4"/>
  <c r="Y37" i="4" s="1"/>
  <c r="U38" i="4" s="1"/>
  <c r="Y36" i="5" l="1"/>
  <c r="AA36" i="5" s="1"/>
  <c r="X37" i="5" s="1"/>
  <c r="V38" i="4"/>
  <c r="Y38" i="4" s="1"/>
  <c r="U39" i="4" s="1"/>
  <c r="Y37" i="5" l="1"/>
  <c r="AA37" i="5" s="1"/>
  <c r="X38" i="5" s="1"/>
  <c r="V39" i="4"/>
  <c r="Y39" i="4" s="1"/>
  <c r="U40" i="4" s="1"/>
  <c r="Y38" i="5" l="1"/>
  <c r="AA38" i="5" s="1"/>
  <c r="X39" i="5" s="1"/>
  <c r="V40" i="4"/>
  <c r="Y40" i="4" s="1"/>
  <c r="U41" i="4" s="1"/>
  <c r="Y39" i="5" l="1"/>
  <c r="AA39" i="5" s="1"/>
  <c r="X40" i="5" s="1"/>
  <c r="V41" i="4"/>
  <c r="Y41" i="4"/>
  <c r="U42" i="4" s="1"/>
  <c r="Y40" i="5" l="1"/>
  <c r="AA40" i="5" s="1"/>
  <c r="X41" i="5" s="1"/>
  <c r="V42" i="4"/>
  <c r="Y42" i="4" s="1"/>
  <c r="U43" i="4" s="1"/>
  <c r="Y41" i="5" l="1"/>
  <c r="AA41" i="5" s="1"/>
  <c r="X42" i="5" s="1"/>
  <c r="V43" i="4"/>
  <c r="Y43" i="4" s="1"/>
  <c r="U44" i="4" s="1"/>
  <c r="Y42" i="5" l="1"/>
  <c r="AA42" i="5" s="1"/>
  <c r="X43" i="5" s="1"/>
  <c r="V44" i="4"/>
  <c r="Y44" i="4" s="1"/>
  <c r="U45" i="4" s="1"/>
  <c r="Y43" i="5" l="1"/>
  <c r="AA43" i="5" s="1"/>
  <c r="X44" i="5" s="1"/>
  <c r="V45" i="4"/>
  <c r="Y45" i="4"/>
  <c r="U46" i="4" s="1"/>
  <c r="Y44" i="5" l="1"/>
  <c r="AA44" i="5" s="1"/>
  <c r="X45" i="5" s="1"/>
  <c r="V46" i="4"/>
  <c r="Y46" i="4" s="1"/>
  <c r="U47" i="4" s="1"/>
  <c r="Y45" i="5" l="1"/>
  <c r="AA45" i="5" s="1"/>
  <c r="X46" i="5" s="1"/>
  <c r="V47" i="4"/>
  <c r="Y47" i="4" s="1"/>
  <c r="U48" i="4" s="1"/>
  <c r="Y46" i="5" l="1"/>
  <c r="AA46" i="5" s="1"/>
  <c r="X47" i="5" s="1"/>
  <c r="V48" i="4"/>
  <c r="Y48" i="4"/>
  <c r="U49" i="4" s="1"/>
  <c r="Y47" i="5" l="1"/>
  <c r="AA47" i="5" s="1"/>
  <c r="X48" i="5" s="1"/>
  <c r="V49" i="4"/>
  <c r="Y49" i="4" s="1"/>
  <c r="U50" i="4" s="1"/>
  <c r="Y48" i="5" l="1"/>
  <c r="AA48" i="5" s="1"/>
  <c r="X49" i="5" s="1"/>
  <c r="Y49" i="5" s="1"/>
  <c r="AA49" i="5" s="1"/>
  <c r="X50" i="5" s="1"/>
  <c r="V50" i="4"/>
  <c r="Y50" i="4" s="1"/>
  <c r="U51" i="4" s="1"/>
  <c r="Y50" i="5" l="1"/>
  <c r="AA50" i="5" s="1"/>
  <c r="X51" i="5" s="1"/>
  <c r="V51" i="4"/>
  <c r="Y51" i="4" s="1"/>
  <c r="U52" i="4" s="1"/>
  <c r="Y51" i="5" l="1"/>
  <c r="AA51" i="5" s="1"/>
  <c r="X52" i="5" s="1"/>
  <c r="Y52" i="5" s="1"/>
  <c r="AA52" i="5" s="1"/>
  <c r="X53" i="5" s="1"/>
  <c r="V52" i="4"/>
  <c r="Y52" i="4" s="1"/>
  <c r="U53" i="4" s="1"/>
  <c r="Y53" i="5" l="1"/>
  <c r="AA53" i="5" s="1"/>
  <c r="V53" i="4"/>
  <c r="Y53" i="4" s="1"/>
  <c r="U54" i="4" s="1"/>
  <c r="V54" i="4" l="1"/>
  <c r="Y54" i="4" s="1"/>
  <c r="U55" i="4" s="1"/>
  <c r="V55" i="4" l="1"/>
  <c r="Y55" i="4" s="1"/>
  <c r="U56" i="4" s="1"/>
  <c r="V56" i="4" l="1"/>
  <c r="Y56" i="4" s="1"/>
  <c r="U57" i="4" s="1"/>
  <c r="V57" i="4" l="1"/>
  <c r="Y57" i="4" s="1"/>
  <c r="F56" i="3" l="1"/>
  <c r="E56" i="3"/>
  <c r="D56" i="3"/>
  <c r="P55" i="3"/>
  <c r="G55" i="3"/>
  <c r="H55" i="3" s="1"/>
  <c r="H56" i="3" s="1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L34" i="3"/>
  <c r="L35" i="3" s="1"/>
  <c r="P33" i="3"/>
  <c r="L33" i="3"/>
  <c r="P32" i="3"/>
  <c r="P31" i="3"/>
  <c r="P30" i="3"/>
  <c r="P29" i="3"/>
  <c r="P28" i="3"/>
  <c r="P27" i="3"/>
  <c r="K27" i="3"/>
  <c r="P26" i="3"/>
  <c r="P25" i="3"/>
  <c r="P24" i="3"/>
  <c r="P23" i="3"/>
  <c r="P22" i="3"/>
  <c r="K22" i="3"/>
  <c r="P21" i="3"/>
  <c r="P20" i="3"/>
  <c r="K20" i="3"/>
  <c r="P19" i="3"/>
  <c r="K19" i="3"/>
  <c r="P18" i="3"/>
  <c r="K18" i="3"/>
  <c r="P17" i="3"/>
  <c r="P16" i="3"/>
  <c r="P15" i="3"/>
  <c r="K15" i="3"/>
  <c r="P14" i="3"/>
  <c r="P13" i="3"/>
  <c r="P12" i="3"/>
  <c r="K12" i="3"/>
  <c r="P11" i="3"/>
  <c r="P10" i="3"/>
  <c r="K10" i="3"/>
  <c r="K13" i="3" s="1"/>
  <c r="P9" i="3"/>
  <c r="P8" i="3"/>
  <c r="K8" i="3"/>
  <c r="V7" i="3"/>
  <c r="V8" i="3" s="1"/>
  <c r="P7" i="3"/>
  <c r="K6" i="3"/>
  <c r="G6" i="3"/>
  <c r="H6" i="3" s="1"/>
  <c r="F5" i="3"/>
  <c r="V11" i="3" l="1"/>
  <c r="G5" i="3"/>
  <c r="H5" i="3" s="1"/>
  <c r="V9" i="3"/>
  <c r="V10" i="3"/>
  <c r="J30" i="3"/>
  <c r="O4" i="3" s="1"/>
  <c r="O7" i="3" s="1"/>
  <c r="G56" i="3"/>
  <c r="Q7" i="3" l="1"/>
  <c r="U7" i="3"/>
  <c r="V51" i="3" l="1"/>
  <c r="V39" i="3"/>
  <c r="V34" i="3"/>
  <c r="V26" i="3"/>
  <c r="V21" i="3"/>
  <c r="V13" i="3"/>
  <c r="V63" i="3"/>
  <c r="V59" i="3"/>
  <c r="V44" i="3"/>
  <c r="V49" i="3"/>
  <c r="V37" i="3"/>
  <c r="V29" i="3"/>
  <c r="V24" i="3"/>
  <c r="V16" i="3"/>
  <c r="V48" i="3"/>
  <c r="V46" i="3"/>
  <c r="V33" i="3"/>
  <c r="V61" i="3"/>
  <c r="V20" i="3"/>
  <c r="V14" i="3"/>
  <c r="V66" i="3"/>
  <c r="V65" i="3"/>
  <c r="V60" i="3"/>
  <c r="V47" i="3"/>
  <c r="V18" i="3"/>
  <c r="V64" i="3"/>
  <c r="V55" i="3"/>
  <c r="V42" i="3"/>
  <c r="W7" i="3"/>
  <c r="U8" i="3" s="1"/>
  <c r="W8" i="3" s="1"/>
  <c r="U9" i="3" s="1"/>
  <c r="W9" i="3" s="1"/>
  <c r="U10" i="3" s="1"/>
  <c r="W10" i="3" s="1"/>
  <c r="U11" i="3" s="1"/>
  <c r="W11" i="3" s="1"/>
  <c r="U12" i="3" s="1"/>
  <c r="V23" i="3"/>
  <c r="V36" i="3"/>
  <c r="V30" i="3"/>
  <c r="V28" i="3"/>
  <c r="V58" i="3"/>
  <c r="V38" i="3"/>
  <c r="V32" i="3"/>
  <c r="V40" i="3"/>
  <c r="V19" i="3"/>
  <c r="V15" i="3"/>
  <c r="V53" i="3"/>
  <c r="V62" i="3"/>
  <c r="V57" i="3"/>
  <c r="V35" i="3"/>
  <c r="V27" i="3"/>
  <c r="V25" i="3"/>
  <c r="V56" i="3"/>
  <c r="V50" i="3"/>
  <c r="V54" i="3"/>
  <c r="V52" i="3"/>
  <c r="V31" i="3"/>
  <c r="V43" i="3"/>
  <c r="V41" i="3"/>
  <c r="V22" i="3"/>
  <c r="V12" i="3"/>
  <c r="V45" i="3"/>
  <c r="V17" i="3"/>
  <c r="R7" i="3"/>
  <c r="O8" i="3" s="1"/>
  <c r="Q8" i="3" l="1"/>
  <c r="R8" i="3"/>
  <c r="O9" i="3" s="1"/>
  <c r="W12" i="3"/>
  <c r="U13" i="3" s="1"/>
  <c r="W13" i="3" s="1"/>
  <c r="U14" i="3" s="1"/>
  <c r="W14" i="3" s="1"/>
  <c r="U15" i="3" s="1"/>
  <c r="W15" i="3" s="1"/>
  <c r="U16" i="3" s="1"/>
  <c r="W16" i="3" s="1"/>
  <c r="U17" i="3" s="1"/>
  <c r="W17" i="3" s="1"/>
  <c r="U18" i="3" s="1"/>
  <c r="W18" i="3" s="1"/>
  <c r="U19" i="3" s="1"/>
  <c r="W19" i="3" s="1"/>
  <c r="U20" i="3" s="1"/>
  <c r="W20" i="3" s="1"/>
  <c r="U21" i="3" s="1"/>
  <c r="W21" i="3" s="1"/>
  <c r="U22" i="3" s="1"/>
  <c r="W22" i="3" s="1"/>
  <c r="U23" i="3" s="1"/>
  <c r="W23" i="3" s="1"/>
  <c r="U24" i="3" s="1"/>
  <c r="W24" i="3" s="1"/>
  <c r="U25" i="3" s="1"/>
  <c r="W25" i="3" s="1"/>
  <c r="U26" i="3" s="1"/>
  <c r="W26" i="3" s="1"/>
  <c r="U27" i="3" s="1"/>
  <c r="W27" i="3" s="1"/>
  <c r="U28" i="3" s="1"/>
  <c r="W28" i="3" s="1"/>
  <c r="U29" i="3" s="1"/>
  <c r="W29" i="3" s="1"/>
  <c r="U30" i="3" s="1"/>
  <c r="W30" i="3" s="1"/>
  <c r="U31" i="3" s="1"/>
  <c r="W31" i="3" s="1"/>
  <c r="U32" i="3" s="1"/>
  <c r="W32" i="3" s="1"/>
  <c r="U33" i="3" s="1"/>
  <c r="W33" i="3" s="1"/>
  <c r="U34" i="3" s="1"/>
  <c r="W34" i="3" s="1"/>
  <c r="U35" i="3" s="1"/>
  <c r="W35" i="3" s="1"/>
  <c r="U36" i="3" s="1"/>
  <c r="W36" i="3" s="1"/>
  <c r="U37" i="3" s="1"/>
  <c r="W37" i="3" s="1"/>
  <c r="U38" i="3" s="1"/>
  <c r="W38" i="3" s="1"/>
  <c r="U39" i="3" s="1"/>
  <c r="W39" i="3" s="1"/>
  <c r="U40" i="3" s="1"/>
  <c r="W40" i="3" s="1"/>
  <c r="U41" i="3" s="1"/>
  <c r="W41" i="3" s="1"/>
  <c r="U42" i="3" s="1"/>
  <c r="W42" i="3" s="1"/>
  <c r="U43" i="3" s="1"/>
  <c r="W43" i="3" s="1"/>
  <c r="U44" i="3" s="1"/>
  <c r="W44" i="3" s="1"/>
  <c r="U45" i="3" s="1"/>
  <c r="W45" i="3" s="1"/>
  <c r="U46" i="3" s="1"/>
  <c r="W46" i="3" s="1"/>
  <c r="U47" i="3" s="1"/>
  <c r="W47" i="3" s="1"/>
  <c r="U48" i="3" s="1"/>
  <c r="W48" i="3" s="1"/>
  <c r="U49" i="3" s="1"/>
  <c r="W49" i="3" s="1"/>
  <c r="U50" i="3" s="1"/>
  <c r="W50" i="3" s="1"/>
  <c r="U51" i="3" s="1"/>
  <c r="W51" i="3" s="1"/>
  <c r="U52" i="3" s="1"/>
  <c r="W52" i="3" s="1"/>
  <c r="U53" i="3" s="1"/>
  <c r="W53" i="3" s="1"/>
  <c r="U54" i="3" s="1"/>
  <c r="W54" i="3" s="1"/>
  <c r="U55" i="3" s="1"/>
  <c r="W55" i="3" s="1"/>
  <c r="U56" i="3" s="1"/>
  <c r="W56" i="3" s="1"/>
  <c r="U57" i="3" s="1"/>
  <c r="W57" i="3" s="1"/>
  <c r="U58" i="3" s="1"/>
  <c r="W58" i="3" s="1"/>
  <c r="U59" i="3" s="1"/>
  <c r="W59" i="3" s="1"/>
  <c r="U60" i="3" s="1"/>
  <c r="W60" i="3" s="1"/>
  <c r="U61" i="3" s="1"/>
  <c r="W61" i="3" s="1"/>
  <c r="U62" i="3" s="1"/>
  <c r="W62" i="3" s="1"/>
  <c r="U63" i="3" s="1"/>
  <c r="W63" i="3" s="1"/>
  <c r="U64" i="3" s="1"/>
  <c r="W64" i="3" s="1"/>
  <c r="U65" i="3" s="1"/>
  <c r="W65" i="3" s="1"/>
  <c r="U66" i="3" s="1"/>
  <c r="W66" i="3" s="1"/>
  <c r="U67" i="3" s="1"/>
  <c r="W67" i="3" s="1"/>
  <c r="Q9" i="3" l="1"/>
  <c r="R9" i="3" s="1"/>
  <c r="O10" i="3" s="1"/>
  <c r="Q10" i="3" l="1"/>
  <c r="R10" i="3" l="1"/>
  <c r="O11" i="3" s="1"/>
  <c r="Q11" i="3" l="1"/>
  <c r="R11" i="3" s="1"/>
  <c r="O12" i="3" s="1"/>
  <c r="Q12" i="3" l="1"/>
  <c r="R12" i="3" s="1"/>
  <c r="O13" i="3" s="1"/>
  <c r="Q13" i="3" l="1"/>
  <c r="R13" i="3" s="1"/>
  <c r="O14" i="3" s="1"/>
  <c r="Q14" i="3" l="1"/>
  <c r="R14" i="3" s="1"/>
  <c r="O15" i="3" s="1"/>
  <c r="Q15" i="3" l="1"/>
  <c r="R15" i="3"/>
  <c r="O16" i="3" s="1"/>
  <c r="Q16" i="3" l="1"/>
  <c r="R16" i="3" s="1"/>
  <c r="O17" i="3" s="1"/>
  <c r="Q17" i="3" l="1"/>
  <c r="R17" i="3" s="1"/>
  <c r="O18" i="3" s="1"/>
  <c r="Q18" i="3" l="1"/>
  <c r="R18" i="3" s="1"/>
  <c r="O19" i="3" s="1"/>
  <c r="Q19" i="3" l="1"/>
  <c r="R19" i="3"/>
  <c r="O20" i="3" s="1"/>
  <c r="Q20" i="3" l="1"/>
  <c r="R20" i="3" s="1"/>
  <c r="O21" i="3" s="1"/>
  <c r="Q21" i="3" l="1"/>
  <c r="R21" i="3" s="1"/>
  <c r="O22" i="3" s="1"/>
  <c r="Q22" i="3" l="1"/>
  <c r="R22" i="3" s="1"/>
  <c r="O23" i="3" s="1"/>
  <c r="Q23" i="3" l="1"/>
  <c r="R23" i="3"/>
  <c r="O24" i="3" s="1"/>
  <c r="Q24" i="3" l="1"/>
  <c r="R24" i="3" s="1"/>
  <c r="O25" i="3" s="1"/>
  <c r="Q25" i="3" l="1"/>
  <c r="R25" i="3" s="1"/>
  <c r="O26" i="3" s="1"/>
  <c r="Q26" i="3" l="1"/>
  <c r="R26" i="3" s="1"/>
  <c r="O27" i="3" s="1"/>
  <c r="Q27" i="3" l="1"/>
  <c r="R27" i="3" s="1"/>
  <c r="O28" i="3" s="1"/>
  <c r="Q28" i="3" l="1"/>
  <c r="R28" i="3"/>
  <c r="O29" i="3" s="1"/>
  <c r="Q29" i="3" l="1"/>
  <c r="R29" i="3"/>
  <c r="O30" i="3" s="1"/>
  <c r="Q30" i="3" l="1"/>
  <c r="R30" i="3"/>
  <c r="O31" i="3" s="1"/>
  <c r="Q31" i="3" l="1"/>
  <c r="R31" i="3" s="1"/>
  <c r="O32" i="3" s="1"/>
  <c r="Q32" i="3" l="1"/>
  <c r="R32" i="3"/>
  <c r="O33" i="3" s="1"/>
  <c r="Q33" i="3" l="1"/>
  <c r="R33" i="3" s="1"/>
  <c r="O34" i="3" s="1"/>
  <c r="Q34" i="3" l="1"/>
  <c r="R34" i="3" s="1"/>
  <c r="O35" i="3" s="1"/>
  <c r="Q35" i="3" l="1"/>
  <c r="R35" i="3" s="1"/>
  <c r="O36" i="3" s="1"/>
  <c r="Q36" i="3" l="1"/>
  <c r="R36" i="3"/>
  <c r="O37" i="3" s="1"/>
  <c r="Q37" i="3" l="1"/>
  <c r="R37" i="3"/>
  <c r="O38" i="3" s="1"/>
  <c r="Q38" i="3" l="1"/>
  <c r="R38" i="3" s="1"/>
  <c r="O39" i="3" s="1"/>
  <c r="Q39" i="3" l="1"/>
  <c r="R39" i="3" s="1"/>
  <c r="O40" i="3" s="1"/>
  <c r="Q40" i="3" l="1"/>
  <c r="R40" i="3" s="1"/>
  <c r="O41" i="3" s="1"/>
  <c r="Q41" i="3" l="1"/>
  <c r="R41" i="3" s="1"/>
  <c r="O42" i="3" s="1"/>
  <c r="Q42" i="3" l="1"/>
  <c r="R42" i="3" s="1"/>
  <c r="O43" i="3" s="1"/>
  <c r="Q43" i="3" l="1"/>
  <c r="R43" i="3" s="1"/>
  <c r="O44" i="3" s="1"/>
  <c r="Q44" i="3" l="1"/>
  <c r="R44" i="3" s="1"/>
  <c r="O45" i="3" s="1"/>
  <c r="Q45" i="3" l="1"/>
  <c r="R45" i="3" s="1"/>
  <c r="O46" i="3" s="1"/>
  <c r="Q46" i="3" l="1"/>
  <c r="R46" i="3" s="1"/>
  <c r="O47" i="3" s="1"/>
  <c r="Q47" i="3" l="1"/>
  <c r="R47" i="3" s="1"/>
  <c r="O48" i="3" s="1"/>
  <c r="Q48" i="3" l="1"/>
  <c r="R48" i="3"/>
  <c r="O49" i="3" s="1"/>
  <c r="Q49" i="3" l="1"/>
  <c r="R49" i="3"/>
  <c r="O50" i="3" s="1"/>
  <c r="Q50" i="3" l="1"/>
  <c r="R50" i="3" s="1"/>
  <c r="O51" i="3" s="1"/>
  <c r="Q51" i="3" l="1"/>
  <c r="R51" i="3" s="1"/>
  <c r="O52" i="3" s="1"/>
  <c r="Q52" i="3" l="1"/>
  <c r="R52" i="3" s="1"/>
  <c r="O53" i="3" s="1"/>
  <c r="Q53" i="3" l="1"/>
  <c r="R53" i="3" s="1"/>
  <c r="O54" i="3" s="1"/>
  <c r="Q54" i="3" l="1"/>
  <c r="R54" i="3"/>
  <c r="O55" i="3" s="1"/>
  <c r="Q55" i="3" l="1"/>
  <c r="Q4" i="3" s="1"/>
  <c r="R55" i="3" l="1"/>
</calcChain>
</file>

<file path=xl/sharedStrings.xml><?xml version="1.0" encoding="utf-8"?>
<sst xmlns="http://schemas.openxmlformats.org/spreadsheetml/2006/main" count="236" uniqueCount="147">
  <si>
    <t>IVA</t>
  </si>
  <si>
    <t>VALOR DEL BIEN</t>
  </si>
  <si>
    <t>Mes</t>
  </si>
  <si>
    <t>RENTA</t>
  </si>
  <si>
    <t>CUOTA NO.</t>
  </si>
  <si>
    <t>Renta</t>
  </si>
  <si>
    <t>Seguro</t>
  </si>
  <si>
    <t>Subtotal</t>
  </si>
  <si>
    <t>Total</t>
  </si>
  <si>
    <t>Gastos Iniciales</t>
  </si>
  <si>
    <t>Enganche</t>
  </si>
  <si>
    <t>1/48</t>
  </si>
  <si>
    <t>2/48</t>
  </si>
  <si>
    <t>3/48</t>
  </si>
  <si>
    <t>4/48</t>
  </si>
  <si>
    <t>5/48</t>
  </si>
  <si>
    <t>6/48</t>
  </si>
  <si>
    <t>7/48</t>
  </si>
  <si>
    <t>8/48</t>
  </si>
  <si>
    <t>9/48</t>
  </si>
  <si>
    <t>10/48</t>
  </si>
  <si>
    <t>11/48</t>
  </si>
  <si>
    <t>12/48</t>
  </si>
  <si>
    <t>13/48</t>
  </si>
  <si>
    <t>14/48</t>
  </si>
  <si>
    <t>15/48</t>
  </si>
  <si>
    <t>16/48</t>
  </si>
  <si>
    <t>17/48</t>
  </si>
  <si>
    <t>18/48</t>
  </si>
  <si>
    <t>19/48</t>
  </si>
  <si>
    <t>20/48</t>
  </si>
  <si>
    <t>21/48</t>
  </si>
  <si>
    <t>22/48</t>
  </si>
  <si>
    <t>23/48</t>
  </si>
  <si>
    <t>24/48</t>
  </si>
  <si>
    <t>25/48</t>
  </si>
  <si>
    <t>26/48</t>
  </si>
  <si>
    <t>27/48</t>
  </si>
  <si>
    <t>28/48</t>
  </si>
  <si>
    <t>29/48</t>
  </si>
  <si>
    <t>30/48</t>
  </si>
  <si>
    <t>31/48</t>
  </si>
  <si>
    <t>32/48</t>
  </si>
  <si>
    <t>33/48</t>
  </si>
  <si>
    <t>34/48</t>
  </si>
  <si>
    <t>35/48</t>
  </si>
  <si>
    <t>36/48</t>
  </si>
  <si>
    <t>37/48</t>
  </si>
  <si>
    <t>38/48</t>
  </si>
  <si>
    <t>39/48</t>
  </si>
  <si>
    <t>40/48</t>
  </si>
  <si>
    <t>41/48</t>
  </si>
  <si>
    <t>42/48</t>
  </si>
  <si>
    <t>43/48</t>
  </si>
  <si>
    <t>44/48</t>
  </si>
  <si>
    <t>45/48</t>
  </si>
  <si>
    <t>46/48</t>
  </si>
  <si>
    <t>47/48</t>
  </si>
  <si>
    <t>48/48</t>
  </si>
  <si>
    <t>Opcion de Compra</t>
  </si>
  <si>
    <t>ENGANCHE</t>
  </si>
  <si>
    <t xml:space="preserve">TASA </t>
  </si>
  <si>
    <t>Tasa Mensual</t>
  </si>
  <si>
    <t>Valor del Bien</t>
  </si>
  <si>
    <t>Plazo</t>
  </si>
  <si>
    <t>Opcion a Compra</t>
  </si>
  <si>
    <t>Mes 49</t>
  </si>
  <si>
    <t>Pago mensual</t>
  </si>
  <si>
    <t>INTERES</t>
  </si>
  <si>
    <t>SALDO INICIAL</t>
  </si>
  <si>
    <t>SALDO FINAL</t>
  </si>
  <si>
    <t>VP</t>
  </si>
  <si>
    <t>VALOR NETO</t>
  </si>
  <si>
    <t>ENGANCHE NETO</t>
  </si>
  <si>
    <t>VALOR DE COMPRA VP</t>
  </si>
  <si>
    <t>AÑO</t>
  </si>
  <si>
    <t>DEP</t>
  </si>
  <si>
    <t>FECHA FACTURA</t>
  </si>
  <si>
    <t>ADU</t>
  </si>
  <si>
    <t>PLAN DE ARRENDAMIENTO</t>
  </si>
  <si>
    <t>Datos del Contrato</t>
  </si>
  <si>
    <t>Registros Contables</t>
  </si>
  <si>
    <t>Tasa</t>
  </si>
  <si>
    <t>Interes</t>
  </si>
  <si>
    <t>Pago</t>
  </si>
  <si>
    <t>Capital</t>
  </si>
  <si>
    <t>SF</t>
  </si>
  <si>
    <t>PAGOS</t>
  </si>
  <si>
    <t>SI</t>
  </si>
  <si>
    <t>Comisión</t>
  </si>
  <si>
    <t>Tasa efectiva</t>
  </si>
  <si>
    <t>TOTAL</t>
  </si>
  <si>
    <t xml:space="preserve">REGISTROS </t>
  </si>
  <si>
    <t>Activo por Derecho de Uso</t>
  </si>
  <si>
    <t>Pasivo Financiero Leasing</t>
  </si>
  <si>
    <t>Reconocimiento Inicial financiamiento</t>
  </si>
  <si>
    <t>MONTO FINANCIADO</t>
  </si>
  <si>
    <t>SIN IVA</t>
  </si>
  <si>
    <t>PPE-Activo en arrendamiento financ.</t>
  </si>
  <si>
    <t>Efectivo</t>
  </si>
  <si>
    <t>MONTO FINANCIADO (SIN IVA)</t>
  </si>
  <si>
    <t>PRECIO DEL ACTIVO (SIN IVA)</t>
  </si>
  <si>
    <t>GF</t>
  </si>
  <si>
    <t>PAGO</t>
  </si>
  <si>
    <t>Registros contables iniciales:</t>
  </si>
  <si>
    <t>Registros contables posteriores</t>
  </si>
  <si>
    <t>Factura por pagar</t>
  </si>
  <si>
    <t>Pasivo financiero por arrendamiento</t>
  </si>
  <si>
    <t>Gasto financiero</t>
  </si>
  <si>
    <t>IVA - crédito</t>
  </si>
  <si>
    <t>D</t>
  </si>
  <si>
    <t>H</t>
  </si>
  <si>
    <t>LEASING</t>
  </si>
  <si>
    <t xml:space="preserve">REGISTRANDO UN </t>
  </si>
  <si>
    <t>CONTRATO DE</t>
  </si>
  <si>
    <t>CONTRATO DE ARRENDAMIENTO FINANCIERO</t>
  </si>
  <si>
    <t>EL BANCO</t>
  </si>
  <si>
    <t>Compra el ACTIVO</t>
  </si>
  <si>
    <t>Cede el ACTIVO al cliente</t>
  </si>
  <si>
    <t>LA ENTIDAD (EMPRESA-CLIENTE)</t>
  </si>
  <si>
    <t>El cliente CONTROLA el activo</t>
  </si>
  <si>
    <t>Es el DUEÑO del activo</t>
  </si>
  <si>
    <t>Cobra el principal + intereses</t>
  </si>
  <si>
    <t>Paga el principal + interes</t>
  </si>
  <si>
    <t>Tiene una opción de compra</t>
  </si>
  <si>
    <t>ANCDV</t>
  </si>
  <si>
    <t>Px Cobrar</t>
  </si>
  <si>
    <t>Px Pagar</t>
  </si>
  <si>
    <t>PPE</t>
  </si>
  <si>
    <t>Credito por IVA</t>
  </si>
  <si>
    <t>Gasto de seguro</t>
  </si>
  <si>
    <t>Costo del PPE</t>
  </si>
  <si>
    <t>MODELO DEL COSTO AMORTIZADO DEL PASIVO</t>
  </si>
  <si>
    <t>DIPLOMADO MAS PRACTICO DE NIIF</t>
  </si>
  <si>
    <t>INICIA 30 OCTUBRE</t>
  </si>
  <si>
    <t>DIAS</t>
  </si>
  <si>
    <t>MIERCOLES Y JUEVES</t>
  </si>
  <si>
    <t>HORA</t>
  </si>
  <si>
    <t>7 A 10 PM (LIMA)</t>
  </si>
  <si>
    <t>26 SESIONES PRÁCTICAS</t>
  </si>
  <si>
    <t>N° SESIONES</t>
  </si>
  <si>
    <t>PRECIOSO</t>
  </si>
  <si>
    <t>S/</t>
  </si>
  <si>
    <t>USD</t>
  </si>
  <si>
    <t>PROMOCION TIKTOK</t>
  </si>
  <si>
    <t>LOBO SOLITARIO</t>
  </si>
  <si>
    <t>EL ROMANTICO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</si>
</sst>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&quot;Q&quot;#,##0.00;[Red]\-&quot;Q&quot;#,##0.00"/>
    <numFmt numFmtId="165" formatCode="_-[$Q-100A]* #,##0.00_-;\-[$Q-100A]* #,##0.00_-;_-[$Q-100A]* &quot;-&quot;??_-;_-@_-"/>
    <numFmt numFmtId="166" formatCode="0.0000%"/>
    <numFmt numFmtId="167" formatCode="_-* #,##0_-;\-* #,##0_-;_-* &quot;-&quot;??_-;_-@_-"/>
    <numFmt numFmtId="168" formatCode="0.000%"/>
    <numFmt numFmtId="169" formatCode="0.00000%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48"/>
      <color theme="0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sz val="15"/>
      <color theme="0"/>
      <name val="Aptos Narrow"/>
      <family val="2"/>
      <scheme val="minor"/>
    </font>
    <font>
      <sz val="20"/>
      <color theme="0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30">
    <xf numFmtId="0" fontId="0" fillId="0" borderId="0" xfId="0"/>
    <xf numFmtId="165" fontId="0" fillId="0" borderId="0" xfId="0" applyNumberFormat="1"/>
    <xf numFmtId="0" fontId="1" fillId="0" borderId="0" xfId="0" applyFont="1"/>
    <xf numFmtId="165" fontId="0" fillId="0" borderId="1" xfId="0" applyNumberFormat="1" applyBorder="1"/>
    <xf numFmtId="0" fontId="1" fillId="0" borderId="2" xfId="0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65" fontId="1" fillId="0" borderId="0" xfId="0" applyNumberFormat="1" applyFont="1"/>
    <xf numFmtId="164" fontId="0" fillId="0" borderId="0" xfId="0" applyNumberFormat="1"/>
    <xf numFmtId="164" fontId="0" fillId="0" borderId="0" xfId="1" applyNumberFormat="1" applyFont="1"/>
    <xf numFmtId="10" fontId="0" fillId="0" borderId="0" xfId="1" applyNumberFormat="1" applyFont="1" applyBorder="1"/>
    <xf numFmtId="9" fontId="0" fillId="0" borderId="0" xfId="0" applyNumberFormat="1"/>
    <xf numFmtId="166" fontId="0" fillId="0" borderId="0" xfId="1" applyNumberFormat="1" applyFont="1"/>
    <xf numFmtId="164" fontId="1" fillId="0" borderId="0" xfId="1" applyNumberFormat="1" applyFont="1"/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/>
    <xf numFmtId="0" fontId="1" fillId="0" borderId="0" xfId="0" applyFont="1" applyAlignment="1">
      <alignment horizontal="center"/>
    </xf>
    <xf numFmtId="164" fontId="0" fillId="2" borderId="0" xfId="0" applyNumberFormat="1" applyFill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165" fontId="0" fillId="2" borderId="0" xfId="0" applyNumberFormat="1" applyFill="1"/>
    <xf numFmtId="167" fontId="2" fillId="0" borderId="0" xfId="2" applyNumberFormat="1" applyFont="1" applyFill="1"/>
    <xf numFmtId="167" fontId="0" fillId="0" borderId="0" xfId="2" applyNumberFormat="1" applyFont="1"/>
    <xf numFmtId="167" fontId="1" fillId="3" borderId="0" xfId="2" applyNumberFormat="1" applyFont="1" applyFill="1" applyAlignment="1">
      <alignment horizontal="center"/>
    </xf>
    <xf numFmtId="167" fontId="0" fillId="0" borderId="0" xfId="2" applyNumberFormat="1" applyFont="1" applyFill="1"/>
    <xf numFmtId="166" fontId="1" fillId="0" borderId="0" xfId="1" applyNumberFormat="1" applyFont="1" applyFill="1"/>
    <xf numFmtId="43" fontId="0" fillId="0" borderId="0" xfId="2" applyFont="1" applyFill="1"/>
    <xf numFmtId="168" fontId="0" fillId="0" borderId="0" xfId="0" applyNumberFormat="1"/>
    <xf numFmtId="4" fontId="0" fillId="0" borderId="0" xfId="0" applyNumberFormat="1"/>
    <xf numFmtId="43" fontId="0" fillId="0" borderId="0" xfId="2" applyFont="1"/>
    <xf numFmtId="0" fontId="1" fillId="2" borderId="0" xfId="0" applyFont="1" applyFill="1" applyAlignment="1">
      <alignment horizontal="center"/>
    </xf>
    <xf numFmtId="167" fontId="0" fillId="0" borderId="0" xfId="2" applyNumberFormat="1" applyFont="1" applyBorder="1"/>
    <xf numFmtId="43" fontId="0" fillId="0" borderId="0" xfId="2" applyFont="1" applyBorder="1"/>
    <xf numFmtId="167" fontId="2" fillId="0" borderId="0" xfId="2" applyNumberFormat="1" applyFont="1" applyFill="1" applyBorder="1"/>
    <xf numFmtId="43" fontId="0" fillId="0" borderId="0" xfId="2" applyFont="1" applyFill="1" applyBorder="1"/>
    <xf numFmtId="165" fontId="0" fillId="0" borderId="3" xfId="0" applyNumberFormat="1" applyBorder="1"/>
    <xf numFmtId="0" fontId="0" fillId="0" borderId="4" xfId="0" applyBorder="1"/>
    <xf numFmtId="0" fontId="0" fillId="0" borderId="5" xfId="0" applyBorder="1"/>
    <xf numFmtId="165" fontId="0" fillId="0" borderId="6" xfId="0" applyNumberFormat="1" applyBorder="1"/>
    <xf numFmtId="43" fontId="0" fillId="0" borderId="7" xfId="2" applyFont="1" applyFill="1" applyBorder="1"/>
    <xf numFmtId="43" fontId="0" fillId="0" borderId="1" xfId="2" applyFont="1" applyFill="1" applyBorder="1"/>
    <xf numFmtId="43" fontId="0" fillId="0" borderId="8" xfId="2" applyFont="1" applyFill="1" applyBorder="1"/>
    <xf numFmtId="165" fontId="0" fillId="0" borderId="4" xfId="0" applyNumberFormat="1" applyBorder="1"/>
    <xf numFmtId="0" fontId="0" fillId="0" borderId="9" xfId="0" applyBorder="1"/>
    <xf numFmtId="165" fontId="0" fillId="0" borderId="10" xfId="0" applyNumberFormat="1" applyBorder="1"/>
    <xf numFmtId="165" fontId="1" fillId="0" borderId="0" xfId="0" applyNumberFormat="1" applyFont="1" applyAlignment="1">
      <alignment horizontal="left" vertical="top"/>
    </xf>
    <xf numFmtId="17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4" borderId="0" xfId="0" applyFill="1"/>
    <xf numFmtId="165" fontId="1" fillId="4" borderId="2" xfId="0" applyNumberFormat="1" applyFont="1" applyFill="1" applyBorder="1" applyAlignment="1">
      <alignment horizontal="center" vertical="top"/>
    </xf>
    <xf numFmtId="0" fontId="0" fillId="4" borderId="0" xfId="0" applyFill="1" applyAlignment="1">
      <alignment horizontal="center"/>
    </xf>
    <xf numFmtId="43" fontId="0" fillId="0" borderId="0" xfId="0" applyNumberFormat="1"/>
    <xf numFmtId="0" fontId="0" fillId="5" borderId="0" xfId="0" applyFill="1"/>
    <xf numFmtId="43" fontId="0" fillId="5" borderId="0" xfId="2" applyFont="1" applyFill="1"/>
    <xf numFmtId="165" fontId="1" fillId="5" borderId="0" xfId="0" applyNumberFormat="1" applyFont="1" applyFill="1" applyAlignment="1">
      <alignment horizontal="left" vertical="top"/>
    </xf>
    <xf numFmtId="0" fontId="4" fillId="6" borderId="0" xfId="0" applyFont="1" applyFill="1"/>
    <xf numFmtId="0" fontId="4" fillId="7" borderId="0" xfId="0" applyFont="1" applyFill="1"/>
    <xf numFmtId="0" fontId="7" fillId="6" borderId="0" xfId="0" applyFont="1" applyFill="1"/>
    <xf numFmtId="0" fontId="5" fillId="6" borderId="0" xfId="0" applyFont="1" applyFill="1" applyAlignment="1">
      <alignment horizontal="left" indent="2"/>
    </xf>
    <xf numFmtId="0" fontId="4" fillId="6" borderId="0" xfId="0" applyFont="1" applyFill="1" applyAlignment="1">
      <alignment horizontal="left" indent="2"/>
    </xf>
    <xf numFmtId="0" fontId="6" fillId="7" borderId="0" xfId="0" applyFont="1" applyFill="1" applyAlignment="1">
      <alignment horizontal="left" indent="2"/>
    </xf>
    <xf numFmtId="0" fontId="7" fillId="6" borderId="0" xfId="0" applyFont="1" applyFill="1" applyAlignment="1">
      <alignment horizontal="left" indent="2"/>
    </xf>
    <xf numFmtId="0" fontId="8" fillId="6" borderId="0" xfId="0" applyFont="1" applyFill="1"/>
    <xf numFmtId="17" fontId="4" fillId="7" borderId="0" xfId="0" applyNumberFormat="1" applyFont="1" applyFill="1" applyAlignment="1">
      <alignment horizontal="center"/>
    </xf>
    <xf numFmtId="0" fontId="4" fillId="7" borderId="0" xfId="0" applyFont="1" applyFill="1" applyAlignment="1">
      <alignment horizontal="center"/>
    </xf>
    <xf numFmtId="1" fontId="4" fillId="7" borderId="0" xfId="0" applyNumberFormat="1" applyFont="1" applyFill="1" applyAlignment="1">
      <alignment horizontal="center"/>
    </xf>
    <xf numFmtId="165" fontId="4" fillId="7" borderId="0" xfId="0" applyNumberFormat="1" applyFont="1" applyFill="1" applyAlignment="1">
      <alignment horizontal="center" vertical="top"/>
    </xf>
    <xf numFmtId="0" fontId="4" fillId="7" borderId="0" xfId="0" applyFont="1" applyFill="1" applyAlignment="1">
      <alignment horizontal="center" vertical="top"/>
    </xf>
    <xf numFmtId="165" fontId="0" fillId="8" borderId="0" xfId="0" applyNumberFormat="1" applyFill="1"/>
    <xf numFmtId="165" fontId="1" fillId="8" borderId="2" xfId="0" applyNumberFormat="1" applyFont="1" applyFill="1" applyBorder="1" applyAlignment="1">
      <alignment horizontal="center" vertical="top"/>
    </xf>
    <xf numFmtId="17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65" fontId="0" fillId="9" borderId="0" xfId="0" applyNumberFormat="1" applyFill="1"/>
    <xf numFmtId="0" fontId="0" fillId="9" borderId="0" xfId="0" applyFill="1" applyAlignment="1">
      <alignment horizontal="left"/>
    </xf>
    <xf numFmtId="165" fontId="0" fillId="9" borderId="1" xfId="0" applyNumberFormat="1" applyFill="1" applyBorder="1"/>
    <xf numFmtId="165" fontId="0" fillId="0" borderId="0" xfId="0" applyNumberFormat="1" applyFill="1"/>
    <xf numFmtId="165" fontId="4" fillId="6" borderId="0" xfId="0" applyNumberFormat="1" applyFont="1" applyFill="1"/>
    <xf numFmtId="165" fontId="1" fillId="10" borderId="0" xfId="0" applyNumberFormat="1" applyFont="1" applyFill="1"/>
    <xf numFmtId="165" fontId="0" fillId="10" borderId="0" xfId="0" applyNumberFormat="1" applyFill="1"/>
    <xf numFmtId="165" fontId="0" fillId="10" borderId="1" xfId="0" applyNumberFormat="1" applyFill="1" applyBorder="1"/>
    <xf numFmtId="165" fontId="0" fillId="10" borderId="14" xfId="0" applyNumberFormat="1" applyFill="1" applyBorder="1"/>
    <xf numFmtId="165" fontId="1" fillId="10" borderId="15" xfId="0" applyNumberFormat="1" applyFont="1" applyFill="1" applyBorder="1"/>
    <xf numFmtId="165" fontId="0" fillId="10" borderId="16" xfId="0" applyNumberFormat="1" applyFill="1" applyBorder="1"/>
    <xf numFmtId="0" fontId="0" fillId="10" borderId="11" xfId="0" applyFill="1" applyBorder="1"/>
    <xf numFmtId="0" fontId="0" fillId="10" borderId="12" xfId="0" applyFill="1" applyBorder="1"/>
    <xf numFmtId="165" fontId="0" fillId="10" borderId="13" xfId="0" applyNumberFormat="1" applyFill="1" applyBorder="1"/>
    <xf numFmtId="17" fontId="0" fillId="10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1" fontId="0" fillId="10" borderId="0" xfId="0" applyNumberFormat="1" applyFill="1" applyAlignment="1">
      <alignment horizontal="center"/>
    </xf>
    <xf numFmtId="165" fontId="0" fillId="10" borderId="0" xfId="0" applyNumberFormat="1" applyFill="1" applyAlignment="1">
      <alignment horizontal="center" vertical="top"/>
    </xf>
    <xf numFmtId="165" fontId="0" fillId="11" borderId="0" xfId="0" applyNumberFormat="1" applyFill="1" applyAlignment="1">
      <alignment horizontal="center" vertical="top"/>
    </xf>
    <xf numFmtId="0" fontId="0" fillId="11" borderId="0" xfId="0" applyFill="1"/>
    <xf numFmtId="165" fontId="0" fillId="11" borderId="0" xfId="0" applyNumberFormat="1" applyFill="1"/>
    <xf numFmtId="17" fontId="0" fillId="12" borderId="0" xfId="0" applyNumberFormat="1" applyFill="1" applyAlignment="1">
      <alignment horizontal="center"/>
    </xf>
    <xf numFmtId="0" fontId="0" fillId="12" borderId="0" xfId="0" applyFill="1" applyAlignment="1">
      <alignment horizontal="center"/>
    </xf>
    <xf numFmtId="0" fontId="0" fillId="12" borderId="0" xfId="0" applyFill="1" applyAlignment="1">
      <alignment horizontal="center" vertical="top"/>
    </xf>
    <xf numFmtId="165" fontId="0" fillId="12" borderId="0" xfId="0" applyNumberFormat="1" applyFill="1" applyAlignment="1">
      <alignment horizontal="center" vertical="top"/>
    </xf>
    <xf numFmtId="0" fontId="0" fillId="12" borderId="0" xfId="0" applyFill="1"/>
    <xf numFmtId="165" fontId="0" fillId="12" borderId="0" xfId="0" applyNumberFormat="1" applyFill="1"/>
    <xf numFmtId="165" fontId="0" fillId="12" borderId="4" xfId="0" applyNumberFormat="1" applyFill="1" applyBorder="1"/>
    <xf numFmtId="0" fontId="0" fillId="12" borderId="5" xfId="0" applyFill="1" applyBorder="1"/>
    <xf numFmtId="165" fontId="0" fillId="12" borderId="6" xfId="0" applyNumberFormat="1" applyFill="1" applyBorder="1"/>
    <xf numFmtId="0" fontId="0" fillId="12" borderId="7" xfId="0" applyFill="1" applyBorder="1"/>
    <xf numFmtId="0" fontId="0" fillId="12" borderId="1" xfId="0" applyFill="1" applyBorder="1"/>
    <xf numFmtId="165" fontId="0" fillId="12" borderId="8" xfId="0" applyNumberFormat="1" applyFill="1" applyBorder="1"/>
    <xf numFmtId="0" fontId="0" fillId="13" borderId="0" xfId="0" applyFill="1"/>
    <xf numFmtId="165" fontId="0" fillId="13" borderId="0" xfId="0" applyNumberFormat="1" applyFill="1"/>
    <xf numFmtId="0" fontId="1" fillId="14" borderId="0" xfId="0" applyFont="1" applyFill="1"/>
    <xf numFmtId="165" fontId="1" fillId="14" borderId="0" xfId="0" applyNumberFormat="1" applyFont="1" applyFill="1"/>
    <xf numFmtId="165" fontId="3" fillId="15" borderId="14" xfId="0" applyNumberFormat="1" applyFont="1" applyFill="1" applyBorder="1"/>
    <xf numFmtId="0" fontId="1" fillId="13" borderId="15" xfId="0" applyFont="1" applyFill="1" applyBorder="1"/>
    <xf numFmtId="0" fontId="0" fillId="13" borderId="17" xfId="0" applyFill="1" applyBorder="1"/>
    <xf numFmtId="165" fontId="1" fillId="16" borderId="2" xfId="0" applyNumberFormat="1" applyFont="1" applyFill="1" applyBorder="1" applyAlignment="1">
      <alignment horizontal="center" vertical="top"/>
    </xf>
    <xf numFmtId="169" fontId="1" fillId="4" borderId="0" xfId="0" applyNumberFormat="1" applyFont="1" applyFill="1"/>
    <xf numFmtId="165" fontId="1" fillId="4" borderId="0" xfId="0" applyNumberFormat="1" applyFont="1" applyFill="1"/>
    <xf numFmtId="165" fontId="0" fillId="16" borderId="0" xfId="0" applyNumberFormat="1" applyFill="1"/>
    <xf numFmtId="0" fontId="1" fillId="4" borderId="2" xfId="0" applyFont="1" applyFill="1" applyBorder="1" applyAlignment="1">
      <alignment horizontal="center"/>
    </xf>
    <xf numFmtId="43" fontId="0" fillId="13" borderId="0" xfId="2" applyFont="1" applyFill="1"/>
    <xf numFmtId="17" fontId="0" fillId="13" borderId="0" xfId="0" applyNumberFormat="1" applyFill="1" applyAlignment="1">
      <alignment horizontal="center"/>
    </xf>
    <xf numFmtId="0" fontId="0" fillId="13" borderId="0" xfId="0" applyFill="1" applyAlignment="1">
      <alignment horizontal="center"/>
    </xf>
    <xf numFmtId="43" fontId="0" fillId="13" borderId="0" xfId="0" applyNumberFormat="1" applyFill="1"/>
    <xf numFmtId="3" fontId="0" fillId="0" borderId="0" xfId="0" applyNumberFormat="1"/>
    <xf numFmtId="0" fontId="0" fillId="0" borderId="0" xfId="0" applyFont="1"/>
    <xf numFmtId="3" fontId="0" fillId="0" borderId="0" xfId="0" applyNumberFormat="1" applyFont="1"/>
    <xf numFmtId="0" fontId="1" fillId="17" borderId="0" xfId="0" applyFont="1" applyFill="1"/>
    <xf numFmtId="165" fontId="1" fillId="17" borderId="0" xfId="0" applyNumberFormat="1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7A85-40B7-4021-A9E5-7AA27B639E22}">
  <dimension ref="A1:K17"/>
  <sheetViews>
    <sheetView workbookViewId="0">
      <selection activeCell="J14" sqref="J14"/>
    </sheetView>
  </sheetViews>
  <sheetFormatPr baseColWidth="10" defaultRowHeight="19.5" x14ac:dyDescent="0.3"/>
  <cols>
    <col min="1" max="16384" width="11.42578125" style="61"/>
  </cols>
  <sheetData>
    <row r="1" spans="1:11" s="59" customFormat="1" ht="63.75" x14ac:dyDescent="1">
      <c r="A1" s="62" t="s">
        <v>113</v>
      </c>
    </row>
    <row r="2" spans="1:11" s="59" customFormat="1" ht="63.75" x14ac:dyDescent="1">
      <c r="A2" s="62" t="s">
        <v>114</v>
      </c>
    </row>
    <row r="3" spans="1:11" s="59" customFormat="1" ht="63.75" x14ac:dyDescent="1">
      <c r="A3" s="62" t="s">
        <v>112</v>
      </c>
    </row>
    <row r="4" spans="1:11" s="59" customFormat="1" ht="15" x14ac:dyDescent="0.25">
      <c r="A4" s="63"/>
    </row>
    <row r="5" spans="1:11" s="59" customFormat="1" ht="31.5" x14ac:dyDescent="0.5">
      <c r="A5" s="64" t="s">
        <v>115</v>
      </c>
      <c r="B5" s="60"/>
      <c r="C5" s="60"/>
      <c r="D5" s="60"/>
      <c r="E5" s="60"/>
      <c r="F5" s="60"/>
      <c r="G5" s="60"/>
      <c r="H5" s="60"/>
      <c r="I5" s="60"/>
      <c r="J5" s="60"/>
    </row>
    <row r="6" spans="1:11" ht="26.25" x14ac:dyDescent="0.4">
      <c r="A6" s="65"/>
      <c r="B6" s="66" t="s">
        <v>116</v>
      </c>
      <c r="C6" s="66"/>
    </row>
    <row r="7" spans="1:11" ht="26.25" x14ac:dyDescent="0.4">
      <c r="A7" s="65"/>
      <c r="B7" s="66"/>
      <c r="C7" s="66" t="s">
        <v>117</v>
      </c>
      <c r="H7" s="66" t="s">
        <v>125</v>
      </c>
      <c r="J7" s="66">
        <v>100</v>
      </c>
      <c r="K7" s="66"/>
    </row>
    <row r="8" spans="1:11" ht="26.25" x14ac:dyDescent="0.4">
      <c r="A8" s="65"/>
      <c r="B8" s="66"/>
      <c r="C8" s="66" t="s">
        <v>118</v>
      </c>
      <c r="H8" s="66" t="s">
        <v>99</v>
      </c>
      <c r="J8" s="66"/>
      <c r="K8" s="66">
        <f>+J7</f>
        <v>100</v>
      </c>
    </row>
    <row r="9" spans="1:11" ht="26.25" x14ac:dyDescent="0.4">
      <c r="A9" s="65"/>
      <c r="B9" s="66"/>
      <c r="C9" s="66" t="s">
        <v>121</v>
      </c>
    </row>
    <row r="10" spans="1:11" ht="26.25" x14ac:dyDescent="0.4">
      <c r="A10" s="65"/>
      <c r="B10" s="66"/>
      <c r="C10" s="66" t="s">
        <v>122</v>
      </c>
      <c r="H10" s="66" t="s">
        <v>126</v>
      </c>
      <c r="J10" s="66">
        <v>100</v>
      </c>
      <c r="K10" s="66"/>
    </row>
    <row r="11" spans="1:11" ht="26.25" x14ac:dyDescent="0.4">
      <c r="A11" s="65"/>
      <c r="B11" s="66"/>
      <c r="C11" s="66" t="s">
        <v>124</v>
      </c>
      <c r="H11" s="66" t="s">
        <v>125</v>
      </c>
      <c r="J11" s="66"/>
      <c r="K11" s="66">
        <f>+J10</f>
        <v>100</v>
      </c>
    </row>
    <row r="12" spans="1:11" ht="10.5" customHeight="1" x14ac:dyDescent="0.4">
      <c r="A12" s="65"/>
      <c r="B12" s="66"/>
      <c r="C12" s="66"/>
    </row>
    <row r="13" spans="1:11" ht="26.25" x14ac:dyDescent="0.4">
      <c r="A13" s="65"/>
      <c r="B13" s="66" t="s">
        <v>119</v>
      </c>
      <c r="C13" s="66"/>
    </row>
    <row r="14" spans="1:11" ht="26.25" x14ac:dyDescent="0.4">
      <c r="A14" s="65"/>
      <c r="B14" s="66"/>
      <c r="C14" s="66" t="s">
        <v>120</v>
      </c>
      <c r="H14" s="66" t="s">
        <v>128</v>
      </c>
      <c r="J14" s="66">
        <v>100</v>
      </c>
      <c r="K14" s="66"/>
    </row>
    <row r="15" spans="1:11" ht="26.25" x14ac:dyDescent="0.4">
      <c r="A15" s="65"/>
      <c r="B15" s="66"/>
      <c r="C15" s="66" t="s">
        <v>123</v>
      </c>
      <c r="H15" s="66" t="s">
        <v>127</v>
      </c>
      <c r="J15" s="66"/>
      <c r="K15" s="66">
        <f>+J14</f>
        <v>100</v>
      </c>
    </row>
    <row r="16" spans="1:11" x14ac:dyDescent="0.3">
      <c r="A16" s="65"/>
    </row>
    <row r="17" spans="1:1" x14ac:dyDescent="0.3">
      <c r="A17" s="6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05FFB-8042-4B3E-AFB9-41E961867526}">
  <dimension ref="A1:AG55"/>
  <sheetViews>
    <sheetView tabSelected="1" topLeftCell="N1" zoomScaleNormal="100" workbookViewId="0">
      <selection activeCell="P14" sqref="P14:T15"/>
    </sheetView>
  </sheetViews>
  <sheetFormatPr baseColWidth="10" defaultRowHeight="15" x14ac:dyDescent="0.25"/>
  <cols>
    <col min="1" max="1" width="10.42578125" customWidth="1"/>
    <col min="2" max="2" width="7.140625" customWidth="1"/>
    <col min="3" max="3" width="14.7109375" hidden="1" customWidth="1"/>
    <col min="4" max="4" width="14.85546875" style="1" customWidth="1"/>
    <col min="5" max="5" width="14" style="1" customWidth="1"/>
    <col min="6" max="7" width="14.140625" style="1" customWidth="1"/>
    <col min="8" max="8" width="15" style="1" customWidth="1"/>
    <col min="9" max="9" width="1" customWidth="1"/>
    <col min="10" max="11" width="11.42578125" customWidth="1"/>
    <col min="12" max="13" width="4.28515625" customWidth="1"/>
    <col min="14" max="14" width="13" customWidth="1"/>
    <col min="15" max="15" width="0.140625" customWidth="1"/>
    <col min="16" max="18" width="11.42578125" customWidth="1"/>
    <col min="19" max="19" width="13.7109375" customWidth="1"/>
    <col min="20" max="20" width="14" customWidth="1"/>
    <col min="21" max="21" width="2.7109375" customWidth="1"/>
    <col min="22" max="22" width="13.7109375" customWidth="1"/>
    <col min="23" max="23" width="11.42578125" customWidth="1"/>
    <col min="24" max="24" width="13.7109375" customWidth="1"/>
    <col min="25" max="25" width="11.42578125" customWidth="1"/>
    <col min="26" max="26" width="12.5703125" customWidth="1"/>
    <col min="27" max="27" width="13.7109375" customWidth="1"/>
    <col min="28" max="28" width="2.85546875" customWidth="1"/>
  </cols>
  <sheetData>
    <row r="1" spans="1:33" x14ac:dyDescent="0.25">
      <c r="A1" s="2" t="s">
        <v>79</v>
      </c>
    </row>
    <row r="2" spans="1:33" x14ac:dyDescent="0.25">
      <c r="A2" s="2"/>
    </row>
    <row r="3" spans="1:33" x14ac:dyDescent="0.25">
      <c r="A3" s="4" t="s">
        <v>2</v>
      </c>
      <c r="B3" s="4" t="s">
        <v>3</v>
      </c>
      <c r="C3" s="4" t="s">
        <v>4</v>
      </c>
      <c r="D3" s="5" t="s">
        <v>5</v>
      </c>
      <c r="E3" s="116" t="s">
        <v>6</v>
      </c>
      <c r="F3" s="5" t="s">
        <v>7</v>
      </c>
      <c r="G3" s="116" t="s">
        <v>0</v>
      </c>
      <c r="H3" s="5" t="s">
        <v>8</v>
      </c>
      <c r="J3" s="103" t="s">
        <v>101</v>
      </c>
      <c r="K3" s="104"/>
      <c r="L3" s="104"/>
      <c r="M3" s="104"/>
      <c r="N3" s="105">
        <v>446989.29</v>
      </c>
      <c r="P3" s="58" t="s">
        <v>104</v>
      </c>
      <c r="Q3" s="56"/>
      <c r="R3" s="56"/>
      <c r="S3" s="56"/>
      <c r="T3" s="56"/>
      <c r="Z3" s="1">
        <f>+Z7+Y7</f>
        <v>-5269.0309004473665</v>
      </c>
    </row>
    <row r="4" spans="1:33" x14ac:dyDescent="0.25">
      <c r="A4" s="90">
        <v>45505</v>
      </c>
      <c r="B4" s="91">
        <v>0</v>
      </c>
      <c r="C4" s="92" t="s">
        <v>9</v>
      </c>
      <c r="D4" s="94">
        <v>8798.2900000000009</v>
      </c>
      <c r="E4" s="93">
        <v>337.28</v>
      </c>
      <c r="F4" s="93">
        <f>D4+E4</f>
        <v>9135.5700000000015</v>
      </c>
      <c r="G4" s="93">
        <f>F4*0.12</f>
        <v>1096.2684000000002</v>
      </c>
      <c r="H4" s="93">
        <f>F4+G4</f>
        <v>10231.838400000002</v>
      </c>
      <c r="J4" s="106" t="s">
        <v>73</v>
      </c>
      <c r="K4" s="107"/>
      <c r="L4" s="107"/>
      <c r="M4" s="107"/>
      <c r="N4" s="108">
        <v>-89397.86</v>
      </c>
      <c r="P4" s="56"/>
      <c r="Q4" s="56"/>
      <c r="R4" s="56"/>
      <c r="S4" s="56"/>
      <c r="T4" s="56"/>
      <c r="V4" s="117">
        <f>IRR(V5:V53)</f>
        <v>1.420466271011489E-2</v>
      </c>
      <c r="X4" s="2" t="s">
        <v>132</v>
      </c>
    </row>
    <row r="5" spans="1:33" x14ac:dyDescent="0.25">
      <c r="A5" s="97">
        <v>45505</v>
      </c>
      <c r="B5" s="98">
        <v>0</v>
      </c>
      <c r="C5" s="99" t="s">
        <v>10</v>
      </c>
      <c r="D5" s="100"/>
      <c r="E5" s="100"/>
      <c r="F5" s="100">
        <v>89397.86</v>
      </c>
      <c r="G5" s="100">
        <f>F5*0.12</f>
        <v>10727.743199999999</v>
      </c>
      <c r="H5" s="100">
        <f>F5+G5</f>
        <v>100125.6032</v>
      </c>
      <c r="J5" s="87" t="s">
        <v>100</v>
      </c>
      <c r="K5" s="88"/>
      <c r="L5" s="88"/>
      <c r="M5" s="88"/>
      <c r="N5" s="89">
        <f>SUM(N3:N4)</f>
        <v>357591.43</v>
      </c>
      <c r="P5" s="95" t="s">
        <v>98</v>
      </c>
      <c r="Q5" s="95"/>
      <c r="R5" s="95"/>
      <c r="S5" s="96">
        <f>+D4</f>
        <v>8798.2900000000009</v>
      </c>
      <c r="T5" s="95"/>
      <c r="V5" s="118">
        <f>+S14</f>
        <v>357591.43</v>
      </c>
      <c r="X5" s="53" t="s">
        <v>88</v>
      </c>
      <c r="Y5" s="53" t="s">
        <v>102</v>
      </c>
      <c r="Z5" s="53" t="s">
        <v>103</v>
      </c>
      <c r="AA5" s="53" t="s">
        <v>86</v>
      </c>
      <c r="AC5" s="48" t="s">
        <v>105</v>
      </c>
    </row>
    <row r="6" spans="1:33" x14ac:dyDescent="0.25">
      <c r="A6" s="49">
        <v>45505</v>
      </c>
      <c r="B6" s="50">
        <v>1</v>
      </c>
      <c r="C6" s="51" t="s">
        <v>11</v>
      </c>
      <c r="D6" s="23">
        <v>10274.700000000001</v>
      </c>
      <c r="E6" s="23">
        <v>117.11</v>
      </c>
      <c r="F6" s="23">
        <v>10391.81</v>
      </c>
      <c r="G6" s="23">
        <v>1247.02</v>
      </c>
      <c r="H6" s="23">
        <v>11638.83</v>
      </c>
      <c r="J6" s="37"/>
      <c r="K6" s="37"/>
      <c r="N6" s="37"/>
      <c r="P6" s="95" t="s">
        <v>130</v>
      </c>
      <c r="Q6" s="95"/>
      <c r="R6" s="95"/>
      <c r="S6" s="96">
        <f>+E4</f>
        <v>337.28</v>
      </c>
      <c r="T6" s="95"/>
      <c r="V6" s="1">
        <f>-D6</f>
        <v>-10274.700000000001</v>
      </c>
      <c r="W6" s="52">
        <v>1</v>
      </c>
      <c r="X6" s="119">
        <f>+T15</f>
        <v>357591.43</v>
      </c>
      <c r="Y6" s="23">
        <f t="shared" ref="Y6:Y53" si="0">+X6*$V$4</f>
        <v>5079.4656511776593</v>
      </c>
      <c r="Z6" s="119">
        <f>+V6</f>
        <v>-10274.700000000001</v>
      </c>
      <c r="AA6" s="119">
        <f>+X6+Y6+Z6</f>
        <v>352396.19565117767</v>
      </c>
      <c r="AC6" s="120">
        <v>2</v>
      </c>
      <c r="AD6" s="52"/>
      <c r="AE6" s="52"/>
      <c r="AF6" s="54" t="s">
        <v>110</v>
      </c>
      <c r="AG6" s="54" t="s">
        <v>111</v>
      </c>
    </row>
    <row r="7" spans="1:33" x14ac:dyDescent="0.25">
      <c r="A7" s="122">
        <v>45536</v>
      </c>
      <c r="B7" s="123">
        <v>2</v>
      </c>
      <c r="C7" s="123" t="s">
        <v>12</v>
      </c>
      <c r="D7" s="110">
        <v>10274.700000000001</v>
      </c>
      <c r="E7" s="110">
        <v>117.11</v>
      </c>
      <c r="F7" s="110">
        <v>10391.81</v>
      </c>
      <c r="G7" s="110">
        <v>1247.02</v>
      </c>
      <c r="H7" s="110">
        <v>11638.83</v>
      </c>
      <c r="P7" s="95" t="s">
        <v>129</v>
      </c>
      <c r="Q7" s="95"/>
      <c r="R7" s="95"/>
      <c r="S7" s="96">
        <f>+G4</f>
        <v>1096.2684000000002</v>
      </c>
      <c r="T7" s="95"/>
      <c r="V7" s="1">
        <f>-D7</f>
        <v>-10274.700000000001</v>
      </c>
      <c r="W7" s="52">
        <f>+W6+1</f>
        <v>2</v>
      </c>
      <c r="X7" s="119">
        <f>+AA6</f>
        <v>352396.19565117767</v>
      </c>
      <c r="Y7" s="110">
        <f t="shared" si="0"/>
        <v>5005.6690995526342</v>
      </c>
      <c r="Z7" s="119">
        <f t="shared" ref="Z7:Z53" si="1">+V7</f>
        <v>-10274.700000000001</v>
      </c>
      <c r="AA7" s="119">
        <f>+X7+Y7+Z7</f>
        <v>347127.16475073027</v>
      </c>
    </row>
    <row r="8" spans="1:33" x14ac:dyDescent="0.25">
      <c r="A8" s="8">
        <v>45566</v>
      </c>
      <c r="B8" s="6">
        <v>3</v>
      </c>
      <c r="C8" s="6" t="s">
        <v>13</v>
      </c>
      <c r="D8" s="1">
        <v>10274.700000000001</v>
      </c>
      <c r="E8" s="1">
        <v>117.11</v>
      </c>
      <c r="F8" s="1">
        <v>10391.81</v>
      </c>
      <c r="G8" s="1">
        <v>1247.02</v>
      </c>
      <c r="H8" s="1">
        <v>11638.83</v>
      </c>
      <c r="P8" s="95" t="s">
        <v>106</v>
      </c>
      <c r="Q8" s="95"/>
      <c r="R8" s="95"/>
      <c r="S8" s="96"/>
      <c r="T8" s="96">
        <f>+H4</f>
        <v>10231.838400000002</v>
      </c>
      <c r="V8" s="1">
        <f>-D8</f>
        <v>-10274.700000000001</v>
      </c>
      <c r="W8" s="52">
        <f t="shared" ref="W8:W53" si="2">+W7+1</f>
        <v>3</v>
      </c>
      <c r="X8" s="1">
        <f t="shared" ref="X8:X28" si="3">+AA7</f>
        <v>347127.16475073027</v>
      </c>
      <c r="Y8" s="1">
        <f t="shared" si="0"/>
        <v>4930.8242928026066</v>
      </c>
      <c r="Z8" s="1">
        <f t="shared" si="1"/>
        <v>-10274.700000000001</v>
      </c>
      <c r="AA8" s="1">
        <f t="shared" ref="AA8:AA28" si="4">+X8+Y8+Z8</f>
        <v>341783.28904353286</v>
      </c>
      <c r="AC8" s="109" t="s">
        <v>107</v>
      </c>
      <c r="AD8" s="109"/>
      <c r="AE8" s="109"/>
      <c r="AF8" s="124">
        <f>-VLOOKUP(AC6,W5:Y53,3,FALSE)+-VLOOKUP(AC6,W5:Z53,4,FALSE)</f>
        <v>5269.0309004473665</v>
      </c>
      <c r="AG8" s="109"/>
    </row>
    <row r="9" spans="1:33" x14ac:dyDescent="0.25">
      <c r="A9" s="8">
        <v>45597</v>
      </c>
      <c r="B9" s="6">
        <v>4</v>
      </c>
      <c r="C9" s="8">
        <v>17624</v>
      </c>
      <c r="D9" s="1">
        <v>10274.700000000001</v>
      </c>
      <c r="E9" s="1">
        <v>117.11</v>
      </c>
      <c r="F9" s="1">
        <v>10391.81</v>
      </c>
      <c r="G9" s="1">
        <v>1247.02</v>
      </c>
      <c r="H9" s="1">
        <v>11638.83</v>
      </c>
      <c r="P9" s="56"/>
      <c r="Q9" s="56"/>
      <c r="R9" s="56"/>
      <c r="S9" s="56"/>
      <c r="T9" s="56"/>
      <c r="V9" s="1">
        <f>-D9</f>
        <v>-10274.700000000001</v>
      </c>
      <c r="W9" s="52">
        <f t="shared" si="2"/>
        <v>4</v>
      </c>
      <c r="X9" s="1">
        <f t="shared" si="3"/>
        <v>341783.28904353286</v>
      </c>
      <c r="Y9" s="1">
        <f t="shared" si="0"/>
        <v>4854.9163408170907</v>
      </c>
      <c r="Z9" s="1">
        <f t="shared" si="1"/>
        <v>-10274.700000000001</v>
      </c>
      <c r="AA9" s="1">
        <f t="shared" si="4"/>
        <v>336363.50538434996</v>
      </c>
      <c r="AC9" s="109" t="s">
        <v>6</v>
      </c>
      <c r="AD9" s="109"/>
      <c r="AE9" s="109"/>
      <c r="AF9" s="124">
        <f>+E9</f>
        <v>117.11</v>
      </c>
      <c r="AG9" s="109"/>
    </row>
    <row r="10" spans="1:33" x14ac:dyDescent="0.25">
      <c r="A10" s="8">
        <v>45627</v>
      </c>
      <c r="B10" s="6">
        <v>5</v>
      </c>
      <c r="C10" s="6" t="s">
        <v>15</v>
      </c>
      <c r="D10" s="1">
        <v>10274.700000000001</v>
      </c>
      <c r="E10" s="1">
        <v>117.11</v>
      </c>
      <c r="F10" s="1">
        <v>10391.81</v>
      </c>
      <c r="G10" s="1">
        <v>1247.02</v>
      </c>
      <c r="H10" s="1">
        <v>11638.83</v>
      </c>
      <c r="P10" s="101" t="s">
        <v>98</v>
      </c>
      <c r="Q10" s="101"/>
      <c r="R10" s="101"/>
      <c r="S10" s="102">
        <f>+F5</f>
        <v>89397.86</v>
      </c>
      <c r="T10" s="101"/>
      <c r="V10" s="1">
        <f t="shared" ref="V7:V52" si="5">-D10</f>
        <v>-10274.700000000001</v>
      </c>
      <c r="W10" s="52">
        <f t="shared" si="2"/>
        <v>5</v>
      </c>
      <c r="X10" s="1">
        <f t="shared" si="3"/>
        <v>336363.50538434996</v>
      </c>
      <c r="Y10" s="1">
        <f t="shared" si="0"/>
        <v>4777.9301419766052</v>
      </c>
      <c r="Z10" s="1">
        <f t="shared" si="1"/>
        <v>-10274.700000000001</v>
      </c>
      <c r="AA10" s="1">
        <f t="shared" si="4"/>
        <v>330866.73552632658</v>
      </c>
      <c r="AC10" s="109" t="s">
        <v>108</v>
      </c>
      <c r="AD10" s="109"/>
      <c r="AE10" s="109"/>
      <c r="AF10" s="121">
        <f>VLOOKUP(AC6,W5:Y53,3,FALSE)</f>
        <v>5005.6690995526342</v>
      </c>
      <c r="AG10" s="109"/>
    </row>
    <row r="11" spans="1:33" x14ac:dyDescent="0.25">
      <c r="A11" s="8">
        <v>45658</v>
      </c>
      <c r="B11" s="6">
        <v>6</v>
      </c>
      <c r="C11" s="6" t="s">
        <v>16</v>
      </c>
      <c r="D11" s="1">
        <v>10274.700000000001</v>
      </c>
      <c r="E11" s="1">
        <v>117.11</v>
      </c>
      <c r="F11" s="1">
        <v>10391.81</v>
      </c>
      <c r="G11" s="1">
        <v>1247.02</v>
      </c>
      <c r="H11" s="1">
        <v>11638.83</v>
      </c>
      <c r="P11" s="101" t="s">
        <v>129</v>
      </c>
      <c r="Q11" s="101"/>
      <c r="R11" s="101"/>
      <c r="S11" s="102">
        <f>+G5</f>
        <v>10727.743199999999</v>
      </c>
      <c r="T11" s="101"/>
      <c r="V11" s="1">
        <f t="shared" si="5"/>
        <v>-10274.700000000001</v>
      </c>
      <c r="W11" s="52">
        <f t="shared" si="2"/>
        <v>6</v>
      </c>
      <c r="X11" s="1">
        <f t="shared" si="3"/>
        <v>330866.73552632658</v>
      </c>
      <c r="Y11" s="1">
        <f t="shared" si="0"/>
        <v>4699.8503801482566</v>
      </c>
      <c r="Z11" s="1">
        <f t="shared" si="1"/>
        <v>-10274.700000000001</v>
      </c>
      <c r="AA11" s="1">
        <f t="shared" si="4"/>
        <v>325291.88590647484</v>
      </c>
      <c r="AC11" s="109" t="s">
        <v>109</v>
      </c>
      <c r="AD11" s="109"/>
      <c r="AE11" s="109"/>
      <c r="AF11" s="121">
        <f ca="1">SUMIF(B6:H54,AC6,G6:G54)</f>
        <v>1247.02</v>
      </c>
      <c r="AG11" s="109"/>
    </row>
    <row r="12" spans="1:33" x14ac:dyDescent="0.25">
      <c r="A12" s="8">
        <v>45689</v>
      </c>
      <c r="B12" s="6">
        <v>7</v>
      </c>
      <c r="C12" s="6" t="s">
        <v>17</v>
      </c>
      <c r="D12" s="1">
        <v>10274.700000000001</v>
      </c>
      <c r="E12" s="1">
        <v>117.11</v>
      </c>
      <c r="F12" s="1">
        <v>10391.81</v>
      </c>
      <c r="G12" s="1">
        <v>1247.02</v>
      </c>
      <c r="H12" s="1">
        <v>11638.83</v>
      </c>
      <c r="P12" s="111" t="s">
        <v>106</v>
      </c>
      <c r="Q12" s="111"/>
      <c r="R12" s="111"/>
      <c r="S12" s="111"/>
      <c r="T12" s="112">
        <f>+H5</f>
        <v>100125.6032</v>
      </c>
      <c r="V12" s="1">
        <f t="shared" si="5"/>
        <v>-10274.700000000001</v>
      </c>
      <c r="W12" s="52">
        <f t="shared" si="2"/>
        <v>7</v>
      </c>
      <c r="X12" s="1">
        <f t="shared" si="3"/>
        <v>325291.88590647484</v>
      </c>
      <c r="Y12" s="1">
        <f t="shared" si="0"/>
        <v>4620.6615216386508</v>
      </c>
      <c r="Z12" s="1">
        <f t="shared" si="1"/>
        <v>-10274.700000000001</v>
      </c>
      <c r="AA12" s="1">
        <f t="shared" si="4"/>
        <v>319637.84742811345</v>
      </c>
      <c r="AC12" s="109" t="s">
        <v>106</v>
      </c>
      <c r="AD12" s="109"/>
      <c r="AE12" s="109"/>
      <c r="AF12" s="109"/>
      <c r="AG12" s="121">
        <f ca="1">SUMIF(B6:H54,AC6,H6:H54)</f>
        <v>11638.83</v>
      </c>
    </row>
    <row r="13" spans="1:33" x14ac:dyDescent="0.25">
      <c r="A13" s="8">
        <v>45717</v>
      </c>
      <c r="B13" s="6">
        <v>8</v>
      </c>
      <c r="C13" s="6" t="s">
        <v>18</v>
      </c>
      <c r="D13" s="1">
        <v>10274.700000000001</v>
      </c>
      <c r="E13" s="1">
        <v>117.11</v>
      </c>
      <c r="F13" s="1">
        <v>10391.81</v>
      </c>
      <c r="G13" s="1">
        <v>1247.02</v>
      </c>
      <c r="H13" s="1">
        <v>11638.83</v>
      </c>
      <c r="P13" s="56"/>
      <c r="Q13" s="56"/>
      <c r="R13" s="56"/>
      <c r="S13" s="56"/>
      <c r="T13" s="56"/>
      <c r="V13" s="1">
        <f t="shared" si="5"/>
        <v>-10274.700000000001</v>
      </c>
      <c r="W13" s="52">
        <f t="shared" si="2"/>
        <v>8</v>
      </c>
      <c r="X13" s="1">
        <f t="shared" si="3"/>
        <v>319637.84742811345</v>
      </c>
      <c r="Y13" s="1">
        <f t="shared" si="0"/>
        <v>4540.3478121035159</v>
      </c>
      <c r="Z13" s="1">
        <f t="shared" si="1"/>
        <v>-10274.700000000001</v>
      </c>
      <c r="AA13" s="1">
        <f t="shared" si="4"/>
        <v>313903.49524021696</v>
      </c>
    </row>
    <row r="14" spans="1:33" x14ac:dyDescent="0.25">
      <c r="A14" s="8">
        <v>45748</v>
      </c>
      <c r="B14" s="6">
        <v>9</v>
      </c>
      <c r="C14" s="6" t="s">
        <v>19</v>
      </c>
      <c r="D14" s="1">
        <v>10274.700000000001</v>
      </c>
      <c r="E14" s="1">
        <v>117.11</v>
      </c>
      <c r="F14" s="1">
        <v>10391.81</v>
      </c>
      <c r="G14" s="1">
        <v>1247.02</v>
      </c>
      <c r="H14" s="1">
        <v>11638.83</v>
      </c>
      <c r="P14" s="128" t="s">
        <v>98</v>
      </c>
      <c r="Q14" s="128"/>
      <c r="R14" s="128"/>
      <c r="S14" s="129">
        <f>+N5</f>
        <v>357591.43</v>
      </c>
      <c r="T14" s="128"/>
      <c r="V14" s="1">
        <f t="shared" si="5"/>
        <v>-10274.700000000001</v>
      </c>
      <c r="W14" s="52">
        <f t="shared" si="2"/>
        <v>9</v>
      </c>
      <c r="X14" s="1">
        <f t="shared" si="3"/>
        <v>313903.49524021696</v>
      </c>
      <c r="Y14" s="1">
        <f t="shared" si="0"/>
        <v>4458.8932734134369</v>
      </c>
      <c r="Z14" s="1">
        <f t="shared" si="1"/>
        <v>-10274.700000000001</v>
      </c>
      <c r="AA14" s="1">
        <f t="shared" si="4"/>
        <v>308087.68851363036</v>
      </c>
      <c r="AC14" s="56"/>
      <c r="AD14" s="56"/>
      <c r="AE14" s="56"/>
      <c r="AF14" s="57">
        <f ca="1">SUM(AF8:AF13)</f>
        <v>11638.830000000002</v>
      </c>
      <c r="AG14" s="57">
        <f ca="1">SUM(AG8:AG13)</f>
        <v>11638.83</v>
      </c>
    </row>
    <row r="15" spans="1:33" x14ac:dyDescent="0.25">
      <c r="A15" s="8">
        <v>45778</v>
      </c>
      <c r="B15" s="6">
        <v>10</v>
      </c>
      <c r="C15" s="6" t="s">
        <v>20</v>
      </c>
      <c r="D15" s="1">
        <v>10274.700000000001</v>
      </c>
      <c r="E15" s="1">
        <v>117.11</v>
      </c>
      <c r="F15" s="1">
        <v>10391.81</v>
      </c>
      <c r="G15" s="1">
        <v>1247.02</v>
      </c>
      <c r="H15" s="1">
        <v>11638.83</v>
      </c>
      <c r="P15" s="128" t="s">
        <v>107</v>
      </c>
      <c r="Q15" s="128"/>
      <c r="R15" s="128"/>
      <c r="S15" s="128"/>
      <c r="T15" s="129">
        <f>+S14</f>
        <v>357591.43</v>
      </c>
      <c r="V15" s="1">
        <f t="shared" si="5"/>
        <v>-10274.700000000001</v>
      </c>
      <c r="W15" s="52">
        <f t="shared" si="2"/>
        <v>10</v>
      </c>
      <c r="X15" s="1">
        <f t="shared" si="3"/>
        <v>308087.68851363036</v>
      </c>
      <c r="Y15" s="1">
        <f t="shared" si="0"/>
        <v>4376.2817004750568</v>
      </c>
      <c r="Z15" s="1">
        <f t="shared" si="1"/>
        <v>-10274.700000000001</v>
      </c>
      <c r="AA15" s="1">
        <f t="shared" si="4"/>
        <v>302189.27021410543</v>
      </c>
      <c r="AG15" s="55">
        <f ca="1">+AF14-AG14</f>
        <v>0</v>
      </c>
    </row>
    <row r="16" spans="1:33" ht="15.75" thickBot="1" x14ac:dyDescent="0.3">
      <c r="A16" s="8">
        <v>45809</v>
      </c>
      <c r="B16" s="6">
        <v>11</v>
      </c>
      <c r="C16" s="6" t="s">
        <v>21</v>
      </c>
      <c r="D16" s="1">
        <v>10274.700000000001</v>
      </c>
      <c r="E16" s="1">
        <v>117.11</v>
      </c>
      <c r="F16" s="1">
        <v>10391.81</v>
      </c>
      <c r="G16" s="1">
        <v>1247.02</v>
      </c>
      <c r="H16" s="1">
        <v>11638.83</v>
      </c>
      <c r="V16" s="1">
        <f t="shared" si="5"/>
        <v>-10274.700000000001</v>
      </c>
      <c r="W16" s="52">
        <f t="shared" si="2"/>
        <v>11</v>
      </c>
      <c r="X16" s="1">
        <f t="shared" si="3"/>
        <v>302189.27021410543</v>
      </c>
      <c r="Y16" s="1">
        <f t="shared" si="0"/>
        <v>4292.4966580071359</v>
      </c>
      <c r="Z16" s="1">
        <f t="shared" si="1"/>
        <v>-10274.700000000001</v>
      </c>
      <c r="AA16" s="1">
        <f t="shared" si="4"/>
        <v>296207.06687211257</v>
      </c>
    </row>
    <row r="17" spans="1:27" ht="15.75" thickBot="1" x14ac:dyDescent="0.3">
      <c r="A17" s="8">
        <v>45839</v>
      </c>
      <c r="B17" s="6">
        <v>12</v>
      </c>
      <c r="C17" s="6" t="s">
        <v>22</v>
      </c>
      <c r="D17" s="1">
        <v>10274.700000000001</v>
      </c>
      <c r="E17" s="1">
        <v>117.11</v>
      </c>
      <c r="F17" s="1">
        <v>10391.81</v>
      </c>
      <c r="G17" s="1">
        <v>1247.02</v>
      </c>
      <c r="H17" s="1">
        <v>11638.83</v>
      </c>
      <c r="P17" s="114" t="s">
        <v>131</v>
      </c>
      <c r="Q17" s="115"/>
      <c r="R17" s="115"/>
      <c r="S17" s="115"/>
      <c r="T17" s="113">
        <f>+S5+S10+S14</f>
        <v>455787.57999999996</v>
      </c>
      <c r="V17" s="1">
        <f t="shared" si="5"/>
        <v>-10274.700000000001</v>
      </c>
      <c r="W17" s="52">
        <f t="shared" si="2"/>
        <v>12</v>
      </c>
      <c r="X17" s="1">
        <f t="shared" si="3"/>
        <v>296207.06687211257</v>
      </c>
      <c r="Y17" s="1">
        <f t="shared" si="0"/>
        <v>4207.521477270805</v>
      </c>
      <c r="Z17" s="1">
        <f t="shared" si="1"/>
        <v>-10274.700000000001</v>
      </c>
      <c r="AA17" s="1">
        <f t="shared" si="4"/>
        <v>290139.88834938337</v>
      </c>
    </row>
    <row r="18" spans="1:27" x14ac:dyDescent="0.25">
      <c r="A18" s="8">
        <v>45870</v>
      </c>
      <c r="B18" s="6">
        <v>13</v>
      </c>
      <c r="C18" s="6" t="s">
        <v>23</v>
      </c>
      <c r="D18" s="1">
        <v>10274.700000000001</v>
      </c>
      <c r="E18" s="1">
        <v>117.11</v>
      </c>
      <c r="F18" s="1">
        <v>10391.81</v>
      </c>
      <c r="G18" s="1">
        <v>1247.02</v>
      </c>
      <c r="H18" s="1">
        <v>11638.83</v>
      </c>
      <c r="V18" s="1">
        <f t="shared" si="5"/>
        <v>-10274.700000000001</v>
      </c>
      <c r="W18" s="52">
        <f t="shared" si="2"/>
        <v>13</v>
      </c>
      <c r="X18" s="1">
        <f t="shared" si="3"/>
        <v>290139.88834938337</v>
      </c>
      <c r="Y18" s="1">
        <f t="shared" si="0"/>
        <v>4121.3392527533833</v>
      </c>
      <c r="Z18" s="1">
        <f t="shared" si="1"/>
        <v>-10274.700000000001</v>
      </c>
      <c r="AA18" s="1">
        <f t="shared" si="4"/>
        <v>283986.52760213672</v>
      </c>
    </row>
    <row r="19" spans="1:27" x14ac:dyDescent="0.25">
      <c r="A19" s="8">
        <v>45901</v>
      </c>
      <c r="B19" s="6">
        <v>14</v>
      </c>
      <c r="C19" s="6" t="s">
        <v>24</v>
      </c>
      <c r="D19" s="1">
        <v>10274.700000000001</v>
      </c>
      <c r="E19" s="1">
        <v>117.11</v>
      </c>
      <c r="F19" s="1">
        <v>10391.81</v>
      </c>
      <c r="G19" s="1">
        <v>1247.02</v>
      </c>
      <c r="H19" s="1">
        <v>11638.83</v>
      </c>
      <c r="V19" s="1">
        <f t="shared" si="5"/>
        <v>-10274.700000000001</v>
      </c>
      <c r="W19" s="52">
        <f t="shared" si="2"/>
        <v>14</v>
      </c>
      <c r="X19" s="1">
        <f t="shared" si="3"/>
        <v>283986.52760213672</v>
      </c>
      <c r="Y19" s="1">
        <f t="shared" si="0"/>
        <v>4033.9328388050844</v>
      </c>
      <c r="Z19" s="1">
        <f t="shared" si="1"/>
        <v>-10274.700000000001</v>
      </c>
      <c r="AA19" s="1">
        <f t="shared" si="4"/>
        <v>277745.76044094178</v>
      </c>
    </row>
    <row r="20" spans="1:27" x14ac:dyDescent="0.25">
      <c r="A20" s="8">
        <v>45931</v>
      </c>
      <c r="B20" s="6">
        <v>15</v>
      </c>
      <c r="C20" s="6" t="s">
        <v>25</v>
      </c>
      <c r="D20" s="1">
        <v>10274.700000000001</v>
      </c>
      <c r="E20" s="1">
        <v>117.11</v>
      </c>
      <c r="F20" s="1">
        <v>10391.81</v>
      </c>
      <c r="G20" s="1">
        <v>1247.02</v>
      </c>
      <c r="H20" s="1">
        <v>11638.83</v>
      </c>
      <c r="V20" s="1">
        <f t="shared" si="5"/>
        <v>-10274.700000000001</v>
      </c>
      <c r="W20" s="52">
        <f t="shared" si="2"/>
        <v>15</v>
      </c>
      <c r="X20" s="1">
        <f t="shared" si="3"/>
        <v>277745.76044094178</v>
      </c>
      <c r="Y20" s="1">
        <f t="shared" si="0"/>
        <v>3945.2848462279494</v>
      </c>
      <c r="Z20" s="1">
        <f t="shared" si="1"/>
        <v>-10274.700000000001</v>
      </c>
      <c r="AA20" s="1">
        <f t="shared" si="4"/>
        <v>271416.34528716974</v>
      </c>
    </row>
    <row r="21" spans="1:27" x14ac:dyDescent="0.25">
      <c r="A21" s="8">
        <v>45962</v>
      </c>
      <c r="B21" s="6">
        <v>16</v>
      </c>
      <c r="C21" s="6" t="s">
        <v>26</v>
      </c>
      <c r="D21" s="1">
        <v>10274.700000000001</v>
      </c>
      <c r="E21" s="1">
        <v>117.11</v>
      </c>
      <c r="F21" s="1">
        <v>10391.81</v>
      </c>
      <c r="G21" s="1">
        <v>1247.02</v>
      </c>
      <c r="H21" s="1">
        <v>11638.83</v>
      </c>
      <c r="V21" s="1">
        <f t="shared" si="5"/>
        <v>-10274.700000000001</v>
      </c>
      <c r="W21" s="52">
        <f t="shared" si="2"/>
        <v>16</v>
      </c>
      <c r="X21" s="1">
        <f t="shared" si="3"/>
        <v>271416.34528716974</v>
      </c>
      <c r="Y21" s="1">
        <f t="shared" si="0"/>
        <v>3855.3776388163274</v>
      </c>
      <c r="Z21" s="1">
        <f t="shared" si="1"/>
        <v>-10274.700000000001</v>
      </c>
      <c r="AA21" s="1">
        <f t="shared" si="4"/>
        <v>264997.02292598604</v>
      </c>
    </row>
    <row r="22" spans="1:27" x14ac:dyDescent="0.25">
      <c r="A22" s="8">
        <v>45992</v>
      </c>
      <c r="B22" s="6">
        <v>17</v>
      </c>
      <c r="C22" s="6" t="s">
        <v>27</v>
      </c>
      <c r="D22" s="1">
        <v>10274.700000000001</v>
      </c>
      <c r="E22" s="1">
        <v>117.11</v>
      </c>
      <c r="F22" s="1">
        <v>10391.81</v>
      </c>
      <c r="G22" s="1">
        <v>1247.02</v>
      </c>
      <c r="H22" s="1">
        <v>11638.83</v>
      </c>
      <c r="V22" s="1">
        <f t="shared" si="5"/>
        <v>-10274.700000000001</v>
      </c>
      <c r="W22" s="52">
        <f t="shared" si="2"/>
        <v>17</v>
      </c>
      <c r="X22" s="1">
        <f t="shared" si="3"/>
        <v>264997.02292598604</v>
      </c>
      <c r="Y22" s="1">
        <f t="shared" si="0"/>
        <v>3764.1933298482145</v>
      </c>
      <c r="Z22" s="1">
        <f t="shared" si="1"/>
        <v>-10274.700000000001</v>
      </c>
      <c r="AA22" s="1">
        <f t="shared" si="4"/>
        <v>258486.51625583426</v>
      </c>
    </row>
    <row r="23" spans="1:27" x14ac:dyDescent="0.25">
      <c r="A23" s="8">
        <v>46023</v>
      </c>
      <c r="B23" s="6">
        <v>18</v>
      </c>
      <c r="C23" s="6" t="s">
        <v>28</v>
      </c>
      <c r="D23" s="1">
        <v>10274.700000000001</v>
      </c>
      <c r="E23" s="1">
        <v>117.11</v>
      </c>
      <c r="F23" s="1">
        <v>10391.81</v>
      </c>
      <c r="G23" s="1">
        <v>1247.02</v>
      </c>
      <c r="H23" s="1">
        <v>11638.83</v>
      </c>
      <c r="V23" s="1">
        <f t="shared" si="5"/>
        <v>-10274.700000000001</v>
      </c>
      <c r="W23" s="52">
        <f t="shared" si="2"/>
        <v>18</v>
      </c>
      <c r="X23" s="1">
        <f t="shared" si="3"/>
        <v>258486.51625583426</v>
      </c>
      <c r="Y23" s="1">
        <f t="shared" si="0"/>
        <v>3671.7137785267555</v>
      </c>
      <c r="Z23" s="1">
        <f t="shared" si="1"/>
        <v>-10274.700000000001</v>
      </c>
      <c r="AA23" s="1">
        <f t="shared" si="4"/>
        <v>251883.530034361</v>
      </c>
    </row>
    <row r="24" spans="1:27" x14ac:dyDescent="0.25">
      <c r="A24" s="8">
        <v>46054</v>
      </c>
      <c r="B24" s="6">
        <v>19</v>
      </c>
      <c r="C24" s="6" t="s">
        <v>29</v>
      </c>
      <c r="D24" s="1">
        <v>10274.700000000001</v>
      </c>
      <c r="E24" s="1">
        <v>117.11</v>
      </c>
      <c r="F24" s="1">
        <v>10391.81</v>
      </c>
      <c r="G24" s="1">
        <v>1247.02</v>
      </c>
      <c r="H24" s="1">
        <v>11638.83</v>
      </c>
      <c r="V24" s="1">
        <f t="shared" si="5"/>
        <v>-10274.700000000001</v>
      </c>
      <c r="W24" s="52">
        <f t="shared" si="2"/>
        <v>19</v>
      </c>
      <c r="X24" s="1">
        <f t="shared" si="3"/>
        <v>251883.530034361</v>
      </c>
      <c r="Y24" s="1">
        <f t="shared" si="0"/>
        <v>3577.9205863711918</v>
      </c>
      <c r="Z24" s="1">
        <f t="shared" si="1"/>
        <v>-10274.700000000001</v>
      </c>
      <c r="AA24" s="1">
        <f t="shared" si="4"/>
        <v>245186.75062073217</v>
      </c>
    </row>
    <row r="25" spans="1:27" x14ac:dyDescent="0.25">
      <c r="A25" s="8">
        <v>46082</v>
      </c>
      <c r="B25" s="6">
        <v>20</v>
      </c>
      <c r="C25" s="6" t="s">
        <v>30</v>
      </c>
      <c r="D25" s="1">
        <v>10274.700000000001</v>
      </c>
      <c r="E25" s="1">
        <v>117.11</v>
      </c>
      <c r="F25" s="1">
        <v>10391.81</v>
      </c>
      <c r="G25" s="1">
        <v>1247.02</v>
      </c>
      <c r="H25" s="1">
        <v>11638.83</v>
      </c>
      <c r="V25" s="1">
        <f t="shared" si="5"/>
        <v>-10274.700000000001</v>
      </c>
      <c r="W25" s="52">
        <f t="shared" si="2"/>
        <v>20</v>
      </c>
      <c r="X25" s="1">
        <f t="shared" si="3"/>
        <v>245186.75062073217</v>
      </c>
      <c r="Y25" s="1">
        <f t="shared" si="0"/>
        <v>3482.7950935565532</v>
      </c>
      <c r="Z25" s="1">
        <f t="shared" si="1"/>
        <v>-10274.700000000001</v>
      </c>
      <c r="AA25" s="1">
        <f t="shared" si="4"/>
        <v>238394.84571428871</v>
      </c>
    </row>
    <row r="26" spans="1:27" x14ac:dyDescent="0.25">
      <c r="A26" s="8">
        <v>46113</v>
      </c>
      <c r="B26" s="6">
        <v>21</v>
      </c>
      <c r="C26" s="6" t="s">
        <v>31</v>
      </c>
      <c r="D26" s="1">
        <v>10274.700000000001</v>
      </c>
      <c r="E26" s="1">
        <v>117.11</v>
      </c>
      <c r="F26" s="1">
        <v>10391.81</v>
      </c>
      <c r="G26" s="1">
        <v>1247.02</v>
      </c>
      <c r="H26" s="1">
        <v>11638.83</v>
      </c>
      <c r="V26" s="1">
        <f t="shared" si="5"/>
        <v>-10274.700000000001</v>
      </c>
      <c r="W26" s="52">
        <f t="shared" si="2"/>
        <v>21</v>
      </c>
      <c r="X26" s="1">
        <f t="shared" si="3"/>
        <v>238394.84571428871</v>
      </c>
      <c r="Y26" s="1">
        <f t="shared" si="0"/>
        <v>3386.3183752013492</v>
      </c>
      <c r="Z26" s="1">
        <f t="shared" si="1"/>
        <v>-10274.700000000001</v>
      </c>
      <c r="AA26" s="1">
        <f t="shared" si="4"/>
        <v>231506.46408949004</v>
      </c>
    </row>
    <row r="27" spans="1:27" x14ac:dyDescent="0.25">
      <c r="A27" s="8">
        <v>46143</v>
      </c>
      <c r="B27" s="6">
        <v>22</v>
      </c>
      <c r="C27" s="6" t="s">
        <v>32</v>
      </c>
      <c r="D27" s="1">
        <v>10274.700000000001</v>
      </c>
      <c r="E27" s="1">
        <v>117.11</v>
      </c>
      <c r="F27" s="1">
        <v>10391.81</v>
      </c>
      <c r="G27" s="1">
        <v>1247.02</v>
      </c>
      <c r="H27" s="1">
        <v>11638.83</v>
      </c>
      <c r="V27" s="1">
        <f t="shared" si="5"/>
        <v>-10274.700000000001</v>
      </c>
      <c r="W27" s="52">
        <f t="shared" si="2"/>
        <v>22</v>
      </c>
      <c r="X27" s="1">
        <f t="shared" si="3"/>
        <v>231506.46408949004</v>
      </c>
      <c r="Y27" s="1">
        <f t="shared" si="0"/>
        <v>3288.4712376025309</v>
      </c>
      <c r="Z27" s="1">
        <f t="shared" si="1"/>
        <v>-10274.700000000001</v>
      </c>
      <c r="AA27" s="1">
        <f t="shared" si="4"/>
        <v>224520.23532709255</v>
      </c>
    </row>
    <row r="28" spans="1:27" x14ac:dyDescent="0.25">
      <c r="A28" s="8">
        <v>46174</v>
      </c>
      <c r="B28" s="6">
        <v>23</v>
      </c>
      <c r="C28" s="6" t="s">
        <v>33</v>
      </c>
      <c r="D28" s="1">
        <v>10274.700000000001</v>
      </c>
      <c r="E28" s="1">
        <v>117.11</v>
      </c>
      <c r="F28" s="1">
        <v>10391.81</v>
      </c>
      <c r="G28" s="1">
        <v>1247.02</v>
      </c>
      <c r="H28" s="1">
        <v>11638.83</v>
      </c>
      <c r="V28" s="1">
        <f t="shared" si="5"/>
        <v>-10274.700000000001</v>
      </c>
      <c r="W28" s="52">
        <f t="shared" si="2"/>
        <v>23</v>
      </c>
      <c r="X28" s="1">
        <f t="shared" si="3"/>
        <v>224520.23532709255</v>
      </c>
      <c r="Y28" s="1">
        <f t="shared" si="0"/>
        <v>3189.2342144169716</v>
      </c>
      <c r="Z28" s="1">
        <f t="shared" si="1"/>
        <v>-10274.700000000001</v>
      </c>
      <c r="AA28" s="1">
        <f t="shared" si="4"/>
        <v>217434.76954150951</v>
      </c>
    </row>
    <row r="29" spans="1:27" x14ac:dyDescent="0.25">
      <c r="A29" s="8">
        <v>46204</v>
      </c>
      <c r="B29" s="6">
        <v>24</v>
      </c>
      <c r="C29" s="6" t="s">
        <v>34</v>
      </c>
      <c r="D29" s="1">
        <v>10274.700000000001</v>
      </c>
      <c r="E29" s="1">
        <v>117.11</v>
      </c>
      <c r="F29" s="1">
        <v>10391.81</v>
      </c>
      <c r="G29" s="1">
        <v>1247.02</v>
      </c>
      <c r="H29" s="1">
        <v>11638.83</v>
      </c>
      <c r="V29" s="1">
        <f t="shared" si="5"/>
        <v>-10274.700000000001</v>
      </c>
      <c r="W29" s="52">
        <f t="shared" si="2"/>
        <v>24</v>
      </c>
      <c r="X29" s="1">
        <f t="shared" ref="X29:X47" si="6">+AA28</f>
        <v>217434.76954150951</v>
      </c>
      <c r="Y29" s="1">
        <f t="shared" si="0"/>
        <v>3088.5875627887049</v>
      </c>
      <c r="Z29" s="1">
        <f t="shared" si="1"/>
        <v>-10274.700000000001</v>
      </c>
      <c r="AA29" s="1">
        <f t="shared" ref="AA29:AA47" si="7">+X29+Y29+Z29</f>
        <v>210248.65710429821</v>
      </c>
    </row>
    <row r="30" spans="1:27" x14ac:dyDescent="0.25">
      <c r="A30" s="8">
        <v>46235</v>
      </c>
      <c r="B30" s="6">
        <v>25</v>
      </c>
      <c r="C30" s="6" t="s">
        <v>35</v>
      </c>
      <c r="D30" s="1">
        <v>10274.700000000001</v>
      </c>
      <c r="E30" s="1">
        <v>117.11</v>
      </c>
      <c r="F30" s="1">
        <v>10391.81</v>
      </c>
      <c r="G30" s="1">
        <v>1247.02</v>
      </c>
      <c r="H30" s="1">
        <v>11638.83</v>
      </c>
      <c r="V30" s="1">
        <f t="shared" si="5"/>
        <v>-10274.700000000001</v>
      </c>
      <c r="W30" s="52">
        <f t="shared" si="2"/>
        <v>25</v>
      </c>
      <c r="X30" s="1">
        <f t="shared" si="6"/>
        <v>210248.65710429821</v>
      </c>
      <c r="Y30" s="1">
        <f t="shared" si="0"/>
        <v>2986.5112594211569</v>
      </c>
      <c r="Z30" s="1">
        <f t="shared" si="1"/>
        <v>-10274.700000000001</v>
      </c>
      <c r="AA30" s="1">
        <f t="shared" si="7"/>
        <v>202960.46836371935</v>
      </c>
    </row>
    <row r="31" spans="1:27" x14ac:dyDescent="0.25">
      <c r="A31" s="8">
        <v>46266</v>
      </c>
      <c r="B31" s="6">
        <v>26</v>
      </c>
      <c r="C31" s="6" t="s">
        <v>36</v>
      </c>
      <c r="D31" s="1">
        <v>10274.700000000001</v>
      </c>
      <c r="E31" s="1">
        <v>117.11</v>
      </c>
      <c r="F31" s="1">
        <v>10391.81</v>
      </c>
      <c r="G31" s="1">
        <v>1247.02</v>
      </c>
      <c r="H31" s="1">
        <v>11638.83</v>
      </c>
      <c r="V31" s="1">
        <f t="shared" si="5"/>
        <v>-10274.700000000001</v>
      </c>
      <c r="W31" s="52">
        <f t="shared" si="2"/>
        <v>26</v>
      </c>
      <c r="X31" s="1">
        <f t="shared" si="6"/>
        <v>202960.46836371935</v>
      </c>
      <c r="Y31" s="1">
        <f t="shared" si="0"/>
        <v>2882.9849965935773</v>
      </c>
      <c r="Z31" s="1">
        <f t="shared" si="1"/>
        <v>-10274.700000000001</v>
      </c>
      <c r="AA31" s="1">
        <f t="shared" si="7"/>
        <v>195568.75336031293</v>
      </c>
    </row>
    <row r="32" spans="1:27" x14ac:dyDescent="0.25">
      <c r="A32" s="8">
        <v>46296</v>
      </c>
      <c r="B32" s="6">
        <v>27</v>
      </c>
      <c r="C32" s="6" t="s">
        <v>37</v>
      </c>
      <c r="D32" s="1">
        <v>10274.700000000001</v>
      </c>
      <c r="E32" s="1">
        <v>117.11</v>
      </c>
      <c r="F32" s="1">
        <v>10391.81</v>
      </c>
      <c r="G32" s="1">
        <v>1247.02</v>
      </c>
      <c r="H32" s="1">
        <v>11638.83</v>
      </c>
      <c r="V32" s="1">
        <f t="shared" si="5"/>
        <v>-10274.700000000001</v>
      </c>
      <c r="W32" s="52">
        <f t="shared" si="2"/>
        <v>27</v>
      </c>
      <c r="X32" s="1">
        <f t="shared" si="6"/>
        <v>195568.75336031293</v>
      </c>
      <c r="Y32" s="1">
        <f t="shared" si="0"/>
        <v>2777.9881781208933</v>
      </c>
      <c r="Z32" s="1">
        <f t="shared" si="1"/>
        <v>-10274.700000000001</v>
      </c>
      <c r="AA32" s="1">
        <f t="shared" si="7"/>
        <v>188072.04153843381</v>
      </c>
    </row>
    <row r="33" spans="1:27" x14ac:dyDescent="0.25">
      <c r="A33" s="8">
        <v>46327</v>
      </c>
      <c r="B33" s="6">
        <v>28</v>
      </c>
      <c r="C33" s="6" t="s">
        <v>38</v>
      </c>
      <c r="D33" s="1">
        <v>10274.700000000001</v>
      </c>
      <c r="E33" s="1">
        <v>117.11</v>
      </c>
      <c r="F33" s="1">
        <v>10391.81</v>
      </c>
      <c r="G33" s="1">
        <v>1247.02</v>
      </c>
      <c r="H33" s="1">
        <v>11638.83</v>
      </c>
      <c r="V33" s="1">
        <f t="shared" si="5"/>
        <v>-10274.700000000001</v>
      </c>
      <c r="W33" s="52">
        <f t="shared" si="2"/>
        <v>28</v>
      </c>
      <c r="X33" s="1">
        <f t="shared" si="6"/>
        <v>188072.04153843381</v>
      </c>
      <c r="Y33" s="1">
        <f t="shared" si="0"/>
        <v>2671.4999152561695</v>
      </c>
      <c r="Z33" s="1">
        <f t="shared" si="1"/>
        <v>-10274.700000000001</v>
      </c>
      <c r="AA33" s="1">
        <f t="shared" si="7"/>
        <v>180468.84145368997</v>
      </c>
    </row>
    <row r="34" spans="1:27" x14ac:dyDescent="0.25">
      <c r="A34" s="8">
        <v>46357</v>
      </c>
      <c r="B34" s="6">
        <v>29</v>
      </c>
      <c r="C34" s="6" t="s">
        <v>39</v>
      </c>
      <c r="D34" s="1">
        <v>10274.700000000001</v>
      </c>
      <c r="E34" s="1">
        <v>117.11</v>
      </c>
      <c r="F34" s="1">
        <v>10391.81</v>
      </c>
      <c r="G34" s="1">
        <v>1247.02</v>
      </c>
      <c r="H34" s="1">
        <v>11638.83</v>
      </c>
      <c r="V34" s="1">
        <f t="shared" si="5"/>
        <v>-10274.700000000001</v>
      </c>
      <c r="W34" s="52">
        <f t="shared" si="2"/>
        <v>29</v>
      </c>
      <c r="X34" s="1">
        <f t="shared" si="6"/>
        <v>180468.84145368997</v>
      </c>
      <c r="Y34" s="1">
        <f t="shared" si="0"/>
        <v>2563.4990225348661</v>
      </c>
      <c r="Z34" s="1">
        <f t="shared" si="1"/>
        <v>-10274.700000000001</v>
      </c>
      <c r="AA34" s="1">
        <f t="shared" si="7"/>
        <v>172757.64047622483</v>
      </c>
    </row>
    <row r="35" spans="1:27" x14ac:dyDescent="0.25">
      <c r="A35" s="8">
        <v>46388</v>
      </c>
      <c r="B35" s="6">
        <v>30</v>
      </c>
      <c r="C35" s="6" t="s">
        <v>40</v>
      </c>
      <c r="D35" s="1">
        <v>10274.700000000001</v>
      </c>
      <c r="E35" s="1">
        <v>117.11</v>
      </c>
      <c r="F35" s="1">
        <v>10391.81</v>
      </c>
      <c r="G35" s="1">
        <v>1247.02</v>
      </c>
      <c r="H35" s="1">
        <v>11638.83</v>
      </c>
      <c r="V35" s="1">
        <f t="shared" si="5"/>
        <v>-10274.700000000001</v>
      </c>
      <c r="W35" s="52">
        <f t="shared" si="2"/>
        <v>30</v>
      </c>
      <c r="X35" s="1">
        <f t="shared" si="6"/>
        <v>172757.64047622483</v>
      </c>
      <c r="Y35" s="1">
        <f t="shared" si="0"/>
        <v>2453.9640135600657</v>
      </c>
      <c r="Z35" s="1">
        <f t="shared" si="1"/>
        <v>-10274.700000000001</v>
      </c>
      <c r="AA35" s="1">
        <f t="shared" si="7"/>
        <v>164936.90448978488</v>
      </c>
    </row>
    <row r="36" spans="1:27" x14ac:dyDescent="0.25">
      <c r="A36" s="8">
        <v>46419</v>
      </c>
      <c r="B36" s="6">
        <v>31</v>
      </c>
      <c r="C36" s="6" t="s">
        <v>41</v>
      </c>
      <c r="D36" s="1">
        <v>10274.700000000001</v>
      </c>
      <c r="E36" s="1">
        <v>117.11</v>
      </c>
      <c r="F36" s="1">
        <v>10391.81</v>
      </c>
      <c r="G36" s="1">
        <v>1247.02</v>
      </c>
      <c r="H36" s="1">
        <v>11638.83</v>
      </c>
      <c r="V36" s="1">
        <f t="shared" si="5"/>
        <v>-10274.700000000001</v>
      </c>
      <c r="W36" s="52">
        <f t="shared" si="2"/>
        <v>31</v>
      </c>
      <c r="X36" s="1">
        <f t="shared" si="6"/>
        <v>164936.90448978488</v>
      </c>
      <c r="Y36" s="1">
        <f t="shared" si="0"/>
        <v>2342.8730967278284</v>
      </c>
      <c r="Z36" s="1">
        <f t="shared" si="1"/>
        <v>-10274.700000000001</v>
      </c>
      <c r="AA36" s="1">
        <f t="shared" si="7"/>
        <v>157005.07758651269</v>
      </c>
    </row>
    <row r="37" spans="1:27" x14ac:dyDescent="0.25">
      <c r="A37" s="8">
        <v>46447</v>
      </c>
      <c r="B37" s="6">
        <v>32</v>
      </c>
      <c r="C37" s="6" t="s">
        <v>42</v>
      </c>
      <c r="D37" s="1">
        <v>10274.700000000001</v>
      </c>
      <c r="E37" s="1">
        <v>117.11</v>
      </c>
      <c r="F37" s="1">
        <v>10391.81</v>
      </c>
      <c r="G37" s="1">
        <v>1247.02</v>
      </c>
      <c r="H37" s="1">
        <v>11638.83</v>
      </c>
      <c r="V37" s="1">
        <f t="shared" si="5"/>
        <v>-10274.700000000001</v>
      </c>
      <c r="W37" s="52">
        <f t="shared" si="2"/>
        <v>32</v>
      </c>
      <c r="X37" s="1">
        <f t="shared" si="6"/>
        <v>157005.07758651269</v>
      </c>
      <c r="Y37" s="1">
        <f t="shared" si="0"/>
        <v>2230.2041708918318</v>
      </c>
      <c r="Z37" s="1">
        <f t="shared" si="1"/>
        <v>-10274.700000000001</v>
      </c>
      <c r="AA37" s="1">
        <f t="shared" si="7"/>
        <v>148960.58175740452</v>
      </c>
    </row>
    <row r="38" spans="1:27" x14ac:dyDescent="0.25">
      <c r="A38" s="8">
        <v>46478</v>
      </c>
      <c r="B38" s="6">
        <v>33</v>
      </c>
      <c r="C38" s="6" t="s">
        <v>43</v>
      </c>
      <c r="D38" s="1">
        <v>10274.700000000001</v>
      </c>
      <c r="E38" s="1">
        <v>117.11</v>
      </c>
      <c r="F38" s="1">
        <v>10391.81</v>
      </c>
      <c r="G38" s="1">
        <v>1247.02</v>
      </c>
      <c r="H38" s="1">
        <v>11638.83</v>
      </c>
      <c r="V38" s="1">
        <f t="shared" si="5"/>
        <v>-10274.700000000001</v>
      </c>
      <c r="W38" s="52">
        <f t="shared" si="2"/>
        <v>33</v>
      </c>
      <c r="X38" s="1">
        <f t="shared" si="6"/>
        <v>148960.58175740452</v>
      </c>
      <c r="Y38" s="1">
        <f t="shared" si="0"/>
        <v>2115.9348209664245</v>
      </c>
      <c r="Z38" s="1">
        <f t="shared" si="1"/>
        <v>-10274.700000000001</v>
      </c>
      <c r="AA38" s="1">
        <f t="shared" si="7"/>
        <v>140801.81657837093</v>
      </c>
    </row>
    <row r="39" spans="1:27" x14ac:dyDescent="0.25">
      <c r="A39" s="8">
        <v>46508</v>
      </c>
      <c r="B39" s="6">
        <v>34</v>
      </c>
      <c r="C39" s="6" t="s">
        <v>44</v>
      </c>
      <c r="D39" s="1">
        <v>10274.700000000001</v>
      </c>
      <c r="E39" s="1">
        <v>117.11</v>
      </c>
      <c r="F39" s="1">
        <v>10391.81</v>
      </c>
      <c r="G39" s="1">
        <v>1247.02</v>
      </c>
      <c r="H39" s="1">
        <v>11638.83</v>
      </c>
      <c r="V39" s="1">
        <f t="shared" si="5"/>
        <v>-10274.700000000001</v>
      </c>
      <c r="W39" s="52">
        <f t="shared" si="2"/>
        <v>34</v>
      </c>
      <c r="X39" s="1">
        <f t="shared" si="6"/>
        <v>140801.81657837093</v>
      </c>
      <c r="Y39" s="1">
        <f t="shared" si="0"/>
        <v>2000.0423134672221</v>
      </c>
      <c r="Z39" s="1">
        <f t="shared" si="1"/>
        <v>-10274.700000000001</v>
      </c>
      <c r="AA39" s="1">
        <f t="shared" si="7"/>
        <v>132527.15889183813</v>
      </c>
    </row>
    <row r="40" spans="1:27" x14ac:dyDescent="0.25">
      <c r="A40" s="8">
        <v>46539</v>
      </c>
      <c r="B40" s="6">
        <v>35</v>
      </c>
      <c r="C40" s="6" t="s">
        <v>45</v>
      </c>
      <c r="D40" s="1">
        <v>10274.700000000001</v>
      </c>
      <c r="E40" s="1">
        <v>117.11</v>
      </c>
      <c r="F40" s="1">
        <v>10391.81</v>
      </c>
      <c r="G40" s="1">
        <v>1247.02</v>
      </c>
      <c r="H40" s="1">
        <v>11638.83</v>
      </c>
      <c r="V40" s="1">
        <f t="shared" si="5"/>
        <v>-10274.700000000001</v>
      </c>
      <c r="W40" s="52">
        <f t="shared" si="2"/>
        <v>35</v>
      </c>
      <c r="X40" s="1">
        <f t="shared" si="6"/>
        <v>132527.15889183813</v>
      </c>
      <c r="Y40" s="1">
        <f t="shared" si="0"/>
        <v>1882.5035919883642</v>
      </c>
      <c r="Z40" s="1">
        <f t="shared" si="1"/>
        <v>-10274.700000000001</v>
      </c>
      <c r="AA40" s="1">
        <f t="shared" si="7"/>
        <v>124134.96248382649</v>
      </c>
    </row>
    <row r="41" spans="1:27" x14ac:dyDescent="0.25">
      <c r="A41" s="8">
        <v>46569</v>
      </c>
      <c r="B41" s="6">
        <v>36</v>
      </c>
      <c r="C41" s="6" t="s">
        <v>46</v>
      </c>
      <c r="D41" s="1">
        <v>10274.700000000001</v>
      </c>
      <c r="E41" s="1">
        <v>117.11</v>
      </c>
      <c r="F41" s="1">
        <v>10391.81</v>
      </c>
      <c r="G41" s="1">
        <v>1247.02</v>
      </c>
      <c r="H41" s="1">
        <v>11638.83</v>
      </c>
      <c r="V41" s="1">
        <f t="shared" si="5"/>
        <v>-10274.700000000001</v>
      </c>
      <c r="W41" s="52">
        <f t="shared" si="2"/>
        <v>36</v>
      </c>
      <c r="X41" s="1">
        <f t="shared" si="6"/>
        <v>124134.96248382649</v>
      </c>
      <c r="Y41" s="1">
        <f t="shared" si="0"/>
        <v>1763.2952726155211</v>
      </c>
      <c r="Z41" s="1">
        <f t="shared" si="1"/>
        <v>-10274.700000000001</v>
      </c>
      <c r="AA41" s="1">
        <f t="shared" si="7"/>
        <v>115623.55775644201</v>
      </c>
    </row>
    <row r="42" spans="1:27" x14ac:dyDescent="0.25">
      <c r="A42" s="8">
        <v>46600</v>
      </c>
      <c r="B42" s="6">
        <v>37</v>
      </c>
      <c r="C42" s="6" t="s">
        <v>47</v>
      </c>
      <c r="D42" s="1">
        <v>10274.700000000001</v>
      </c>
      <c r="E42" s="1">
        <v>117.11</v>
      </c>
      <c r="F42" s="1">
        <v>10391.81</v>
      </c>
      <c r="G42" s="1">
        <v>1247.02</v>
      </c>
      <c r="H42" s="1">
        <v>11638.83</v>
      </c>
      <c r="V42" s="1">
        <f t="shared" si="5"/>
        <v>-10274.700000000001</v>
      </c>
      <c r="W42" s="52">
        <f t="shared" si="2"/>
        <v>37</v>
      </c>
      <c r="X42" s="1">
        <f t="shared" si="6"/>
        <v>115623.55775644201</v>
      </c>
      <c r="Y42" s="1">
        <f t="shared" si="0"/>
        <v>1642.3936392737471</v>
      </c>
      <c r="Z42" s="1">
        <f t="shared" si="1"/>
        <v>-10274.700000000001</v>
      </c>
      <c r="AA42" s="1">
        <f t="shared" si="7"/>
        <v>106991.25139571576</v>
      </c>
    </row>
    <row r="43" spans="1:27" x14ac:dyDescent="0.25">
      <c r="A43" s="8">
        <v>46631</v>
      </c>
      <c r="B43" s="6">
        <v>38</v>
      </c>
      <c r="C43" s="6" t="s">
        <v>48</v>
      </c>
      <c r="D43" s="1">
        <v>10274.700000000001</v>
      </c>
      <c r="E43" s="1">
        <v>117.11</v>
      </c>
      <c r="F43" s="1">
        <v>10391.81</v>
      </c>
      <c r="G43" s="1">
        <v>1247.02</v>
      </c>
      <c r="H43" s="1">
        <v>11638.83</v>
      </c>
      <c r="V43" s="1">
        <f t="shared" si="5"/>
        <v>-10274.700000000001</v>
      </c>
      <c r="W43" s="52">
        <f t="shared" si="2"/>
        <v>38</v>
      </c>
      <c r="X43" s="1">
        <f t="shared" si="6"/>
        <v>106991.25139571576</v>
      </c>
      <c r="Y43" s="1">
        <f t="shared" si="0"/>
        <v>1519.7746390092514</v>
      </c>
      <c r="Z43" s="1">
        <f t="shared" si="1"/>
        <v>-10274.700000000001</v>
      </c>
      <c r="AA43" s="1">
        <f t="shared" si="7"/>
        <v>98236.326034725018</v>
      </c>
    </row>
    <row r="44" spans="1:27" x14ac:dyDescent="0.25">
      <c r="A44" s="8">
        <v>46661</v>
      </c>
      <c r="B44" s="6">
        <v>39</v>
      </c>
      <c r="C44" s="6" t="s">
        <v>49</v>
      </c>
      <c r="D44" s="1">
        <v>10274.700000000001</v>
      </c>
      <c r="E44" s="1">
        <v>117.11</v>
      </c>
      <c r="F44" s="1">
        <v>10391.81</v>
      </c>
      <c r="G44" s="1">
        <v>1247.02</v>
      </c>
      <c r="H44" s="1">
        <v>11638.83</v>
      </c>
      <c r="V44" s="1">
        <f t="shared" si="5"/>
        <v>-10274.700000000001</v>
      </c>
      <c r="W44" s="52">
        <f t="shared" si="2"/>
        <v>39</v>
      </c>
      <c r="X44" s="1">
        <f t="shared" si="6"/>
        <v>98236.326034725018</v>
      </c>
      <c r="Y44" s="1">
        <f t="shared" si="0"/>
        <v>1395.413877204147</v>
      </c>
      <c r="Z44" s="1">
        <f t="shared" si="1"/>
        <v>-10274.700000000001</v>
      </c>
      <c r="AA44" s="1">
        <f t="shared" si="7"/>
        <v>89357.039911929169</v>
      </c>
    </row>
    <row r="45" spans="1:27" x14ac:dyDescent="0.25">
      <c r="A45" s="8">
        <v>46692</v>
      </c>
      <c r="B45" s="6">
        <v>40</v>
      </c>
      <c r="C45" s="6" t="s">
        <v>50</v>
      </c>
      <c r="D45" s="1">
        <v>10274.700000000001</v>
      </c>
      <c r="E45" s="1">
        <v>117.11</v>
      </c>
      <c r="F45" s="1">
        <v>10391.81</v>
      </c>
      <c r="G45" s="1">
        <v>1247.02</v>
      </c>
      <c r="H45" s="1">
        <v>11638.83</v>
      </c>
      <c r="V45" s="1">
        <f t="shared" si="5"/>
        <v>-10274.700000000001</v>
      </c>
      <c r="W45" s="52">
        <f t="shared" si="2"/>
        <v>40</v>
      </c>
      <c r="X45" s="1">
        <f t="shared" si="6"/>
        <v>89357.039911929169</v>
      </c>
      <c r="Y45" s="1">
        <f t="shared" si="0"/>
        <v>1269.2866127232282</v>
      </c>
      <c r="Z45" s="1">
        <f t="shared" si="1"/>
        <v>-10274.700000000001</v>
      </c>
      <c r="AA45" s="1">
        <f t="shared" si="7"/>
        <v>80351.626524652398</v>
      </c>
    </row>
    <row r="46" spans="1:27" x14ac:dyDescent="0.25">
      <c r="A46" s="8">
        <v>46722</v>
      </c>
      <c r="B46" s="6">
        <v>41</v>
      </c>
      <c r="C46" s="6" t="s">
        <v>51</v>
      </c>
      <c r="D46" s="1">
        <v>10274.700000000001</v>
      </c>
      <c r="E46" s="1">
        <v>117.11</v>
      </c>
      <c r="F46" s="1">
        <v>10391.81</v>
      </c>
      <c r="G46" s="1">
        <v>1247.02</v>
      </c>
      <c r="H46" s="1">
        <v>11638.83</v>
      </c>
      <c r="V46" s="1">
        <f t="shared" si="5"/>
        <v>-10274.700000000001</v>
      </c>
      <c r="W46" s="52">
        <f t="shared" si="2"/>
        <v>41</v>
      </c>
      <c r="X46" s="1">
        <f t="shared" si="6"/>
        <v>80351.626524652398</v>
      </c>
      <c r="Y46" s="1">
        <f t="shared" si="0"/>
        <v>1141.3677529918084</v>
      </c>
      <c r="Z46" s="1">
        <f t="shared" si="1"/>
        <v>-10274.700000000001</v>
      </c>
      <c r="AA46" s="1">
        <f t="shared" si="7"/>
        <v>71218.294277644207</v>
      </c>
    </row>
    <row r="47" spans="1:27" x14ac:dyDescent="0.25">
      <c r="A47" s="8">
        <v>46753</v>
      </c>
      <c r="B47" s="6">
        <v>42</v>
      </c>
      <c r="C47" s="6" t="s">
        <v>52</v>
      </c>
      <c r="D47" s="1">
        <v>10274.700000000001</v>
      </c>
      <c r="E47" s="1">
        <v>117.11</v>
      </c>
      <c r="F47" s="1">
        <v>10391.81</v>
      </c>
      <c r="G47" s="1">
        <v>1247.02</v>
      </c>
      <c r="H47" s="1">
        <v>11638.83</v>
      </c>
      <c r="V47" s="1">
        <f t="shared" si="5"/>
        <v>-10274.700000000001</v>
      </c>
      <c r="W47" s="52">
        <f t="shared" si="2"/>
        <v>42</v>
      </c>
      <c r="X47" s="1">
        <f t="shared" si="6"/>
        <v>71218.294277644207</v>
      </c>
      <c r="Y47" s="1">
        <f t="shared" si="0"/>
        <v>1011.6318490036414</v>
      </c>
      <c r="Z47" s="1">
        <f t="shared" si="1"/>
        <v>-10274.700000000001</v>
      </c>
      <c r="AA47" s="1">
        <f t="shared" si="7"/>
        <v>61955.226126647845</v>
      </c>
    </row>
    <row r="48" spans="1:27" x14ac:dyDescent="0.25">
      <c r="A48" s="8">
        <v>46784</v>
      </c>
      <c r="B48" s="6">
        <v>43</v>
      </c>
      <c r="C48" s="6" t="s">
        <v>53</v>
      </c>
      <c r="D48" s="1">
        <v>10274.700000000001</v>
      </c>
      <c r="E48" s="1">
        <v>117.11</v>
      </c>
      <c r="F48" s="1">
        <v>10391.81</v>
      </c>
      <c r="G48" s="1">
        <v>1247.02</v>
      </c>
      <c r="H48" s="1">
        <v>11638.83</v>
      </c>
      <c r="V48" s="1">
        <f t="shared" si="5"/>
        <v>-10274.700000000001</v>
      </c>
      <c r="W48" s="52">
        <f t="shared" si="2"/>
        <v>43</v>
      </c>
      <c r="X48" s="1">
        <f t="shared" ref="X48:X53" si="8">+AA47</f>
        <v>61955.226126647845</v>
      </c>
      <c r="Y48" s="1">
        <f t="shared" si="0"/>
        <v>880.05309025793042</v>
      </c>
      <c r="Z48" s="1">
        <f t="shared" si="1"/>
        <v>-10274.700000000001</v>
      </c>
      <c r="AA48" s="1">
        <f t="shared" ref="AA48:AA53" si="9">+X48+Y48+Z48</f>
        <v>52560.579216905782</v>
      </c>
    </row>
    <row r="49" spans="1:27" x14ac:dyDescent="0.25">
      <c r="A49" s="8">
        <v>46813</v>
      </c>
      <c r="B49" s="6">
        <v>44</v>
      </c>
      <c r="C49" s="6" t="s">
        <v>54</v>
      </c>
      <c r="D49" s="1">
        <v>10274.700000000001</v>
      </c>
      <c r="E49" s="1">
        <v>117.11</v>
      </c>
      <c r="F49" s="1">
        <v>10391.81</v>
      </c>
      <c r="G49" s="1">
        <v>1247.02</v>
      </c>
      <c r="H49" s="1">
        <v>11638.83</v>
      </c>
      <c r="V49" s="1">
        <f t="shared" si="5"/>
        <v>-10274.700000000001</v>
      </c>
      <c r="W49" s="52">
        <f t="shared" si="2"/>
        <v>44</v>
      </c>
      <c r="X49" s="1">
        <f t="shared" si="8"/>
        <v>52560.579216905782</v>
      </c>
      <c r="Y49" s="1">
        <f t="shared" si="0"/>
        <v>746.60529962442126</v>
      </c>
      <c r="Z49" s="1">
        <f t="shared" si="1"/>
        <v>-10274.700000000001</v>
      </c>
      <c r="AA49" s="1">
        <f t="shared" si="9"/>
        <v>43032.484516530196</v>
      </c>
    </row>
    <row r="50" spans="1:27" x14ac:dyDescent="0.25">
      <c r="A50" s="8">
        <v>46844</v>
      </c>
      <c r="B50" s="6">
        <v>45</v>
      </c>
      <c r="C50" s="6" t="s">
        <v>55</v>
      </c>
      <c r="D50" s="1">
        <v>10274.700000000001</v>
      </c>
      <c r="E50" s="1">
        <v>117.11</v>
      </c>
      <c r="F50" s="1">
        <v>10391.81</v>
      </c>
      <c r="G50" s="1">
        <v>1247.02</v>
      </c>
      <c r="H50" s="1">
        <v>11638.83</v>
      </c>
      <c r="V50" s="1">
        <f t="shared" si="5"/>
        <v>-10274.700000000001</v>
      </c>
      <c r="W50" s="52">
        <f t="shared" si="2"/>
        <v>45</v>
      </c>
      <c r="X50" s="1">
        <f t="shared" si="8"/>
        <v>43032.484516530196</v>
      </c>
      <c r="Y50" s="1">
        <f t="shared" si="0"/>
        <v>611.26192813555292</v>
      </c>
      <c r="Z50" s="1">
        <f t="shared" si="1"/>
        <v>-10274.700000000001</v>
      </c>
      <c r="AA50" s="1">
        <f t="shared" si="9"/>
        <v>33369.046444665742</v>
      </c>
    </row>
    <row r="51" spans="1:27" x14ac:dyDescent="0.25">
      <c r="A51" s="8">
        <v>46874</v>
      </c>
      <c r="B51" s="6">
        <v>46</v>
      </c>
      <c r="C51" s="6" t="s">
        <v>56</v>
      </c>
      <c r="D51" s="1">
        <v>10274.700000000001</v>
      </c>
      <c r="E51" s="1">
        <v>117.11</v>
      </c>
      <c r="F51" s="1">
        <v>10391.81</v>
      </c>
      <c r="G51" s="1">
        <v>1247.02</v>
      </c>
      <c r="H51" s="1">
        <v>11638.83</v>
      </c>
      <c r="V51" s="1">
        <f t="shared" si="5"/>
        <v>-10274.700000000001</v>
      </c>
      <c r="W51" s="52">
        <f t="shared" si="2"/>
        <v>46</v>
      </c>
      <c r="X51" s="1">
        <f t="shared" si="8"/>
        <v>33369.046444665742</v>
      </c>
      <c r="Y51" s="1">
        <f t="shared" si="0"/>
        <v>473.99604970463531</v>
      </c>
      <c r="Z51" s="1">
        <f t="shared" si="1"/>
        <v>-10274.700000000001</v>
      </c>
      <c r="AA51" s="1">
        <f t="shared" si="9"/>
        <v>23568.342494370376</v>
      </c>
    </row>
    <row r="52" spans="1:27" x14ac:dyDescent="0.25">
      <c r="A52" s="8">
        <v>46905</v>
      </c>
      <c r="B52" s="6">
        <v>47</v>
      </c>
      <c r="C52" s="6" t="s">
        <v>57</v>
      </c>
      <c r="D52" s="1">
        <v>10274.700000000001</v>
      </c>
      <c r="E52" s="1">
        <v>117.11</v>
      </c>
      <c r="F52" s="1">
        <v>10391.81</v>
      </c>
      <c r="G52" s="1">
        <v>1247.02</v>
      </c>
      <c r="H52" s="1">
        <v>11638.83</v>
      </c>
      <c r="V52" s="1">
        <f t="shared" si="5"/>
        <v>-10274.700000000001</v>
      </c>
      <c r="W52" s="52">
        <f t="shared" si="2"/>
        <v>47</v>
      </c>
      <c r="X52" s="1">
        <f t="shared" si="8"/>
        <v>23568.342494370376</v>
      </c>
      <c r="Y52" s="1">
        <f t="shared" si="0"/>
        <v>334.78035576899902</v>
      </c>
      <c r="Z52" s="1">
        <f t="shared" si="1"/>
        <v>-10274.700000000001</v>
      </c>
      <c r="AA52" s="1">
        <f t="shared" si="9"/>
        <v>13628.422850139374</v>
      </c>
    </row>
    <row r="53" spans="1:27" x14ac:dyDescent="0.25">
      <c r="A53" s="8">
        <v>46935</v>
      </c>
      <c r="B53" s="6">
        <v>48</v>
      </c>
      <c r="C53" s="6" t="s">
        <v>58</v>
      </c>
      <c r="D53" s="1">
        <v>10274.700000000001</v>
      </c>
      <c r="E53" s="1">
        <v>117.11</v>
      </c>
      <c r="F53" s="1">
        <v>10391.81</v>
      </c>
      <c r="G53" s="1">
        <v>1247.02</v>
      </c>
      <c r="H53" s="1">
        <v>11638.83</v>
      </c>
      <c r="V53" s="1">
        <f>-D53-F54</f>
        <v>-13822.01</v>
      </c>
      <c r="W53" s="52">
        <f t="shared" si="2"/>
        <v>48</v>
      </c>
      <c r="X53" s="1">
        <f t="shared" si="8"/>
        <v>13628.422850139374</v>
      </c>
      <c r="Y53" s="1">
        <f t="shared" si="0"/>
        <v>193.58714985705245</v>
      </c>
      <c r="Z53" s="1">
        <f t="shared" si="1"/>
        <v>-13822.01</v>
      </c>
      <c r="AA53" s="119">
        <f t="shared" si="9"/>
        <v>-3.574314177967608E-9</v>
      </c>
    </row>
    <row r="54" spans="1:27" x14ac:dyDescent="0.25">
      <c r="A54" s="8">
        <v>46935</v>
      </c>
      <c r="B54" s="6">
        <v>48</v>
      </c>
      <c r="C54" s="22" t="s">
        <v>59</v>
      </c>
      <c r="E54" s="3"/>
      <c r="F54" s="3">
        <v>3547.31</v>
      </c>
      <c r="G54" s="3">
        <f>F54*0.12</f>
        <v>425.67719999999997</v>
      </c>
      <c r="H54" s="3">
        <f>F54+G54</f>
        <v>3972.9872</v>
      </c>
      <c r="X54" s="1"/>
      <c r="Y54" s="1"/>
      <c r="Z54" s="1"/>
      <c r="AA54" s="1"/>
    </row>
    <row r="55" spans="1:27" x14ac:dyDescent="0.25">
      <c r="D55" s="1">
        <f>SUM(D6:D54)</f>
        <v>493185.60000000038</v>
      </c>
      <c r="E55" s="1">
        <f t="shared" ref="E55:H55" si="10">SUM(E6:E54)</f>
        <v>5621.279999999997</v>
      </c>
      <c r="F55" s="1">
        <f t="shared" si="10"/>
        <v>502354.18999999994</v>
      </c>
      <c r="G55" s="1">
        <f t="shared" si="10"/>
        <v>60282.637199999939</v>
      </c>
      <c r="H55" s="1">
        <f t="shared" si="10"/>
        <v>562636.82720000006</v>
      </c>
    </row>
  </sheetData>
  <dataValidations count="1">
    <dataValidation type="list" allowBlank="1" showInputMessage="1" showErrorMessage="1" sqref="AC6" xr:uid="{48AAC1C6-5EEE-4280-8269-32303246049C}">
      <formula1>$W$6:$W$53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7D1D-5BA6-48C5-9FF0-18DC53512FD4}">
  <dimension ref="A1:AB75"/>
  <sheetViews>
    <sheetView showGridLines="0" topLeftCell="G4" zoomScale="115" zoomScaleNormal="115" zoomScaleSheetLayoutView="100" workbookViewId="0">
      <selection activeCell="K15" sqref="K15"/>
    </sheetView>
  </sheetViews>
  <sheetFormatPr baseColWidth="10" defaultColWidth="8" defaultRowHeight="15" x14ac:dyDescent="0.25"/>
  <cols>
    <col min="1" max="3" width="14.7109375" customWidth="1"/>
    <col min="4" max="4" width="14.85546875" style="1" customWidth="1"/>
    <col min="5" max="5" width="14" style="1" customWidth="1"/>
    <col min="6" max="7" width="14.140625" style="1" customWidth="1"/>
    <col min="8" max="8" width="14.140625" style="79" customWidth="1"/>
    <col min="10" max="10" width="19.85546875" customWidth="1"/>
    <col min="11" max="11" width="15.5703125" customWidth="1"/>
    <col min="12" max="12" width="15" customWidth="1"/>
    <col min="13" max="13" width="7.140625" hidden="1" customWidth="1"/>
    <col min="14" max="14" width="8" hidden="1" customWidth="1"/>
    <col min="15" max="15" width="15.5703125" hidden="1" customWidth="1"/>
    <col min="16" max="17" width="13" hidden="1" customWidth="1"/>
    <col min="18" max="18" width="15.42578125" hidden="1" customWidth="1"/>
    <col min="19" max="19" width="6" hidden="1" customWidth="1"/>
    <col min="20" max="20" width="26.140625" hidden="1" customWidth="1"/>
    <col min="21" max="21" width="16.5703125" hidden="1" customWidth="1"/>
    <col min="22" max="22" width="17.7109375" hidden="1" customWidth="1"/>
    <col min="23" max="23" width="11.5703125" hidden="1" customWidth="1"/>
    <col min="24" max="24" width="12.42578125" hidden="1" customWidth="1"/>
    <col min="25" max="28" width="8" hidden="1" customWidth="1"/>
  </cols>
  <sheetData>
    <row r="1" spans="1:24" x14ac:dyDescent="0.25">
      <c r="A1" s="2"/>
      <c r="H1" s="72"/>
      <c r="I1" s="2" t="s">
        <v>80</v>
      </c>
      <c r="M1" s="2" t="s">
        <v>81</v>
      </c>
    </row>
    <row r="2" spans="1:24" x14ac:dyDescent="0.25">
      <c r="A2" s="2" t="s">
        <v>79</v>
      </c>
      <c r="H2" s="72"/>
    </row>
    <row r="3" spans="1:24" x14ac:dyDescent="0.25">
      <c r="A3" s="2"/>
      <c r="H3" s="72"/>
    </row>
    <row r="4" spans="1:24" x14ac:dyDescent="0.25">
      <c r="A4" s="4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0</v>
      </c>
      <c r="H4" s="73" t="s">
        <v>8</v>
      </c>
      <c r="N4" s="2" t="s">
        <v>71</v>
      </c>
      <c r="O4" s="10">
        <f>PV(K6,K17,-K18,0,1)+J30</f>
        <v>418461.42868420866</v>
      </c>
      <c r="Q4" s="1">
        <f>SUM(Q7:Q55)</f>
        <v>78271.481315797035</v>
      </c>
      <c r="T4" t="s">
        <v>77</v>
      </c>
      <c r="U4" s="18">
        <v>45534</v>
      </c>
      <c r="V4" s="18"/>
      <c r="X4" s="1"/>
    </row>
    <row r="5" spans="1:24" x14ac:dyDescent="0.25">
      <c r="A5" s="67">
        <v>45505</v>
      </c>
      <c r="B5" s="68">
        <v>0</v>
      </c>
      <c r="C5" s="69" t="s">
        <v>9</v>
      </c>
      <c r="D5" s="70">
        <v>8798.2900000000009</v>
      </c>
      <c r="E5" s="70">
        <v>337.28</v>
      </c>
      <c r="F5" s="70">
        <f>D5+E5</f>
        <v>9135.5700000000015</v>
      </c>
      <c r="G5" s="70">
        <f>F5*0.12</f>
        <v>1096.2684000000002</v>
      </c>
      <c r="H5" s="70">
        <f>F5+G5</f>
        <v>10231.838400000002</v>
      </c>
      <c r="J5" s="2" t="s">
        <v>61</v>
      </c>
      <c r="K5" s="13">
        <v>0.09</v>
      </c>
      <c r="L5" s="1"/>
      <c r="M5" s="1"/>
      <c r="T5" s="17"/>
    </row>
    <row r="6" spans="1:24" x14ac:dyDescent="0.25">
      <c r="A6" s="67">
        <v>45505</v>
      </c>
      <c r="B6" s="68">
        <v>0</v>
      </c>
      <c r="C6" s="71" t="s">
        <v>10</v>
      </c>
      <c r="D6" s="70"/>
      <c r="E6" s="70"/>
      <c r="F6" s="70">
        <v>89397.86</v>
      </c>
      <c r="G6" s="70">
        <f>F6*0.12</f>
        <v>10727.743199999999</v>
      </c>
      <c r="H6" s="70">
        <f>F6+G6</f>
        <v>100125.6032</v>
      </c>
      <c r="J6" s="2" t="s">
        <v>62</v>
      </c>
      <c r="K6" s="12">
        <f>K5/12</f>
        <v>7.4999999999999997E-3</v>
      </c>
      <c r="L6" s="1"/>
      <c r="M6" s="1"/>
      <c r="O6" s="2" t="s">
        <v>69</v>
      </c>
      <c r="P6" s="2" t="s">
        <v>3</v>
      </c>
      <c r="Q6" s="9" t="s">
        <v>68</v>
      </c>
      <c r="R6" s="2" t="s">
        <v>70</v>
      </c>
      <c r="S6" s="1"/>
      <c r="T6" s="19" t="s">
        <v>75</v>
      </c>
      <c r="U6" s="21" t="s">
        <v>78</v>
      </c>
      <c r="V6" s="19" t="s">
        <v>76</v>
      </c>
      <c r="W6" s="2" t="s">
        <v>70</v>
      </c>
    </row>
    <row r="7" spans="1:24" x14ac:dyDescent="0.25">
      <c r="A7" s="8">
        <v>45505</v>
      </c>
      <c r="B7" s="6">
        <v>1</v>
      </c>
      <c r="C7" s="7" t="s">
        <v>11</v>
      </c>
      <c r="D7" s="1">
        <v>10274.700000000001</v>
      </c>
      <c r="E7" s="1">
        <v>117.11</v>
      </c>
      <c r="F7" s="1">
        <v>10391.81</v>
      </c>
      <c r="G7" s="1">
        <v>1247.02</v>
      </c>
      <c r="H7" s="23">
        <v>11638.83</v>
      </c>
      <c r="J7" s="81" t="s">
        <v>63</v>
      </c>
      <c r="K7" s="82">
        <v>446989.29</v>
      </c>
      <c r="L7" s="1"/>
      <c r="M7" s="1"/>
      <c r="N7">
        <v>1</v>
      </c>
      <c r="O7" s="10">
        <f>O4</f>
        <v>418461.42868420866</v>
      </c>
      <c r="P7" s="1">
        <f>-D7</f>
        <v>-10274.700000000001</v>
      </c>
      <c r="Q7" s="1">
        <f t="shared" ref="Q7:Q55" si="0">(O7+P7)*$K$6</f>
        <v>3061.4004651315649</v>
      </c>
      <c r="R7" s="10">
        <f>SUM(O7:Q7)</f>
        <v>411248.12914934021</v>
      </c>
      <c r="S7" s="1"/>
      <c r="T7" s="8">
        <v>45505</v>
      </c>
      <c r="U7" s="16">
        <f>O7+K15</f>
        <v>427259.71868420864</v>
      </c>
      <c r="V7" s="16">
        <f>(29030.25/123)</f>
        <v>236.01829268292684</v>
      </c>
      <c r="W7" s="16">
        <f>U7-V7</f>
        <v>427023.70039152569</v>
      </c>
    </row>
    <row r="8" spans="1:24" x14ac:dyDescent="0.25">
      <c r="A8" s="8">
        <v>45536</v>
      </c>
      <c r="B8" s="6">
        <v>2</v>
      </c>
      <c r="C8" s="6" t="s">
        <v>12</v>
      </c>
      <c r="D8" s="1">
        <v>10274.700000000001</v>
      </c>
      <c r="E8" s="1">
        <v>117.11</v>
      </c>
      <c r="F8" s="1">
        <v>10391.81</v>
      </c>
      <c r="G8" s="1">
        <v>1247.02</v>
      </c>
      <c r="H8" s="23">
        <v>11638.83</v>
      </c>
      <c r="J8" s="9" t="s">
        <v>0</v>
      </c>
      <c r="K8" s="1">
        <f>K7*0.12</f>
        <v>53638.714799999994</v>
      </c>
      <c r="L8" s="1"/>
      <c r="M8" s="1"/>
      <c r="N8">
        <v>2</v>
      </c>
      <c r="O8" s="10">
        <f>R7</f>
        <v>411248.12914934021</v>
      </c>
      <c r="P8" s="1">
        <f t="shared" ref="P8:P54" si="1">-D8</f>
        <v>-10274.700000000001</v>
      </c>
      <c r="Q8" s="1">
        <f t="shared" si="0"/>
        <v>3007.3007186200512</v>
      </c>
      <c r="R8" s="10">
        <f>SUM(O8:Q8)</f>
        <v>403980.72986796027</v>
      </c>
      <c r="T8" s="8">
        <v>45536</v>
      </c>
      <c r="U8" s="16">
        <f>W7</f>
        <v>427023.70039152569</v>
      </c>
      <c r="V8" s="16">
        <f>V7*30</f>
        <v>7080.5487804878048</v>
      </c>
      <c r="W8" s="16">
        <f>U8-V8</f>
        <v>419943.1516110379</v>
      </c>
    </row>
    <row r="9" spans="1:24" x14ac:dyDescent="0.25">
      <c r="A9" s="8">
        <v>45566</v>
      </c>
      <c r="B9" s="6">
        <v>3</v>
      </c>
      <c r="C9" s="6" t="s">
        <v>13</v>
      </c>
      <c r="D9" s="1">
        <v>10274.700000000001</v>
      </c>
      <c r="E9" s="1">
        <v>117.11</v>
      </c>
      <c r="F9" s="1">
        <v>10391.81</v>
      </c>
      <c r="G9" s="1">
        <v>1247.02</v>
      </c>
      <c r="H9" s="23">
        <v>11638.83</v>
      </c>
      <c r="L9" s="1"/>
      <c r="M9" s="1"/>
      <c r="N9">
        <v>3</v>
      </c>
      <c r="O9" s="10">
        <f t="shared" ref="O9:O54" si="2">R8</f>
        <v>403980.72986796027</v>
      </c>
      <c r="P9" s="1">
        <f t="shared" si="1"/>
        <v>-10274.700000000001</v>
      </c>
      <c r="Q9" s="1">
        <f t="shared" si="0"/>
        <v>2952.795224009702</v>
      </c>
      <c r="R9" s="10">
        <f t="shared" ref="R9:R55" si="3">SUM(O9:Q9)</f>
        <v>396658.82509196998</v>
      </c>
      <c r="T9" s="8">
        <v>45566</v>
      </c>
      <c r="U9" s="16">
        <f>W8</f>
        <v>419943.1516110379</v>
      </c>
      <c r="V9" s="16">
        <f>V7*31</f>
        <v>7316.5670731707323</v>
      </c>
      <c r="W9" s="16">
        <f t="shared" ref="W9:W67" si="4">U9-V9</f>
        <v>412626.58453786717</v>
      </c>
    </row>
    <row r="10" spans="1:24" x14ac:dyDescent="0.25">
      <c r="A10" s="8">
        <v>45597</v>
      </c>
      <c r="B10" s="6">
        <v>4</v>
      </c>
      <c r="C10" s="6" t="s">
        <v>14</v>
      </c>
      <c r="D10" s="1">
        <v>10274.700000000001</v>
      </c>
      <c r="E10" s="1">
        <v>117.11</v>
      </c>
      <c r="F10" s="1">
        <v>10391.81</v>
      </c>
      <c r="G10" s="1">
        <v>1247.02</v>
      </c>
      <c r="H10" s="23">
        <v>11638.83</v>
      </c>
      <c r="J10" s="81" t="s">
        <v>1</v>
      </c>
      <c r="K10" s="82">
        <f>K7</f>
        <v>446989.29</v>
      </c>
      <c r="L10" s="1"/>
      <c r="M10" s="1"/>
      <c r="N10">
        <v>4</v>
      </c>
      <c r="O10" s="10">
        <f t="shared" si="2"/>
        <v>396658.82509196998</v>
      </c>
      <c r="P10" s="1">
        <f t="shared" si="1"/>
        <v>-10274.700000000001</v>
      </c>
      <c r="Q10" s="1">
        <f t="shared" si="0"/>
        <v>2897.8809381897745</v>
      </c>
      <c r="R10" s="10">
        <f t="shared" si="3"/>
        <v>389282.00603015977</v>
      </c>
      <c r="T10" s="8">
        <v>45597</v>
      </c>
      <c r="U10" s="16">
        <f>W9</f>
        <v>412626.58453786717</v>
      </c>
      <c r="V10" s="16">
        <f>V7*30</f>
        <v>7080.5487804878048</v>
      </c>
      <c r="W10" s="16">
        <f t="shared" si="4"/>
        <v>405546.03575737937</v>
      </c>
    </row>
    <row r="11" spans="1:24" ht="15.75" thickBot="1" x14ac:dyDescent="0.3">
      <c r="A11" s="8">
        <v>45627</v>
      </c>
      <c r="B11" s="6">
        <v>5</v>
      </c>
      <c r="C11" s="6" t="s">
        <v>15</v>
      </c>
      <c r="D11" s="1">
        <v>10274.700000000001</v>
      </c>
      <c r="E11" s="1">
        <v>117.11</v>
      </c>
      <c r="F11" s="1">
        <v>10391.81</v>
      </c>
      <c r="G11" s="1">
        <v>1247.02</v>
      </c>
      <c r="H11" s="23">
        <v>11638.83</v>
      </c>
      <c r="L11" s="1"/>
      <c r="M11" s="1"/>
      <c r="N11">
        <v>5</v>
      </c>
      <c r="O11" s="10">
        <f t="shared" si="2"/>
        <v>389282.00603015977</v>
      </c>
      <c r="P11" s="1">
        <f t="shared" si="1"/>
        <v>-10274.700000000001</v>
      </c>
      <c r="Q11" s="1">
        <f t="shared" si="0"/>
        <v>2842.5547952261982</v>
      </c>
      <c r="R11" s="10">
        <f t="shared" si="3"/>
        <v>381849.86082538596</v>
      </c>
      <c r="T11" s="8">
        <v>45627</v>
      </c>
      <c r="U11" s="16">
        <f t="shared" ref="U11:U67" si="5">W10</f>
        <v>405546.03575737937</v>
      </c>
      <c r="V11" s="16">
        <f>V7*31</f>
        <v>7316.5670731707323</v>
      </c>
      <c r="W11" s="20">
        <f t="shared" si="4"/>
        <v>398229.46868420864</v>
      </c>
    </row>
    <row r="12" spans="1:24" ht="15.75" thickBot="1" x14ac:dyDescent="0.3">
      <c r="A12" s="8">
        <v>45658</v>
      </c>
      <c r="B12" s="6">
        <v>6</v>
      </c>
      <c r="C12" s="6" t="s">
        <v>16</v>
      </c>
      <c r="D12" s="1">
        <v>10274.700000000001</v>
      </c>
      <c r="E12" s="1">
        <v>117.11</v>
      </c>
      <c r="F12" s="1">
        <v>10391.81</v>
      </c>
      <c r="G12" s="1">
        <v>1247.02</v>
      </c>
      <c r="H12" s="23">
        <v>11638.83</v>
      </c>
      <c r="J12" s="81" t="s">
        <v>60</v>
      </c>
      <c r="K12" s="83">
        <f>-F6</f>
        <v>-89397.86</v>
      </c>
      <c r="L12" s="84">
        <f>+K10+K12</f>
        <v>357591.43</v>
      </c>
      <c r="M12" s="1"/>
      <c r="N12">
        <v>6</v>
      </c>
      <c r="O12" s="10">
        <f t="shared" si="2"/>
        <v>381849.86082538596</v>
      </c>
      <c r="P12" s="1">
        <f t="shared" si="1"/>
        <v>-10274.700000000001</v>
      </c>
      <c r="Q12" s="1">
        <f t="shared" si="0"/>
        <v>2786.8137061903944</v>
      </c>
      <c r="R12" s="10">
        <f t="shared" si="3"/>
        <v>374361.97453157633</v>
      </c>
      <c r="T12" s="8">
        <v>45658</v>
      </c>
      <c r="U12" s="16">
        <f t="shared" si="5"/>
        <v>398229.46868420864</v>
      </c>
      <c r="V12" s="16">
        <f>($U$7*20%)/12</f>
        <v>7120.995311403477</v>
      </c>
      <c r="W12" s="16">
        <f t="shared" si="4"/>
        <v>391108.47337280517</v>
      </c>
    </row>
    <row r="13" spans="1:24" x14ac:dyDescent="0.25">
      <c r="A13" s="8">
        <v>45689</v>
      </c>
      <c r="B13" s="6">
        <v>7</v>
      </c>
      <c r="C13" s="6" t="s">
        <v>17</v>
      </c>
      <c r="D13" s="1">
        <v>10274.700000000001</v>
      </c>
      <c r="E13" s="1">
        <v>117.11</v>
      </c>
      <c r="F13" s="1">
        <v>10391.81</v>
      </c>
      <c r="G13" s="1">
        <v>1247.02</v>
      </c>
      <c r="H13" s="23">
        <v>11638.83</v>
      </c>
      <c r="J13" s="1"/>
      <c r="K13" s="1">
        <f>SUM(K10:K12)</f>
        <v>357591.43</v>
      </c>
      <c r="L13" s="1"/>
      <c r="M13" s="1"/>
      <c r="N13">
        <v>7</v>
      </c>
      <c r="O13" s="10">
        <f t="shared" si="2"/>
        <v>374361.97453157633</v>
      </c>
      <c r="P13" s="1">
        <f t="shared" si="1"/>
        <v>-10274.700000000001</v>
      </c>
      <c r="Q13" s="1">
        <f t="shared" si="0"/>
        <v>2730.6545589868224</v>
      </c>
      <c r="R13" s="10">
        <f t="shared" si="3"/>
        <v>366817.92909056315</v>
      </c>
      <c r="T13" s="8">
        <v>45689</v>
      </c>
      <c r="U13" s="16">
        <f t="shared" si="5"/>
        <v>391108.47337280517</v>
      </c>
      <c r="V13" s="16">
        <f t="shared" ref="V13:V66" si="6">($U$7*20%)/12</f>
        <v>7120.995311403477</v>
      </c>
      <c r="W13" s="16">
        <f t="shared" si="4"/>
        <v>383987.47806140169</v>
      </c>
    </row>
    <row r="14" spans="1:24" ht="15.75" thickBot="1" x14ac:dyDescent="0.3">
      <c r="A14" s="8">
        <v>45717</v>
      </c>
      <c r="B14" s="6">
        <v>8</v>
      </c>
      <c r="C14" s="6" t="s">
        <v>18</v>
      </c>
      <c r="D14" s="1">
        <v>10274.700000000001</v>
      </c>
      <c r="E14" s="1">
        <v>117.11</v>
      </c>
      <c r="F14" s="1">
        <v>10391.81</v>
      </c>
      <c r="G14" s="1">
        <v>1247.02</v>
      </c>
      <c r="H14" s="23">
        <v>11638.83</v>
      </c>
      <c r="J14" s="1"/>
      <c r="L14" s="1"/>
      <c r="M14" s="1"/>
      <c r="N14">
        <v>8</v>
      </c>
      <c r="O14" s="10">
        <f t="shared" si="2"/>
        <v>366817.92909056315</v>
      </c>
      <c r="P14" s="1">
        <f t="shared" si="1"/>
        <v>-10274.700000000001</v>
      </c>
      <c r="Q14" s="1">
        <f t="shared" si="0"/>
        <v>2674.0742181792234</v>
      </c>
      <c r="R14" s="10">
        <f t="shared" si="3"/>
        <v>359217.30330874235</v>
      </c>
      <c r="T14" s="8">
        <v>45717</v>
      </c>
      <c r="U14" s="16">
        <f t="shared" si="5"/>
        <v>383987.47806140169</v>
      </c>
      <c r="V14" s="16">
        <f t="shared" si="6"/>
        <v>7120.995311403477</v>
      </c>
      <c r="W14" s="16">
        <f t="shared" si="4"/>
        <v>376866.48274999822</v>
      </c>
    </row>
    <row r="15" spans="1:24" ht="15.75" thickBot="1" x14ac:dyDescent="0.3">
      <c r="A15" s="8">
        <v>45748</v>
      </c>
      <c r="B15" s="6">
        <v>9</v>
      </c>
      <c r="C15" s="6" t="s">
        <v>19</v>
      </c>
      <c r="D15" s="1">
        <v>10274.700000000001</v>
      </c>
      <c r="E15" s="1">
        <v>117.11</v>
      </c>
      <c r="F15" s="1">
        <v>10391.81</v>
      </c>
      <c r="G15" s="1">
        <v>1247.02</v>
      </c>
      <c r="H15" s="23">
        <v>11638.83</v>
      </c>
      <c r="J15" s="85" t="s">
        <v>9</v>
      </c>
      <c r="K15" s="86">
        <f>D5</f>
        <v>8798.2900000000009</v>
      </c>
      <c r="L15" s="1"/>
      <c r="M15" s="1"/>
      <c r="N15">
        <v>9</v>
      </c>
      <c r="O15" s="10">
        <f t="shared" si="2"/>
        <v>359217.30330874235</v>
      </c>
      <c r="P15" s="1">
        <f t="shared" si="1"/>
        <v>-10274.700000000001</v>
      </c>
      <c r="Q15" s="1">
        <f t="shared" si="0"/>
        <v>2617.0695248155675</v>
      </c>
      <c r="R15" s="10">
        <f t="shared" si="3"/>
        <v>351559.67283355788</v>
      </c>
      <c r="T15" s="8">
        <v>45748</v>
      </c>
      <c r="U15" s="16">
        <f t="shared" si="5"/>
        <v>376866.48274999822</v>
      </c>
      <c r="V15" s="16">
        <f t="shared" si="6"/>
        <v>7120.995311403477</v>
      </c>
      <c r="W15" s="16">
        <f t="shared" si="4"/>
        <v>369745.48743859475</v>
      </c>
    </row>
    <row r="16" spans="1:24" x14ac:dyDescent="0.25">
      <c r="A16" s="8">
        <v>45778</v>
      </c>
      <c r="B16" s="6">
        <v>10</v>
      </c>
      <c r="C16" s="6" t="s">
        <v>20</v>
      </c>
      <c r="D16" s="1">
        <v>10274.700000000001</v>
      </c>
      <c r="E16" s="1">
        <v>117.11</v>
      </c>
      <c r="F16" s="1">
        <v>10391.81</v>
      </c>
      <c r="G16" s="1">
        <v>1247.02</v>
      </c>
      <c r="H16" s="23">
        <v>11638.83</v>
      </c>
      <c r="L16" s="1"/>
      <c r="M16" s="1"/>
      <c r="N16">
        <v>10</v>
      </c>
      <c r="O16" s="10">
        <f t="shared" si="2"/>
        <v>351559.67283355788</v>
      </c>
      <c r="P16" s="1">
        <f t="shared" si="1"/>
        <v>-10274.700000000001</v>
      </c>
      <c r="Q16" s="1">
        <f t="shared" si="0"/>
        <v>2559.6372962516839</v>
      </c>
      <c r="R16" s="10">
        <f t="shared" si="3"/>
        <v>343844.61012980953</v>
      </c>
      <c r="T16" s="8">
        <v>45778</v>
      </c>
      <c r="U16" s="16">
        <f t="shared" si="5"/>
        <v>369745.48743859475</v>
      </c>
      <c r="V16" s="16">
        <f t="shared" si="6"/>
        <v>7120.995311403477</v>
      </c>
      <c r="W16" s="16">
        <f t="shared" si="4"/>
        <v>362624.49212719128</v>
      </c>
    </row>
    <row r="17" spans="1:23" x14ac:dyDescent="0.25">
      <c r="A17" s="8">
        <v>45809</v>
      </c>
      <c r="B17" s="6">
        <v>11</v>
      </c>
      <c r="C17" s="6" t="s">
        <v>21</v>
      </c>
      <c r="D17" s="1">
        <v>10274.700000000001</v>
      </c>
      <c r="E17" s="1">
        <v>117.11</v>
      </c>
      <c r="F17" s="1">
        <v>10391.81</v>
      </c>
      <c r="G17" s="1">
        <v>1247.02</v>
      </c>
      <c r="H17" s="23">
        <v>11638.83</v>
      </c>
      <c r="J17" s="9" t="s">
        <v>64</v>
      </c>
      <c r="K17">
        <v>48</v>
      </c>
      <c r="L17" s="1"/>
      <c r="M17" s="1"/>
      <c r="N17">
        <v>11</v>
      </c>
      <c r="O17" s="10">
        <f t="shared" si="2"/>
        <v>343844.61012980953</v>
      </c>
      <c r="P17" s="1">
        <f t="shared" si="1"/>
        <v>-10274.700000000001</v>
      </c>
      <c r="Q17" s="1">
        <f t="shared" si="0"/>
        <v>2501.7743259735712</v>
      </c>
      <c r="R17" s="10">
        <f t="shared" si="3"/>
        <v>336071.68445578311</v>
      </c>
      <c r="T17" s="8">
        <v>45809</v>
      </c>
      <c r="U17" s="16">
        <f t="shared" si="5"/>
        <v>362624.49212719128</v>
      </c>
      <c r="V17" s="16">
        <f t="shared" si="6"/>
        <v>7120.995311403477</v>
      </c>
      <c r="W17" s="16">
        <f t="shared" si="4"/>
        <v>355503.4968157878</v>
      </c>
    </row>
    <row r="18" spans="1:23" x14ac:dyDescent="0.25">
      <c r="A18" s="8">
        <v>45839</v>
      </c>
      <c r="B18" s="6">
        <v>12</v>
      </c>
      <c r="C18" s="6" t="s">
        <v>22</v>
      </c>
      <c r="D18" s="1">
        <v>10274.700000000001</v>
      </c>
      <c r="E18" s="1">
        <v>117.11</v>
      </c>
      <c r="F18" s="1">
        <v>10391.81</v>
      </c>
      <c r="G18" s="1">
        <v>1247.02</v>
      </c>
      <c r="H18" s="23">
        <v>11638.83</v>
      </c>
      <c r="J18" s="9" t="s">
        <v>5</v>
      </c>
      <c r="K18" s="1">
        <f>D7</f>
        <v>10274.700000000001</v>
      </c>
      <c r="L18" s="1"/>
      <c r="M18" s="1"/>
      <c r="N18">
        <v>12</v>
      </c>
      <c r="O18" s="10">
        <f t="shared" si="2"/>
        <v>336071.68445578311</v>
      </c>
      <c r="P18" s="1">
        <f t="shared" si="1"/>
        <v>-10274.700000000001</v>
      </c>
      <c r="Q18" s="1">
        <f t="shared" si="0"/>
        <v>2443.4773834183729</v>
      </c>
      <c r="R18" s="10">
        <f t="shared" si="3"/>
        <v>328240.46183920145</v>
      </c>
      <c r="T18" s="8">
        <v>45839</v>
      </c>
      <c r="U18" s="16">
        <f t="shared" si="5"/>
        <v>355503.4968157878</v>
      </c>
      <c r="V18" s="16">
        <f t="shared" si="6"/>
        <v>7120.995311403477</v>
      </c>
      <c r="W18" s="16">
        <f t="shared" si="4"/>
        <v>348382.50150438433</v>
      </c>
    </row>
    <row r="19" spans="1:23" x14ac:dyDescent="0.25">
      <c r="A19" s="8">
        <v>45870</v>
      </c>
      <c r="B19" s="6">
        <v>13</v>
      </c>
      <c r="C19" s="6" t="s">
        <v>23</v>
      </c>
      <c r="D19" s="1">
        <v>10274.700000000001</v>
      </c>
      <c r="E19" s="1">
        <v>117.11</v>
      </c>
      <c r="F19" s="1">
        <v>10391.81</v>
      </c>
      <c r="G19" s="1">
        <v>1247.02</v>
      </c>
      <c r="H19" s="23">
        <v>11638.83</v>
      </c>
      <c r="J19" s="9" t="s">
        <v>6</v>
      </c>
      <c r="K19" s="1">
        <f>E7</f>
        <v>117.11</v>
      </c>
      <c r="L19" s="1"/>
      <c r="M19" s="1"/>
      <c r="N19">
        <v>13</v>
      </c>
      <c r="O19" s="10">
        <f t="shared" si="2"/>
        <v>328240.46183920145</v>
      </c>
      <c r="P19" s="1">
        <f t="shared" si="1"/>
        <v>-10274.700000000001</v>
      </c>
      <c r="Q19" s="1">
        <f t="shared" si="0"/>
        <v>2384.7432137940109</v>
      </c>
      <c r="R19" s="10">
        <f t="shared" si="3"/>
        <v>320350.50505299546</v>
      </c>
      <c r="T19" s="8">
        <v>45870</v>
      </c>
      <c r="U19" s="16">
        <f t="shared" si="5"/>
        <v>348382.50150438433</v>
      </c>
      <c r="V19" s="16">
        <f t="shared" si="6"/>
        <v>7120.995311403477</v>
      </c>
      <c r="W19" s="16">
        <f t="shared" si="4"/>
        <v>341261.50619298086</v>
      </c>
    </row>
    <row r="20" spans="1:23" x14ac:dyDescent="0.25">
      <c r="A20" s="8">
        <v>45901</v>
      </c>
      <c r="B20" s="6">
        <v>14</v>
      </c>
      <c r="C20" s="6" t="s">
        <v>24</v>
      </c>
      <c r="D20" s="1">
        <v>10274.700000000001</v>
      </c>
      <c r="E20" s="1">
        <v>117.11</v>
      </c>
      <c r="F20" s="1">
        <v>10391.81</v>
      </c>
      <c r="G20" s="1">
        <v>1247.02</v>
      </c>
      <c r="H20" s="23">
        <v>11638.83</v>
      </c>
      <c r="J20" s="9" t="s">
        <v>0</v>
      </c>
      <c r="K20" s="1">
        <f>G7</f>
        <v>1247.02</v>
      </c>
      <c r="N20">
        <v>14</v>
      </c>
      <c r="O20" s="10">
        <f t="shared" si="2"/>
        <v>320350.50505299546</v>
      </c>
      <c r="P20" s="1">
        <f t="shared" si="1"/>
        <v>-10274.700000000001</v>
      </c>
      <c r="Q20" s="1">
        <f t="shared" si="0"/>
        <v>2325.5685378974658</v>
      </c>
      <c r="R20" s="10">
        <f t="shared" si="3"/>
        <v>312401.37359089294</v>
      </c>
      <c r="T20" s="8">
        <v>45901</v>
      </c>
      <c r="U20" s="16">
        <f t="shared" si="5"/>
        <v>341261.50619298086</v>
      </c>
      <c r="V20" s="16">
        <f t="shared" si="6"/>
        <v>7120.995311403477</v>
      </c>
      <c r="W20" s="16">
        <f t="shared" si="4"/>
        <v>334140.51088157739</v>
      </c>
    </row>
    <row r="21" spans="1:23" x14ac:dyDescent="0.25">
      <c r="A21" s="8">
        <v>45931</v>
      </c>
      <c r="B21" s="6">
        <v>15</v>
      </c>
      <c r="C21" s="6" t="s">
        <v>25</v>
      </c>
      <c r="D21" s="1">
        <v>10274.700000000001</v>
      </c>
      <c r="E21" s="1">
        <v>117.11</v>
      </c>
      <c r="F21" s="1">
        <v>10391.81</v>
      </c>
      <c r="G21" s="1">
        <v>1247.02</v>
      </c>
      <c r="H21" s="23">
        <v>11638.83</v>
      </c>
      <c r="L21" s="12"/>
      <c r="M21" s="12"/>
      <c r="N21">
        <v>15</v>
      </c>
      <c r="O21" s="10">
        <f t="shared" si="2"/>
        <v>312401.37359089294</v>
      </c>
      <c r="P21" s="1">
        <f t="shared" si="1"/>
        <v>-10274.700000000001</v>
      </c>
      <c r="Q21" s="1">
        <f t="shared" si="0"/>
        <v>2265.9500519316966</v>
      </c>
      <c r="R21" s="10">
        <f t="shared" si="3"/>
        <v>304392.62364282465</v>
      </c>
      <c r="T21" s="8">
        <v>45931</v>
      </c>
      <c r="U21" s="16">
        <f t="shared" si="5"/>
        <v>334140.51088157739</v>
      </c>
      <c r="V21" s="16">
        <f t="shared" si="6"/>
        <v>7120.995311403477</v>
      </c>
      <c r="W21" s="16">
        <f t="shared" si="4"/>
        <v>327019.51557017391</v>
      </c>
    </row>
    <row r="22" spans="1:23" x14ac:dyDescent="0.25">
      <c r="A22" s="8">
        <v>45962</v>
      </c>
      <c r="B22" s="6">
        <v>16</v>
      </c>
      <c r="C22" s="6" t="s">
        <v>26</v>
      </c>
      <c r="D22" s="1">
        <v>10274.700000000001</v>
      </c>
      <c r="E22" s="1">
        <v>117.11</v>
      </c>
      <c r="F22" s="1">
        <v>10391.81</v>
      </c>
      <c r="G22" s="1">
        <v>1247.02</v>
      </c>
      <c r="H22" s="23">
        <v>11638.83</v>
      </c>
      <c r="J22" s="9" t="s">
        <v>67</v>
      </c>
      <c r="K22" s="1">
        <f>K18+K19+K20</f>
        <v>11638.830000000002</v>
      </c>
      <c r="N22">
        <v>16</v>
      </c>
      <c r="O22" s="10">
        <f t="shared" si="2"/>
        <v>304392.62364282465</v>
      </c>
      <c r="P22" s="1">
        <f t="shared" si="1"/>
        <v>-10274.700000000001</v>
      </c>
      <c r="Q22" s="1">
        <f t="shared" si="0"/>
        <v>2205.8844273211848</v>
      </c>
      <c r="R22" s="10">
        <f t="shared" si="3"/>
        <v>296323.80807014584</v>
      </c>
      <c r="T22" s="8">
        <v>45962</v>
      </c>
      <c r="U22" s="16">
        <f t="shared" si="5"/>
        <v>327019.51557017391</v>
      </c>
      <c r="V22" s="16">
        <f t="shared" si="6"/>
        <v>7120.995311403477</v>
      </c>
      <c r="W22" s="16">
        <f t="shared" si="4"/>
        <v>319898.52025877044</v>
      </c>
    </row>
    <row r="23" spans="1:23" x14ac:dyDescent="0.25">
      <c r="A23" s="8">
        <v>45992</v>
      </c>
      <c r="B23" s="6">
        <v>17</v>
      </c>
      <c r="C23" s="6" t="s">
        <v>27</v>
      </c>
      <c r="D23" s="1">
        <v>10274.700000000001</v>
      </c>
      <c r="E23" s="1">
        <v>117.11</v>
      </c>
      <c r="F23" s="1">
        <v>10391.81</v>
      </c>
      <c r="G23" s="1">
        <v>1247.02</v>
      </c>
      <c r="H23" s="23">
        <v>11638.83</v>
      </c>
      <c r="L23" s="1"/>
      <c r="M23" s="1"/>
      <c r="N23">
        <v>17</v>
      </c>
      <c r="O23" s="10">
        <f t="shared" si="2"/>
        <v>296323.80807014584</v>
      </c>
      <c r="P23" s="1">
        <f t="shared" si="1"/>
        <v>-10274.700000000001</v>
      </c>
      <c r="Q23" s="1">
        <f t="shared" si="0"/>
        <v>2145.3683105260934</v>
      </c>
      <c r="R23" s="10">
        <f t="shared" si="3"/>
        <v>288194.4763806719</v>
      </c>
      <c r="T23" s="8">
        <v>45992</v>
      </c>
      <c r="U23" s="16">
        <f t="shared" si="5"/>
        <v>319898.52025877044</v>
      </c>
      <c r="V23" s="16">
        <f t="shared" si="6"/>
        <v>7120.995311403477</v>
      </c>
      <c r="W23" s="20">
        <f t="shared" si="4"/>
        <v>312777.52494736697</v>
      </c>
    </row>
    <row r="24" spans="1:23" x14ac:dyDescent="0.25">
      <c r="A24" s="8">
        <v>46023</v>
      </c>
      <c r="B24" s="6">
        <v>18</v>
      </c>
      <c r="C24" s="6" t="s">
        <v>28</v>
      </c>
      <c r="D24" s="1">
        <v>10274.700000000001</v>
      </c>
      <c r="E24" s="1">
        <v>117.11</v>
      </c>
      <c r="F24" s="1">
        <v>10391.81</v>
      </c>
      <c r="G24" s="1">
        <v>1247.02</v>
      </c>
      <c r="H24" s="23">
        <v>11638.83</v>
      </c>
      <c r="N24">
        <v>18</v>
      </c>
      <c r="O24" s="10">
        <f t="shared" si="2"/>
        <v>288194.4763806719</v>
      </c>
      <c r="P24" s="1">
        <f t="shared" si="1"/>
        <v>-10274.700000000001</v>
      </c>
      <c r="Q24" s="1">
        <f t="shared" si="0"/>
        <v>2084.3983228550392</v>
      </c>
      <c r="R24" s="10">
        <f t="shared" si="3"/>
        <v>280004.17470352695</v>
      </c>
      <c r="T24" s="8">
        <v>46023</v>
      </c>
      <c r="U24" s="16">
        <f t="shared" si="5"/>
        <v>312777.52494736697</v>
      </c>
      <c r="V24" s="16">
        <f t="shared" si="6"/>
        <v>7120.995311403477</v>
      </c>
      <c r="W24" s="16">
        <f t="shared" si="4"/>
        <v>305656.5296359635</v>
      </c>
    </row>
    <row r="25" spans="1:23" x14ac:dyDescent="0.25">
      <c r="A25" s="8">
        <v>46054</v>
      </c>
      <c r="B25" s="6">
        <v>19</v>
      </c>
      <c r="C25" s="6" t="s">
        <v>29</v>
      </c>
      <c r="D25" s="1">
        <v>10274.700000000001</v>
      </c>
      <c r="E25" s="1">
        <v>117.11</v>
      </c>
      <c r="F25" s="1">
        <v>10391.81</v>
      </c>
      <c r="G25" s="1">
        <v>1247.02</v>
      </c>
      <c r="H25" s="23">
        <v>11638.83</v>
      </c>
      <c r="L25" s="1"/>
      <c r="M25" s="1"/>
      <c r="N25">
        <v>19</v>
      </c>
      <c r="O25" s="10">
        <f t="shared" si="2"/>
        <v>280004.17470352695</v>
      </c>
      <c r="P25" s="1">
        <f t="shared" si="1"/>
        <v>-10274.700000000001</v>
      </c>
      <c r="Q25" s="1">
        <f t="shared" si="0"/>
        <v>2022.9710602764519</v>
      </c>
      <c r="R25" s="10">
        <f t="shared" si="3"/>
        <v>271752.44576380338</v>
      </c>
      <c r="T25" s="8">
        <v>46054</v>
      </c>
      <c r="U25" s="16">
        <f t="shared" si="5"/>
        <v>305656.5296359635</v>
      </c>
      <c r="V25" s="16">
        <f t="shared" si="6"/>
        <v>7120.995311403477</v>
      </c>
      <c r="W25" s="16">
        <f t="shared" si="4"/>
        <v>298535.53432456002</v>
      </c>
    </row>
    <row r="26" spans="1:23" x14ac:dyDescent="0.25">
      <c r="A26" s="8">
        <v>46082</v>
      </c>
      <c r="B26" s="6">
        <v>20</v>
      </c>
      <c r="C26" s="6" t="s">
        <v>30</v>
      </c>
      <c r="D26" s="1">
        <v>10274.700000000001</v>
      </c>
      <c r="E26" s="1">
        <v>117.11</v>
      </c>
      <c r="F26" s="1">
        <v>10391.81</v>
      </c>
      <c r="G26" s="1">
        <v>1247.02</v>
      </c>
      <c r="H26" s="23">
        <v>11638.83</v>
      </c>
      <c r="J26" s="9" t="s">
        <v>65</v>
      </c>
      <c r="N26">
        <v>20</v>
      </c>
      <c r="O26" s="10">
        <f t="shared" si="2"/>
        <v>271752.44576380338</v>
      </c>
      <c r="P26" s="1">
        <f t="shared" si="1"/>
        <v>-10274.700000000001</v>
      </c>
      <c r="Q26" s="1">
        <f t="shared" si="0"/>
        <v>1961.0830932285253</v>
      </c>
      <c r="R26" s="10">
        <f t="shared" si="3"/>
        <v>263438.82885703188</v>
      </c>
      <c r="T26" s="8">
        <v>46082</v>
      </c>
      <c r="U26" s="16">
        <f t="shared" si="5"/>
        <v>298535.53432456002</v>
      </c>
      <c r="V26" s="16">
        <f t="shared" si="6"/>
        <v>7120.995311403477</v>
      </c>
      <c r="W26" s="16">
        <f t="shared" si="4"/>
        <v>291414.53901315655</v>
      </c>
    </row>
    <row r="27" spans="1:23" x14ac:dyDescent="0.25">
      <c r="A27" s="8">
        <v>46113</v>
      </c>
      <c r="B27" s="6">
        <v>21</v>
      </c>
      <c r="C27" s="6" t="s">
        <v>31</v>
      </c>
      <c r="D27" s="1">
        <v>10274.700000000001</v>
      </c>
      <c r="E27" s="1">
        <v>117.11</v>
      </c>
      <c r="F27" s="1">
        <v>10391.81</v>
      </c>
      <c r="G27" s="1">
        <v>1247.02</v>
      </c>
      <c r="H27" s="23">
        <v>11638.83</v>
      </c>
      <c r="J27" s="9" t="s">
        <v>66</v>
      </c>
      <c r="K27" s="1">
        <f>F55</f>
        <v>3547.31</v>
      </c>
      <c r="N27">
        <v>21</v>
      </c>
      <c r="O27" s="10">
        <f t="shared" si="2"/>
        <v>263438.82885703188</v>
      </c>
      <c r="P27" s="1">
        <f t="shared" si="1"/>
        <v>-10274.700000000001</v>
      </c>
      <c r="Q27" s="1">
        <f t="shared" si="0"/>
        <v>1898.7309664277391</v>
      </c>
      <c r="R27" s="10">
        <f t="shared" si="3"/>
        <v>255062.85982345961</v>
      </c>
      <c r="T27" s="8">
        <v>46113</v>
      </c>
      <c r="U27" s="16">
        <f t="shared" si="5"/>
        <v>291414.53901315655</v>
      </c>
      <c r="V27" s="16">
        <f t="shared" si="6"/>
        <v>7120.995311403477</v>
      </c>
      <c r="W27" s="16">
        <f t="shared" si="4"/>
        <v>284293.54370175308</v>
      </c>
    </row>
    <row r="28" spans="1:23" x14ac:dyDescent="0.25">
      <c r="A28" s="8">
        <v>46143</v>
      </c>
      <c r="B28" s="6">
        <v>22</v>
      </c>
      <c r="C28" s="6" t="s">
        <v>32</v>
      </c>
      <c r="D28" s="1">
        <v>10274.700000000001</v>
      </c>
      <c r="E28" s="1">
        <v>117.11</v>
      </c>
      <c r="F28" s="1">
        <v>10391.81</v>
      </c>
      <c r="G28" s="1">
        <v>1247.02</v>
      </c>
      <c r="H28" s="23">
        <v>11638.83</v>
      </c>
      <c r="J28" s="1"/>
      <c r="L28" s="1"/>
      <c r="M28" s="1"/>
      <c r="N28">
        <v>22</v>
      </c>
      <c r="O28" s="10">
        <f t="shared" si="2"/>
        <v>255062.85982345961</v>
      </c>
      <c r="P28" s="1">
        <f t="shared" si="1"/>
        <v>-10274.700000000001</v>
      </c>
      <c r="Q28" s="1">
        <f t="shared" si="0"/>
        <v>1835.9111986759469</v>
      </c>
      <c r="R28" s="10">
        <f t="shared" si="3"/>
        <v>246624.07102213555</v>
      </c>
      <c r="T28" s="8">
        <v>46143</v>
      </c>
      <c r="U28" s="16">
        <f t="shared" si="5"/>
        <v>284293.54370175308</v>
      </c>
      <c r="V28" s="16">
        <f t="shared" si="6"/>
        <v>7120.995311403477</v>
      </c>
      <c r="W28" s="16">
        <f t="shared" si="4"/>
        <v>277172.54839034961</v>
      </c>
    </row>
    <row r="29" spans="1:23" x14ac:dyDescent="0.25">
      <c r="A29" s="8">
        <v>46174</v>
      </c>
      <c r="B29" s="6">
        <v>23</v>
      </c>
      <c r="C29" s="6" t="s">
        <v>33</v>
      </c>
      <c r="D29" s="1">
        <v>10274.700000000001</v>
      </c>
      <c r="E29" s="1">
        <v>117.11</v>
      </c>
      <c r="F29" s="1">
        <v>10391.81</v>
      </c>
      <c r="G29" s="1">
        <v>1247.02</v>
      </c>
      <c r="H29" s="23">
        <v>11638.83</v>
      </c>
      <c r="J29" s="15" t="s">
        <v>74</v>
      </c>
      <c r="K29" s="11"/>
      <c r="L29" s="1"/>
      <c r="M29" s="1"/>
      <c r="N29">
        <v>23</v>
      </c>
      <c r="O29" s="10">
        <f t="shared" si="2"/>
        <v>246624.07102213555</v>
      </c>
      <c r="P29" s="1">
        <f t="shared" si="1"/>
        <v>-10274.700000000001</v>
      </c>
      <c r="Q29" s="1">
        <f t="shared" si="0"/>
        <v>1772.6202826660165</v>
      </c>
      <c r="R29" s="10">
        <f t="shared" si="3"/>
        <v>238121.99130480157</v>
      </c>
      <c r="T29" s="8">
        <v>46174</v>
      </c>
      <c r="U29" s="16">
        <f t="shared" si="5"/>
        <v>277172.54839034961</v>
      </c>
      <c r="V29" s="16">
        <f t="shared" si="6"/>
        <v>7120.995311403477</v>
      </c>
      <c r="W29" s="16">
        <f t="shared" si="4"/>
        <v>270051.55307894613</v>
      </c>
    </row>
    <row r="30" spans="1:23" x14ac:dyDescent="0.25">
      <c r="A30" s="8">
        <v>46204</v>
      </c>
      <c r="B30" s="6">
        <v>24</v>
      </c>
      <c r="C30" s="6" t="s">
        <v>34</v>
      </c>
      <c r="D30" s="1">
        <v>10274.700000000001</v>
      </c>
      <c r="E30" s="1">
        <v>117.11</v>
      </c>
      <c r="F30" s="1">
        <v>10391.81</v>
      </c>
      <c r="G30" s="1">
        <v>1247.02</v>
      </c>
      <c r="H30" s="23">
        <v>11638.83</v>
      </c>
      <c r="J30" s="1">
        <f>K27/(1+K6)^K17</f>
        <v>2478.2009102816146</v>
      </c>
      <c r="K30" s="1"/>
      <c r="L30" s="1"/>
      <c r="M30" s="1"/>
      <c r="N30">
        <v>24</v>
      </c>
      <c r="O30" s="10">
        <f t="shared" si="2"/>
        <v>238121.99130480157</v>
      </c>
      <c r="P30" s="1">
        <f t="shared" si="1"/>
        <v>-10274.700000000001</v>
      </c>
      <c r="Q30" s="1">
        <f t="shared" si="0"/>
        <v>1708.8546847860116</v>
      </c>
      <c r="R30" s="10">
        <f t="shared" si="3"/>
        <v>229556.14598958756</v>
      </c>
      <c r="T30" s="8">
        <v>46204</v>
      </c>
      <c r="U30" s="16">
        <f t="shared" si="5"/>
        <v>270051.55307894613</v>
      </c>
      <c r="V30" s="16">
        <f t="shared" si="6"/>
        <v>7120.995311403477</v>
      </c>
      <c r="W30" s="16">
        <f t="shared" si="4"/>
        <v>262930.55776754266</v>
      </c>
    </row>
    <row r="31" spans="1:23" x14ac:dyDescent="0.25">
      <c r="A31" s="8">
        <v>46235</v>
      </c>
      <c r="B31" s="6">
        <v>25</v>
      </c>
      <c r="C31" s="6" t="s">
        <v>35</v>
      </c>
      <c r="D31" s="1">
        <v>10274.700000000001</v>
      </c>
      <c r="E31" s="1">
        <v>117.11</v>
      </c>
      <c r="F31" s="1">
        <v>10391.81</v>
      </c>
      <c r="G31" s="1">
        <v>1247.02</v>
      </c>
      <c r="H31" s="23">
        <v>11638.83</v>
      </c>
      <c r="K31" s="9"/>
      <c r="L31" s="1"/>
      <c r="M31" s="1"/>
      <c r="N31">
        <v>25</v>
      </c>
      <c r="O31" s="10">
        <f t="shared" si="2"/>
        <v>229556.14598958756</v>
      </c>
      <c r="P31" s="1">
        <f t="shared" si="1"/>
        <v>-10274.700000000001</v>
      </c>
      <c r="Q31" s="1">
        <f t="shared" si="0"/>
        <v>1644.6108449219066</v>
      </c>
      <c r="R31" s="10">
        <f t="shared" si="3"/>
        <v>220926.05683450945</v>
      </c>
      <c r="T31" s="8">
        <v>46235</v>
      </c>
      <c r="U31" s="16">
        <f t="shared" si="5"/>
        <v>262930.55776754266</v>
      </c>
      <c r="V31" s="16">
        <f t="shared" si="6"/>
        <v>7120.995311403477</v>
      </c>
      <c r="W31" s="16">
        <f t="shared" si="4"/>
        <v>255809.56245613919</v>
      </c>
    </row>
    <row r="32" spans="1:23" x14ac:dyDescent="0.25">
      <c r="A32" s="8">
        <v>46266</v>
      </c>
      <c r="B32" s="6">
        <v>26</v>
      </c>
      <c r="C32" s="6" t="s">
        <v>36</v>
      </c>
      <c r="D32" s="1">
        <v>10274.700000000001</v>
      </c>
      <c r="E32" s="1">
        <v>117.11</v>
      </c>
      <c r="F32" s="1">
        <v>10391.81</v>
      </c>
      <c r="G32" s="1">
        <v>1247.02</v>
      </c>
      <c r="H32" s="23">
        <v>11638.83</v>
      </c>
      <c r="M32" s="14"/>
      <c r="N32">
        <v>26</v>
      </c>
      <c r="O32" s="10">
        <f t="shared" si="2"/>
        <v>220926.05683450945</v>
      </c>
      <c r="P32" s="1">
        <f t="shared" si="1"/>
        <v>-10274.700000000001</v>
      </c>
      <c r="Q32" s="1">
        <f t="shared" si="0"/>
        <v>1579.8851762588208</v>
      </c>
      <c r="R32" s="10">
        <f t="shared" si="3"/>
        <v>212231.24201076827</v>
      </c>
      <c r="T32" s="8">
        <v>46266</v>
      </c>
      <c r="U32" s="16">
        <f t="shared" si="5"/>
        <v>255809.56245613919</v>
      </c>
      <c r="V32" s="16">
        <f t="shared" si="6"/>
        <v>7120.995311403477</v>
      </c>
      <c r="W32" s="16">
        <f t="shared" si="4"/>
        <v>248688.56714473572</v>
      </c>
    </row>
    <row r="33" spans="1:23" x14ac:dyDescent="0.25">
      <c r="A33" s="8">
        <v>46296</v>
      </c>
      <c r="B33" s="6">
        <v>27</v>
      </c>
      <c r="C33" s="6" t="s">
        <v>37</v>
      </c>
      <c r="D33" s="1">
        <v>10274.700000000001</v>
      </c>
      <c r="E33" s="1">
        <v>117.11</v>
      </c>
      <c r="F33" s="1">
        <v>10391.81</v>
      </c>
      <c r="G33" s="1">
        <v>1247.02</v>
      </c>
      <c r="H33" s="23">
        <v>11638.83</v>
      </c>
      <c r="J33" s="1" t="s">
        <v>72</v>
      </c>
      <c r="L33" s="1">
        <f>K7</f>
        <v>446989.29</v>
      </c>
      <c r="N33">
        <v>27</v>
      </c>
      <c r="O33" s="10">
        <f t="shared" si="2"/>
        <v>212231.24201076827</v>
      </c>
      <c r="P33" s="1">
        <f t="shared" si="1"/>
        <v>-10274.700000000001</v>
      </c>
      <c r="Q33" s="1">
        <f t="shared" si="0"/>
        <v>1514.6740650807619</v>
      </c>
      <c r="R33" s="10">
        <f t="shared" si="3"/>
        <v>203471.21607584902</v>
      </c>
      <c r="T33" s="8">
        <v>46296</v>
      </c>
      <c r="U33" s="16">
        <f t="shared" si="5"/>
        <v>248688.56714473572</v>
      </c>
      <c r="V33" s="16">
        <f t="shared" si="6"/>
        <v>7120.995311403477</v>
      </c>
      <c r="W33" s="16">
        <f t="shared" si="4"/>
        <v>241567.57183333224</v>
      </c>
    </row>
    <row r="34" spans="1:23" x14ac:dyDescent="0.25">
      <c r="A34" s="8">
        <v>46327</v>
      </c>
      <c r="B34" s="6">
        <v>28</v>
      </c>
      <c r="C34" s="6" t="s">
        <v>38</v>
      </c>
      <c r="D34" s="1">
        <v>10274.700000000001</v>
      </c>
      <c r="E34" s="1">
        <v>117.11</v>
      </c>
      <c r="F34" s="1">
        <v>10391.81</v>
      </c>
      <c r="G34" s="1">
        <v>1247.02</v>
      </c>
      <c r="H34" s="23">
        <v>11638.83</v>
      </c>
      <c r="J34" t="s">
        <v>73</v>
      </c>
      <c r="L34" s="3">
        <f>K12</f>
        <v>-89397.86</v>
      </c>
      <c r="M34" s="1"/>
      <c r="N34">
        <v>28</v>
      </c>
      <c r="O34" s="10">
        <f t="shared" si="2"/>
        <v>203471.21607584902</v>
      </c>
      <c r="P34" s="1">
        <f t="shared" si="1"/>
        <v>-10274.700000000001</v>
      </c>
      <c r="Q34" s="1">
        <f t="shared" si="0"/>
        <v>1448.9738705688676</v>
      </c>
      <c r="R34" s="10">
        <f t="shared" si="3"/>
        <v>194645.48994641789</v>
      </c>
      <c r="T34" s="8">
        <v>46327</v>
      </c>
      <c r="U34" s="16">
        <f t="shared" si="5"/>
        <v>241567.57183333224</v>
      </c>
      <c r="V34" s="16">
        <f t="shared" si="6"/>
        <v>7120.995311403477</v>
      </c>
      <c r="W34" s="16">
        <f t="shared" si="4"/>
        <v>234446.57652192877</v>
      </c>
    </row>
    <row r="35" spans="1:23" x14ac:dyDescent="0.25">
      <c r="A35" s="8">
        <v>46357</v>
      </c>
      <c r="B35" s="6">
        <v>29</v>
      </c>
      <c r="C35" s="6" t="s">
        <v>39</v>
      </c>
      <c r="D35" s="1">
        <v>10274.700000000001</v>
      </c>
      <c r="E35" s="1">
        <v>117.11</v>
      </c>
      <c r="F35" s="1">
        <v>10391.81</v>
      </c>
      <c r="G35" s="1">
        <v>1247.02</v>
      </c>
      <c r="H35" s="23">
        <v>11638.83</v>
      </c>
      <c r="L35" s="1">
        <f>SUM(L33:L34)</f>
        <v>357591.43</v>
      </c>
      <c r="M35" s="1"/>
      <c r="N35">
        <v>29</v>
      </c>
      <c r="O35" s="10">
        <f t="shared" si="2"/>
        <v>194645.48994641789</v>
      </c>
      <c r="P35" s="1">
        <f t="shared" si="1"/>
        <v>-10274.700000000001</v>
      </c>
      <c r="Q35" s="1">
        <f t="shared" si="0"/>
        <v>1382.7809245981341</v>
      </c>
      <c r="R35" s="10">
        <f t="shared" si="3"/>
        <v>185753.57087101601</v>
      </c>
      <c r="T35" s="8">
        <v>46357</v>
      </c>
      <c r="U35" s="16">
        <f t="shared" si="5"/>
        <v>234446.57652192877</v>
      </c>
      <c r="V35" s="16">
        <f t="shared" si="6"/>
        <v>7120.995311403477</v>
      </c>
      <c r="W35" s="20">
        <f t="shared" si="4"/>
        <v>227325.5812105253</v>
      </c>
    </row>
    <row r="36" spans="1:23" x14ac:dyDescent="0.25">
      <c r="A36" s="8">
        <v>46388</v>
      </c>
      <c r="B36" s="6">
        <v>30</v>
      </c>
      <c r="C36" s="6" t="s">
        <v>40</v>
      </c>
      <c r="D36" s="1">
        <v>10274.700000000001</v>
      </c>
      <c r="E36" s="1">
        <v>117.11</v>
      </c>
      <c r="F36" s="1">
        <v>10391.81</v>
      </c>
      <c r="G36" s="1">
        <v>1247.02</v>
      </c>
      <c r="H36" s="23">
        <v>11638.83</v>
      </c>
      <c r="M36" s="1"/>
      <c r="N36">
        <v>30</v>
      </c>
      <c r="O36" s="10">
        <f t="shared" si="2"/>
        <v>185753.57087101601</v>
      </c>
      <c r="P36" s="1">
        <f t="shared" si="1"/>
        <v>-10274.700000000001</v>
      </c>
      <c r="Q36" s="1">
        <f t="shared" si="0"/>
        <v>1316.0915315326199</v>
      </c>
      <c r="R36" s="10">
        <f t="shared" si="3"/>
        <v>176794.96240254861</v>
      </c>
      <c r="T36" s="8">
        <v>46388</v>
      </c>
      <c r="U36" s="16">
        <f t="shared" si="5"/>
        <v>227325.5812105253</v>
      </c>
      <c r="V36" s="16">
        <f t="shared" si="6"/>
        <v>7120.995311403477</v>
      </c>
      <c r="W36" s="16">
        <f t="shared" si="4"/>
        <v>220204.58589912183</v>
      </c>
    </row>
    <row r="37" spans="1:23" x14ac:dyDescent="0.25">
      <c r="A37" s="8">
        <v>46419</v>
      </c>
      <c r="B37" s="6">
        <v>31</v>
      </c>
      <c r="C37" s="6" t="s">
        <v>41</v>
      </c>
      <c r="D37" s="1">
        <v>10274.700000000001</v>
      </c>
      <c r="E37" s="1">
        <v>117.11</v>
      </c>
      <c r="F37" s="1">
        <v>10391.81</v>
      </c>
      <c r="G37" s="1">
        <v>1247.02</v>
      </c>
      <c r="H37" s="23">
        <v>11638.83</v>
      </c>
      <c r="M37" s="1"/>
      <c r="N37">
        <v>31</v>
      </c>
      <c r="O37" s="10">
        <f t="shared" si="2"/>
        <v>176794.96240254861</v>
      </c>
      <c r="P37" s="1">
        <f t="shared" si="1"/>
        <v>-10274.700000000001</v>
      </c>
      <c r="Q37" s="1">
        <f t="shared" si="0"/>
        <v>1248.9019680191145</v>
      </c>
      <c r="R37" s="10">
        <f t="shared" si="3"/>
        <v>167769.16437056771</v>
      </c>
      <c r="T37" s="8">
        <v>46419</v>
      </c>
      <c r="U37" s="16">
        <f t="shared" si="5"/>
        <v>220204.58589912183</v>
      </c>
      <c r="V37" s="16">
        <f t="shared" si="6"/>
        <v>7120.995311403477</v>
      </c>
      <c r="W37" s="16">
        <f t="shared" si="4"/>
        <v>213083.59058771835</v>
      </c>
    </row>
    <row r="38" spans="1:23" x14ac:dyDescent="0.25">
      <c r="A38" s="8">
        <v>46447</v>
      </c>
      <c r="B38" s="6">
        <v>32</v>
      </c>
      <c r="C38" s="6" t="s">
        <v>42</v>
      </c>
      <c r="D38" s="1">
        <v>10274.700000000001</v>
      </c>
      <c r="E38" s="1">
        <v>117.11</v>
      </c>
      <c r="F38" s="1">
        <v>10391.81</v>
      </c>
      <c r="G38" s="1">
        <v>1247.02</v>
      </c>
      <c r="H38" s="23">
        <v>11638.83</v>
      </c>
      <c r="J38" s="1"/>
      <c r="L38" s="1"/>
      <c r="M38" s="1"/>
      <c r="N38">
        <v>32</v>
      </c>
      <c r="O38" s="10">
        <f t="shared" si="2"/>
        <v>167769.16437056771</v>
      </c>
      <c r="P38" s="1">
        <f t="shared" si="1"/>
        <v>-10274.700000000001</v>
      </c>
      <c r="Q38" s="1">
        <f t="shared" si="0"/>
        <v>1181.2084827792578</v>
      </c>
      <c r="R38" s="10">
        <f t="shared" si="3"/>
        <v>158675.67285334697</v>
      </c>
      <c r="T38" s="8">
        <v>46447</v>
      </c>
      <c r="U38" s="16">
        <f t="shared" si="5"/>
        <v>213083.59058771835</v>
      </c>
      <c r="V38" s="16">
        <f t="shared" si="6"/>
        <v>7120.995311403477</v>
      </c>
      <c r="W38" s="16">
        <f t="shared" si="4"/>
        <v>205962.59527631488</v>
      </c>
    </row>
    <row r="39" spans="1:23" x14ac:dyDescent="0.25">
      <c r="A39" s="8">
        <v>46478</v>
      </c>
      <c r="B39" s="6">
        <v>33</v>
      </c>
      <c r="C39" s="6" t="s">
        <v>43</v>
      </c>
      <c r="D39" s="1">
        <v>10274.700000000001</v>
      </c>
      <c r="E39" s="1">
        <v>117.11</v>
      </c>
      <c r="F39" s="1">
        <v>10391.81</v>
      </c>
      <c r="G39" s="1">
        <v>1247.02</v>
      </c>
      <c r="H39" s="23">
        <v>11638.83</v>
      </c>
      <c r="J39" s="1"/>
      <c r="L39" s="1"/>
      <c r="M39" s="1"/>
      <c r="N39">
        <v>33</v>
      </c>
      <c r="O39" s="10">
        <f t="shared" si="2"/>
        <v>158675.67285334697</v>
      </c>
      <c r="P39" s="1">
        <f t="shared" si="1"/>
        <v>-10274.700000000001</v>
      </c>
      <c r="Q39" s="1">
        <f t="shared" si="0"/>
        <v>1113.0072964001022</v>
      </c>
      <c r="R39" s="10">
        <f t="shared" si="3"/>
        <v>149513.98014974708</v>
      </c>
      <c r="T39" s="8">
        <v>46478</v>
      </c>
      <c r="U39" s="16">
        <f t="shared" si="5"/>
        <v>205962.59527631488</v>
      </c>
      <c r="V39" s="16">
        <f t="shared" si="6"/>
        <v>7120.995311403477</v>
      </c>
      <c r="W39" s="16">
        <f t="shared" si="4"/>
        <v>198841.59996491141</v>
      </c>
    </row>
    <row r="40" spans="1:23" x14ac:dyDescent="0.25">
      <c r="A40" s="8">
        <v>46508</v>
      </c>
      <c r="B40" s="6">
        <v>34</v>
      </c>
      <c r="C40" s="6" t="s">
        <v>44</v>
      </c>
      <c r="D40" s="1">
        <v>10274.700000000001</v>
      </c>
      <c r="E40" s="1">
        <v>117.11</v>
      </c>
      <c r="F40" s="1">
        <v>10391.81</v>
      </c>
      <c r="G40" s="1">
        <v>1247.02</v>
      </c>
      <c r="H40" s="23">
        <v>11638.83</v>
      </c>
      <c r="J40" s="1"/>
      <c r="L40" s="1"/>
      <c r="M40" s="1"/>
      <c r="N40">
        <v>34</v>
      </c>
      <c r="O40" s="10">
        <f t="shared" si="2"/>
        <v>149513.98014974708</v>
      </c>
      <c r="P40" s="1">
        <f t="shared" si="1"/>
        <v>-10274.700000000001</v>
      </c>
      <c r="Q40" s="1">
        <f t="shared" si="0"/>
        <v>1044.2946011231029</v>
      </c>
      <c r="R40" s="10">
        <f t="shared" si="3"/>
        <v>140283.57475087018</v>
      </c>
      <c r="T40" s="8">
        <v>46508</v>
      </c>
      <c r="U40" s="16">
        <f t="shared" si="5"/>
        <v>198841.59996491141</v>
      </c>
      <c r="V40" s="16">
        <f t="shared" si="6"/>
        <v>7120.995311403477</v>
      </c>
      <c r="W40" s="16">
        <f t="shared" si="4"/>
        <v>191720.60465350794</v>
      </c>
    </row>
    <row r="41" spans="1:23" x14ac:dyDescent="0.25">
      <c r="A41" s="8">
        <v>46539</v>
      </c>
      <c r="B41" s="6">
        <v>35</v>
      </c>
      <c r="C41" s="6" t="s">
        <v>45</v>
      </c>
      <c r="D41" s="1">
        <v>10274.700000000001</v>
      </c>
      <c r="E41" s="1">
        <v>117.11</v>
      </c>
      <c r="F41" s="1">
        <v>10391.81</v>
      </c>
      <c r="G41" s="1">
        <v>1247.02</v>
      </c>
      <c r="H41" s="23">
        <v>11638.83</v>
      </c>
      <c r="J41" s="1"/>
      <c r="L41" s="1"/>
      <c r="M41" s="1"/>
      <c r="N41">
        <v>35</v>
      </c>
      <c r="O41" s="10">
        <f t="shared" si="2"/>
        <v>140283.57475087018</v>
      </c>
      <c r="P41" s="1">
        <f t="shared" si="1"/>
        <v>-10274.700000000001</v>
      </c>
      <c r="Q41" s="1">
        <f t="shared" si="0"/>
        <v>975.06656063152627</v>
      </c>
      <c r="R41" s="10">
        <f t="shared" si="3"/>
        <v>130983.94131150171</v>
      </c>
      <c r="T41" s="8">
        <v>46539</v>
      </c>
      <c r="U41" s="16">
        <f t="shared" si="5"/>
        <v>191720.60465350794</v>
      </c>
      <c r="V41" s="16">
        <f t="shared" si="6"/>
        <v>7120.995311403477</v>
      </c>
      <c r="W41" s="16">
        <f t="shared" si="4"/>
        <v>184599.60934210446</v>
      </c>
    </row>
    <row r="42" spans="1:23" x14ac:dyDescent="0.25">
      <c r="A42" s="8">
        <v>46569</v>
      </c>
      <c r="B42" s="6">
        <v>36</v>
      </c>
      <c r="C42" s="6" t="s">
        <v>46</v>
      </c>
      <c r="D42" s="1">
        <v>10274.700000000001</v>
      </c>
      <c r="E42" s="1">
        <v>117.11</v>
      </c>
      <c r="F42" s="1">
        <v>10391.81</v>
      </c>
      <c r="G42" s="1">
        <v>1247.02</v>
      </c>
      <c r="H42" s="23">
        <v>11638.83</v>
      </c>
      <c r="J42" s="1"/>
      <c r="L42" s="1"/>
      <c r="M42" s="1"/>
      <c r="N42">
        <v>36</v>
      </c>
      <c r="O42" s="10">
        <f t="shared" si="2"/>
        <v>130983.94131150171</v>
      </c>
      <c r="P42" s="1">
        <f t="shared" si="1"/>
        <v>-10274.700000000001</v>
      </c>
      <c r="Q42" s="1">
        <f t="shared" si="0"/>
        <v>905.31930983626285</v>
      </c>
      <c r="R42" s="10">
        <f t="shared" si="3"/>
        <v>121614.56062133798</v>
      </c>
      <c r="T42" s="8">
        <v>46569</v>
      </c>
      <c r="U42" s="16">
        <f t="shared" si="5"/>
        <v>184599.60934210446</v>
      </c>
      <c r="V42" s="16">
        <f t="shared" si="6"/>
        <v>7120.995311403477</v>
      </c>
      <c r="W42" s="16">
        <f t="shared" si="4"/>
        <v>177478.61403070099</v>
      </c>
    </row>
    <row r="43" spans="1:23" x14ac:dyDescent="0.25">
      <c r="A43" s="8">
        <v>46600</v>
      </c>
      <c r="B43" s="6">
        <v>37</v>
      </c>
      <c r="C43" s="6" t="s">
        <v>47</v>
      </c>
      <c r="D43" s="1">
        <v>10274.700000000001</v>
      </c>
      <c r="E43" s="1">
        <v>117.11</v>
      </c>
      <c r="F43" s="1">
        <v>10391.81</v>
      </c>
      <c r="G43" s="1">
        <v>1247.02</v>
      </c>
      <c r="H43" s="23">
        <v>11638.83</v>
      </c>
      <c r="J43" s="1"/>
      <c r="L43" s="1"/>
      <c r="M43" s="1"/>
      <c r="N43">
        <v>37</v>
      </c>
      <c r="O43" s="10">
        <f t="shared" si="2"/>
        <v>121614.56062133798</v>
      </c>
      <c r="P43" s="1">
        <f t="shared" si="1"/>
        <v>-10274.700000000001</v>
      </c>
      <c r="Q43" s="1">
        <f t="shared" si="0"/>
        <v>835.04895466003484</v>
      </c>
      <c r="R43" s="10">
        <f t="shared" si="3"/>
        <v>112174.90957599801</v>
      </c>
      <c r="T43" s="8">
        <v>46600</v>
      </c>
      <c r="U43" s="16">
        <f t="shared" si="5"/>
        <v>177478.61403070099</v>
      </c>
      <c r="V43" s="16">
        <f t="shared" si="6"/>
        <v>7120.995311403477</v>
      </c>
      <c r="W43" s="16">
        <f t="shared" si="4"/>
        <v>170357.61871929752</v>
      </c>
    </row>
    <row r="44" spans="1:23" x14ac:dyDescent="0.25">
      <c r="A44" s="8">
        <v>46631</v>
      </c>
      <c r="B44" s="6">
        <v>38</v>
      </c>
      <c r="C44" s="6" t="s">
        <v>48</v>
      </c>
      <c r="D44" s="1">
        <v>10274.700000000001</v>
      </c>
      <c r="E44" s="1">
        <v>117.11</v>
      </c>
      <c r="F44" s="1">
        <v>10391.81</v>
      </c>
      <c r="G44" s="1">
        <v>1247.02</v>
      </c>
      <c r="H44" s="23">
        <v>11638.83</v>
      </c>
      <c r="J44" s="1"/>
      <c r="L44" s="1"/>
      <c r="M44" s="1"/>
      <c r="N44">
        <v>38</v>
      </c>
      <c r="O44" s="10">
        <f t="shared" si="2"/>
        <v>112174.90957599801</v>
      </c>
      <c r="P44" s="1">
        <f t="shared" si="1"/>
        <v>-10274.700000000001</v>
      </c>
      <c r="Q44" s="1">
        <f t="shared" si="0"/>
        <v>764.25157181998509</v>
      </c>
      <c r="R44" s="10">
        <f t="shared" si="3"/>
        <v>102664.461147818</v>
      </c>
      <c r="T44" s="8">
        <v>46631</v>
      </c>
      <c r="U44" s="16">
        <f t="shared" si="5"/>
        <v>170357.61871929752</v>
      </c>
      <c r="V44" s="16">
        <f t="shared" si="6"/>
        <v>7120.995311403477</v>
      </c>
      <c r="W44" s="16">
        <f t="shared" si="4"/>
        <v>163236.62340789405</v>
      </c>
    </row>
    <row r="45" spans="1:23" x14ac:dyDescent="0.25">
      <c r="A45" s="8">
        <v>46661</v>
      </c>
      <c r="B45" s="6">
        <v>39</v>
      </c>
      <c r="C45" s="6" t="s">
        <v>49</v>
      </c>
      <c r="D45" s="1">
        <v>10274.700000000001</v>
      </c>
      <c r="E45" s="1">
        <v>117.11</v>
      </c>
      <c r="F45" s="1">
        <v>10391.81</v>
      </c>
      <c r="G45" s="1">
        <v>1247.02</v>
      </c>
      <c r="H45" s="23">
        <v>11638.83</v>
      </c>
      <c r="J45" s="1"/>
      <c r="L45" s="1"/>
      <c r="M45" s="1"/>
      <c r="N45">
        <v>39</v>
      </c>
      <c r="O45" s="10">
        <f t="shared" si="2"/>
        <v>102664.461147818</v>
      </c>
      <c r="P45" s="1">
        <f t="shared" si="1"/>
        <v>-10274.700000000001</v>
      </c>
      <c r="Q45" s="1">
        <f t="shared" si="0"/>
        <v>692.92320860863504</v>
      </c>
      <c r="R45" s="10">
        <f t="shared" si="3"/>
        <v>93082.684356426646</v>
      </c>
      <c r="T45" s="8">
        <v>46661</v>
      </c>
      <c r="U45" s="16">
        <f t="shared" si="5"/>
        <v>163236.62340789405</v>
      </c>
      <c r="V45" s="16">
        <f t="shared" si="6"/>
        <v>7120.995311403477</v>
      </c>
      <c r="W45" s="16">
        <f t="shared" si="4"/>
        <v>156115.62809649057</v>
      </c>
    </row>
    <row r="46" spans="1:23" x14ac:dyDescent="0.25">
      <c r="A46" s="8">
        <v>46692</v>
      </c>
      <c r="B46" s="6">
        <v>40</v>
      </c>
      <c r="C46" s="6" t="s">
        <v>50</v>
      </c>
      <c r="D46" s="1">
        <v>10274.700000000001</v>
      </c>
      <c r="E46" s="1">
        <v>117.11</v>
      </c>
      <c r="F46" s="1">
        <v>10391.81</v>
      </c>
      <c r="G46" s="1">
        <v>1247.02</v>
      </c>
      <c r="H46" s="23">
        <v>11638.83</v>
      </c>
      <c r="J46" s="1"/>
      <c r="L46" s="1"/>
      <c r="M46" s="1"/>
      <c r="N46">
        <v>40</v>
      </c>
      <c r="O46" s="10">
        <f t="shared" si="2"/>
        <v>93082.684356426646</v>
      </c>
      <c r="P46" s="1">
        <f t="shared" si="1"/>
        <v>-10274.700000000001</v>
      </c>
      <c r="Q46" s="1">
        <f t="shared" si="0"/>
        <v>621.05988267319981</v>
      </c>
      <c r="R46" s="10">
        <f t="shared" si="3"/>
        <v>83429.044239099851</v>
      </c>
      <c r="T46" s="8">
        <v>46692</v>
      </c>
      <c r="U46" s="16">
        <f t="shared" si="5"/>
        <v>156115.62809649057</v>
      </c>
      <c r="V46" s="16">
        <f t="shared" si="6"/>
        <v>7120.995311403477</v>
      </c>
      <c r="W46" s="16">
        <f t="shared" si="4"/>
        <v>148994.6327850871</v>
      </c>
    </row>
    <row r="47" spans="1:23" x14ac:dyDescent="0.25">
      <c r="A47" s="8">
        <v>46722</v>
      </c>
      <c r="B47" s="6">
        <v>41</v>
      </c>
      <c r="C47" s="6" t="s">
        <v>51</v>
      </c>
      <c r="D47" s="1">
        <v>10274.700000000001</v>
      </c>
      <c r="E47" s="1">
        <v>117.11</v>
      </c>
      <c r="F47" s="1">
        <v>10391.81</v>
      </c>
      <c r="G47" s="1">
        <v>1247.02</v>
      </c>
      <c r="H47" s="23">
        <v>11638.83</v>
      </c>
      <c r="J47" s="1"/>
      <c r="L47" s="1"/>
      <c r="M47" s="1"/>
      <c r="N47">
        <v>41</v>
      </c>
      <c r="O47" s="10">
        <f t="shared" si="2"/>
        <v>83429.044239099851</v>
      </c>
      <c r="P47" s="1">
        <f t="shared" si="1"/>
        <v>-10274.700000000001</v>
      </c>
      <c r="Q47" s="1">
        <f t="shared" si="0"/>
        <v>548.65758179324894</v>
      </c>
      <c r="R47" s="10">
        <f t="shared" si="3"/>
        <v>73703.0018208931</v>
      </c>
      <c r="T47" s="8">
        <v>46722</v>
      </c>
      <c r="U47" s="16">
        <f t="shared" si="5"/>
        <v>148994.6327850871</v>
      </c>
      <c r="V47" s="16">
        <f t="shared" si="6"/>
        <v>7120.995311403477</v>
      </c>
      <c r="W47" s="20">
        <f t="shared" si="4"/>
        <v>141873.63747368363</v>
      </c>
    </row>
    <row r="48" spans="1:23" x14ac:dyDescent="0.25">
      <c r="A48" s="8">
        <v>46753</v>
      </c>
      <c r="B48" s="6">
        <v>42</v>
      </c>
      <c r="C48" s="6" t="s">
        <v>52</v>
      </c>
      <c r="D48" s="1">
        <v>10274.700000000001</v>
      </c>
      <c r="E48" s="1">
        <v>117.11</v>
      </c>
      <c r="F48" s="1">
        <v>10391.81</v>
      </c>
      <c r="G48" s="1">
        <v>1247.02</v>
      </c>
      <c r="H48" s="23">
        <v>11638.83</v>
      </c>
      <c r="J48" s="1"/>
      <c r="L48" s="1"/>
      <c r="M48" s="1"/>
      <c r="N48">
        <v>42</v>
      </c>
      <c r="O48" s="10">
        <f t="shared" si="2"/>
        <v>73703.0018208931</v>
      </c>
      <c r="P48" s="1">
        <f t="shared" si="1"/>
        <v>-10274.700000000001</v>
      </c>
      <c r="Q48" s="1">
        <f t="shared" si="0"/>
        <v>475.71226365669827</v>
      </c>
      <c r="R48" s="10">
        <f t="shared" si="3"/>
        <v>63904.014084549803</v>
      </c>
      <c r="T48" s="8">
        <v>46753</v>
      </c>
      <c r="U48" s="16">
        <f t="shared" si="5"/>
        <v>141873.63747368363</v>
      </c>
      <c r="V48" s="16">
        <f t="shared" si="6"/>
        <v>7120.995311403477</v>
      </c>
      <c r="W48" s="16">
        <f t="shared" si="4"/>
        <v>134752.64216228016</v>
      </c>
    </row>
    <row r="49" spans="1:23" x14ac:dyDescent="0.25">
      <c r="A49" s="8">
        <v>46784</v>
      </c>
      <c r="B49" s="6">
        <v>43</v>
      </c>
      <c r="C49" s="6" t="s">
        <v>53</v>
      </c>
      <c r="D49" s="1">
        <v>10274.700000000001</v>
      </c>
      <c r="E49" s="1">
        <v>117.11</v>
      </c>
      <c r="F49" s="1">
        <v>10391.81</v>
      </c>
      <c r="G49" s="1">
        <v>1247.02</v>
      </c>
      <c r="H49" s="23">
        <v>11638.83</v>
      </c>
      <c r="J49" s="1"/>
      <c r="L49" s="1"/>
      <c r="M49" s="1"/>
      <c r="N49">
        <v>43</v>
      </c>
      <c r="O49" s="10">
        <f t="shared" si="2"/>
        <v>63904.014084549803</v>
      </c>
      <c r="P49" s="1">
        <f t="shared" si="1"/>
        <v>-10274.700000000001</v>
      </c>
      <c r="Q49" s="1">
        <f t="shared" si="0"/>
        <v>402.21985563412346</v>
      </c>
      <c r="R49" s="10">
        <f t="shared" si="3"/>
        <v>54031.533940183923</v>
      </c>
      <c r="T49" s="8">
        <v>46784</v>
      </c>
      <c r="U49" s="16">
        <f t="shared" si="5"/>
        <v>134752.64216228016</v>
      </c>
      <c r="V49" s="16">
        <f t="shared" si="6"/>
        <v>7120.995311403477</v>
      </c>
      <c r="W49" s="16">
        <f t="shared" si="4"/>
        <v>127631.64685087668</v>
      </c>
    </row>
    <row r="50" spans="1:23" x14ac:dyDescent="0.25">
      <c r="A50" s="8">
        <v>46813</v>
      </c>
      <c r="B50" s="6">
        <v>44</v>
      </c>
      <c r="C50" s="6" t="s">
        <v>54</v>
      </c>
      <c r="D50" s="1">
        <v>10274.700000000001</v>
      </c>
      <c r="E50" s="1">
        <v>117.11</v>
      </c>
      <c r="F50" s="1">
        <v>10391.81</v>
      </c>
      <c r="G50" s="1">
        <v>1247.02</v>
      </c>
      <c r="H50" s="23">
        <v>11638.83</v>
      </c>
      <c r="J50" s="1"/>
      <c r="L50" s="1"/>
      <c r="M50" s="1"/>
      <c r="N50">
        <v>44</v>
      </c>
      <c r="O50" s="10">
        <f t="shared" si="2"/>
        <v>54031.533940183923</v>
      </c>
      <c r="P50" s="1">
        <f t="shared" si="1"/>
        <v>-10274.700000000001</v>
      </c>
      <c r="Q50" s="1">
        <f t="shared" si="0"/>
        <v>328.17625455137937</v>
      </c>
      <c r="R50" s="10">
        <f t="shared" si="3"/>
        <v>44085.010194735296</v>
      </c>
      <c r="T50" s="8">
        <v>46813</v>
      </c>
      <c r="U50" s="16">
        <f t="shared" si="5"/>
        <v>127631.64685087668</v>
      </c>
      <c r="V50" s="16">
        <f t="shared" si="6"/>
        <v>7120.995311403477</v>
      </c>
      <c r="W50" s="16">
        <f t="shared" si="4"/>
        <v>120510.65153947321</v>
      </c>
    </row>
    <row r="51" spans="1:23" x14ac:dyDescent="0.25">
      <c r="A51" s="8">
        <v>46844</v>
      </c>
      <c r="B51" s="6">
        <v>45</v>
      </c>
      <c r="C51" s="6" t="s">
        <v>55</v>
      </c>
      <c r="D51" s="1">
        <v>10274.700000000001</v>
      </c>
      <c r="E51" s="1">
        <v>117.11</v>
      </c>
      <c r="F51" s="1">
        <v>10391.81</v>
      </c>
      <c r="G51" s="1">
        <v>1247.02</v>
      </c>
      <c r="H51" s="23">
        <v>11638.83</v>
      </c>
      <c r="J51" s="1"/>
      <c r="L51" s="1"/>
      <c r="M51" s="1"/>
      <c r="N51">
        <v>45</v>
      </c>
      <c r="O51" s="10">
        <f t="shared" si="2"/>
        <v>44085.010194735296</v>
      </c>
      <c r="P51" s="1">
        <f t="shared" si="1"/>
        <v>-10274.700000000001</v>
      </c>
      <c r="Q51" s="1">
        <f t="shared" si="0"/>
        <v>253.57732646051474</v>
      </c>
      <c r="R51" s="10">
        <f t="shared" si="3"/>
        <v>34063.887521195815</v>
      </c>
      <c r="T51" s="8">
        <v>46844</v>
      </c>
      <c r="U51" s="16">
        <f t="shared" si="5"/>
        <v>120510.65153947321</v>
      </c>
      <c r="V51" s="16">
        <f t="shared" si="6"/>
        <v>7120.995311403477</v>
      </c>
      <c r="W51" s="16">
        <f t="shared" si="4"/>
        <v>113389.65622806974</v>
      </c>
    </row>
    <row r="52" spans="1:23" x14ac:dyDescent="0.25">
      <c r="A52" s="8">
        <v>46874</v>
      </c>
      <c r="B52" s="6">
        <v>46</v>
      </c>
      <c r="C52" s="6" t="s">
        <v>56</v>
      </c>
      <c r="D52" s="1">
        <v>10274.700000000001</v>
      </c>
      <c r="E52" s="1">
        <v>117.11</v>
      </c>
      <c r="F52" s="1">
        <v>10391.81</v>
      </c>
      <c r="G52" s="1">
        <v>1247.02</v>
      </c>
      <c r="H52" s="23">
        <v>11638.83</v>
      </c>
      <c r="J52" s="1"/>
      <c r="L52" s="1"/>
      <c r="M52" s="1"/>
      <c r="N52">
        <v>46</v>
      </c>
      <c r="O52" s="10">
        <f t="shared" si="2"/>
        <v>34063.887521195815</v>
      </c>
      <c r="P52" s="1">
        <f t="shared" si="1"/>
        <v>-10274.700000000001</v>
      </c>
      <c r="Q52" s="1">
        <f t="shared" si="0"/>
        <v>178.41890640896861</v>
      </c>
      <c r="R52" s="10">
        <f t="shared" si="3"/>
        <v>23967.606427604784</v>
      </c>
      <c r="T52" s="8">
        <v>46874</v>
      </c>
      <c r="U52" s="16">
        <f t="shared" si="5"/>
        <v>113389.65622806974</v>
      </c>
      <c r="V52" s="16">
        <f t="shared" si="6"/>
        <v>7120.995311403477</v>
      </c>
      <c r="W52" s="16">
        <f t="shared" si="4"/>
        <v>106268.66091666627</v>
      </c>
    </row>
    <row r="53" spans="1:23" x14ac:dyDescent="0.25">
      <c r="A53" s="8">
        <v>46905</v>
      </c>
      <c r="B53" s="6">
        <v>47</v>
      </c>
      <c r="C53" s="6" t="s">
        <v>57</v>
      </c>
      <c r="D53" s="1">
        <v>10274.700000000001</v>
      </c>
      <c r="E53" s="1">
        <v>117.11</v>
      </c>
      <c r="F53" s="1">
        <v>10391.81</v>
      </c>
      <c r="G53" s="1">
        <v>1247.02</v>
      </c>
      <c r="H53" s="23">
        <v>11638.83</v>
      </c>
      <c r="J53" s="1"/>
      <c r="L53" s="1"/>
      <c r="M53" s="1"/>
      <c r="N53">
        <v>47</v>
      </c>
      <c r="O53" s="10">
        <f t="shared" si="2"/>
        <v>23967.606427604784</v>
      </c>
      <c r="P53" s="1">
        <f t="shared" si="1"/>
        <v>-10274.700000000001</v>
      </c>
      <c r="Q53" s="1">
        <f t="shared" si="0"/>
        <v>102.69679820703587</v>
      </c>
      <c r="R53" s="10">
        <f t="shared" si="3"/>
        <v>13795.603225811819</v>
      </c>
      <c r="T53" s="8">
        <v>46905</v>
      </c>
      <c r="U53" s="16">
        <f t="shared" si="5"/>
        <v>106268.66091666627</v>
      </c>
      <c r="V53" s="16">
        <f t="shared" si="6"/>
        <v>7120.995311403477</v>
      </c>
      <c r="W53" s="16">
        <f t="shared" si="4"/>
        <v>99147.665605262795</v>
      </c>
    </row>
    <row r="54" spans="1:23" x14ac:dyDescent="0.25">
      <c r="A54" s="74">
        <v>46935</v>
      </c>
      <c r="B54" s="75">
        <v>48</v>
      </c>
      <c r="C54" s="75" t="s">
        <v>58</v>
      </c>
      <c r="D54" s="76">
        <v>10274.700000000001</v>
      </c>
      <c r="E54" s="76">
        <v>117.11</v>
      </c>
      <c r="F54" s="76">
        <v>10391.81</v>
      </c>
      <c r="G54" s="76">
        <v>1247.02</v>
      </c>
      <c r="H54" s="76">
        <v>11638.83</v>
      </c>
      <c r="J54" s="1"/>
      <c r="L54" s="1"/>
      <c r="M54" s="1"/>
      <c r="N54">
        <v>48</v>
      </c>
      <c r="O54" s="10">
        <f t="shared" si="2"/>
        <v>13795.603225811819</v>
      </c>
      <c r="P54" s="1">
        <f t="shared" si="1"/>
        <v>-10274.700000000001</v>
      </c>
      <c r="Q54" s="1">
        <f t="shared" si="0"/>
        <v>26.406774193588639</v>
      </c>
      <c r="R54" s="10">
        <f t="shared" si="3"/>
        <v>3547.3100000054073</v>
      </c>
      <c r="T54" s="8">
        <v>46935</v>
      </c>
      <c r="U54" s="16">
        <f t="shared" si="5"/>
        <v>99147.665605262795</v>
      </c>
      <c r="V54" s="16">
        <f t="shared" si="6"/>
        <v>7120.995311403477</v>
      </c>
      <c r="W54" s="16">
        <f t="shared" si="4"/>
        <v>92026.670293859323</v>
      </c>
    </row>
    <row r="55" spans="1:23" x14ac:dyDescent="0.25">
      <c r="A55" s="74">
        <v>46935</v>
      </c>
      <c r="B55" s="75">
        <f>+B54</f>
        <v>48</v>
      </c>
      <c r="C55" s="77" t="s">
        <v>59</v>
      </c>
      <c r="D55" s="76"/>
      <c r="E55" s="78"/>
      <c r="F55" s="78">
        <v>3547.31</v>
      </c>
      <c r="G55" s="78">
        <f>F55*0.12</f>
        <v>425.67719999999997</v>
      </c>
      <c r="H55" s="78">
        <f>F55+G55</f>
        <v>3972.9872</v>
      </c>
      <c r="J55" s="1"/>
      <c r="L55" s="1"/>
      <c r="M55" s="1"/>
      <c r="N55">
        <v>49</v>
      </c>
      <c r="O55" s="10">
        <f>R54</f>
        <v>3547.3100000054073</v>
      </c>
      <c r="P55" s="1">
        <f>-F55</f>
        <v>-3547.31</v>
      </c>
      <c r="Q55" s="1">
        <f t="shared" si="0"/>
        <v>4.0555505620432082E-11</v>
      </c>
      <c r="R55" s="10">
        <f t="shared" si="3"/>
        <v>5.4479562550113773E-9</v>
      </c>
      <c r="T55" s="8">
        <v>46966</v>
      </c>
      <c r="U55" s="16">
        <f t="shared" si="5"/>
        <v>92026.670293859323</v>
      </c>
      <c r="V55" s="16">
        <f t="shared" si="6"/>
        <v>7120.995311403477</v>
      </c>
      <c r="W55" s="16">
        <f t="shared" si="4"/>
        <v>84905.67498245585</v>
      </c>
    </row>
    <row r="56" spans="1:23" x14ac:dyDescent="0.25">
      <c r="A56" s="59"/>
      <c r="B56" s="59"/>
      <c r="C56" s="59"/>
      <c r="D56" s="80">
        <f>SUM(D7:D55)</f>
        <v>493185.60000000038</v>
      </c>
      <c r="E56" s="80">
        <f t="shared" ref="E56:H56" si="7">SUM(E7:E55)</f>
        <v>5621.279999999997</v>
      </c>
      <c r="F56" s="80">
        <f t="shared" si="7"/>
        <v>502354.18999999994</v>
      </c>
      <c r="G56" s="80">
        <f t="shared" si="7"/>
        <v>60282.637199999939</v>
      </c>
      <c r="H56" s="80">
        <f t="shared" si="7"/>
        <v>562636.82720000006</v>
      </c>
      <c r="J56" s="1"/>
      <c r="L56" s="1"/>
      <c r="M56" s="1"/>
      <c r="T56" s="8">
        <v>46997</v>
      </c>
      <c r="U56" s="16">
        <f t="shared" si="5"/>
        <v>84905.67498245585</v>
      </c>
      <c r="V56" s="16">
        <f t="shared" si="6"/>
        <v>7120.995311403477</v>
      </c>
      <c r="W56" s="16">
        <f t="shared" si="4"/>
        <v>77784.679671052378</v>
      </c>
    </row>
    <row r="57" spans="1:23" x14ac:dyDescent="0.25">
      <c r="J57" s="1"/>
      <c r="T57" s="8">
        <v>47027</v>
      </c>
      <c r="U57" s="16">
        <f t="shared" si="5"/>
        <v>77784.679671052378</v>
      </c>
      <c r="V57" s="16">
        <f t="shared" si="6"/>
        <v>7120.995311403477</v>
      </c>
      <c r="W57" s="16">
        <f t="shared" si="4"/>
        <v>70663.684359648905</v>
      </c>
    </row>
    <row r="58" spans="1:23" x14ac:dyDescent="0.25">
      <c r="T58" s="8">
        <v>47058</v>
      </c>
      <c r="U58" s="16">
        <f t="shared" si="5"/>
        <v>70663.684359648905</v>
      </c>
      <c r="V58" s="16">
        <f t="shared" si="6"/>
        <v>7120.995311403477</v>
      </c>
      <c r="W58" s="16">
        <f t="shared" si="4"/>
        <v>63542.689048245426</v>
      </c>
    </row>
    <row r="59" spans="1:23" x14ac:dyDescent="0.25">
      <c r="T59" s="8">
        <v>47088</v>
      </c>
      <c r="U59" s="16">
        <f t="shared" si="5"/>
        <v>63542.689048245426</v>
      </c>
      <c r="V59" s="16">
        <f t="shared" si="6"/>
        <v>7120.995311403477</v>
      </c>
      <c r="W59" s="20">
        <f t="shared" si="4"/>
        <v>56421.693736841946</v>
      </c>
    </row>
    <row r="60" spans="1:23" x14ac:dyDescent="0.25">
      <c r="T60" s="8">
        <v>47119</v>
      </c>
      <c r="U60" s="16">
        <f t="shared" si="5"/>
        <v>56421.693736841946</v>
      </c>
      <c r="V60" s="16">
        <f t="shared" si="6"/>
        <v>7120.995311403477</v>
      </c>
      <c r="W60" s="16">
        <f t="shared" si="4"/>
        <v>49300.698425438466</v>
      </c>
    </row>
    <row r="61" spans="1:23" x14ac:dyDescent="0.25">
      <c r="T61" s="8">
        <v>47150</v>
      </c>
      <c r="U61" s="16">
        <f t="shared" si="5"/>
        <v>49300.698425438466</v>
      </c>
      <c r="V61" s="16">
        <f t="shared" si="6"/>
        <v>7120.995311403477</v>
      </c>
      <c r="W61" s="16">
        <f t="shared" si="4"/>
        <v>42179.703114034986</v>
      </c>
    </row>
    <row r="62" spans="1:23" x14ac:dyDescent="0.25">
      <c r="T62" s="8">
        <v>47178</v>
      </c>
      <c r="U62" s="16">
        <f t="shared" si="5"/>
        <v>42179.703114034986</v>
      </c>
      <c r="V62" s="16">
        <f t="shared" si="6"/>
        <v>7120.995311403477</v>
      </c>
      <c r="W62" s="16">
        <f t="shared" si="4"/>
        <v>35058.707802631507</v>
      </c>
    </row>
    <row r="63" spans="1:23" x14ac:dyDescent="0.25">
      <c r="T63" s="8">
        <v>47209</v>
      </c>
      <c r="U63" s="16">
        <f t="shared" si="5"/>
        <v>35058.707802631507</v>
      </c>
      <c r="V63" s="16">
        <f t="shared" si="6"/>
        <v>7120.995311403477</v>
      </c>
      <c r="W63" s="16">
        <f t="shared" si="4"/>
        <v>27937.712491228031</v>
      </c>
    </row>
    <row r="64" spans="1:23" x14ac:dyDescent="0.25">
      <c r="T64" s="8">
        <v>47239</v>
      </c>
      <c r="U64" s="16">
        <f t="shared" si="5"/>
        <v>27937.712491228031</v>
      </c>
      <c r="V64" s="16">
        <f t="shared" si="6"/>
        <v>7120.995311403477</v>
      </c>
      <c r="W64" s="16">
        <f t="shared" si="4"/>
        <v>20816.717179824554</v>
      </c>
    </row>
    <row r="65" spans="20:23" x14ac:dyDescent="0.25">
      <c r="T65" s="8">
        <v>47270</v>
      </c>
      <c r="U65" s="16">
        <f t="shared" si="5"/>
        <v>20816.717179824554</v>
      </c>
      <c r="V65" s="16">
        <f t="shared" si="6"/>
        <v>7120.995311403477</v>
      </c>
      <c r="W65" s="16">
        <f t="shared" si="4"/>
        <v>13695.721868421078</v>
      </c>
    </row>
    <row r="66" spans="20:23" x14ac:dyDescent="0.25">
      <c r="T66" s="8">
        <v>47300</v>
      </c>
      <c r="U66" s="16">
        <f t="shared" si="5"/>
        <v>13695.721868421078</v>
      </c>
      <c r="V66" s="16">
        <f t="shared" si="6"/>
        <v>7120.995311403477</v>
      </c>
      <c r="W66" s="16">
        <f t="shared" si="4"/>
        <v>6574.7265570176014</v>
      </c>
    </row>
    <row r="67" spans="20:23" x14ac:dyDescent="0.25">
      <c r="T67" s="8">
        <v>47331</v>
      </c>
      <c r="U67" s="16">
        <f t="shared" si="5"/>
        <v>6574.7265570176014</v>
      </c>
      <c r="V67" s="16">
        <v>6574.73</v>
      </c>
      <c r="W67" s="20">
        <f t="shared" si="4"/>
        <v>-3.4429823981554364E-3</v>
      </c>
    </row>
    <row r="68" spans="20:23" x14ac:dyDescent="0.25">
      <c r="T68" s="8"/>
      <c r="U68" s="16"/>
      <c r="V68" s="16"/>
      <c r="W68" s="16"/>
    </row>
    <row r="69" spans="20:23" x14ac:dyDescent="0.25">
      <c r="T69" s="8"/>
      <c r="U69" s="16"/>
      <c r="V69" s="16"/>
      <c r="W69" s="16"/>
    </row>
    <row r="70" spans="20:23" x14ac:dyDescent="0.25">
      <c r="T70" s="8"/>
      <c r="U70" s="16"/>
      <c r="V70" s="16"/>
      <c r="W70" s="16"/>
    </row>
    <row r="71" spans="20:23" x14ac:dyDescent="0.25">
      <c r="T71" s="8"/>
      <c r="U71" s="16"/>
      <c r="V71" s="16"/>
      <c r="W71" s="16"/>
    </row>
    <row r="72" spans="20:23" x14ac:dyDescent="0.25">
      <c r="T72" s="8"/>
      <c r="U72" s="16"/>
      <c r="V72" s="16"/>
      <c r="W72" s="16"/>
    </row>
    <row r="73" spans="20:23" x14ac:dyDescent="0.25">
      <c r="T73" s="8"/>
      <c r="U73" s="16"/>
      <c r="V73" s="16"/>
      <c r="W73" s="16"/>
    </row>
    <row r="74" spans="20:23" x14ac:dyDescent="0.25">
      <c r="T74" s="8"/>
      <c r="U74" s="16"/>
      <c r="V74" s="16"/>
      <c r="W74" s="16"/>
    </row>
    <row r="75" spans="20:23" x14ac:dyDescent="0.25">
      <c r="T75" s="8"/>
      <c r="U75" s="16"/>
      <c r="V75" s="16"/>
      <c r="W75" s="16"/>
    </row>
  </sheetData>
  <pageMargins left="0.7" right="0.7" top="0.75" bottom="0.75" header="0.3" footer="0.3"/>
  <pageSetup scale="41" orientation="portrait" horizontalDpi="4294967293" verticalDpi="0" r:id="rId1"/>
  <colBreaks count="2" manualBreakCount="2">
    <brk id="8" max="1048575" man="1"/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549C4-ADED-47AE-B679-D230EC72D235}">
  <dimension ref="A3:AE60"/>
  <sheetViews>
    <sheetView showGridLines="0" workbookViewId="0">
      <selection activeCell="D64" sqref="D64"/>
    </sheetView>
  </sheetViews>
  <sheetFormatPr baseColWidth="10" defaultRowHeight="15" x14ac:dyDescent="0.25"/>
  <cols>
    <col min="3" max="3" width="13" bestFit="1" customWidth="1"/>
    <col min="4" max="4" width="19.85546875" customWidth="1"/>
    <col min="5" max="5" width="16" customWidth="1"/>
    <col min="6" max="6" width="13.7109375" customWidth="1"/>
    <col min="7" max="7" width="13" customWidth="1"/>
    <col min="8" max="11" width="14" customWidth="1"/>
    <col min="12" max="12" width="13" bestFit="1" customWidth="1"/>
    <col min="14" max="14" width="13" bestFit="1" customWidth="1"/>
    <col min="15" max="19" width="13" customWidth="1"/>
    <col min="20" max="20" width="16.28515625" customWidth="1"/>
    <col min="29" max="29" width="14" customWidth="1"/>
    <col min="30" max="31" width="13" bestFit="1" customWidth="1"/>
  </cols>
  <sheetData>
    <row r="3" spans="1:31" x14ac:dyDescent="0.25">
      <c r="A3" s="45" t="s">
        <v>72</v>
      </c>
      <c r="B3" s="40"/>
      <c r="C3" s="41">
        <v>446989.29</v>
      </c>
    </row>
    <row r="4" spans="1:31" x14ac:dyDescent="0.25">
      <c r="A4" s="46" t="s">
        <v>73</v>
      </c>
      <c r="C4" s="47">
        <v>-89397.86</v>
      </c>
      <c r="E4" t="s">
        <v>63</v>
      </c>
      <c r="F4" s="1">
        <v>357591.43</v>
      </c>
      <c r="M4" s="2"/>
      <c r="N4" s="27"/>
      <c r="O4" s="27"/>
      <c r="P4" s="27"/>
      <c r="Q4" s="27"/>
      <c r="R4" s="27"/>
      <c r="S4" s="27"/>
      <c r="T4" s="2"/>
    </row>
    <row r="5" spans="1:31" x14ac:dyDescent="0.25">
      <c r="A5" s="39" t="s">
        <v>96</v>
      </c>
      <c r="B5" s="40"/>
      <c r="C5" s="41">
        <f>SUM(C3:C4)</f>
        <v>357591.43</v>
      </c>
      <c r="E5" t="s">
        <v>64</v>
      </c>
      <c r="F5">
        <v>48</v>
      </c>
      <c r="N5" s="27"/>
      <c r="O5" s="27"/>
      <c r="P5" s="27"/>
      <c r="Q5" s="27"/>
      <c r="R5" s="27"/>
      <c r="S5" s="27"/>
      <c r="T5" s="2"/>
    </row>
    <row r="6" spans="1:31" x14ac:dyDescent="0.25">
      <c r="A6" s="42" t="s">
        <v>97</v>
      </c>
      <c r="B6" s="43"/>
      <c r="C6" s="44"/>
      <c r="E6" t="s">
        <v>89</v>
      </c>
      <c r="F6" s="30">
        <v>0</v>
      </c>
      <c r="N6" s="27"/>
      <c r="O6" s="27"/>
      <c r="P6" s="27"/>
      <c r="Q6" s="27"/>
      <c r="R6" s="27"/>
      <c r="S6" s="27"/>
    </row>
    <row r="7" spans="1:31" x14ac:dyDescent="0.25">
      <c r="E7" t="s">
        <v>82</v>
      </c>
      <c r="F7" s="30">
        <f>N8</f>
        <v>1.3969971293835926E-2</v>
      </c>
      <c r="N7" s="2" t="s">
        <v>90</v>
      </c>
      <c r="O7" s="2"/>
      <c r="P7" s="2"/>
      <c r="Q7" s="2"/>
      <c r="R7" s="2"/>
      <c r="S7" s="2"/>
    </row>
    <row r="8" spans="1:31" x14ac:dyDescent="0.25">
      <c r="E8" t="s">
        <v>84</v>
      </c>
      <c r="F8" s="31">
        <f>PMT(F7,F5,-F4,0,1)</f>
        <v>10133.140320604736</v>
      </c>
      <c r="N8" s="28">
        <f>IRR(N9:N57)</f>
        <v>1.3969971293835926E-2</v>
      </c>
      <c r="O8" s="28"/>
      <c r="S8" s="28"/>
      <c r="U8" s="2"/>
      <c r="V8" s="2"/>
      <c r="W8" s="2"/>
      <c r="X8" s="2"/>
      <c r="Y8" s="2"/>
    </row>
    <row r="9" spans="1:31" x14ac:dyDescent="0.25">
      <c r="F9" s="33" t="s">
        <v>85</v>
      </c>
      <c r="G9" s="33" t="s">
        <v>83</v>
      </c>
      <c r="H9" s="33" t="s">
        <v>5</v>
      </c>
      <c r="I9" s="33" t="s">
        <v>6</v>
      </c>
      <c r="J9" s="33" t="s">
        <v>0</v>
      </c>
      <c r="K9" s="33" t="s">
        <v>84</v>
      </c>
      <c r="M9">
        <v>0</v>
      </c>
      <c r="N9" s="29">
        <f>F4*(1-F6)</f>
        <v>357591.43</v>
      </c>
      <c r="O9" s="29"/>
      <c r="S9" s="29"/>
      <c r="T9" s="25"/>
      <c r="U9" s="26" t="s">
        <v>88</v>
      </c>
      <c r="V9" s="26" t="s">
        <v>83</v>
      </c>
      <c r="W9" s="26" t="s">
        <v>85</v>
      </c>
      <c r="X9" s="26" t="s">
        <v>87</v>
      </c>
      <c r="Y9" s="26" t="s">
        <v>86</v>
      </c>
      <c r="AA9" s="26" t="s">
        <v>92</v>
      </c>
    </row>
    <row r="10" spans="1:31" x14ac:dyDescent="0.25">
      <c r="E10">
        <v>1</v>
      </c>
      <c r="F10" s="1">
        <f t="shared" ref="F10:F57" si="0">-PPMT($F$7,$E10,$F$5,$F$4,0,0)</f>
        <v>5279.1579879782576</v>
      </c>
      <c r="G10" s="1">
        <f t="shared" ref="G10:G57" si="1">-IPMT($F$7,$E10,$F$5,$F$4,0,0)</f>
        <v>4995.5420120217386</v>
      </c>
      <c r="H10" s="1">
        <f t="shared" ref="H10:H57" si="2">+F10+G10</f>
        <v>10274.699999999997</v>
      </c>
      <c r="I10" s="1">
        <f>Arrendadora!E7</f>
        <v>117.11</v>
      </c>
      <c r="J10" s="1">
        <f>(F10+G10+I10)*0.12</f>
        <v>1247.0171999999998</v>
      </c>
      <c r="K10" s="1">
        <f>H10+I10+J10</f>
        <v>11638.827199999998</v>
      </c>
      <c r="M10">
        <f t="shared" ref="M10:M57" si="3">+M9+1</f>
        <v>1</v>
      </c>
      <c r="N10" s="29">
        <f t="shared" ref="N10:N57" si="4">-10274.7</f>
        <v>-10274.700000000001</v>
      </c>
      <c r="O10" s="29"/>
      <c r="S10" s="29"/>
      <c r="T10" s="25">
        <v>1</v>
      </c>
      <c r="U10" s="25">
        <f>+N9</f>
        <v>357591.43</v>
      </c>
      <c r="V10" s="25">
        <f t="shared" ref="V10:V57" si="5">+U10*$N$8</f>
        <v>4995.5420120217386</v>
      </c>
      <c r="W10" s="25">
        <f t="shared" ref="W10:W57" si="6">F10</f>
        <v>5279.1579879782576</v>
      </c>
      <c r="X10" s="32">
        <f t="shared" ref="X10:X57" si="7">+N10</f>
        <v>-10274.700000000001</v>
      </c>
      <c r="Y10" s="24">
        <f t="shared" ref="Y10:Y57" si="8">+U10+V10+X10</f>
        <v>352312.27201202174</v>
      </c>
      <c r="AA10" t="s">
        <v>93</v>
      </c>
      <c r="AD10" s="1">
        <f>U10</f>
        <v>357591.43</v>
      </c>
      <c r="AE10" s="1"/>
    </row>
    <row r="11" spans="1:31" x14ac:dyDescent="0.25">
      <c r="E11">
        <v>2</v>
      </c>
      <c r="F11" s="1">
        <f t="shared" si="0"/>
        <v>5352.9076735259378</v>
      </c>
      <c r="G11" s="1">
        <f t="shared" si="1"/>
        <v>4921.7923264740575</v>
      </c>
      <c r="H11" s="1">
        <f t="shared" si="2"/>
        <v>10274.699999999995</v>
      </c>
      <c r="I11" s="1">
        <f>Arrendadora!E8</f>
        <v>117.11</v>
      </c>
      <c r="J11" s="1">
        <f t="shared" ref="J11:J57" si="9">(F11+G11+I11)*0.12</f>
        <v>1247.0171999999995</v>
      </c>
      <c r="K11" s="1">
        <f t="shared" ref="K11:K57" si="10">H11+I11+J11</f>
        <v>11638.827199999996</v>
      </c>
      <c r="M11">
        <f t="shared" si="3"/>
        <v>2</v>
      </c>
      <c r="N11" s="29">
        <f t="shared" si="4"/>
        <v>-10274.700000000001</v>
      </c>
      <c r="O11" s="29"/>
      <c r="S11" s="29"/>
      <c r="T11" s="25">
        <f t="shared" ref="T11:T57" si="11">+T10+1</f>
        <v>2</v>
      </c>
      <c r="U11" s="25">
        <f t="shared" ref="U11:U57" si="12">Y10</f>
        <v>352312.27201202174</v>
      </c>
      <c r="V11" s="25">
        <f t="shared" si="5"/>
        <v>4921.7923264740575</v>
      </c>
      <c r="W11" s="25">
        <f t="shared" si="6"/>
        <v>5352.9076735259378</v>
      </c>
      <c r="X11" s="32">
        <f t="shared" si="7"/>
        <v>-10274.700000000001</v>
      </c>
      <c r="Y11" s="24">
        <f t="shared" si="8"/>
        <v>346959.36433849577</v>
      </c>
      <c r="AA11" t="s">
        <v>94</v>
      </c>
      <c r="AD11" s="1"/>
      <c r="AE11" s="1">
        <f>AD10</f>
        <v>357591.43</v>
      </c>
    </row>
    <row r="12" spans="1:31" ht="15.75" thickBot="1" x14ac:dyDescent="0.3">
      <c r="E12">
        <v>3</v>
      </c>
      <c r="F12" s="1">
        <f t="shared" si="0"/>
        <v>5427.6876400636493</v>
      </c>
      <c r="G12" s="1">
        <f t="shared" si="1"/>
        <v>4847.0123599363469</v>
      </c>
      <c r="H12" s="1">
        <f t="shared" si="2"/>
        <v>10274.699999999997</v>
      </c>
      <c r="I12" s="1">
        <f>Arrendadora!E9</f>
        <v>117.11</v>
      </c>
      <c r="J12" s="1">
        <f t="shared" si="9"/>
        <v>1247.0171999999998</v>
      </c>
      <c r="K12" s="1">
        <f t="shared" si="10"/>
        <v>11638.827199999998</v>
      </c>
      <c r="M12">
        <f t="shared" si="3"/>
        <v>3</v>
      </c>
      <c r="N12" s="29">
        <f t="shared" si="4"/>
        <v>-10274.700000000001</v>
      </c>
      <c r="O12" s="29"/>
      <c r="P12" s="29"/>
      <c r="Q12" s="29"/>
      <c r="R12" s="29"/>
      <c r="S12" s="29"/>
      <c r="T12" s="25">
        <f t="shared" si="11"/>
        <v>3</v>
      </c>
      <c r="U12" s="25">
        <f t="shared" si="12"/>
        <v>346959.36433849577</v>
      </c>
      <c r="V12" s="25">
        <f t="shared" si="5"/>
        <v>4847.012359936346</v>
      </c>
      <c r="W12" s="25">
        <f t="shared" si="6"/>
        <v>5427.6876400636493</v>
      </c>
      <c r="X12" s="32">
        <f t="shared" si="7"/>
        <v>-10274.700000000001</v>
      </c>
      <c r="Y12" s="24">
        <f t="shared" si="8"/>
        <v>341531.67669843213</v>
      </c>
      <c r="AA12" s="2" t="s">
        <v>95</v>
      </c>
      <c r="AD12" s="38">
        <f>SUM(AD10:AD11)</f>
        <v>357591.43</v>
      </c>
      <c r="AE12" s="38">
        <f>SUM(AE10:AE11)</f>
        <v>357591.43</v>
      </c>
    </row>
    <row r="13" spans="1:31" ht="15.75" thickTop="1" x14ac:dyDescent="0.25">
      <c r="E13">
        <v>4</v>
      </c>
      <c r="F13" s="1">
        <f t="shared" si="0"/>
        <v>5503.5122805872461</v>
      </c>
      <c r="G13" s="1">
        <f t="shared" si="1"/>
        <v>4771.1877194127483</v>
      </c>
      <c r="H13" s="1">
        <f t="shared" si="2"/>
        <v>10274.699999999993</v>
      </c>
      <c r="I13" s="1">
        <f>Arrendadora!E10</f>
        <v>117.11</v>
      </c>
      <c r="J13" s="1">
        <f t="shared" si="9"/>
        <v>1247.0171999999993</v>
      </c>
      <c r="K13" s="1">
        <f t="shared" si="10"/>
        <v>11638.827199999992</v>
      </c>
      <c r="M13">
        <f t="shared" si="3"/>
        <v>4</v>
      </c>
      <c r="N13" s="29">
        <f t="shared" si="4"/>
        <v>-10274.700000000001</v>
      </c>
      <c r="O13" s="29"/>
      <c r="P13" s="29"/>
      <c r="Q13" s="29"/>
      <c r="R13" s="29"/>
      <c r="S13" s="29"/>
      <c r="T13" s="25">
        <f t="shared" si="11"/>
        <v>4</v>
      </c>
      <c r="U13" s="25">
        <f t="shared" si="12"/>
        <v>341531.67669843213</v>
      </c>
      <c r="V13" s="25">
        <f t="shared" si="5"/>
        <v>4771.1877194127492</v>
      </c>
      <c r="W13" s="25">
        <f t="shared" si="6"/>
        <v>5503.5122805872461</v>
      </c>
      <c r="X13" s="32">
        <f t="shared" si="7"/>
        <v>-10274.700000000001</v>
      </c>
      <c r="Y13" s="24">
        <f t="shared" si="8"/>
        <v>336028.16441784485</v>
      </c>
    </row>
    <row r="14" spans="1:31" x14ac:dyDescent="0.25">
      <c r="E14">
        <v>5</v>
      </c>
      <c r="F14" s="1">
        <f t="shared" si="0"/>
        <v>5580.3961891623239</v>
      </c>
      <c r="G14" s="1">
        <f t="shared" si="1"/>
        <v>4694.3038108376722</v>
      </c>
      <c r="H14" s="1">
        <f t="shared" si="2"/>
        <v>10274.699999999997</v>
      </c>
      <c r="I14" s="1">
        <f>Arrendadora!E11</f>
        <v>117.11</v>
      </c>
      <c r="J14" s="1">
        <f t="shared" si="9"/>
        <v>1247.0171999999998</v>
      </c>
      <c r="K14" s="1">
        <f t="shared" si="10"/>
        <v>11638.827199999998</v>
      </c>
      <c r="M14">
        <f t="shared" si="3"/>
        <v>5</v>
      </c>
      <c r="N14" s="29">
        <f t="shared" si="4"/>
        <v>-10274.700000000001</v>
      </c>
      <c r="O14" s="29"/>
      <c r="P14" s="29"/>
      <c r="Q14" s="29"/>
      <c r="R14" s="29"/>
      <c r="S14" s="29"/>
      <c r="T14" s="25">
        <f t="shared" si="11"/>
        <v>5</v>
      </c>
      <c r="U14" s="25">
        <f t="shared" si="12"/>
        <v>336028.16441784485</v>
      </c>
      <c r="V14" s="25">
        <f t="shared" si="5"/>
        <v>4694.3038108376713</v>
      </c>
      <c r="W14" s="25">
        <f t="shared" si="6"/>
        <v>5580.3961891623239</v>
      </c>
      <c r="X14" s="32">
        <f t="shared" si="7"/>
        <v>-10274.700000000001</v>
      </c>
      <c r="Y14" s="24">
        <f t="shared" si="8"/>
        <v>330447.76822868251</v>
      </c>
    </row>
    <row r="15" spans="1:31" x14ac:dyDescent="0.25">
      <c r="E15">
        <v>6</v>
      </c>
      <c r="F15" s="1">
        <f t="shared" si="0"/>
        <v>5658.3541637331537</v>
      </c>
      <c r="G15" s="1">
        <f t="shared" si="1"/>
        <v>4616.3458362668425</v>
      </c>
      <c r="H15" s="1">
        <f t="shared" si="2"/>
        <v>10274.699999999997</v>
      </c>
      <c r="I15" s="1">
        <f>Arrendadora!E12</f>
        <v>117.11</v>
      </c>
      <c r="J15" s="1">
        <f t="shared" si="9"/>
        <v>1247.0171999999998</v>
      </c>
      <c r="K15" s="1">
        <f t="shared" si="10"/>
        <v>11638.827199999998</v>
      </c>
      <c r="M15">
        <f t="shared" si="3"/>
        <v>6</v>
      </c>
      <c r="N15" s="29">
        <f t="shared" si="4"/>
        <v>-10274.700000000001</v>
      </c>
      <c r="O15" s="29"/>
      <c r="P15" s="29"/>
      <c r="Q15" s="29"/>
      <c r="R15" s="29"/>
      <c r="S15" s="29"/>
      <c r="T15" s="25">
        <f t="shared" si="11"/>
        <v>6</v>
      </c>
      <c r="U15" s="25">
        <f t="shared" si="12"/>
        <v>330447.76822868251</v>
      </c>
      <c r="V15" s="25">
        <f t="shared" si="5"/>
        <v>4616.3458362668416</v>
      </c>
      <c r="W15" s="25">
        <f t="shared" si="6"/>
        <v>5658.3541637331537</v>
      </c>
      <c r="X15" s="32">
        <f t="shared" si="7"/>
        <v>-10274.700000000001</v>
      </c>
      <c r="Y15" s="24">
        <f t="shared" si="8"/>
        <v>324789.41406494932</v>
      </c>
    </row>
    <row r="16" spans="1:31" x14ac:dyDescent="0.25">
      <c r="E16">
        <v>7</v>
      </c>
      <c r="F16" s="1">
        <f t="shared" si="0"/>
        <v>5737.4012089708631</v>
      </c>
      <c r="G16" s="1">
        <f t="shared" si="1"/>
        <v>4537.2987910291331</v>
      </c>
      <c r="H16" s="1">
        <f t="shared" si="2"/>
        <v>10274.699999999997</v>
      </c>
      <c r="I16" s="1">
        <f>Arrendadora!E13</f>
        <v>117.11</v>
      </c>
      <c r="J16" s="1">
        <f t="shared" si="9"/>
        <v>1247.0171999999998</v>
      </c>
      <c r="K16" s="1">
        <f t="shared" si="10"/>
        <v>11638.827199999998</v>
      </c>
      <c r="M16">
        <f t="shared" si="3"/>
        <v>7</v>
      </c>
      <c r="N16" s="29">
        <f t="shared" si="4"/>
        <v>-10274.700000000001</v>
      </c>
      <c r="O16" s="29"/>
      <c r="P16" s="29"/>
      <c r="Q16" s="29"/>
      <c r="R16" s="29"/>
      <c r="S16" s="29"/>
      <c r="T16" s="25">
        <f t="shared" si="11"/>
        <v>7</v>
      </c>
      <c r="U16" s="25">
        <f t="shared" si="12"/>
        <v>324789.41406494932</v>
      </c>
      <c r="V16" s="25">
        <f t="shared" si="5"/>
        <v>4537.2987910291322</v>
      </c>
      <c r="W16" s="25">
        <f t="shared" si="6"/>
        <v>5737.4012089708631</v>
      </c>
      <c r="X16" s="32">
        <f t="shared" si="7"/>
        <v>-10274.700000000001</v>
      </c>
      <c r="Y16" s="24">
        <f t="shared" si="8"/>
        <v>319052.01285597845</v>
      </c>
    </row>
    <row r="17" spans="5:25" x14ac:dyDescent="0.25">
      <c r="E17">
        <v>8</v>
      </c>
      <c r="F17" s="1">
        <f t="shared" si="0"/>
        <v>5817.5525391614046</v>
      </c>
      <c r="G17" s="1">
        <f t="shared" si="1"/>
        <v>4457.1474608385915</v>
      </c>
      <c r="H17" s="1">
        <f t="shared" si="2"/>
        <v>10274.699999999997</v>
      </c>
      <c r="I17" s="1">
        <f>Arrendadora!E14</f>
        <v>117.11</v>
      </c>
      <c r="J17" s="1">
        <f t="shared" si="9"/>
        <v>1247.0171999999998</v>
      </c>
      <c r="K17" s="1">
        <f t="shared" si="10"/>
        <v>11638.827199999998</v>
      </c>
      <c r="M17">
        <f t="shared" si="3"/>
        <v>8</v>
      </c>
      <c r="N17" s="29">
        <f t="shared" si="4"/>
        <v>-10274.700000000001</v>
      </c>
      <c r="O17" s="29"/>
      <c r="P17" s="29"/>
      <c r="Q17" s="29"/>
      <c r="R17" s="29"/>
      <c r="S17" s="29"/>
      <c r="T17" s="25">
        <f t="shared" si="11"/>
        <v>8</v>
      </c>
      <c r="U17" s="25">
        <f t="shared" si="12"/>
        <v>319052.01285597845</v>
      </c>
      <c r="V17" s="25">
        <f t="shared" si="5"/>
        <v>4457.1474608385897</v>
      </c>
      <c r="W17" s="25">
        <f t="shared" si="6"/>
        <v>5817.5525391614046</v>
      </c>
      <c r="X17" s="32">
        <f t="shared" si="7"/>
        <v>-10274.700000000001</v>
      </c>
      <c r="Y17" s="24">
        <f t="shared" si="8"/>
        <v>313234.46031681704</v>
      </c>
    </row>
    <row r="18" spans="5:25" x14ac:dyDescent="0.25">
      <c r="E18">
        <v>9</v>
      </c>
      <c r="F18" s="1">
        <f t="shared" si="0"/>
        <v>5898.8235811338718</v>
      </c>
      <c r="G18" s="1">
        <f t="shared" si="1"/>
        <v>4375.8764188661244</v>
      </c>
      <c r="H18" s="1">
        <f t="shared" si="2"/>
        <v>10274.699999999997</v>
      </c>
      <c r="I18" s="1">
        <f>Arrendadora!E15</f>
        <v>117.11</v>
      </c>
      <c r="J18" s="1">
        <f t="shared" si="9"/>
        <v>1247.0171999999998</v>
      </c>
      <c r="K18" s="1">
        <f t="shared" si="10"/>
        <v>11638.827199999998</v>
      </c>
      <c r="M18">
        <f t="shared" si="3"/>
        <v>9</v>
      </c>
      <c r="N18" s="29">
        <f t="shared" si="4"/>
        <v>-10274.700000000001</v>
      </c>
      <c r="O18" s="29"/>
      <c r="P18" s="29"/>
      <c r="Q18" s="29"/>
      <c r="R18" s="29"/>
      <c r="S18" s="29"/>
      <c r="T18" s="25">
        <f t="shared" si="11"/>
        <v>9</v>
      </c>
      <c r="U18" s="25">
        <f t="shared" si="12"/>
        <v>313234.46031681704</v>
      </c>
      <c r="V18" s="25">
        <f t="shared" si="5"/>
        <v>4375.8764188661225</v>
      </c>
      <c r="W18" s="25">
        <f t="shared" si="6"/>
        <v>5898.8235811338718</v>
      </c>
      <c r="X18" s="32">
        <f t="shared" si="7"/>
        <v>-10274.700000000001</v>
      </c>
      <c r="Y18" s="24">
        <f t="shared" si="8"/>
        <v>307335.63673568313</v>
      </c>
    </row>
    <row r="19" spans="5:25" x14ac:dyDescent="0.25">
      <c r="E19">
        <v>10</v>
      </c>
      <c r="F19" s="1">
        <f t="shared" si="0"/>
        <v>5981.2299772297147</v>
      </c>
      <c r="G19" s="1">
        <f t="shared" si="1"/>
        <v>4293.4700227702815</v>
      </c>
      <c r="H19" s="1">
        <f t="shared" si="2"/>
        <v>10274.699999999997</v>
      </c>
      <c r="I19" s="1">
        <f>Arrendadora!E16</f>
        <v>117.11</v>
      </c>
      <c r="J19" s="1">
        <f t="shared" si="9"/>
        <v>1247.0171999999998</v>
      </c>
      <c r="K19" s="1">
        <f t="shared" si="10"/>
        <v>11638.827199999998</v>
      </c>
      <c r="M19">
        <f t="shared" si="3"/>
        <v>10</v>
      </c>
      <c r="N19" s="29">
        <f t="shared" si="4"/>
        <v>-10274.700000000001</v>
      </c>
      <c r="O19" s="29"/>
      <c r="P19" s="29"/>
      <c r="Q19" s="29"/>
      <c r="R19" s="29"/>
      <c r="S19" s="29"/>
      <c r="T19" s="25">
        <f t="shared" si="11"/>
        <v>10</v>
      </c>
      <c r="U19" s="25">
        <f t="shared" si="12"/>
        <v>307335.63673568313</v>
      </c>
      <c r="V19" s="25">
        <f t="shared" si="5"/>
        <v>4293.4700227702797</v>
      </c>
      <c r="W19" s="25">
        <f t="shared" si="6"/>
        <v>5981.2299772297147</v>
      </c>
      <c r="X19" s="32">
        <f t="shared" si="7"/>
        <v>-10274.700000000001</v>
      </c>
      <c r="Y19" s="24">
        <f t="shared" si="8"/>
        <v>301354.40675845341</v>
      </c>
    </row>
    <row r="20" spans="5:25" x14ac:dyDescent="0.25">
      <c r="E20">
        <v>11</v>
      </c>
      <c r="F20" s="1">
        <f t="shared" si="0"/>
        <v>6064.7875883134438</v>
      </c>
      <c r="G20" s="1">
        <f t="shared" si="1"/>
        <v>4209.9124116865505</v>
      </c>
      <c r="H20" s="1">
        <f t="shared" si="2"/>
        <v>10274.699999999993</v>
      </c>
      <c r="I20" s="1">
        <f>Arrendadora!E17</f>
        <v>117.11</v>
      </c>
      <c r="J20" s="1">
        <f t="shared" si="9"/>
        <v>1247.0171999999993</v>
      </c>
      <c r="K20" s="1">
        <f t="shared" si="10"/>
        <v>11638.827199999992</v>
      </c>
      <c r="M20">
        <f t="shared" si="3"/>
        <v>11</v>
      </c>
      <c r="N20" s="29">
        <f t="shared" si="4"/>
        <v>-10274.700000000001</v>
      </c>
      <c r="O20" s="29"/>
      <c r="P20" s="29"/>
      <c r="Q20" s="29"/>
      <c r="R20" s="29"/>
      <c r="S20" s="29"/>
      <c r="T20" s="25">
        <f t="shared" si="11"/>
        <v>11</v>
      </c>
      <c r="U20" s="25">
        <f t="shared" si="12"/>
        <v>301354.40675845341</v>
      </c>
      <c r="V20" s="25">
        <f t="shared" si="5"/>
        <v>4209.9124116865487</v>
      </c>
      <c r="W20" s="25">
        <f t="shared" si="6"/>
        <v>6064.7875883134438</v>
      </c>
      <c r="X20" s="32">
        <f t="shared" si="7"/>
        <v>-10274.700000000001</v>
      </c>
      <c r="Y20" s="24">
        <f t="shared" si="8"/>
        <v>295289.61917013995</v>
      </c>
    </row>
    <row r="21" spans="5:25" x14ac:dyDescent="0.25">
      <c r="E21">
        <v>12</v>
      </c>
      <c r="F21" s="1">
        <f t="shared" si="0"/>
        <v>6149.5124968253958</v>
      </c>
      <c r="G21" s="1">
        <f t="shared" si="1"/>
        <v>4125.1875031745994</v>
      </c>
      <c r="H21" s="1">
        <f t="shared" si="2"/>
        <v>10274.699999999995</v>
      </c>
      <c r="I21" s="1">
        <f>Arrendadora!E18</f>
        <v>117.11</v>
      </c>
      <c r="J21" s="1">
        <f t="shared" si="9"/>
        <v>1247.0171999999995</v>
      </c>
      <c r="K21" s="1">
        <f t="shared" si="10"/>
        <v>11638.827199999996</v>
      </c>
      <c r="M21">
        <f t="shared" si="3"/>
        <v>12</v>
      </c>
      <c r="N21" s="29">
        <f t="shared" si="4"/>
        <v>-10274.700000000001</v>
      </c>
      <c r="O21" s="29"/>
      <c r="P21" s="29"/>
      <c r="Q21" s="29"/>
      <c r="R21" s="29"/>
      <c r="S21" s="29"/>
      <c r="T21" s="25">
        <f t="shared" si="11"/>
        <v>12</v>
      </c>
      <c r="U21" s="25">
        <f t="shared" si="12"/>
        <v>295289.61917013995</v>
      </c>
      <c r="V21" s="25">
        <f t="shared" si="5"/>
        <v>4125.1875031745976</v>
      </c>
      <c r="W21" s="25">
        <f t="shared" si="6"/>
        <v>6149.5124968253958</v>
      </c>
      <c r="X21" s="32">
        <f t="shared" si="7"/>
        <v>-10274.700000000001</v>
      </c>
      <c r="Y21" s="24">
        <f t="shared" si="8"/>
        <v>289140.10667331453</v>
      </c>
    </row>
    <row r="22" spans="5:25" x14ac:dyDescent="0.25">
      <c r="E22">
        <v>13</v>
      </c>
      <c r="F22" s="1">
        <f t="shared" si="0"/>
        <v>6235.4210098771327</v>
      </c>
      <c r="G22" s="1">
        <f t="shared" si="1"/>
        <v>4039.2789901228639</v>
      </c>
      <c r="H22" s="1">
        <f t="shared" si="2"/>
        <v>10274.699999999997</v>
      </c>
      <c r="I22" s="1">
        <f>Arrendadora!E19</f>
        <v>117.11</v>
      </c>
      <c r="J22" s="1">
        <f t="shared" si="9"/>
        <v>1247.0171999999998</v>
      </c>
      <c r="K22" s="1">
        <f t="shared" si="10"/>
        <v>11638.827199999998</v>
      </c>
      <c r="M22">
        <f t="shared" si="3"/>
        <v>13</v>
      </c>
      <c r="N22" s="29">
        <f t="shared" si="4"/>
        <v>-10274.700000000001</v>
      </c>
      <c r="O22" s="29"/>
      <c r="P22" s="29"/>
      <c r="Q22" s="29"/>
      <c r="R22" s="29"/>
      <c r="S22" s="29"/>
      <c r="T22" s="25">
        <f t="shared" si="11"/>
        <v>13</v>
      </c>
      <c r="U22" s="25">
        <f t="shared" si="12"/>
        <v>289140.10667331453</v>
      </c>
      <c r="V22" s="25">
        <f t="shared" si="5"/>
        <v>4039.2789901228612</v>
      </c>
      <c r="W22" s="25">
        <f t="shared" si="6"/>
        <v>6235.4210098771327</v>
      </c>
      <c r="X22" s="32">
        <f t="shared" si="7"/>
        <v>-10274.700000000001</v>
      </c>
      <c r="Y22" s="24">
        <f t="shared" si="8"/>
        <v>282904.68566343735</v>
      </c>
    </row>
    <row r="23" spans="5:25" x14ac:dyDescent="0.25">
      <c r="E23">
        <v>14</v>
      </c>
      <c r="F23" s="1">
        <f t="shared" si="0"/>
        <v>6322.5296623900967</v>
      </c>
      <c r="G23" s="1">
        <f t="shared" si="1"/>
        <v>3952.170337609899</v>
      </c>
      <c r="H23" s="1">
        <f t="shared" si="2"/>
        <v>10274.699999999995</v>
      </c>
      <c r="I23" s="1">
        <f>Arrendadora!E20</f>
        <v>117.11</v>
      </c>
      <c r="J23" s="1">
        <f t="shared" si="9"/>
        <v>1247.0171999999995</v>
      </c>
      <c r="K23" s="1">
        <f t="shared" si="10"/>
        <v>11638.827199999996</v>
      </c>
      <c r="M23">
        <f t="shared" si="3"/>
        <v>14</v>
      </c>
      <c r="N23" s="29">
        <f t="shared" si="4"/>
        <v>-10274.700000000001</v>
      </c>
      <c r="O23" s="29"/>
      <c r="P23" s="29"/>
      <c r="Q23" s="29"/>
      <c r="R23" s="29"/>
      <c r="S23" s="29"/>
      <c r="T23" s="25">
        <f t="shared" si="11"/>
        <v>14</v>
      </c>
      <c r="U23" s="25">
        <f t="shared" si="12"/>
        <v>282904.68566343735</v>
      </c>
      <c r="V23" s="25">
        <f t="shared" si="5"/>
        <v>3952.1703376098958</v>
      </c>
      <c r="W23" s="25">
        <f t="shared" si="6"/>
        <v>6322.5296623900967</v>
      </c>
      <c r="X23" s="32">
        <f t="shared" si="7"/>
        <v>-10274.700000000001</v>
      </c>
      <c r="Y23" s="24">
        <f t="shared" si="8"/>
        <v>276582.15600104723</v>
      </c>
    </row>
    <row r="24" spans="5:25" x14ac:dyDescent="0.25">
      <c r="E24">
        <v>15</v>
      </c>
      <c r="F24" s="1">
        <f t="shared" si="0"/>
        <v>6410.8552202781129</v>
      </c>
      <c r="G24" s="1">
        <f t="shared" si="1"/>
        <v>3863.8447797218837</v>
      </c>
      <c r="H24" s="1">
        <f t="shared" si="2"/>
        <v>10274.699999999997</v>
      </c>
      <c r="I24" s="1">
        <f>Arrendadora!E21</f>
        <v>117.11</v>
      </c>
      <c r="J24" s="1">
        <f t="shared" si="9"/>
        <v>1247.0171999999998</v>
      </c>
      <c r="K24" s="1">
        <f t="shared" si="10"/>
        <v>11638.827199999998</v>
      </c>
      <c r="M24">
        <f t="shared" si="3"/>
        <v>15</v>
      </c>
      <c r="N24" s="29">
        <f t="shared" si="4"/>
        <v>-10274.700000000001</v>
      </c>
      <c r="O24" s="29"/>
      <c r="P24" s="29"/>
      <c r="Q24" s="29"/>
      <c r="R24" s="29"/>
      <c r="S24" s="29"/>
      <c r="T24" s="25">
        <f t="shared" si="11"/>
        <v>15</v>
      </c>
      <c r="U24" s="25">
        <f t="shared" si="12"/>
        <v>276582.15600104723</v>
      </c>
      <c r="V24" s="25">
        <f t="shared" si="5"/>
        <v>3863.8447797218796</v>
      </c>
      <c r="W24" s="25">
        <f t="shared" si="6"/>
        <v>6410.8552202781129</v>
      </c>
      <c r="X24" s="32">
        <f t="shared" si="7"/>
        <v>-10274.700000000001</v>
      </c>
      <c r="Y24" s="24">
        <f t="shared" si="8"/>
        <v>270171.30078076909</v>
      </c>
    </row>
    <row r="25" spans="5:25" x14ac:dyDescent="0.25">
      <c r="E25">
        <v>16</v>
      </c>
      <c r="F25" s="1">
        <f t="shared" si="0"/>
        <v>6500.4146836743366</v>
      </c>
      <c r="G25" s="1">
        <f t="shared" si="1"/>
        <v>3774.2853163256591</v>
      </c>
      <c r="H25" s="1">
        <f t="shared" si="2"/>
        <v>10274.699999999995</v>
      </c>
      <c r="I25" s="1">
        <f>Arrendadora!E22</f>
        <v>117.11</v>
      </c>
      <c r="J25" s="1">
        <f t="shared" si="9"/>
        <v>1247.0171999999995</v>
      </c>
      <c r="K25" s="1">
        <f t="shared" si="10"/>
        <v>11638.827199999996</v>
      </c>
      <c r="M25">
        <f t="shared" si="3"/>
        <v>16</v>
      </c>
      <c r="N25" s="29">
        <f t="shared" si="4"/>
        <v>-10274.700000000001</v>
      </c>
      <c r="O25" s="29"/>
      <c r="P25" s="29"/>
      <c r="Q25" s="29"/>
      <c r="R25" s="29"/>
      <c r="S25" s="29"/>
      <c r="T25" s="25">
        <f t="shared" si="11"/>
        <v>16</v>
      </c>
      <c r="U25" s="25">
        <f t="shared" si="12"/>
        <v>270171.30078076909</v>
      </c>
      <c r="V25" s="25">
        <f t="shared" si="5"/>
        <v>3774.2853163256559</v>
      </c>
      <c r="W25" s="25">
        <f t="shared" si="6"/>
        <v>6500.4146836743366</v>
      </c>
      <c r="X25" s="32">
        <f t="shared" si="7"/>
        <v>-10274.700000000001</v>
      </c>
      <c r="Y25" s="24">
        <f t="shared" si="8"/>
        <v>263670.88609709474</v>
      </c>
    </row>
    <row r="26" spans="5:25" x14ac:dyDescent="0.25">
      <c r="E26">
        <v>17</v>
      </c>
      <c r="F26" s="1">
        <f t="shared" si="0"/>
        <v>6591.225290203296</v>
      </c>
      <c r="G26" s="1">
        <f t="shared" si="1"/>
        <v>3683.4747097966997</v>
      </c>
      <c r="H26" s="1">
        <f t="shared" si="2"/>
        <v>10274.699999999995</v>
      </c>
      <c r="I26" s="1">
        <f>Arrendadora!E23</f>
        <v>117.11</v>
      </c>
      <c r="J26" s="1">
        <f t="shared" si="9"/>
        <v>1247.0171999999995</v>
      </c>
      <c r="K26" s="1">
        <f t="shared" si="10"/>
        <v>11638.827199999996</v>
      </c>
      <c r="M26">
        <f t="shared" si="3"/>
        <v>17</v>
      </c>
      <c r="N26" s="29">
        <f t="shared" si="4"/>
        <v>-10274.700000000001</v>
      </c>
      <c r="O26" s="29"/>
      <c r="P26" s="29"/>
      <c r="Q26" s="29"/>
      <c r="R26" s="29"/>
      <c r="S26" s="29"/>
      <c r="T26" s="25">
        <f t="shared" si="11"/>
        <v>17</v>
      </c>
      <c r="U26" s="25">
        <f t="shared" si="12"/>
        <v>263670.88609709474</v>
      </c>
      <c r="V26" s="25">
        <f t="shared" si="5"/>
        <v>3683.4747097966956</v>
      </c>
      <c r="W26" s="25">
        <f t="shared" si="6"/>
        <v>6591.225290203296</v>
      </c>
      <c r="X26" s="32">
        <f t="shared" si="7"/>
        <v>-10274.700000000001</v>
      </c>
      <c r="Y26" s="24">
        <f t="shared" si="8"/>
        <v>257079.66080689145</v>
      </c>
    </row>
    <row r="27" spans="5:25" x14ac:dyDescent="0.25">
      <c r="E27">
        <v>18</v>
      </c>
      <c r="F27" s="1">
        <f t="shared" si="0"/>
        <v>6683.3045182986416</v>
      </c>
      <c r="G27" s="1">
        <f t="shared" si="1"/>
        <v>3591.3954817013546</v>
      </c>
      <c r="H27" s="1">
        <f t="shared" si="2"/>
        <v>10274.699999999997</v>
      </c>
      <c r="I27" s="1">
        <f>Arrendadora!E24</f>
        <v>117.11</v>
      </c>
      <c r="J27" s="1">
        <f t="shared" si="9"/>
        <v>1247.0171999999998</v>
      </c>
      <c r="K27" s="1">
        <f t="shared" si="10"/>
        <v>11638.827199999998</v>
      </c>
      <c r="M27">
        <f t="shared" si="3"/>
        <v>18</v>
      </c>
      <c r="N27" s="29">
        <f t="shared" si="4"/>
        <v>-10274.700000000001</v>
      </c>
      <c r="O27" s="29"/>
      <c r="P27" s="29"/>
      <c r="Q27" s="29"/>
      <c r="R27" s="29"/>
      <c r="S27" s="29"/>
      <c r="T27" s="25">
        <f t="shared" si="11"/>
        <v>18</v>
      </c>
      <c r="U27" s="25">
        <f t="shared" si="12"/>
        <v>257079.66080689145</v>
      </c>
      <c r="V27" s="25">
        <f t="shared" si="5"/>
        <v>3591.39548170135</v>
      </c>
      <c r="W27" s="25">
        <f t="shared" si="6"/>
        <v>6683.3045182986416</v>
      </c>
      <c r="X27" s="32">
        <f t="shared" si="7"/>
        <v>-10274.700000000001</v>
      </c>
      <c r="Y27" s="24">
        <f t="shared" si="8"/>
        <v>250396.3562885928</v>
      </c>
    </row>
    <row r="28" spans="5:25" x14ac:dyDescent="0.25">
      <c r="E28">
        <v>19</v>
      </c>
      <c r="F28" s="1">
        <f t="shared" si="0"/>
        <v>6776.6700905672369</v>
      </c>
      <c r="G28" s="1">
        <f t="shared" si="1"/>
        <v>3498.0299094327588</v>
      </c>
      <c r="H28" s="1">
        <f t="shared" si="2"/>
        <v>10274.699999999995</v>
      </c>
      <c r="I28" s="1">
        <f>Arrendadora!E25</f>
        <v>117.11</v>
      </c>
      <c r="J28" s="1">
        <f t="shared" si="9"/>
        <v>1247.0171999999995</v>
      </c>
      <c r="K28" s="1">
        <f t="shared" si="10"/>
        <v>11638.827199999996</v>
      </c>
      <c r="M28">
        <f t="shared" si="3"/>
        <v>19</v>
      </c>
      <c r="N28" s="29">
        <f t="shared" si="4"/>
        <v>-10274.700000000001</v>
      </c>
      <c r="O28" s="29"/>
      <c r="P28" s="29"/>
      <c r="Q28" s="29"/>
      <c r="R28" s="29"/>
      <c r="S28" s="29"/>
      <c r="T28" s="25">
        <f t="shared" si="11"/>
        <v>19</v>
      </c>
      <c r="U28" s="25">
        <f t="shared" si="12"/>
        <v>250396.3562885928</v>
      </c>
      <c r="V28" s="25">
        <f t="shared" si="5"/>
        <v>3498.0299094327543</v>
      </c>
      <c r="W28" s="25">
        <f t="shared" si="6"/>
        <v>6776.6700905672369</v>
      </c>
      <c r="X28" s="32">
        <f t="shared" si="7"/>
        <v>-10274.700000000001</v>
      </c>
      <c r="Y28" s="24">
        <f t="shared" si="8"/>
        <v>243619.68619802553</v>
      </c>
    </row>
    <row r="29" spans="5:25" x14ac:dyDescent="0.25">
      <c r="E29">
        <v>20</v>
      </c>
      <c r="F29" s="1">
        <f t="shared" si="0"/>
        <v>6871.3399772002595</v>
      </c>
      <c r="G29" s="1">
        <f t="shared" si="1"/>
        <v>3403.3600227997372</v>
      </c>
      <c r="H29" s="1">
        <f t="shared" si="2"/>
        <v>10274.699999999997</v>
      </c>
      <c r="I29" s="1">
        <f>Arrendadora!E26</f>
        <v>117.11</v>
      </c>
      <c r="J29" s="1">
        <f t="shared" si="9"/>
        <v>1247.0171999999998</v>
      </c>
      <c r="K29" s="1">
        <f t="shared" si="10"/>
        <v>11638.827199999998</v>
      </c>
      <c r="M29">
        <f t="shared" si="3"/>
        <v>20</v>
      </c>
      <c r="N29" s="29">
        <f t="shared" si="4"/>
        <v>-10274.700000000001</v>
      </c>
      <c r="O29" s="29"/>
      <c r="P29" s="29"/>
      <c r="Q29" s="29"/>
      <c r="R29" s="29"/>
      <c r="S29" s="29"/>
      <c r="T29" s="25">
        <f t="shared" si="11"/>
        <v>20</v>
      </c>
      <c r="U29" s="25">
        <f t="shared" si="12"/>
        <v>243619.68619802553</v>
      </c>
      <c r="V29" s="25">
        <f t="shared" si="5"/>
        <v>3403.3600227997331</v>
      </c>
      <c r="W29" s="25">
        <f t="shared" si="6"/>
        <v>6871.3399772002595</v>
      </c>
      <c r="X29" s="32">
        <f t="shared" si="7"/>
        <v>-10274.700000000001</v>
      </c>
      <c r="Y29" s="24">
        <f t="shared" si="8"/>
        <v>236748.34622082525</v>
      </c>
    </row>
    <row r="30" spans="5:25" x14ac:dyDescent="0.25">
      <c r="E30">
        <v>21</v>
      </c>
      <c r="F30" s="1">
        <f t="shared" si="0"/>
        <v>6967.3323994319335</v>
      </c>
      <c r="G30" s="1">
        <f t="shared" si="1"/>
        <v>3307.3676005680627</v>
      </c>
      <c r="H30" s="1">
        <f t="shared" si="2"/>
        <v>10274.699999999997</v>
      </c>
      <c r="I30" s="1">
        <f>Arrendadora!E27</f>
        <v>117.11</v>
      </c>
      <c r="J30" s="1">
        <f t="shared" si="9"/>
        <v>1247.0171999999998</v>
      </c>
      <c r="K30" s="1">
        <f t="shared" si="10"/>
        <v>11638.827199999998</v>
      </c>
      <c r="M30">
        <f t="shared" si="3"/>
        <v>21</v>
      </c>
      <c r="N30" s="29">
        <f t="shared" si="4"/>
        <v>-10274.700000000001</v>
      </c>
      <c r="O30" s="29"/>
      <c r="P30" s="29"/>
      <c r="Q30" s="29"/>
      <c r="R30" s="29"/>
      <c r="S30" s="29"/>
      <c r="T30" s="25">
        <f t="shared" si="11"/>
        <v>21</v>
      </c>
      <c r="U30" s="25">
        <f t="shared" si="12"/>
        <v>236748.34622082525</v>
      </c>
      <c r="V30" s="25">
        <f t="shared" si="5"/>
        <v>3307.3676005680577</v>
      </c>
      <c r="W30" s="25">
        <f t="shared" si="6"/>
        <v>6967.3323994319335</v>
      </c>
      <c r="X30" s="32">
        <f t="shared" si="7"/>
        <v>-10274.700000000001</v>
      </c>
      <c r="Y30" s="24">
        <f t="shared" si="8"/>
        <v>229781.01382139328</v>
      </c>
    </row>
    <row r="31" spans="5:25" x14ac:dyDescent="0.25">
      <c r="E31">
        <v>22</v>
      </c>
      <c r="F31" s="1">
        <f t="shared" si="0"/>
        <v>7064.6658330466107</v>
      </c>
      <c r="G31" s="1">
        <f t="shared" si="1"/>
        <v>3210.0341669533859</v>
      </c>
      <c r="H31" s="1">
        <f t="shared" si="2"/>
        <v>10274.699999999997</v>
      </c>
      <c r="I31" s="1">
        <f>Arrendadora!E28</f>
        <v>117.11</v>
      </c>
      <c r="J31" s="1">
        <f t="shared" si="9"/>
        <v>1247.0171999999998</v>
      </c>
      <c r="K31" s="1">
        <f t="shared" si="10"/>
        <v>11638.827199999998</v>
      </c>
      <c r="M31">
        <f t="shared" si="3"/>
        <v>22</v>
      </c>
      <c r="N31" s="29">
        <f t="shared" si="4"/>
        <v>-10274.700000000001</v>
      </c>
      <c r="O31" s="29"/>
      <c r="P31" s="29"/>
      <c r="Q31" s="29"/>
      <c r="R31" s="29"/>
      <c r="S31" s="29"/>
      <c r="T31" s="25">
        <f t="shared" si="11"/>
        <v>22</v>
      </c>
      <c r="U31" s="25">
        <f t="shared" si="12"/>
        <v>229781.01382139328</v>
      </c>
      <c r="V31" s="25">
        <f t="shared" si="5"/>
        <v>3210.03416695338</v>
      </c>
      <c r="W31" s="25">
        <f t="shared" si="6"/>
        <v>7064.6658330466107</v>
      </c>
      <c r="X31" s="32">
        <f t="shared" si="7"/>
        <v>-10274.700000000001</v>
      </c>
      <c r="Y31" s="24">
        <f t="shared" si="8"/>
        <v>222716.34798834665</v>
      </c>
    </row>
    <row r="32" spans="5:25" x14ac:dyDescent="0.25">
      <c r="E32">
        <v>23</v>
      </c>
      <c r="F32" s="1">
        <f t="shared" si="0"/>
        <v>7163.3590119348155</v>
      </c>
      <c r="G32" s="1">
        <f t="shared" si="1"/>
        <v>3111.3409880651807</v>
      </c>
      <c r="H32" s="1">
        <f t="shared" si="2"/>
        <v>10274.699999999997</v>
      </c>
      <c r="I32" s="1">
        <f>Arrendadora!E29</f>
        <v>117.11</v>
      </c>
      <c r="J32" s="1">
        <f t="shared" si="9"/>
        <v>1247.0171999999998</v>
      </c>
      <c r="K32" s="1">
        <f t="shared" si="10"/>
        <v>11638.827199999998</v>
      </c>
      <c r="M32">
        <f t="shared" si="3"/>
        <v>23</v>
      </c>
      <c r="N32" s="29">
        <f t="shared" si="4"/>
        <v>-10274.700000000001</v>
      </c>
      <c r="O32" s="29"/>
      <c r="P32" s="29"/>
      <c r="Q32" s="29"/>
      <c r="R32" s="29"/>
      <c r="S32" s="29"/>
      <c r="T32" s="25">
        <f t="shared" si="11"/>
        <v>23</v>
      </c>
      <c r="U32" s="25">
        <f t="shared" si="12"/>
        <v>222716.34798834665</v>
      </c>
      <c r="V32" s="25">
        <f t="shared" si="5"/>
        <v>3111.3409880651752</v>
      </c>
      <c r="W32" s="25">
        <f t="shared" si="6"/>
        <v>7163.3590119348155</v>
      </c>
      <c r="X32" s="32">
        <f t="shared" si="7"/>
        <v>-10274.700000000001</v>
      </c>
      <c r="Y32" s="24">
        <f t="shared" si="8"/>
        <v>215552.98897641181</v>
      </c>
    </row>
    <row r="33" spans="5:25" x14ac:dyDescent="0.25">
      <c r="E33">
        <v>24</v>
      </c>
      <c r="F33" s="1">
        <f t="shared" si="0"/>
        <v>7263.4309316989857</v>
      </c>
      <c r="G33" s="1">
        <f t="shared" si="1"/>
        <v>3011.269068301011</v>
      </c>
      <c r="H33" s="1">
        <f t="shared" si="2"/>
        <v>10274.699999999997</v>
      </c>
      <c r="I33" s="1">
        <f>Arrendadora!E30</f>
        <v>117.11</v>
      </c>
      <c r="J33" s="1">
        <f t="shared" si="9"/>
        <v>1247.0171999999998</v>
      </c>
      <c r="K33" s="1">
        <f t="shared" si="10"/>
        <v>11638.827199999998</v>
      </c>
      <c r="M33">
        <f t="shared" si="3"/>
        <v>24</v>
      </c>
      <c r="N33" s="29">
        <f t="shared" si="4"/>
        <v>-10274.700000000001</v>
      </c>
      <c r="O33" s="29"/>
      <c r="P33" s="29"/>
      <c r="Q33" s="29"/>
      <c r="R33" s="29"/>
      <c r="S33" s="29"/>
      <c r="T33" s="25">
        <f t="shared" si="11"/>
        <v>24</v>
      </c>
      <c r="U33" s="25">
        <f t="shared" si="12"/>
        <v>215552.98897641181</v>
      </c>
      <c r="V33" s="25">
        <f t="shared" si="5"/>
        <v>3011.2690683010046</v>
      </c>
      <c r="W33" s="25">
        <f t="shared" si="6"/>
        <v>7263.4309316989857</v>
      </c>
      <c r="X33" s="32">
        <f t="shared" si="7"/>
        <v>-10274.700000000001</v>
      </c>
      <c r="Y33" s="24">
        <f t="shared" si="8"/>
        <v>208289.55804471282</v>
      </c>
    </row>
    <row r="34" spans="5:25" x14ac:dyDescent="0.25">
      <c r="E34">
        <v>25</v>
      </c>
      <c r="F34" s="1">
        <f t="shared" si="0"/>
        <v>7364.9008533095803</v>
      </c>
      <c r="G34" s="1">
        <f t="shared" si="1"/>
        <v>2909.7991466904159</v>
      </c>
      <c r="H34" s="1">
        <f t="shared" si="2"/>
        <v>10274.699999999997</v>
      </c>
      <c r="I34" s="1">
        <f>Arrendadora!E31</f>
        <v>117.11</v>
      </c>
      <c r="J34" s="1">
        <f t="shared" si="9"/>
        <v>1247.0171999999998</v>
      </c>
      <c r="K34" s="1">
        <f t="shared" si="10"/>
        <v>11638.827199999998</v>
      </c>
      <c r="M34">
        <f t="shared" si="3"/>
        <v>25</v>
      </c>
      <c r="N34" s="29">
        <f t="shared" si="4"/>
        <v>-10274.700000000001</v>
      </c>
      <c r="O34" s="29"/>
      <c r="P34" s="29"/>
      <c r="Q34" s="29"/>
      <c r="R34" s="29"/>
      <c r="S34" s="29"/>
      <c r="T34" s="25">
        <f t="shared" si="11"/>
        <v>25</v>
      </c>
      <c r="U34" s="25">
        <f t="shared" si="12"/>
        <v>208289.55804471282</v>
      </c>
      <c r="V34" s="25">
        <f t="shared" si="5"/>
        <v>2909.79914669041</v>
      </c>
      <c r="W34" s="25">
        <f t="shared" si="6"/>
        <v>7364.9008533095803</v>
      </c>
      <c r="X34" s="32">
        <f t="shared" si="7"/>
        <v>-10274.700000000001</v>
      </c>
      <c r="Y34" s="24">
        <f t="shared" si="8"/>
        <v>200924.65719140321</v>
      </c>
    </row>
    <row r="35" spans="5:25" x14ac:dyDescent="0.25">
      <c r="E35">
        <v>26</v>
      </c>
      <c r="F35" s="1">
        <f t="shared" si="0"/>
        <v>7467.7883068122628</v>
      </c>
      <c r="G35" s="1">
        <f t="shared" si="1"/>
        <v>2806.9116931877334</v>
      </c>
      <c r="H35" s="1">
        <f t="shared" si="2"/>
        <v>10274.699999999997</v>
      </c>
      <c r="I35" s="1">
        <f>Arrendadora!E32</f>
        <v>117.11</v>
      </c>
      <c r="J35" s="1">
        <f t="shared" si="9"/>
        <v>1247.0171999999998</v>
      </c>
      <c r="K35" s="1">
        <f t="shared" si="10"/>
        <v>11638.827199999998</v>
      </c>
      <c r="M35">
        <f t="shared" si="3"/>
        <v>26</v>
      </c>
      <c r="N35" s="29">
        <f t="shared" si="4"/>
        <v>-10274.700000000001</v>
      </c>
      <c r="O35" s="29"/>
      <c r="P35" s="29"/>
      <c r="Q35" s="29"/>
      <c r="R35" s="29"/>
      <c r="S35" s="29"/>
      <c r="T35" s="25">
        <f t="shared" si="11"/>
        <v>26</v>
      </c>
      <c r="U35" s="25">
        <f t="shared" si="12"/>
        <v>200924.65719140321</v>
      </c>
      <c r="V35" s="25">
        <f t="shared" si="5"/>
        <v>2806.911693187727</v>
      </c>
      <c r="W35" s="25">
        <f t="shared" si="6"/>
        <v>7467.7883068122628</v>
      </c>
      <c r="X35" s="32">
        <f t="shared" si="7"/>
        <v>-10274.700000000001</v>
      </c>
      <c r="Y35" s="24">
        <f t="shared" si="8"/>
        <v>193456.86888459092</v>
      </c>
    </row>
    <row r="36" spans="5:25" x14ac:dyDescent="0.25">
      <c r="E36">
        <v>27</v>
      </c>
      <c r="F36" s="1">
        <f t="shared" si="0"/>
        <v>7572.1130950868737</v>
      </c>
      <c r="G36" s="1">
        <f t="shared" si="1"/>
        <v>2702.5869049131225</v>
      </c>
      <c r="H36" s="1">
        <f t="shared" si="2"/>
        <v>10274.699999999997</v>
      </c>
      <c r="I36" s="1">
        <f>Arrendadora!E33</f>
        <v>117.11</v>
      </c>
      <c r="J36" s="1">
        <f t="shared" si="9"/>
        <v>1247.0171999999998</v>
      </c>
      <c r="K36" s="1">
        <f t="shared" si="10"/>
        <v>11638.827199999998</v>
      </c>
      <c r="M36">
        <f t="shared" si="3"/>
        <v>27</v>
      </c>
      <c r="N36" s="29">
        <f t="shared" si="4"/>
        <v>-10274.700000000001</v>
      </c>
      <c r="O36" s="29"/>
      <c r="P36" s="29"/>
      <c r="Q36" s="29"/>
      <c r="R36" s="29"/>
      <c r="S36" s="29"/>
      <c r="T36" s="25">
        <f t="shared" si="11"/>
        <v>27</v>
      </c>
      <c r="U36" s="25">
        <f t="shared" si="12"/>
        <v>193456.86888459092</v>
      </c>
      <c r="V36" s="25">
        <f t="shared" si="5"/>
        <v>2702.5869049131156</v>
      </c>
      <c r="W36" s="25">
        <f t="shared" si="6"/>
        <v>7572.1130950868737</v>
      </c>
      <c r="X36" s="32">
        <f t="shared" si="7"/>
        <v>-10274.700000000001</v>
      </c>
      <c r="Y36" s="24">
        <f t="shared" si="8"/>
        <v>185884.75578950404</v>
      </c>
    </row>
    <row r="37" spans="5:25" x14ac:dyDescent="0.25">
      <c r="E37">
        <v>28</v>
      </c>
      <c r="F37" s="1">
        <f t="shared" si="0"/>
        <v>7677.8952976589171</v>
      </c>
      <c r="G37" s="1">
        <f t="shared" si="1"/>
        <v>2596.8047023410791</v>
      </c>
      <c r="H37" s="1">
        <f t="shared" si="2"/>
        <v>10274.699999999997</v>
      </c>
      <c r="I37" s="1">
        <f>Arrendadora!E34</f>
        <v>117.11</v>
      </c>
      <c r="J37" s="1">
        <f t="shared" si="9"/>
        <v>1247.0171999999998</v>
      </c>
      <c r="K37" s="1">
        <f t="shared" si="10"/>
        <v>11638.827199999998</v>
      </c>
      <c r="M37">
        <f t="shared" si="3"/>
        <v>28</v>
      </c>
      <c r="N37" s="29">
        <f t="shared" si="4"/>
        <v>-10274.700000000001</v>
      </c>
      <c r="O37" s="29"/>
      <c r="P37" s="29"/>
      <c r="Q37" s="29"/>
      <c r="R37" s="29"/>
      <c r="S37" s="29"/>
      <c r="T37" s="25">
        <f t="shared" si="11"/>
        <v>28</v>
      </c>
      <c r="U37" s="25">
        <f t="shared" si="12"/>
        <v>185884.75578950404</v>
      </c>
      <c r="V37" s="25">
        <f t="shared" si="5"/>
        <v>2596.8047023410727</v>
      </c>
      <c r="W37" s="25">
        <f t="shared" si="6"/>
        <v>7677.8952976589171</v>
      </c>
      <c r="X37" s="32">
        <f t="shared" si="7"/>
        <v>-10274.700000000001</v>
      </c>
      <c r="Y37" s="24">
        <f t="shared" si="8"/>
        <v>178206.86049184509</v>
      </c>
    </row>
    <row r="38" spans="5:25" x14ac:dyDescent="0.25">
      <c r="E38">
        <v>29</v>
      </c>
      <c r="F38" s="1">
        <f t="shared" si="0"/>
        <v>7785.1552745642894</v>
      </c>
      <c r="G38" s="1">
        <f t="shared" si="1"/>
        <v>2489.5447254357068</v>
      </c>
      <c r="H38" s="1">
        <f t="shared" si="2"/>
        <v>10274.699999999997</v>
      </c>
      <c r="I38" s="1">
        <f>Arrendadora!E35</f>
        <v>117.11</v>
      </c>
      <c r="J38" s="1">
        <f t="shared" si="9"/>
        <v>1247.0171999999998</v>
      </c>
      <c r="K38" s="1">
        <f t="shared" si="10"/>
        <v>11638.827199999998</v>
      </c>
      <c r="M38">
        <f t="shared" si="3"/>
        <v>29</v>
      </c>
      <c r="N38" s="29">
        <f t="shared" si="4"/>
        <v>-10274.700000000001</v>
      </c>
      <c r="O38" s="29"/>
      <c r="P38" s="29"/>
      <c r="Q38" s="29"/>
      <c r="R38" s="29"/>
      <c r="S38" s="29"/>
      <c r="T38" s="25">
        <f t="shared" si="11"/>
        <v>29</v>
      </c>
      <c r="U38" s="25">
        <f t="shared" si="12"/>
        <v>178206.86049184509</v>
      </c>
      <c r="V38" s="25">
        <f t="shared" si="5"/>
        <v>2489.5447254356995</v>
      </c>
      <c r="W38" s="25">
        <f t="shared" si="6"/>
        <v>7785.1552745642894</v>
      </c>
      <c r="X38" s="32">
        <f t="shared" si="7"/>
        <v>-10274.700000000001</v>
      </c>
      <c r="Y38" s="24">
        <f t="shared" si="8"/>
        <v>170421.70521728077</v>
      </c>
    </row>
    <row r="39" spans="5:25" x14ac:dyDescent="0.25">
      <c r="E39">
        <v>30</v>
      </c>
      <c r="F39" s="1">
        <f t="shared" si="0"/>
        <v>7893.9136702680071</v>
      </c>
      <c r="G39" s="1">
        <f t="shared" si="1"/>
        <v>2380.7863297319882</v>
      </c>
      <c r="H39" s="1">
        <f t="shared" si="2"/>
        <v>10274.699999999995</v>
      </c>
      <c r="I39" s="1">
        <f>Arrendadora!E36</f>
        <v>117.11</v>
      </c>
      <c r="J39" s="1">
        <f t="shared" si="9"/>
        <v>1247.0171999999995</v>
      </c>
      <c r="K39" s="1">
        <f t="shared" si="10"/>
        <v>11638.827199999996</v>
      </c>
      <c r="M39">
        <f t="shared" si="3"/>
        <v>30</v>
      </c>
      <c r="N39" s="29">
        <f t="shared" si="4"/>
        <v>-10274.700000000001</v>
      </c>
      <c r="O39" s="29"/>
      <c r="P39" s="29"/>
      <c r="Q39" s="29"/>
      <c r="R39" s="29"/>
      <c r="S39" s="29"/>
      <c r="T39" s="25">
        <f t="shared" si="11"/>
        <v>30</v>
      </c>
      <c r="U39" s="25">
        <f t="shared" si="12"/>
        <v>170421.70521728077</v>
      </c>
      <c r="V39" s="25">
        <f t="shared" si="5"/>
        <v>2380.7863297319805</v>
      </c>
      <c r="W39" s="25">
        <f t="shared" si="6"/>
        <v>7893.9136702680071</v>
      </c>
      <c r="X39" s="32">
        <f t="shared" si="7"/>
        <v>-10274.700000000001</v>
      </c>
      <c r="Y39" s="24">
        <f t="shared" si="8"/>
        <v>162527.79154701275</v>
      </c>
    </row>
    <row r="40" spans="5:25" x14ac:dyDescent="0.25">
      <c r="E40">
        <v>31</v>
      </c>
      <c r="F40" s="1">
        <f t="shared" si="0"/>
        <v>8004.1914176376704</v>
      </c>
      <c r="G40" s="1">
        <f t="shared" si="1"/>
        <v>2270.5085823623249</v>
      </c>
      <c r="H40" s="1">
        <f t="shared" si="2"/>
        <v>10274.699999999995</v>
      </c>
      <c r="I40" s="1">
        <f>Arrendadora!E37</f>
        <v>117.11</v>
      </c>
      <c r="J40" s="1">
        <f t="shared" si="9"/>
        <v>1247.0171999999995</v>
      </c>
      <c r="K40" s="1">
        <f t="shared" si="10"/>
        <v>11638.827199999996</v>
      </c>
      <c r="M40">
        <f t="shared" si="3"/>
        <v>31</v>
      </c>
      <c r="N40" s="29">
        <f t="shared" si="4"/>
        <v>-10274.700000000001</v>
      </c>
      <c r="O40" s="29"/>
      <c r="P40" s="29"/>
      <c r="Q40" s="29"/>
      <c r="R40" s="29"/>
      <c r="S40" s="29"/>
      <c r="T40" s="25">
        <f t="shared" si="11"/>
        <v>31</v>
      </c>
      <c r="U40" s="25">
        <f t="shared" si="12"/>
        <v>162527.79154701275</v>
      </c>
      <c r="V40" s="25">
        <f t="shared" si="5"/>
        <v>2270.5085823623172</v>
      </c>
      <c r="W40" s="25">
        <f t="shared" si="6"/>
        <v>8004.1914176376704</v>
      </c>
      <c r="X40" s="32">
        <f t="shared" si="7"/>
        <v>-10274.700000000001</v>
      </c>
      <c r="Y40" s="24">
        <f t="shared" si="8"/>
        <v>154523.60012937506</v>
      </c>
    </row>
    <row r="41" spans="5:25" x14ac:dyDescent="0.25">
      <c r="E41">
        <v>32</v>
      </c>
      <c r="F41" s="1">
        <f t="shared" si="0"/>
        <v>8116.0097419724361</v>
      </c>
      <c r="G41" s="1">
        <f t="shared" si="1"/>
        <v>2158.6902580275591</v>
      </c>
      <c r="H41" s="1">
        <f t="shared" si="2"/>
        <v>10274.699999999995</v>
      </c>
      <c r="I41" s="1">
        <f>Arrendadora!E38</f>
        <v>117.11</v>
      </c>
      <c r="J41" s="1">
        <f t="shared" si="9"/>
        <v>1247.0171999999995</v>
      </c>
      <c r="K41" s="1">
        <f t="shared" si="10"/>
        <v>11638.827199999996</v>
      </c>
      <c r="M41">
        <f t="shared" si="3"/>
        <v>32</v>
      </c>
      <c r="N41" s="29">
        <f t="shared" si="4"/>
        <v>-10274.700000000001</v>
      </c>
      <c r="O41" s="29"/>
      <c r="P41" s="29"/>
      <c r="Q41" s="29"/>
      <c r="R41" s="29"/>
      <c r="S41" s="29"/>
      <c r="T41" s="25">
        <f t="shared" si="11"/>
        <v>32</v>
      </c>
      <c r="U41" s="25">
        <f t="shared" si="12"/>
        <v>154523.60012937506</v>
      </c>
      <c r="V41" s="25">
        <f t="shared" si="5"/>
        <v>2158.690258027551</v>
      </c>
      <c r="W41" s="25">
        <f t="shared" si="6"/>
        <v>8116.0097419724361</v>
      </c>
      <c r="X41" s="32">
        <f t="shared" si="7"/>
        <v>-10274.700000000001</v>
      </c>
      <c r="Y41" s="24">
        <f t="shared" si="8"/>
        <v>146407.5903874026</v>
      </c>
    </row>
    <row r="42" spans="5:25" x14ac:dyDescent="0.25">
      <c r="E42">
        <v>33</v>
      </c>
      <c r="F42" s="1">
        <f t="shared" si="0"/>
        <v>8229.3901650882835</v>
      </c>
      <c r="G42" s="1">
        <f t="shared" si="1"/>
        <v>2045.3098349117115</v>
      </c>
      <c r="H42" s="1">
        <f t="shared" si="2"/>
        <v>10274.699999999995</v>
      </c>
      <c r="I42" s="1">
        <f>Arrendadora!E39</f>
        <v>117.11</v>
      </c>
      <c r="J42" s="1">
        <f t="shared" si="9"/>
        <v>1247.0171999999995</v>
      </c>
      <c r="K42" s="1">
        <f t="shared" si="10"/>
        <v>11638.827199999996</v>
      </c>
      <c r="M42">
        <f t="shared" si="3"/>
        <v>33</v>
      </c>
      <c r="N42" s="29">
        <f t="shared" si="4"/>
        <v>-10274.700000000001</v>
      </c>
      <c r="O42" s="29"/>
      <c r="P42" s="29"/>
      <c r="Q42" s="29"/>
      <c r="R42" s="29"/>
      <c r="S42" s="29"/>
      <c r="T42" s="25">
        <f t="shared" si="11"/>
        <v>33</v>
      </c>
      <c r="U42" s="25">
        <f t="shared" si="12"/>
        <v>146407.5903874026</v>
      </c>
      <c r="V42" s="25">
        <f t="shared" si="5"/>
        <v>2045.3098349117029</v>
      </c>
      <c r="W42" s="25">
        <f t="shared" si="6"/>
        <v>8229.3901650882835</v>
      </c>
      <c r="X42" s="32">
        <f t="shared" si="7"/>
        <v>-10274.700000000001</v>
      </c>
      <c r="Y42" s="24">
        <f t="shared" si="8"/>
        <v>138178.20022231428</v>
      </c>
    </row>
    <row r="43" spans="5:25" x14ac:dyDescent="0.25">
      <c r="E43">
        <v>34</v>
      </c>
      <c r="F43" s="1">
        <f t="shared" si="0"/>
        <v>8344.3545094603433</v>
      </c>
      <c r="G43" s="1">
        <f t="shared" si="1"/>
        <v>1930.3454905396522</v>
      </c>
      <c r="H43" s="1">
        <f t="shared" si="2"/>
        <v>10274.699999999995</v>
      </c>
      <c r="I43" s="1">
        <f>Arrendadora!E40</f>
        <v>117.11</v>
      </c>
      <c r="J43" s="1">
        <f t="shared" si="9"/>
        <v>1247.0171999999995</v>
      </c>
      <c r="K43" s="1">
        <f t="shared" si="10"/>
        <v>11638.827199999996</v>
      </c>
      <c r="M43">
        <f t="shared" si="3"/>
        <v>34</v>
      </c>
      <c r="N43" s="29">
        <f t="shared" si="4"/>
        <v>-10274.700000000001</v>
      </c>
      <c r="O43" s="29"/>
      <c r="P43" s="29"/>
      <c r="Q43" s="29"/>
      <c r="R43" s="29"/>
      <c r="S43" s="29"/>
      <c r="T43" s="25">
        <f t="shared" si="11"/>
        <v>34</v>
      </c>
      <c r="U43" s="25">
        <f t="shared" si="12"/>
        <v>138178.20022231428</v>
      </c>
      <c r="V43" s="25">
        <f t="shared" si="5"/>
        <v>1930.3454905396434</v>
      </c>
      <c r="W43" s="25">
        <f t="shared" si="6"/>
        <v>8344.3545094603433</v>
      </c>
      <c r="X43" s="32">
        <f t="shared" si="7"/>
        <v>-10274.700000000001</v>
      </c>
      <c r="Y43" s="24">
        <f t="shared" si="8"/>
        <v>129833.84571285393</v>
      </c>
    </row>
    <row r="44" spans="5:25" x14ac:dyDescent="0.25">
      <c r="E44">
        <v>35</v>
      </c>
      <c r="F44" s="1">
        <f t="shared" si="0"/>
        <v>8460.9249024230958</v>
      </c>
      <c r="G44" s="1">
        <f t="shared" si="1"/>
        <v>1813.7750975769013</v>
      </c>
      <c r="H44" s="1">
        <f t="shared" si="2"/>
        <v>10274.699999999997</v>
      </c>
      <c r="I44" s="1">
        <f>Arrendadora!E41</f>
        <v>117.11</v>
      </c>
      <c r="J44" s="1">
        <f t="shared" si="9"/>
        <v>1247.0171999999998</v>
      </c>
      <c r="K44" s="1">
        <f t="shared" si="10"/>
        <v>11638.827199999998</v>
      </c>
      <c r="M44">
        <f t="shared" si="3"/>
        <v>35</v>
      </c>
      <c r="N44" s="29">
        <f t="shared" si="4"/>
        <v>-10274.700000000001</v>
      </c>
      <c r="O44" s="29"/>
      <c r="P44" s="29"/>
      <c r="Q44" s="29"/>
      <c r="R44" s="29"/>
      <c r="S44" s="29"/>
      <c r="T44" s="25">
        <f t="shared" si="11"/>
        <v>35</v>
      </c>
      <c r="U44" s="25">
        <f t="shared" si="12"/>
        <v>129833.84571285393</v>
      </c>
      <c r="V44" s="25">
        <f t="shared" si="5"/>
        <v>1813.775097576892</v>
      </c>
      <c r="W44" s="25">
        <f t="shared" si="6"/>
        <v>8460.9249024230958</v>
      </c>
      <c r="X44" s="32">
        <f t="shared" si="7"/>
        <v>-10274.700000000001</v>
      </c>
      <c r="Y44" s="24">
        <f t="shared" si="8"/>
        <v>121372.92081043082</v>
      </c>
    </row>
    <row r="45" spans="5:25" x14ac:dyDescent="0.25">
      <c r="E45">
        <v>36</v>
      </c>
      <c r="F45" s="1">
        <f t="shared" si="0"/>
        <v>8579.1237804292468</v>
      </c>
      <c r="G45" s="1">
        <f t="shared" si="1"/>
        <v>1695.5762195707489</v>
      </c>
      <c r="H45" s="1">
        <f t="shared" si="2"/>
        <v>10274.699999999995</v>
      </c>
      <c r="I45" s="1">
        <f>Arrendadora!E42</f>
        <v>117.11</v>
      </c>
      <c r="J45" s="1">
        <f t="shared" si="9"/>
        <v>1247.0171999999995</v>
      </c>
      <c r="K45" s="1">
        <f t="shared" si="10"/>
        <v>11638.827199999996</v>
      </c>
      <c r="M45">
        <f t="shared" si="3"/>
        <v>36</v>
      </c>
      <c r="N45" s="29">
        <f t="shared" si="4"/>
        <v>-10274.700000000001</v>
      </c>
      <c r="O45" s="29"/>
      <c r="P45" s="29"/>
      <c r="Q45" s="29"/>
      <c r="R45" s="29"/>
      <c r="S45" s="29"/>
      <c r="T45" s="25">
        <f t="shared" si="11"/>
        <v>36</v>
      </c>
      <c r="U45" s="25">
        <f t="shared" si="12"/>
        <v>121372.92081043082</v>
      </c>
      <c r="V45" s="25">
        <f t="shared" si="5"/>
        <v>1695.5762195707396</v>
      </c>
      <c r="W45" s="25">
        <f t="shared" si="6"/>
        <v>8579.1237804292468</v>
      </c>
      <c r="X45" s="32">
        <f t="shared" si="7"/>
        <v>-10274.700000000001</v>
      </c>
      <c r="Y45" s="24">
        <f t="shared" si="8"/>
        <v>112793.79703000156</v>
      </c>
    </row>
    <row r="46" spans="5:25" x14ac:dyDescent="0.25">
      <c r="E46">
        <v>37</v>
      </c>
      <c r="F46" s="1">
        <f t="shared" si="0"/>
        <v>8698.9738933681092</v>
      </c>
      <c r="G46" s="1">
        <f t="shared" si="1"/>
        <v>1575.7261066318874</v>
      </c>
      <c r="H46" s="1">
        <f t="shared" si="2"/>
        <v>10274.699999999997</v>
      </c>
      <c r="I46" s="1">
        <f>Arrendadora!E43</f>
        <v>117.11</v>
      </c>
      <c r="J46" s="1">
        <f t="shared" si="9"/>
        <v>1247.0171999999998</v>
      </c>
      <c r="K46" s="1">
        <f t="shared" si="10"/>
        <v>11638.827199999998</v>
      </c>
      <c r="M46">
        <f t="shared" si="3"/>
        <v>37</v>
      </c>
      <c r="N46" s="29">
        <f t="shared" si="4"/>
        <v>-10274.700000000001</v>
      </c>
      <c r="O46" s="29"/>
      <c r="P46" s="29"/>
      <c r="Q46" s="29"/>
      <c r="R46" s="29"/>
      <c r="S46" s="29"/>
      <c r="T46" s="25">
        <f t="shared" si="11"/>
        <v>37</v>
      </c>
      <c r="U46" s="25">
        <f t="shared" si="12"/>
        <v>112793.79703000156</v>
      </c>
      <c r="V46" s="25">
        <f t="shared" si="5"/>
        <v>1575.7261066318777</v>
      </c>
      <c r="W46" s="25">
        <f t="shared" si="6"/>
        <v>8698.9738933681092</v>
      </c>
      <c r="X46" s="32">
        <f t="shared" si="7"/>
        <v>-10274.700000000001</v>
      </c>
      <c r="Y46" s="24">
        <f t="shared" si="8"/>
        <v>104094.82313663344</v>
      </c>
    </row>
    <row r="47" spans="5:25" x14ac:dyDescent="0.25">
      <c r="E47">
        <v>38</v>
      </c>
      <c r="F47" s="1">
        <f t="shared" si="0"/>
        <v>8820.4983089442903</v>
      </c>
      <c r="G47" s="1">
        <f t="shared" si="1"/>
        <v>1454.2016910557065</v>
      </c>
      <c r="H47" s="1">
        <f t="shared" si="2"/>
        <v>10274.699999999997</v>
      </c>
      <c r="I47" s="1">
        <f>Arrendadora!E44</f>
        <v>117.11</v>
      </c>
      <c r="J47" s="1">
        <f t="shared" si="9"/>
        <v>1247.0171999999998</v>
      </c>
      <c r="K47" s="1">
        <f t="shared" si="10"/>
        <v>11638.827199999998</v>
      </c>
      <c r="M47">
        <f t="shared" si="3"/>
        <v>38</v>
      </c>
      <c r="N47" s="29">
        <f t="shared" si="4"/>
        <v>-10274.700000000001</v>
      </c>
      <c r="O47" s="29"/>
      <c r="P47" s="29"/>
      <c r="Q47" s="29"/>
      <c r="R47" s="29"/>
      <c r="S47" s="29"/>
      <c r="T47" s="25">
        <f t="shared" si="11"/>
        <v>38</v>
      </c>
      <c r="U47" s="25">
        <f t="shared" si="12"/>
        <v>104094.82313663344</v>
      </c>
      <c r="V47" s="25">
        <f t="shared" si="5"/>
        <v>1454.2016910556968</v>
      </c>
      <c r="W47" s="25">
        <f t="shared" si="6"/>
        <v>8820.4983089442903</v>
      </c>
      <c r="X47" s="32">
        <f t="shared" si="7"/>
        <v>-10274.700000000001</v>
      </c>
      <c r="Y47" s="24">
        <f t="shared" si="8"/>
        <v>95274.324827689139</v>
      </c>
    </row>
    <row r="48" spans="5:25" x14ac:dyDescent="0.25">
      <c r="E48">
        <v>39</v>
      </c>
      <c r="F48" s="1">
        <f t="shared" si="0"/>
        <v>8943.720417117569</v>
      </c>
      <c r="G48" s="1">
        <f t="shared" si="1"/>
        <v>1330.9795828824265</v>
      </c>
      <c r="H48" s="1">
        <f t="shared" si="2"/>
        <v>10274.699999999995</v>
      </c>
      <c r="I48" s="1">
        <f>Arrendadora!E45</f>
        <v>117.11</v>
      </c>
      <c r="J48" s="1">
        <f t="shared" si="9"/>
        <v>1247.0171999999995</v>
      </c>
      <c r="K48" s="1">
        <f t="shared" si="10"/>
        <v>11638.827199999996</v>
      </c>
      <c r="M48">
        <f t="shared" si="3"/>
        <v>39</v>
      </c>
      <c r="N48" s="29">
        <f t="shared" si="4"/>
        <v>-10274.700000000001</v>
      </c>
      <c r="O48" s="29"/>
      <c r="P48" s="29"/>
      <c r="Q48" s="29"/>
      <c r="R48" s="29"/>
      <c r="S48" s="29"/>
      <c r="T48" s="25">
        <f t="shared" si="11"/>
        <v>39</v>
      </c>
      <c r="U48" s="25">
        <f t="shared" si="12"/>
        <v>95274.324827689139</v>
      </c>
      <c r="V48" s="25">
        <f t="shared" si="5"/>
        <v>1330.9795828824167</v>
      </c>
      <c r="W48" s="25">
        <f t="shared" si="6"/>
        <v>8943.720417117569</v>
      </c>
      <c r="X48" s="32">
        <f t="shared" si="7"/>
        <v>-10274.700000000001</v>
      </c>
      <c r="Y48" s="24">
        <f t="shared" si="8"/>
        <v>86330.604410571555</v>
      </c>
    </row>
    <row r="49" spans="4:25" x14ac:dyDescent="0.25">
      <c r="E49">
        <v>40</v>
      </c>
      <c r="F49" s="1">
        <f t="shared" si="0"/>
        <v>9068.6639346047959</v>
      </c>
      <c r="G49" s="1">
        <f t="shared" si="1"/>
        <v>1206.0360653951998</v>
      </c>
      <c r="H49" s="1">
        <f t="shared" si="2"/>
        <v>10274.699999999995</v>
      </c>
      <c r="I49" s="1">
        <f>Arrendadora!E46</f>
        <v>117.11</v>
      </c>
      <c r="J49" s="1">
        <f t="shared" si="9"/>
        <v>1247.0171999999995</v>
      </c>
      <c r="K49" s="1">
        <f t="shared" si="10"/>
        <v>11638.827199999996</v>
      </c>
      <c r="M49">
        <f t="shared" si="3"/>
        <v>40</v>
      </c>
      <c r="N49" s="29">
        <f t="shared" si="4"/>
        <v>-10274.700000000001</v>
      </c>
      <c r="O49" s="29"/>
      <c r="P49" s="29"/>
      <c r="Q49" s="29"/>
      <c r="R49" s="29"/>
      <c r="S49" s="29"/>
      <c r="T49" s="25">
        <f t="shared" si="11"/>
        <v>40</v>
      </c>
      <c r="U49" s="25">
        <f t="shared" si="12"/>
        <v>86330.604410571555</v>
      </c>
      <c r="V49" s="25">
        <f t="shared" si="5"/>
        <v>1206.0360653951898</v>
      </c>
      <c r="W49" s="25">
        <f t="shared" si="6"/>
        <v>9068.6639346047959</v>
      </c>
      <c r="X49" s="32">
        <f t="shared" si="7"/>
        <v>-10274.700000000001</v>
      </c>
      <c r="Y49" s="24">
        <f t="shared" si="8"/>
        <v>77261.940475966752</v>
      </c>
    </row>
    <row r="50" spans="4:25" x14ac:dyDescent="0.25">
      <c r="E50">
        <v>41</v>
      </c>
      <c r="F50" s="1">
        <f t="shared" si="0"/>
        <v>9195.3529094446712</v>
      </c>
      <c r="G50" s="1">
        <f t="shared" si="1"/>
        <v>1079.3470905553256</v>
      </c>
      <c r="H50" s="1">
        <f t="shared" si="2"/>
        <v>10274.699999999997</v>
      </c>
      <c r="I50" s="1">
        <f>Arrendadora!E47</f>
        <v>117.11</v>
      </c>
      <c r="J50" s="1">
        <f t="shared" si="9"/>
        <v>1247.0171999999998</v>
      </c>
      <c r="K50" s="1">
        <f t="shared" si="10"/>
        <v>11638.827199999998</v>
      </c>
      <c r="M50">
        <f t="shared" si="3"/>
        <v>41</v>
      </c>
      <c r="N50" s="29">
        <f t="shared" si="4"/>
        <v>-10274.700000000001</v>
      </c>
      <c r="O50" s="29"/>
      <c r="P50" s="29"/>
      <c r="Q50" s="29"/>
      <c r="R50" s="29"/>
      <c r="S50" s="29"/>
      <c r="T50" s="25">
        <f t="shared" si="11"/>
        <v>41</v>
      </c>
      <c r="U50" s="25">
        <f t="shared" si="12"/>
        <v>77261.940475966752</v>
      </c>
      <c r="V50" s="25">
        <f t="shared" si="5"/>
        <v>1079.3470905553156</v>
      </c>
      <c r="W50" s="25">
        <f t="shared" si="6"/>
        <v>9195.3529094446712</v>
      </c>
      <c r="X50" s="32">
        <f t="shared" si="7"/>
        <v>-10274.700000000001</v>
      </c>
      <c r="Y50" s="24">
        <f t="shared" si="8"/>
        <v>68066.587566522066</v>
      </c>
    </row>
    <row r="51" spans="4:25" x14ac:dyDescent="0.25">
      <c r="E51">
        <v>42</v>
      </c>
      <c r="F51" s="1">
        <f t="shared" si="0"/>
        <v>9323.8117256263013</v>
      </c>
      <c r="G51" s="1">
        <f t="shared" si="1"/>
        <v>950.88827437369275</v>
      </c>
      <c r="H51" s="1">
        <f t="shared" si="2"/>
        <v>10274.699999999993</v>
      </c>
      <c r="I51" s="1">
        <f>Arrendadora!E48</f>
        <v>117.11</v>
      </c>
      <c r="J51" s="1">
        <f t="shared" si="9"/>
        <v>1247.0171999999993</v>
      </c>
      <c r="K51" s="1">
        <f t="shared" si="10"/>
        <v>11638.827199999992</v>
      </c>
      <c r="M51">
        <f t="shared" si="3"/>
        <v>42</v>
      </c>
      <c r="N51" s="29">
        <f t="shared" si="4"/>
        <v>-10274.700000000001</v>
      </c>
      <c r="O51" s="29"/>
      <c r="P51" s="29"/>
      <c r="Q51" s="29"/>
      <c r="R51" s="29"/>
      <c r="S51" s="29"/>
      <c r="T51" s="25">
        <f t="shared" si="11"/>
        <v>42</v>
      </c>
      <c r="U51" s="25">
        <f t="shared" si="12"/>
        <v>68066.587566522066</v>
      </c>
      <c r="V51" s="25">
        <f t="shared" si="5"/>
        <v>950.88827437368263</v>
      </c>
      <c r="W51" s="25">
        <f t="shared" si="6"/>
        <v>9323.8117256263013</v>
      </c>
      <c r="X51" s="32">
        <f t="shared" si="7"/>
        <v>-10274.700000000001</v>
      </c>
      <c r="Y51" s="24">
        <f t="shared" si="8"/>
        <v>58742.775840895745</v>
      </c>
    </row>
    <row r="52" spans="4:25" x14ac:dyDescent="0.25">
      <c r="E52">
        <v>43</v>
      </c>
      <c r="F52" s="1">
        <f t="shared" si="0"/>
        <v>9454.0651077824332</v>
      </c>
      <c r="G52" s="1">
        <f t="shared" si="1"/>
        <v>820.63489221756276</v>
      </c>
      <c r="H52" s="1">
        <f t="shared" si="2"/>
        <v>10274.699999999995</v>
      </c>
      <c r="I52" s="1">
        <f>Arrendadora!E49</f>
        <v>117.11</v>
      </c>
      <c r="J52" s="1">
        <f t="shared" si="9"/>
        <v>1247.0171999999995</v>
      </c>
      <c r="K52" s="1">
        <f t="shared" si="10"/>
        <v>11638.827199999996</v>
      </c>
      <c r="M52">
        <f t="shared" si="3"/>
        <v>43</v>
      </c>
      <c r="N52" s="29">
        <f t="shared" si="4"/>
        <v>-10274.700000000001</v>
      </c>
      <c r="O52" s="29"/>
      <c r="P52" s="29"/>
      <c r="Q52" s="29"/>
      <c r="R52" s="29"/>
      <c r="S52" s="29"/>
      <c r="T52" s="25">
        <f t="shared" si="11"/>
        <v>43</v>
      </c>
      <c r="U52" s="25">
        <f t="shared" si="12"/>
        <v>58742.775840895745</v>
      </c>
      <c r="V52" s="25">
        <f t="shared" si="5"/>
        <v>820.63489221755208</v>
      </c>
      <c r="W52" s="25">
        <f t="shared" si="6"/>
        <v>9454.0651077824332</v>
      </c>
      <c r="X52" s="32">
        <f t="shared" si="7"/>
        <v>-10274.700000000001</v>
      </c>
      <c r="Y52" s="24">
        <f t="shared" si="8"/>
        <v>49288.710733113301</v>
      </c>
    </row>
    <row r="53" spans="4:25" x14ac:dyDescent="0.25">
      <c r="E53">
        <v>44</v>
      </c>
      <c r="F53" s="1">
        <f t="shared" si="0"/>
        <v>9586.1381259482096</v>
      </c>
      <c r="G53" s="1">
        <f t="shared" si="1"/>
        <v>688.56187405178616</v>
      </c>
      <c r="H53" s="1">
        <f t="shared" si="2"/>
        <v>10274.699999999995</v>
      </c>
      <c r="I53" s="1">
        <f>Arrendadora!E50</f>
        <v>117.11</v>
      </c>
      <c r="J53" s="1">
        <f t="shared" si="9"/>
        <v>1247.0171999999995</v>
      </c>
      <c r="K53" s="1">
        <f t="shared" si="10"/>
        <v>11638.827199999996</v>
      </c>
      <c r="M53">
        <f t="shared" si="3"/>
        <v>44</v>
      </c>
      <c r="N53" s="29">
        <f t="shared" si="4"/>
        <v>-10274.700000000001</v>
      </c>
      <c r="O53" s="29"/>
      <c r="P53" s="29"/>
      <c r="Q53" s="29"/>
      <c r="R53" s="29"/>
      <c r="S53" s="29"/>
      <c r="T53" s="25">
        <f t="shared" si="11"/>
        <v>44</v>
      </c>
      <c r="U53" s="25">
        <f t="shared" si="12"/>
        <v>49288.710733113301</v>
      </c>
      <c r="V53" s="25">
        <f t="shared" si="5"/>
        <v>688.56187405177548</v>
      </c>
      <c r="W53" s="25">
        <f t="shared" si="6"/>
        <v>9586.1381259482096</v>
      </c>
      <c r="X53" s="32">
        <f t="shared" si="7"/>
        <v>-10274.700000000001</v>
      </c>
      <c r="Y53" s="24">
        <f t="shared" si="8"/>
        <v>39702.572607165072</v>
      </c>
    </row>
    <row r="54" spans="4:25" x14ac:dyDescent="0.25">
      <c r="E54">
        <v>45</v>
      </c>
      <c r="F54" s="1">
        <f t="shared" si="0"/>
        <v>9720.0562003864525</v>
      </c>
      <c r="G54" s="1">
        <f t="shared" si="1"/>
        <v>554.64379961354371</v>
      </c>
      <c r="H54" s="1">
        <f t="shared" si="2"/>
        <v>10274.699999999997</v>
      </c>
      <c r="I54" s="1">
        <f>Arrendadora!E51</f>
        <v>117.11</v>
      </c>
      <c r="J54" s="1">
        <f t="shared" si="9"/>
        <v>1247.0171999999998</v>
      </c>
      <c r="K54" s="1">
        <f t="shared" si="10"/>
        <v>11638.827199999998</v>
      </c>
      <c r="M54">
        <f t="shared" si="3"/>
        <v>45</v>
      </c>
      <c r="N54" s="29">
        <f t="shared" si="4"/>
        <v>-10274.700000000001</v>
      </c>
      <c r="O54" s="29"/>
      <c r="P54" s="29"/>
      <c r="Q54" s="29"/>
      <c r="R54" s="29"/>
      <c r="S54" s="29"/>
      <c r="T54" s="25">
        <f t="shared" si="11"/>
        <v>45</v>
      </c>
      <c r="U54" s="25">
        <f t="shared" si="12"/>
        <v>39702.572607165072</v>
      </c>
      <c r="V54" s="25">
        <f t="shared" si="5"/>
        <v>554.64379961353256</v>
      </c>
      <c r="W54" s="25">
        <f t="shared" si="6"/>
        <v>9720.0562003864525</v>
      </c>
      <c r="X54" s="32">
        <f t="shared" si="7"/>
        <v>-10274.700000000001</v>
      </c>
      <c r="Y54" s="24">
        <f t="shared" si="8"/>
        <v>29982.516406778606</v>
      </c>
    </row>
    <row r="55" spans="4:25" x14ac:dyDescent="0.25">
      <c r="E55">
        <v>46</v>
      </c>
      <c r="F55" s="1">
        <f t="shared" si="0"/>
        <v>9855.845106480323</v>
      </c>
      <c r="G55" s="1">
        <f t="shared" si="1"/>
        <v>418.854893519673</v>
      </c>
      <c r="H55" s="1">
        <f t="shared" si="2"/>
        <v>10274.699999999995</v>
      </c>
      <c r="I55" s="1">
        <f>Arrendadora!E52</f>
        <v>117.11</v>
      </c>
      <c r="J55" s="1">
        <f t="shared" si="9"/>
        <v>1247.0171999999995</v>
      </c>
      <c r="K55" s="1">
        <f t="shared" si="10"/>
        <v>11638.827199999996</v>
      </c>
      <c r="M55">
        <f t="shared" si="3"/>
        <v>46</v>
      </c>
      <c r="N55" s="29">
        <f t="shared" si="4"/>
        <v>-10274.700000000001</v>
      </c>
      <c r="O55" s="29"/>
      <c r="P55" s="29"/>
      <c r="Q55" s="29"/>
      <c r="R55" s="29"/>
      <c r="S55" s="29"/>
      <c r="T55" s="25">
        <f t="shared" si="11"/>
        <v>46</v>
      </c>
      <c r="U55" s="25">
        <f t="shared" si="12"/>
        <v>29982.516406778606</v>
      </c>
      <c r="V55" s="25">
        <f t="shared" si="5"/>
        <v>418.8548935196618</v>
      </c>
      <c r="W55" s="25">
        <f t="shared" si="6"/>
        <v>9855.845106480323</v>
      </c>
      <c r="X55" s="32">
        <f t="shared" si="7"/>
        <v>-10274.700000000001</v>
      </c>
      <c r="Y55" s="24">
        <f t="shared" si="8"/>
        <v>20126.671300298269</v>
      </c>
    </row>
    <row r="56" spans="4:25" x14ac:dyDescent="0.25">
      <c r="E56">
        <v>47</v>
      </c>
      <c r="F56" s="1">
        <f t="shared" si="0"/>
        <v>9993.5309796943457</v>
      </c>
      <c r="G56" s="1">
        <f t="shared" si="1"/>
        <v>281.16902030564955</v>
      </c>
      <c r="H56" s="1">
        <f t="shared" si="2"/>
        <v>10274.699999999995</v>
      </c>
      <c r="I56" s="1">
        <f>Arrendadora!E53</f>
        <v>117.11</v>
      </c>
      <c r="J56" s="1">
        <f t="shared" si="9"/>
        <v>1247.0171999999995</v>
      </c>
      <c r="K56" s="1">
        <f t="shared" si="10"/>
        <v>11638.827199999996</v>
      </c>
      <c r="M56">
        <f t="shared" si="3"/>
        <v>47</v>
      </c>
      <c r="N56" s="29">
        <f t="shared" si="4"/>
        <v>-10274.700000000001</v>
      </c>
      <c r="O56" s="29"/>
      <c r="P56" s="29"/>
      <c r="Q56" s="29"/>
      <c r="R56" s="29"/>
      <c r="S56" s="29"/>
      <c r="T56" s="25">
        <f t="shared" si="11"/>
        <v>47</v>
      </c>
      <c r="U56" s="25">
        <f t="shared" si="12"/>
        <v>20126.671300298269</v>
      </c>
      <c r="V56" s="25">
        <f t="shared" si="5"/>
        <v>281.16902030563818</v>
      </c>
      <c r="W56" s="25">
        <f t="shared" si="6"/>
        <v>9993.5309796943457</v>
      </c>
      <c r="X56" s="32">
        <f t="shared" si="7"/>
        <v>-10274.700000000001</v>
      </c>
      <c r="Y56" s="24">
        <f t="shared" si="8"/>
        <v>10133.140320603907</v>
      </c>
    </row>
    <row r="57" spans="4:25" x14ac:dyDescent="0.25">
      <c r="E57">
        <v>48</v>
      </c>
      <c r="F57" s="3">
        <f t="shared" si="0"/>
        <v>10133.140320604738</v>
      </c>
      <c r="G57" s="3">
        <f t="shared" si="1"/>
        <v>141.55967939525956</v>
      </c>
      <c r="H57" s="3">
        <f t="shared" si="2"/>
        <v>10274.699999999997</v>
      </c>
      <c r="I57" s="3">
        <f>Arrendadora!E54</f>
        <v>117.11</v>
      </c>
      <c r="J57" s="3">
        <f t="shared" si="9"/>
        <v>1247.0171999999998</v>
      </c>
      <c r="K57" s="3">
        <f t="shared" si="10"/>
        <v>11638.827199999998</v>
      </c>
      <c r="M57">
        <f t="shared" si="3"/>
        <v>48</v>
      </c>
      <c r="N57" s="37">
        <f t="shared" si="4"/>
        <v>-10274.700000000001</v>
      </c>
      <c r="O57" s="37"/>
      <c r="P57" s="37"/>
      <c r="Q57" s="37"/>
      <c r="R57" s="37"/>
      <c r="S57" s="37"/>
      <c r="T57" s="25">
        <f t="shared" si="11"/>
        <v>48</v>
      </c>
      <c r="U57" s="34">
        <f t="shared" si="12"/>
        <v>10133.140320603907</v>
      </c>
      <c r="V57" s="34">
        <f t="shared" si="5"/>
        <v>141.55967939524794</v>
      </c>
      <c r="W57" s="25">
        <f t="shared" si="6"/>
        <v>10133.140320604738</v>
      </c>
      <c r="X57" s="35">
        <f t="shared" si="7"/>
        <v>-10274.700000000001</v>
      </c>
      <c r="Y57" s="36">
        <f t="shared" si="8"/>
        <v>-8.4583007264882326E-10</v>
      </c>
    </row>
    <row r="58" spans="4:25" x14ac:dyDescent="0.25">
      <c r="D58" s="2" t="s">
        <v>7</v>
      </c>
      <c r="F58" s="1">
        <f>SUM(F10:F57)</f>
        <v>357591.42999999988</v>
      </c>
      <c r="G58" s="1">
        <f t="shared" ref="G58:K58" si="13">SUM(G10:G57)</f>
        <v>135594.16999999981</v>
      </c>
      <c r="H58" s="1">
        <f t="shared" si="13"/>
        <v>493185.60000000021</v>
      </c>
      <c r="I58" s="1">
        <f t="shared" si="13"/>
        <v>5621.279999999997</v>
      </c>
      <c r="J58" s="1">
        <f t="shared" si="13"/>
        <v>59856.825600000026</v>
      </c>
      <c r="K58" s="1">
        <f t="shared" si="13"/>
        <v>558663.70559999975</v>
      </c>
      <c r="W58" s="25"/>
    </row>
    <row r="59" spans="4:25" x14ac:dyDescent="0.25">
      <c r="D59" s="2" t="s">
        <v>59</v>
      </c>
      <c r="E59">
        <v>49</v>
      </c>
      <c r="F59" s="3"/>
      <c r="G59" s="3">
        <f>Arrendadora!F55</f>
        <v>3547.31</v>
      </c>
      <c r="H59" s="3"/>
      <c r="I59" s="3"/>
      <c r="J59" s="3">
        <f>G59*0.12</f>
        <v>425.67719999999997</v>
      </c>
      <c r="K59" s="3">
        <f>G59+J59</f>
        <v>3972.9872</v>
      </c>
    </row>
    <row r="60" spans="4:25" x14ac:dyDescent="0.25">
      <c r="D60" s="2" t="s">
        <v>91</v>
      </c>
      <c r="F60" s="1">
        <f>SUM(F58:F59)</f>
        <v>357591.42999999988</v>
      </c>
      <c r="G60" s="1">
        <f t="shared" ref="G60:K60" si="14">SUM(G58:G59)</f>
        <v>139141.47999999981</v>
      </c>
      <c r="H60" s="1">
        <f t="shared" si="14"/>
        <v>493185.60000000021</v>
      </c>
      <c r="I60" s="1">
        <f t="shared" si="14"/>
        <v>5621.279999999997</v>
      </c>
      <c r="J60" s="1">
        <f t="shared" si="14"/>
        <v>60282.502800000024</v>
      </c>
      <c r="K60" s="1">
        <f t="shared" si="14"/>
        <v>562636.69279999973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9BBE8-9AF4-4D0F-9DB1-719050EB4D15}">
  <dimension ref="A1:C16"/>
  <sheetViews>
    <sheetView zoomScale="190" zoomScaleNormal="190" workbookViewId="0">
      <selection activeCell="A16" sqref="A16:C16"/>
    </sheetView>
  </sheetViews>
  <sheetFormatPr baseColWidth="10" defaultRowHeight="15" x14ac:dyDescent="0.25"/>
  <cols>
    <col min="1" max="1" width="18.28515625" customWidth="1"/>
  </cols>
  <sheetData>
    <row r="1" spans="1:3" x14ac:dyDescent="0.25">
      <c r="A1" t="s">
        <v>133</v>
      </c>
    </row>
    <row r="2" spans="1:3" x14ac:dyDescent="0.25">
      <c r="A2" t="s">
        <v>134</v>
      </c>
    </row>
    <row r="3" spans="1:3" s="109" customFormat="1" ht="4.5" customHeight="1" x14ac:dyDescent="0.25"/>
    <row r="4" spans="1:3" x14ac:dyDescent="0.25">
      <c r="A4" t="s">
        <v>135</v>
      </c>
    </row>
    <row r="5" spans="1:3" x14ac:dyDescent="0.25">
      <c r="A5" t="s">
        <v>136</v>
      </c>
    </row>
    <row r="6" spans="1:3" x14ac:dyDescent="0.25">
      <c r="A6" t="s">
        <v>137</v>
      </c>
    </row>
    <row r="7" spans="1:3" x14ac:dyDescent="0.25">
      <c r="A7" t="s">
        <v>138</v>
      </c>
    </row>
    <row r="8" spans="1:3" x14ac:dyDescent="0.25">
      <c r="A8" t="s">
        <v>140</v>
      </c>
    </row>
    <row r="9" spans="1:3" x14ac:dyDescent="0.25">
      <c r="A9" t="s">
        <v>139</v>
      </c>
    </row>
    <row r="10" spans="1:3" s="109" customFormat="1" ht="4.5" customHeight="1" x14ac:dyDescent="0.25"/>
    <row r="11" spans="1:3" x14ac:dyDescent="0.25">
      <c r="B11" s="6" t="s">
        <v>142</v>
      </c>
      <c r="C11" s="6" t="s">
        <v>143</v>
      </c>
    </row>
    <row r="12" spans="1:3" x14ac:dyDescent="0.25">
      <c r="A12" t="s">
        <v>141</v>
      </c>
      <c r="B12" s="125">
        <v>2000</v>
      </c>
      <c r="C12" s="125">
        <f>+B12/3.75</f>
        <v>533.33333333333337</v>
      </c>
    </row>
    <row r="14" spans="1:3" x14ac:dyDescent="0.25">
      <c r="A14" s="2" t="s">
        <v>144</v>
      </c>
    </row>
    <row r="15" spans="1:3" x14ac:dyDescent="0.25">
      <c r="A15" t="s">
        <v>145</v>
      </c>
      <c r="B15" s="125">
        <f>+B12*0.75</f>
        <v>1500</v>
      </c>
      <c r="C15" s="125">
        <f>+C12*0.75</f>
        <v>400</v>
      </c>
    </row>
    <row r="16" spans="1:3" x14ac:dyDescent="0.25">
      <c r="A16" s="126" t="s">
        <v>146</v>
      </c>
      <c r="B16" s="127">
        <f>+B12/2</f>
        <v>1000</v>
      </c>
      <c r="C16" s="127">
        <f>+C12/2</f>
        <v>266.66666666666669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INTRO</vt:lpstr>
      <vt:lpstr>PROFE</vt:lpstr>
      <vt:lpstr>Arrendadora</vt:lpstr>
      <vt:lpstr>Contabilidad</vt:lpstr>
      <vt:lpstr>Hoja3</vt:lpstr>
      <vt:lpstr>Arrendadora!Área_de_impresión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2012507 - CESAR RODRIGO HERRERA CHACON</dc:creator>
  <cp:lastModifiedBy>Freddy Llanto</cp:lastModifiedBy>
  <cp:lastPrinted>2024-09-23T22:35:22Z</cp:lastPrinted>
  <dcterms:created xsi:type="dcterms:W3CDTF">2024-09-17T15:18:42Z</dcterms:created>
  <dcterms:modified xsi:type="dcterms:W3CDTF">2024-10-02T04:01:14Z</dcterms:modified>
</cp:coreProperties>
</file>