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OneDrive\Escritorio\"/>
    </mc:Choice>
  </mc:AlternateContent>
  <xr:revisionPtr revIDLastSave="0" documentId="13_ncr:1_{0E02A9B9-0206-4FDC-B3B5-C58CFE9B3791}" xr6:coauthVersionLast="47" xr6:coauthVersionMax="47" xr10:uidLastSave="{00000000-0000-0000-0000-000000000000}"/>
  <bookViews>
    <workbookView xWindow="-120" yWindow="-120" windowWidth="29040" windowHeight="15720" activeTab="3" xr2:uid="{AD3E8AEC-BE8B-4663-A5E1-03D5B3AF82BE}"/>
  </bookViews>
  <sheets>
    <sheet name="0" sheetId="2" r:id="rId1"/>
    <sheet name="1" sheetId="1" r:id="rId2"/>
    <sheet name="Hoja3" sheetId="3" r:id="rId3"/>
    <sheet name="Hoja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4" l="1"/>
  <c r="I10" i="4" s="1"/>
  <c r="A12" i="4"/>
  <c r="A13" i="4" s="1"/>
  <c r="A14" i="4" s="1"/>
  <c r="A15" i="4" s="1"/>
  <c r="A16" i="4" s="1"/>
  <c r="A17" i="4" s="1"/>
  <c r="A18" i="4" s="1"/>
  <c r="A19" i="4" s="1"/>
  <c r="A20" i="4" s="1"/>
  <c r="A21" i="4" s="1"/>
  <c r="A22" i="4" s="1"/>
  <c r="C7" i="4"/>
  <c r="D8" i="4" s="1"/>
  <c r="BH10" i="3"/>
  <c r="BG10" i="3"/>
  <c r="BH8" i="3"/>
  <c r="BG8" i="3"/>
  <c r="AB16" i="1"/>
  <c r="AD15" i="1"/>
  <c r="AA6" i="1"/>
  <c r="AB6" i="1"/>
  <c r="AD6" i="1" s="1"/>
  <c r="AA7" i="1" s="1"/>
  <c r="AC6" i="1"/>
  <c r="AC7" i="1"/>
  <c r="AC8" i="1"/>
  <c r="AC9" i="1"/>
  <c r="AC10" i="1"/>
  <c r="AC11" i="1"/>
  <c r="AC12" i="1"/>
  <c r="AC13" i="1"/>
  <c r="AC14" i="1"/>
  <c r="AC15" i="1"/>
  <c r="AD5" i="1"/>
  <c r="AC5" i="1"/>
  <c r="AB5" i="1"/>
  <c r="AB4" i="1"/>
  <c r="AD4" i="1" s="1"/>
  <c r="AA5" i="1" s="1"/>
  <c r="AC4" i="1"/>
  <c r="AA4" i="1"/>
  <c r="Z5" i="1"/>
  <c r="Z6" i="1" s="1"/>
  <c r="Z7" i="1" s="1"/>
  <c r="Z8" i="1" s="1"/>
  <c r="Z9" i="1" s="1"/>
  <c r="Z10" i="1" s="1"/>
  <c r="Z11" i="1" s="1"/>
  <c r="Z12" i="1" s="1"/>
  <c r="Z13" i="1" s="1"/>
  <c r="Z14" i="1" s="1"/>
  <c r="Z15" i="1" s="1"/>
  <c r="X2" i="1"/>
  <c r="X5" i="1"/>
  <c r="X6" i="1"/>
  <c r="X7" i="1"/>
  <c r="X8" i="1"/>
  <c r="X9" i="1"/>
  <c r="X10" i="1"/>
  <c r="X11" i="1"/>
  <c r="X12" i="1"/>
  <c r="X13" i="1"/>
  <c r="X14" i="1"/>
  <c r="X15" i="1"/>
  <c r="X4" i="1"/>
  <c r="X3" i="1"/>
  <c r="W6" i="1"/>
  <c r="W7" i="1"/>
  <c r="W8" i="1"/>
  <c r="W9" i="1"/>
  <c r="W10" i="1"/>
  <c r="W11" i="1"/>
  <c r="W12" i="1"/>
  <c r="W13" i="1"/>
  <c r="W14" i="1"/>
  <c r="W15" i="1"/>
  <c r="W5" i="1"/>
  <c r="U17" i="1"/>
  <c r="T16" i="1"/>
  <c r="T4" i="1"/>
  <c r="U16" i="1"/>
  <c r="U5" i="1"/>
  <c r="U6" i="1"/>
  <c r="U7" i="1"/>
  <c r="U8" i="1"/>
  <c r="U9" i="1"/>
  <c r="U10" i="1"/>
  <c r="U11" i="1"/>
  <c r="U12" i="1"/>
  <c r="U13" i="1"/>
  <c r="U14" i="1"/>
  <c r="U15" i="1"/>
  <c r="U4" i="1"/>
  <c r="S16" i="1"/>
  <c r="S5" i="1"/>
  <c r="S6" i="1"/>
  <c r="S7" i="1"/>
  <c r="S8" i="1"/>
  <c r="S9" i="1"/>
  <c r="S10" i="1"/>
  <c r="S11" i="1"/>
  <c r="S12" i="1"/>
  <c r="S13" i="1"/>
  <c r="S14" i="1"/>
  <c r="S15" i="1"/>
  <c r="S4" i="1"/>
  <c r="R6" i="1"/>
  <c r="R7" i="1"/>
  <c r="R8" i="1"/>
  <c r="R9" i="1"/>
  <c r="R10" i="1"/>
  <c r="R11" i="1"/>
  <c r="R12" i="1"/>
  <c r="R13" i="1"/>
  <c r="R14" i="1"/>
  <c r="R15" i="1"/>
  <c r="R5" i="1"/>
  <c r="P18" i="1"/>
  <c r="P17" i="1"/>
  <c r="P16" i="1"/>
  <c r="O13" i="1"/>
  <c r="P15" i="1"/>
  <c r="O14" i="1"/>
  <c r="P11" i="1"/>
  <c r="P10" i="1"/>
  <c r="P9" i="1"/>
  <c r="O7" i="1"/>
  <c r="P8" i="1"/>
  <c r="O6" i="1"/>
  <c r="P4" i="1"/>
  <c r="O3" i="1"/>
  <c r="K20" i="1"/>
  <c r="K19" i="1"/>
  <c r="K18" i="1"/>
  <c r="K17" i="1"/>
  <c r="K16" i="1"/>
  <c r="K15" i="1"/>
  <c r="K14" i="1"/>
  <c r="K13" i="1"/>
  <c r="K12" i="1"/>
  <c r="K11" i="1"/>
  <c r="K10" i="1"/>
  <c r="I6" i="1"/>
  <c r="I10" i="1" s="1"/>
  <c r="I7" i="1"/>
  <c r="I4" i="1"/>
  <c r="H11" i="1"/>
  <c r="H12" i="1" s="1"/>
  <c r="E4" i="1"/>
  <c r="D21" i="1"/>
  <c r="C21" i="1"/>
  <c r="D20" i="1"/>
  <c r="C20" i="1"/>
  <c r="D19" i="1"/>
  <c r="C19" i="1"/>
  <c r="D18" i="1"/>
  <c r="C18" i="1"/>
  <c r="D17" i="1"/>
  <c r="C17" i="1"/>
  <c r="D16" i="1"/>
  <c r="C16" i="1"/>
  <c r="D15" i="1"/>
  <c r="C15" i="1"/>
  <c r="D14" i="1"/>
  <c r="C14" i="1"/>
  <c r="D13" i="1"/>
  <c r="C13" i="1"/>
  <c r="D12" i="1"/>
  <c r="C12" i="1"/>
  <c r="D11" i="1"/>
  <c r="C11" i="1"/>
  <c r="D10" i="1"/>
  <c r="C10" i="1"/>
  <c r="B11" i="1"/>
  <c r="C7" i="1"/>
  <c r="B11" i="4" l="1"/>
  <c r="D12" i="4"/>
  <c r="AB7" i="1"/>
  <c r="AD7" i="1" s="1"/>
  <c r="AA8" i="1" s="1"/>
  <c r="J10" i="1"/>
  <c r="J12" i="1"/>
  <c r="I12" i="1"/>
  <c r="H13" i="1"/>
  <c r="I11" i="1"/>
  <c r="J11" i="1"/>
  <c r="E11" i="1"/>
  <c r="E10" i="1"/>
  <c r="B12" i="1"/>
  <c r="I16" i="4" l="1"/>
  <c r="D13" i="4"/>
  <c r="C11" i="4"/>
  <c r="H8" i="4" s="1"/>
  <c r="H9" i="4" s="1"/>
  <c r="I6" i="4" s="1"/>
  <c r="E11" i="4"/>
  <c r="B12" i="4" s="1"/>
  <c r="AB8" i="1"/>
  <c r="AD8" i="1" s="1"/>
  <c r="AA9" i="1" s="1"/>
  <c r="H14" i="1"/>
  <c r="J13" i="1"/>
  <c r="I13" i="1"/>
  <c r="B13" i="1"/>
  <c r="C12" i="4" l="1"/>
  <c r="H14" i="4" s="1"/>
  <c r="E12" i="4"/>
  <c r="B13" i="4" s="1"/>
  <c r="I22" i="4"/>
  <c r="D14" i="4"/>
  <c r="H15" i="4"/>
  <c r="I12" i="4" s="1"/>
  <c r="AB9" i="1"/>
  <c r="AD9" i="1"/>
  <c r="AA10" i="1" s="1"/>
  <c r="H15" i="1"/>
  <c r="J14" i="1"/>
  <c r="I14" i="1"/>
  <c r="E12" i="1"/>
  <c r="B14" i="1"/>
  <c r="E13" i="1"/>
  <c r="C13" i="4" l="1"/>
  <c r="H20" i="4" s="1"/>
  <c r="H21" i="4" s="1"/>
  <c r="I18" i="4" s="1"/>
  <c r="D15" i="4"/>
  <c r="I28" i="4"/>
  <c r="AB10" i="1"/>
  <c r="AD10" i="1"/>
  <c r="AA11" i="1" s="1"/>
  <c r="J15" i="1"/>
  <c r="I15" i="1"/>
  <c r="H16" i="1"/>
  <c r="B15" i="1"/>
  <c r="E14" i="1"/>
  <c r="D16" i="4" l="1"/>
  <c r="E13" i="4"/>
  <c r="B14" i="4" s="1"/>
  <c r="AB11" i="1"/>
  <c r="AD11" i="1" s="1"/>
  <c r="AA12" i="1" s="1"/>
  <c r="H17" i="1"/>
  <c r="J16" i="1"/>
  <c r="I16" i="1"/>
  <c r="B16" i="1"/>
  <c r="C14" i="4" l="1"/>
  <c r="H26" i="4" s="1"/>
  <c r="H27" i="4" s="1"/>
  <c r="I24" i="4" s="1"/>
  <c r="E14" i="4"/>
  <c r="B15" i="4" s="1"/>
  <c r="D17" i="4"/>
  <c r="AB12" i="1"/>
  <c r="AD12" i="1"/>
  <c r="AA13" i="1" s="1"/>
  <c r="H18" i="1"/>
  <c r="J17" i="1"/>
  <c r="I17" i="1"/>
  <c r="E15" i="1"/>
  <c r="B17" i="1"/>
  <c r="D18" i="4" l="1"/>
  <c r="C15" i="4"/>
  <c r="E15" i="4"/>
  <c r="B16" i="4" s="1"/>
  <c r="AB13" i="1"/>
  <c r="AD13" i="1" s="1"/>
  <c r="AA14" i="1" s="1"/>
  <c r="J18" i="1"/>
  <c r="I18" i="1"/>
  <c r="H19" i="1"/>
  <c r="E16" i="1"/>
  <c r="B18" i="1"/>
  <c r="C16" i="4" l="1"/>
  <c r="E16" i="4"/>
  <c r="B17" i="4" s="1"/>
  <c r="D19" i="4"/>
  <c r="AB14" i="1"/>
  <c r="AD14" i="1"/>
  <c r="AA15" i="1" s="1"/>
  <c r="H20" i="1"/>
  <c r="J19" i="1"/>
  <c r="I19" i="1"/>
  <c r="E17" i="1"/>
  <c r="B19" i="1"/>
  <c r="C17" i="4" l="1"/>
  <c r="E17" i="4"/>
  <c r="B18" i="4" s="1"/>
  <c r="D20" i="4"/>
  <c r="AB15" i="1"/>
  <c r="H21" i="1"/>
  <c r="J20" i="1"/>
  <c r="I20" i="1"/>
  <c r="E18" i="1"/>
  <c r="B20" i="1"/>
  <c r="D21" i="4" l="1"/>
  <c r="E18" i="4"/>
  <c r="B19" i="4" s="1"/>
  <c r="C18" i="4"/>
  <c r="J21" i="1"/>
  <c r="J22" i="1" s="1"/>
  <c r="I21" i="1"/>
  <c r="E19" i="1"/>
  <c r="B21" i="1"/>
  <c r="C19" i="4" l="1"/>
  <c r="E19" i="4" s="1"/>
  <c r="B20" i="4" s="1"/>
  <c r="D22" i="4"/>
  <c r="J24" i="4"/>
  <c r="K21" i="1"/>
  <c r="I22" i="1"/>
  <c r="E20" i="1"/>
  <c r="D22" i="1"/>
  <c r="C20" i="4" l="1"/>
  <c r="E20" i="4" s="1"/>
  <c r="B21" i="4" s="1"/>
  <c r="J12" i="4"/>
  <c r="J6" i="4"/>
  <c r="J18" i="4"/>
  <c r="E21" i="1"/>
  <c r="C22" i="1"/>
  <c r="C21" i="4" l="1"/>
  <c r="E21" i="4"/>
  <c r="B22" i="4" s="1"/>
  <c r="C22" i="4" l="1"/>
  <c r="E22" i="4"/>
</calcChain>
</file>

<file path=xl/sharedStrings.xml><?xml version="1.0" encoding="utf-8"?>
<sst xmlns="http://schemas.openxmlformats.org/spreadsheetml/2006/main" count="102" uniqueCount="54">
  <si>
    <t>MODELOS DE AMORTIZACION DE DEUDA</t>
  </si>
  <si>
    <t xml:space="preserve">MODELOS DE </t>
  </si>
  <si>
    <t xml:space="preserve">AMORTIZACION </t>
  </si>
  <si>
    <t>DE DEUDA</t>
  </si>
  <si>
    <t>PRESTAMO DE EFECTIVO</t>
  </si>
  <si>
    <t>NOMINAL</t>
  </si>
  <si>
    <t>PLAZO</t>
  </si>
  <si>
    <t>TASA</t>
  </si>
  <si>
    <t>PAGO</t>
  </si>
  <si>
    <t>CASO 1: AMORTIZACION FRANCESA</t>
  </si>
  <si>
    <t>=-PAGO(C7;C6;C5;0;0)</t>
  </si>
  <si>
    <t>CALENDARIO</t>
  </si>
  <si>
    <t>Principal</t>
  </si>
  <si>
    <t>Intereses</t>
  </si>
  <si>
    <t>Pago</t>
  </si>
  <si>
    <t xml:space="preserve">COMISION </t>
  </si>
  <si>
    <t>EFECTIVO</t>
  </si>
  <si>
    <t>VERDADEROS</t>
  </si>
  <si>
    <t>CALENDARIO NIIF</t>
  </si>
  <si>
    <t>PRESTAMO POR PAGAR</t>
  </si>
  <si>
    <t>D</t>
  </si>
  <si>
    <t>H</t>
  </si>
  <si>
    <t>GASTOS FINANCIERO</t>
  </si>
  <si>
    <t>SALDO DEL PASIVO ESF</t>
  </si>
  <si>
    <t>GASTO</t>
  </si>
  <si>
    <t>NIIF</t>
  </si>
  <si>
    <t>GASTO TAX</t>
  </si>
  <si>
    <t>INT. BCO</t>
  </si>
  <si>
    <t>COMISION</t>
  </si>
  <si>
    <t>SI</t>
  </si>
  <si>
    <t>CF</t>
  </si>
  <si>
    <t xml:space="preserve">PAGO </t>
  </si>
  <si>
    <t>SF</t>
  </si>
  <si>
    <t>MES 1</t>
  </si>
  <si>
    <t>MES 2</t>
  </si>
  <si>
    <t>PRECIO OFICIAL</t>
  </si>
  <si>
    <t>USD</t>
  </si>
  <si>
    <t>S/</t>
  </si>
  <si>
    <t>OFERTAS:</t>
  </si>
  <si>
    <t>LOBO/LOBA SOLITARIA</t>
  </si>
  <si>
    <t>EL ROMANTICO</t>
  </si>
  <si>
    <t>(2 X 1)</t>
  </si>
  <si>
    <t>Una entidad accede a un prestamo</t>
  </si>
  <si>
    <t>Prestamo</t>
  </si>
  <si>
    <t>Plazo</t>
  </si>
  <si>
    <t>meses</t>
  </si>
  <si>
    <t>Comisión</t>
  </si>
  <si>
    <t>Efectivo</t>
  </si>
  <si>
    <t>Prestamos por pagar</t>
  </si>
  <si>
    <t>Mes 1</t>
  </si>
  <si>
    <t>Gasto financiero</t>
  </si>
  <si>
    <t>Mes 2</t>
  </si>
  <si>
    <t>Mes 3</t>
  </si>
  <si>
    <t>Mes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</si>
</sst>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6" formatCode="_-* #,##0_-;\-* #,##0_-;_-* &quot;-&quot;??_-;_-@_-"/>
    <numFmt numFmtId="167" formatCode="0.000%"/>
    <numFmt numFmtId="168" formatCode="0.0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72"/>
      <color theme="0"/>
      <name val="Calibri"/>
      <family val="2"/>
      <scheme val="minor"/>
    </font>
    <font>
      <sz val="72"/>
      <color theme="0"/>
      <name val="Calibri"/>
      <family val="2"/>
      <scheme val="minor"/>
    </font>
    <font>
      <b/>
      <sz val="11"/>
      <color rgb="FFFF0000"/>
      <name val="Calibri"/>
      <family val="2"/>
      <scheme val="minor"/>
    </font>
    <font>
      <b/>
      <sz val="11"/>
      <name val="Calibri"/>
      <family val="2"/>
      <scheme val="minor"/>
    </font>
    <font>
      <sz val="13"/>
      <color theme="1"/>
      <name val="Calibri"/>
      <family val="2"/>
      <scheme val="minor"/>
    </font>
    <font>
      <sz val="15"/>
      <color theme="1"/>
      <name val="Calibri"/>
      <family val="2"/>
      <scheme val="minor"/>
    </font>
    <font>
      <b/>
      <sz val="15"/>
      <color theme="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00B05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3" fillId="0" borderId="0" xfId="0" applyFont="1"/>
    <xf numFmtId="0" fontId="4" fillId="2" borderId="0" xfId="0" applyFont="1" applyFill="1"/>
    <xf numFmtId="0" fontId="5" fillId="2" borderId="0" xfId="0" applyFont="1" applyFill="1" applyAlignment="1">
      <alignment horizontal="left" indent="1"/>
    </xf>
    <xf numFmtId="0" fontId="6" fillId="2" borderId="0" xfId="0" applyFont="1" applyFill="1" applyAlignment="1">
      <alignment horizontal="left" indent="1"/>
    </xf>
    <xf numFmtId="3" fontId="0" fillId="0" borderId="0" xfId="0" applyNumberFormat="1"/>
    <xf numFmtId="0" fontId="3" fillId="0" borderId="0" xfId="0" applyFont="1" applyAlignment="1">
      <alignment horizontal="center"/>
    </xf>
    <xf numFmtId="0" fontId="2" fillId="6" borderId="0" xfId="0" applyFont="1" applyFill="1"/>
    <xf numFmtId="0" fontId="4" fillId="6" borderId="0" xfId="0" applyFont="1" applyFill="1"/>
    <xf numFmtId="3" fontId="0" fillId="7" borderId="1" xfId="0" applyNumberFormat="1" applyFill="1" applyBorder="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10" fontId="0" fillId="0" borderId="0" xfId="0" applyNumberFormat="1" applyBorder="1"/>
    <xf numFmtId="3" fontId="3" fillId="5" borderId="0" xfId="0" applyNumberFormat="1" applyFont="1" applyFill="1" applyBorder="1"/>
    <xf numFmtId="0" fontId="7" fillId="0" borderId="0" xfId="0" quotePrefix="1" applyFont="1" applyBorder="1"/>
    <xf numFmtId="0" fontId="7" fillId="0" borderId="5" xfId="0" applyFont="1" applyBorder="1"/>
    <xf numFmtId="0" fontId="7" fillId="0" borderId="0" xfId="0" applyFont="1" applyBorder="1"/>
    <xf numFmtId="10" fontId="7" fillId="0" borderId="0" xfId="0" applyNumberFormat="1" applyFont="1" applyBorder="1"/>
    <xf numFmtId="0" fontId="3" fillId="0" borderId="0" xfId="0" applyFont="1" applyBorder="1" applyAlignment="1">
      <alignment horizontal="center"/>
    </xf>
    <xf numFmtId="0" fontId="3" fillId="0" borderId="6" xfId="0" applyFont="1" applyBorder="1" applyAlignment="1">
      <alignment horizontal="center"/>
    </xf>
    <xf numFmtId="3" fontId="0" fillId="0" borderId="0" xfId="0" applyNumberFormat="1" applyBorder="1"/>
    <xf numFmtId="3" fontId="3" fillId="5" borderId="6" xfId="0" applyNumberFormat="1" applyFont="1" applyFill="1" applyBorder="1"/>
    <xf numFmtId="0" fontId="0" fillId="0" borderId="7" xfId="0" applyBorder="1"/>
    <xf numFmtId="0" fontId="0" fillId="0" borderId="8" xfId="0" applyBorder="1"/>
    <xf numFmtId="3" fontId="0" fillId="3" borderId="8" xfId="0" applyNumberFormat="1" applyFill="1" applyBorder="1"/>
    <xf numFmtId="3" fontId="0" fillId="4" borderId="8" xfId="0" applyNumberFormat="1" applyFill="1" applyBorder="1"/>
    <xf numFmtId="0" fontId="0" fillId="0" borderId="9" xfId="0" applyBorder="1"/>
    <xf numFmtId="0" fontId="0" fillId="0" borderId="2" xfId="0" applyBorder="1"/>
    <xf numFmtId="166" fontId="0" fillId="5" borderId="10" xfId="1" applyNumberFormat="1" applyFont="1" applyFill="1" applyBorder="1"/>
    <xf numFmtId="166" fontId="0" fillId="5" borderId="11" xfId="1" applyNumberFormat="1" applyFont="1" applyFill="1" applyBorder="1"/>
    <xf numFmtId="0" fontId="3" fillId="8" borderId="2" xfId="0" applyFont="1" applyFill="1" applyBorder="1"/>
    <xf numFmtId="0" fontId="0" fillId="8" borderId="3" xfId="0" applyFill="1" applyBorder="1"/>
    <xf numFmtId="0" fontId="0" fillId="8" borderId="4" xfId="0" applyFill="1" applyBorder="1"/>
    <xf numFmtId="0" fontId="0" fillId="8" borderId="5" xfId="0" applyFill="1" applyBorder="1"/>
    <xf numFmtId="0" fontId="0" fillId="8" borderId="0" xfId="0" applyFill="1" applyBorder="1"/>
    <xf numFmtId="0" fontId="0" fillId="8" borderId="6" xfId="0" applyFill="1" applyBorder="1"/>
    <xf numFmtId="0" fontId="7" fillId="8" borderId="5" xfId="0" applyFont="1" applyFill="1" applyBorder="1"/>
    <xf numFmtId="0" fontId="7" fillId="8" borderId="0" xfId="0" applyFont="1" applyFill="1" applyBorder="1"/>
    <xf numFmtId="10" fontId="7" fillId="8" borderId="0" xfId="0" applyNumberFormat="1" applyFont="1" applyFill="1" applyBorder="1"/>
    <xf numFmtId="0" fontId="3" fillId="8" borderId="0" xfId="0" applyFont="1" applyFill="1" applyBorder="1" applyAlignment="1">
      <alignment horizontal="center"/>
    </xf>
    <xf numFmtId="0" fontId="3" fillId="8" borderId="6" xfId="0" applyFont="1" applyFill="1" applyBorder="1" applyAlignment="1">
      <alignment horizontal="center"/>
    </xf>
    <xf numFmtId="0" fontId="0" fillId="8" borderId="7" xfId="0" applyFill="1" applyBorder="1"/>
    <xf numFmtId="0" fontId="0" fillId="8" borderId="8" xfId="0" applyFill="1" applyBorder="1"/>
    <xf numFmtId="0" fontId="0" fillId="8" borderId="9" xfId="0" applyFill="1" applyBorder="1"/>
    <xf numFmtId="3" fontId="0" fillId="9" borderId="0" xfId="0" applyNumberFormat="1" applyFill="1" applyBorder="1"/>
    <xf numFmtId="3" fontId="0" fillId="10" borderId="1" xfId="0" applyNumberFormat="1" applyFill="1" applyBorder="1"/>
    <xf numFmtId="0" fontId="0" fillId="10" borderId="1" xfId="0" applyFill="1" applyBorder="1"/>
    <xf numFmtId="3" fontId="0" fillId="10" borderId="1" xfId="0" applyNumberFormat="1" applyFont="1" applyFill="1" applyBorder="1"/>
    <xf numFmtId="3" fontId="3" fillId="11" borderId="8" xfId="0" applyNumberFormat="1" applyFont="1" applyFill="1" applyBorder="1"/>
    <xf numFmtId="3" fontId="3" fillId="11" borderId="6" xfId="0" applyNumberFormat="1" applyFont="1" applyFill="1" applyBorder="1"/>
    <xf numFmtId="0" fontId="0" fillId="12" borderId="0" xfId="0" applyFill="1"/>
    <xf numFmtId="3" fontId="0" fillId="12" borderId="0" xfId="0" applyNumberFormat="1" applyFill="1"/>
    <xf numFmtId="0" fontId="3" fillId="13" borderId="10" xfId="0" applyFont="1" applyFill="1" applyBorder="1"/>
    <xf numFmtId="0" fontId="3" fillId="13" borderId="13" xfId="0" applyFont="1" applyFill="1" applyBorder="1"/>
    <xf numFmtId="3" fontId="3" fillId="13" borderId="11" xfId="0" applyNumberFormat="1" applyFont="1" applyFill="1" applyBorder="1"/>
    <xf numFmtId="3" fontId="3" fillId="4" borderId="6" xfId="0" applyNumberFormat="1" applyFont="1" applyFill="1" applyBorder="1"/>
    <xf numFmtId="0" fontId="0" fillId="11" borderId="0" xfId="0" applyFill="1" applyAlignment="1">
      <alignment horizontal="center"/>
    </xf>
    <xf numFmtId="0" fontId="0" fillId="9" borderId="0" xfId="0" applyFill="1"/>
    <xf numFmtId="166" fontId="0" fillId="0" borderId="0" xfId="0" applyNumberFormat="1"/>
    <xf numFmtId="0" fontId="0" fillId="9" borderId="0" xfId="0" applyFill="1" applyAlignment="1">
      <alignment horizontal="center"/>
    </xf>
    <xf numFmtId="3" fontId="0" fillId="11" borderId="1" xfId="0" applyNumberFormat="1" applyFill="1" applyBorder="1"/>
    <xf numFmtId="3" fontId="0" fillId="9" borderId="12" xfId="0" applyNumberFormat="1" applyFill="1" applyBorder="1"/>
    <xf numFmtId="3" fontId="0" fillId="9" borderId="10" xfId="0" applyNumberFormat="1" applyFill="1" applyBorder="1"/>
    <xf numFmtId="3" fontId="0" fillId="9" borderId="11" xfId="0" applyNumberFormat="1" applyFill="1" applyBorder="1"/>
    <xf numFmtId="168" fontId="8" fillId="11" borderId="1" xfId="0" applyNumberFormat="1" applyFont="1" applyFill="1" applyBorder="1"/>
    <xf numFmtId="166" fontId="0" fillId="9" borderId="1" xfId="0" applyNumberFormat="1" applyFill="1" applyBorder="1"/>
    <xf numFmtId="0" fontId="3" fillId="9" borderId="0" xfId="0" applyFont="1" applyFill="1" applyAlignment="1">
      <alignment horizontal="center"/>
    </xf>
    <xf numFmtId="166" fontId="3" fillId="9" borderId="1" xfId="0" applyNumberFormat="1" applyFont="1" applyFill="1" applyBorder="1"/>
    <xf numFmtId="166" fontId="3" fillId="12" borderId="0" xfId="0" applyNumberFormat="1" applyFont="1" applyFill="1"/>
    <xf numFmtId="168" fontId="7" fillId="0" borderId="4" xfId="0" applyNumberFormat="1" applyFont="1" applyBorder="1" applyAlignment="1">
      <alignment horizontal="center"/>
    </xf>
    <xf numFmtId="166" fontId="0" fillId="0" borderId="6" xfId="0" applyNumberFormat="1" applyBorder="1"/>
    <xf numFmtId="3" fontId="0" fillId="0" borderId="6" xfId="0" applyNumberFormat="1" applyBorder="1"/>
    <xf numFmtId="3" fontId="0" fillId="0" borderId="9" xfId="0" applyNumberFormat="1" applyBorder="1"/>
    <xf numFmtId="0" fontId="9" fillId="0" borderId="0" xfId="0" applyFont="1"/>
    <xf numFmtId="0" fontId="10" fillId="0" borderId="14" xfId="0" applyFont="1" applyBorder="1"/>
    <xf numFmtId="0" fontId="10" fillId="0" borderId="15" xfId="0" applyFont="1" applyBorder="1"/>
    <xf numFmtId="0" fontId="10" fillId="0" borderId="16" xfId="0" applyFont="1" applyBorder="1"/>
    <xf numFmtId="0" fontId="10" fillId="0" borderId="17" xfId="0" applyFont="1" applyBorder="1"/>
    <xf numFmtId="0" fontId="10" fillId="0" borderId="18" xfId="0" applyFont="1" applyBorder="1"/>
    <xf numFmtId="0" fontId="10" fillId="0" borderId="19" xfId="0" applyFont="1" applyBorder="1"/>
    <xf numFmtId="0" fontId="10" fillId="0" borderId="20" xfId="0" applyFont="1" applyBorder="1"/>
    <xf numFmtId="0" fontId="10" fillId="0" borderId="21" xfId="0" applyFont="1" applyBorder="1"/>
    <xf numFmtId="0" fontId="10" fillId="14" borderId="0" xfId="0" applyFont="1" applyFill="1" applyBorder="1"/>
    <xf numFmtId="0" fontId="11" fillId="14" borderId="0" xfId="0" applyFont="1" applyFill="1" applyBorder="1" applyAlignment="1">
      <alignment horizontal="center"/>
    </xf>
    <xf numFmtId="0" fontId="11" fillId="14" borderId="0" xfId="0" applyFont="1" applyFill="1" applyBorder="1"/>
    <xf numFmtId="3" fontId="11" fillId="14" borderId="0" xfId="0" applyNumberFormat="1" applyFont="1" applyFill="1" applyBorder="1"/>
    <xf numFmtId="166" fontId="0" fillId="0" borderId="0" xfId="1" applyNumberFormat="1" applyFont="1"/>
    <xf numFmtId="166" fontId="0" fillId="0" borderId="0" xfId="1" applyNumberFormat="1" applyFont="1" applyBorder="1"/>
    <xf numFmtId="166" fontId="0" fillId="14" borderId="1" xfId="1" applyNumberFormat="1" applyFont="1" applyFill="1" applyBorder="1"/>
    <xf numFmtId="166" fontId="0" fillId="4" borderId="1" xfId="1" applyNumberFormat="1" applyFont="1" applyFill="1" applyBorder="1"/>
    <xf numFmtId="166" fontId="0" fillId="11" borderId="0" xfId="1" applyNumberFormat="1" applyFont="1" applyFill="1" applyBorder="1"/>
    <xf numFmtId="166" fontId="0" fillId="13" borderId="0" xfId="1" applyNumberFormat="1" applyFont="1" applyFill="1" applyBorder="1"/>
    <xf numFmtId="166" fontId="3" fillId="5" borderId="0" xfId="1" applyNumberFormat="1" applyFont="1" applyFill="1" applyAlignment="1">
      <alignment horizontal="center"/>
    </xf>
    <xf numFmtId="166" fontId="0" fillId="15" borderId="1" xfId="1" applyNumberFormat="1" applyFont="1" applyFill="1" applyBorder="1"/>
    <xf numFmtId="167" fontId="3" fillId="15" borderId="1" xfId="2" applyNumberFormat="1" applyFont="1" applyFill="1" applyBorder="1"/>
    <xf numFmtId="166" fontId="3" fillId="0" borderId="0" xfId="1" applyNumberFormat="1" applyFont="1"/>
    <xf numFmtId="166" fontId="0" fillId="0" borderId="2" xfId="1" applyNumberFormat="1" applyFont="1" applyBorder="1"/>
    <xf numFmtId="166" fontId="0" fillId="0" borderId="3" xfId="1" applyNumberFormat="1" applyFont="1" applyBorder="1"/>
    <xf numFmtId="166" fontId="0" fillId="0" borderId="4" xfId="1" applyNumberFormat="1" applyFont="1" applyBorder="1"/>
    <xf numFmtId="166" fontId="0" fillId="0" borderId="7" xfId="1" applyNumberFormat="1" applyFont="1" applyBorder="1"/>
    <xf numFmtId="166" fontId="0" fillId="0" borderId="8" xfId="1" applyNumberFormat="1" applyFont="1" applyBorder="1"/>
    <xf numFmtId="166" fontId="3" fillId="0" borderId="0" xfId="1" applyNumberFormat="1" applyFont="1" applyAlignment="1">
      <alignment horizontal="center"/>
    </xf>
    <xf numFmtId="166" fontId="3" fillId="0" borderId="3" xfId="1" applyNumberFormat="1" applyFont="1" applyBorder="1" applyAlignment="1">
      <alignment horizontal="center"/>
    </xf>
    <xf numFmtId="166" fontId="0" fillId="0" borderId="5" xfId="1" applyNumberFormat="1" applyFont="1" applyBorder="1"/>
    <xf numFmtId="166" fontId="0" fillId="0" borderId="6" xfId="1" applyNumberFormat="1" applyFont="1" applyBorder="1"/>
    <xf numFmtId="166" fontId="0" fillId="0" borderId="9" xfId="1" applyNumberFormat="1" applyFont="1" applyBorder="1"/>
    <xf numFmtId="166" fontId="3" fillId="0" borderId="6" xfId="1" applyNumberFormat="1" applyFont="1" applyBorder="1" applyAlignment="1">
      <alignment horizontal="center"/>
    </xf>
    <xf numFmtId="166" fontId="0" fillId="7" borderId="1" xfId="1" applyNumberFormat="1" applyFont="1" applyFill="1" applyBorder="1"/>
    <xf numFmtId="166" fontId="0" fillId="11" borderId="1" xfId="1" applyNumberFormat="1" applyFont="1" applyFill="1" applyBorder="1"/>
    <xf numFmtId="166" fontId="3" fillId="0" borderId="2" xfId="1" applyNumberFormat="1" applyFont="1" applyBorder="1"/>
    <xf numFmtId="166" fontId="2" fillId="16" borderId="1" xfId="1" applyNumberFormat="1" applyFont="1" applyFill="1" applyBorder="1"/>
    <xf numFmtId="166" fontId="7" fillId="13" borderId="8" xfId="1" applyNumberFormat="1" applyFont="1" applyFill="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82550</xdr:colOff>
      <xdr:row>26</xdr:row>
      <xdr:rowOff>44450</xdr:rowOff>
    </xdr:from>
    <xdr:to>
      <xdr:col>4</xdr:col>
      <xdr:colOff>374650</xdr:colOff>
      <xdr:row>40</xdr:row>
      <xdr:rowOff>158750</xdr:rowOff>
    </xdr:to>
    <xdr:sp macro="" textlink="">
      <xdr:nvSpPr>
        <xdr:cNvPr id="2" name="Cuadro de texto 1">
          <a:extLst>
            <a:ext uri="{FF2B5EF4-FFF2-40B4-BE49-F238E27FC236}">
              <a16:creationId xmlns:a16="http://schemas.microsoft.com/office/drawing/2014/main" id="{C7481922-B062-61D0-06BF-4F474E2BF992}"/>
            </a:ext>
          </a:extLst>
        </xdr:cNvPr>
        <xdr:cNvSpPr txBox="1"/>
      </xdr:nvSpPr>
      <xdr:spPr>
        <a:xfrm>
          <a:off x="82550" y="5022850"/>
          <a:ext cx="3035300" cy="2781300"/>
        </a:xfrm>
        <a:prstGeom prst="rect">
          <a:avLst/>
        </a:prstGeom>
        <a:solidFill>
          <a:schemeClr val="bg2"/>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PE" sz="1100" kern="100">
              <a:effectLst/>
              <a:latin typeface="Arial Nova" panose="020B0504020202020204" pitchFamily="34" charset="0"/>
              <a:ea typeface="Calibri" panose="020F0502020204030204" pitchFamily="34" charset="0"/>
              <a:cs typeface="Times New Roman" panose="02020603050405020304" pitchFamily="18" charset="0"/>
            </a:rPr>
            <a:t>Los informes financieros representan fenómenos económicos utilizando palabras y números. Para ser útil, la información financiera debe no sólo representar los fenómenos relevantes, sino que también representar de forma fiel la esencia de los fenómenos que pretende representar. En muchas circunstancias, la esencia de un fenómeno económico y su forma legal son las mismas. Si no lo son, el suministro de información solo sobre la forma legal no representaría de forma fiel el fenómeno económico.</a:t>
          </a:r>
        </a:p>
        <a:p>
          <a:pPr algn="just">
            <a:lnSpc>
              <a:spcPct val="107000"/>
            </a:lnSpc>
            <a:spcAft>
              <a:spcPts val="800"/>
            </a:spcAft>
          </a:pPr>
          <a:r>
            <a:rPr lang="es-PE" sz="1100" kern="100">
              <a:effectLst/>
              <a:latin typeface="Arial Nova" panose="020B0504020202020204" pitchFamily="34" charset="0"/>
              <a:ea typeface="Calibri" panose="020F0502020204030204" pitchFamily="34" charset="0"/>
              <a:cs typeface="Times New Roman" panose="02020603050405020304" pitchFamily="18" charset="0"/>
            </a:rPr>
            <a:t>2.12</a:t>
          </a:r>
          <a:r>
            <a:rPr lang="es-PE" sz="1100" kern="100" baseline="0">
              <a:effectLst/>
              <a:latin typeface="Arial Nova" panose="020B0504020202020204" pitchFamily="34" charset="0"/>
              <a:ea typeface="Calibri" panose="020F0502020204030204" pitchFamily="34" charset="0"/>
              <a:cs typeface="Times New Roman" panose="02020603050405020304" pitchFamily="18" charset="0"/>
            </a:rPr>
            <a:t> Marco Conceptual</a:t>
          </a:r>
          <a:endParaRPr lang="es-PE"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0</xdr:row>
      <xdr:rowOff>152400</xdr:rowOff>
    </xdr:from>
    <xdr:to>
      <xdr:col>5</xdr:col>
      <xdr:colOff>619699</xdr:colOff>
      <xdr:row>24</xdr:row>
      <xdr:rowOff>200857</xdr:rowOff>
    </xdr:to>
    <xdr:pic>
      <xdr:nvPicPr>
        <xdr:cNvPr id="2" name="Imagen 1">
          <a:extLst>
            <a:ext uri="{FF2B5EF4-FFF2-40B4-BE49-F238E27FC236}">
              <a16:creationId xmlns:a16="http://schemas.microsoft.com/office/drawing/2014/main" id="{5CDC262C-C80C-2B9E-95F0-D225370CE020}"/>
            </a:ext>
          </a:extLst>
        </xdr:cNvPr>
        <xdr:cNvPicPr>
          <a:picLocks noChangeAspect="1"/>
        </xdr:cNvPicPr>
      </xdr:nvPicPr>
      <xdr:blipFill>
        <a:blip xmlns:r="http://schemas.openxmlformats.org/officeDocument/2006/relationships" r:embed="rId1"/>
        <a:stretch>
          <a:fillRect/>
        </a:stretch>
      </xdr:blipFill>
      <xdr:spPr>
        <a:xfrm>
          <a:off x="314325" y="152400"/>
          <a:ext cx="4115374" cy="5963482"/>
        </a:xfrm>
        <a:prstGeom prst="rect">
          <a:avLst/>
        </a:prstGeom>
      </xdr:spPr>
    </xdr:pic>
    <xdr:clientData/>
  </xdr:twoCellAnchor>
  <xdr:twoCellAnchor editAs="oneCell">
    <xdr:from>
      <xdr:col>6</xdr:col>
      <xdr:colOff>0</xdr:colOff>
      <xdr:row>1</xdr:row>
      <xdr:rowOff>0</xdr:rowOff>
    </xdr:from>
    <xdr:to>
      <xdr:col>11</xdr:col>
      <xdr:colOff>238690</xdr:colOff>
      <xdr:row>25</xdr:row>
      <xdr:rowOff>19882</xdr:rowOff>
    </xdr:to>
    <xdr:pic>
      <xdr:nvPicPr>
        <xdr:cNvPr id="3" name="Imagen 2">
          <a:extLst>
            <a:ext uri="{FF2B5EF4-FFF2-40B4-BE49-F238E27FC236}">
              <a16:creationId xmlns:a16="http://schemas.microsoft.com/office/drawing/2014/main" id="{15A78E6E-ABE3-DB2B-D336-A2D11BC68179}"/>
            </a:ext>
          </a:extLst>
        </xdr:cNvPr>
        <xdr:cNvPicPr>
          <a:picLocks noChangeAspect="1"/>
        </xdr:cNvPicPr>
      </xdr:nvPicPr>
      <xdr:blipFill>
        <a:blip xmlns:r="http://schemas.openxmlformats.org/officeDocument/2006/relationships" r:embed="rId2"/>
        <a:stretch>
          <a:fillRect/>
        </a:stretch>
      </xdr:blipFill>
      <xdr:spPr>
        <a:xfrm>
          <a:off x="4572000" y="190500"/>
          <a:ext cx="4048690" cy="5963482"/>
        </a:xfrm>
        <a:prstGeom prst="rect">
          <a:avLst/>
        </a:prstGeom>
      </xdr:spPr>
    </xdr:pic>
    <xdr:clientData/>
  </xdr:twoCellAnchor>
  <xdr:twoCellAnchor editAs="oneCell">
    <xdr:from>
      <xdr:col>12</xdr:col>
      <xdr:colOff>0</xdr:colOff>
      <xdr:row>1</xdr:row>
      <xdr:rowOff>0</xdr:rowOff>
    </xdr:from>
    <xdr:to>
      <xdr:col>17</xdr:col>
      <xdr:colOff>353006</xdr:colOff>
      <xdr:row>25</xdr:row>
      <xdr:rowOff>86567</xdr:rowOff>
    </xdr:to>
    <xdr:pic>
      <xdr:nvPicPr>
        <xdr:cNvPr id="4" name="Imagen 3">
          <a:extLst>
            <a:ext uri="{FF2B5EF4-FFF2-40B4-BE49-F238E27FC236}">
              <a16:creationId xmlns:a16="http://schemas.microsoft.com/office/drawing/2014/main" id="{B0EFB961-25C2-2560-884D-BEB7DC88A246}"/>
            </a:ext>
          </a:extLst>
        </xdr:cNvPr>
        <xdr:cNvPicPr>
          <a:picLocks noChangeAspect="1"/>
        </xdr:cNvPicPr>
      </xdr:nvPicPr>
      <xdr:blipFill>
        <a:blip xmlns:r="http://schemas.openxmlformats.org/officeDocument/2006/relationships" r:embed="rId3"/>
        <a:stretch>
          <a:fillRect/>
        </a:stretch>
      </xdr:blipFill>
      <xdr:spPr>
        <a:xfrm>
          <a:off x="9144000" y="190500"/>
          <a:ext cx="4163006" cy="6030167"/>
        </a:xfrm>
        <a:prstGeom prst="rect">
          <a:avLst/>
        </a:prstGeom>
      </xdr:spPr>
    </xdr:pic>
    <xdr:clientData/>
  </xdr:twoCellAnchor>
  <xdr:twoCellAnchor editAs="oneCell">
    <xdr:from>
      <xdr:col>18</xdr:col>
      <xdr:colOff>0</xdr:colOff>
      <xdr:row>1</xdr:row>
      <xdr:rowOff>0</xdr:rowOff>
    </xdr:from>
    <xdr:to>
      <xdr:col>23</xdr:col>
      <xdr:colOff>381585</xdr:colOff>
      <xdr:row>25</xdr:row>
      <xdr:rowOff>38935</xdr:rowOff>
    </xdr:to>
    <xdr:pic>
      <xdr:nvPicPr>
        <xdr:cNvPr id="5" name="Imagen 4">
          <a:extLst>
            <a:ext uri="{FF2B5EF4-FFF2-40B4-BE49-F238E27FC236}">
              <a16:creationId xmlns:a16="http://schemas.microsoft.com/office/drawing/2014/main" id="{FC3D6654-79F1-76F7-1FCF-D16A8C95E839}"/>
            </a:ext>
          </a:extLst>
        </xdr:cNvPr>
        <xdr:cNvPicPr>
          <a:picLocks noChangeAspect="1"/>
        </xdr:cNvPicPr>
      </xdr:nvPicPr>
      <xdr:blipFill>
        <a:blip xmlns:r="http://schemas.openxmlformats.org/officeDocument/2006/relationships" r:embed="rId4"/>
        <a:stretch>
          <a:fillRect/>
        </a:stretch>
      </xdr:blipFill>
      <xdr:spPr>
        <a:xfrm>
          <a:off x="13392150" y="190500"/>
          <a:ext cx="4191585" cy="5982535"/>
        </a:xfrm>
        <a:prstGeom prst="rect">
          <a:avLst/>
        </a:prstGeom>
      </xdr:spPr>
    </xdr:pic>
    <xdr:clientData/>
  </xdr:twoCellAnchor>
  <xdr:twoCellAnchor editAs="oneCell">
    <xdr:from>
      <xdr:col>24</xdr:col>
      <xdr:colOff>0</xdr:colOff>
      <xdr:row>1</xdr:row>
      <xdr:rowOff>0</xdr:rowOff>
    </xdr:from>
    <xdr:to>
      <xdr:col>29</xdr:col>
      <xdr:colOff>400638</xdr:colOff>
      <xdr:row>25</xdr:row>
      <xdr:rowOff>77040</xdr:rowOff>
    </xdr:to>
    <xdr:pic>
      <xdr:nvPicPr>
        <xdr:cNvPr id="6" name="Imagen 5">
          <a:extLst>
            <a:ext uri="{FF2B5EF4-FFF2-40B4-BE49-F238E27FC236}">
              <a16:creationId xmlns:a16="http://schemas.microsoft.com/office/drawing/2014/main" id="{26400F03-4C98-90FE-BEFC-B21283C29EAF}"/>
            </a:ext>
          </a:extLst>
        </xdr:cNvPr>
        <xdr:cNvPicPr>
          <a:picLocks noChangeAspect="1"/>
        </xdr:cNvPicPr>
      </xdr:nvPicPr>
      <xdr:blipFill>
        <a:blip xmlns:r="http://schemas.openxmlformats.org/officeDocument/2006/relationships" r:embed="rId5"/>
        <a:stretch>
          <a:fillRect/>
        </a:stretch>
      </xdr:blipFill>
      <xdr:spPr>
        <a:xfrm>
          <a:off x="17964150" y="190500"/>
          <a:ext cx="4210638" cy="6020640"/>
        </a:xfrm>
        <a:prstGeom prst="rect">
          <a:avLst/>
        </a:prstGeom>
      </xdr:spPr>
    </xdr:pic>
    <xdr:clientData/>
  </xdr:twoCellAnchor>
  <xdr:twoCellAnchor editAs="oneCell">
    <xdr:from>
      <xdr:col>30</xdr:col>
      <xdr:colOff>0</xdr:colOff>
      <xdr:row>1</xdr:row>
      <xdr:rowOff>0</xdr:rowOff>
    </xdr:from>
    <xdr:to>
      <xdr:col>35</xdr:col>
      <xdr:colOff>353006</xdr:colOff>
      <xdr:row>25</xdr:row>
      <xdr:rowOff>86567</xdr:rowOff>
    </xdr:to>
    <xdr:pic>
      <xdr:nvPicPr>
        <xdr:cNvPr id="7" name="Imagen 6">
          <a:extLst>
            <a:ext uri="{FF2B5EF4-FFF2-40B4-BE49-F238E27FC236}">
              <a16:creationId xmlns:a16="http://schemas.microsoft.com/office/drawing/2014/main" id="{C699C43F-C3A5-35AC-07B4-715FD9C739F3}"/>
            </a:ext>
          </a:extLst>
        </xdr:cNvPr>
        <xdr:cNvPicPr>
          <a:picLocks noChangeAspect="1"/>
        </xdr:cNvPicPr>
      </xdr:nvPicPr>
      <xdr:blipFill>
        <a:blip xmlns:r="http://schemas.openxmlformats.org/officeDocument/2006/relationships" r:embed="rId6"/>
        <a:stretch>
          <a:fillRect/>
        </a:stretch>
      </xdr:blipFill>
      <xdr:spPr>
        <a:xfrm>
          <a:off x="22536150" y="190500"/>
          <a:ext cx="4163006" cy="6030167"/>
        </a:xfrm>
        <a:prstGeom prst="rect">
          <a:avLst/>
        </a:prstGeom>
      </xdr:spPr>
    </xdr:pic>
    <xdr:clientData/>
  </xdr:twoCellAnchor>
  <xdr:twoCellAnchor editAs="oneCell">
    <xdr:from>
      <xdr:col>36</xdr:col>
      <xdr:colOff>0</xdr:colOff>
      <xdr:row>1</xdr:row>
      <xdr:rowOff>0</xdr:rowOff>
    </xdr:from>
    <xdr:to>
      <xdr:col>41</xdr:col>
      <xdr:colOff>448269</xdr:colOff>
      <xdr:row>25</xdr:row>
      <xdr:rowOff>67514</xdr:rowOff>
    </xdr:to>
    <xdr:pic>
      <xdr:nvPicPr>
        <xdr:cNvPr id="8" name="Imagen 7">
          <a:extLst>
            <a:ext uri="{FF2B5EF4-FFF2-40B4-BE49-F238E27FC236}">
              <a16:creationId xmlns:a16="http://schemas.microsoft.com/office/drawing/2014/main" id="{074EBF17-2C76-CF3C-2B2C-149CA5C1FC43}"/>
            </a:ext>
          </a:extLst>
        </xdr:cNvPr>
        <xdr:cNvPicPr>
          <a:picLocks noChangeAspect="1"/>
        </xdr:cNvPicPr>
      </xdr:nvPicPr>
      <xdr:blipFill>
        <a:blip xmlns:r="http://schemas.openxmlformats.org/officeDocument/2006/relationships" r:embed="rId7"/>
        <a:stretch>
          <a:fillRect/>
        </a:stretch>
      </xdr:blipFill>
      <xdr:spPr>
        <a:xfrm>
          <a:off x="27108150" y="190500"/>
          <a:ext cx="4258269" cy="6011114"/>
        </a:xfrm>
        <a:prstGeom prst="rect">
          <a:avLst/>
        </a:prstGeom>
      </xdr:spPr>
    </xdr:pic>
    <xdr:clientData/>
  </xdr:twoCellAnchor>
  <xdr:twoCellAnchor editAs="oneCell">
    <xdr:from>
      <xdr:col>42</xdr:col>
      <xdr:colOff>0</xdr:colOff>
      <xdr:row>1</xdr:row>
      <xdr:rowOff>0</xdr:rowOff>
    </xdr:from>
    <xdr:to>
      <xdr:col>47</xdr:col>
      <xdr:colOff>410164</xdr:colOff>
      <xdr:row>25</xdr:row>
      <xdr:rowOff>143725</xdr:rowOff>
    </xdr:to>
    <xdr:pic>
      <xdr:nvPicPr>
        <xdr:cNvPr id="9" name="Imagen 8">
          <a:extLst>
            <a:ext uri="{FF2B5EF4-FFF2-40B4-BE49-F238E27FC236}">
              <a16:creationId xmlns:a16="http://schemas.microsoft.com/office/drawing/2014/main" id="{D77351C7-FEEC-A972-EA60-4308D183F1A5}"/>
            </a:ext>
          </a:extLst>
        </xdr:cNvPr>
        <xdr:cNvPicPr>
          <a:picLocks noChangeAspect="1"/>
        </xdr:cNvPicPr>
      </xdr:nvPicPr>
      <xdr:blipFill>
        <a:blip xmlns:r="http://schemas.openxmlformats.org/officeDocument/2006/relationships" r:embed="rId8"/>
        <a:stretch>
          <a:fillRect/>
        </a:stretch>
      </xdr:blipFill>
      <xdr:spPr>
        <a:xfrm>
          <a:off x="31680150" y="190500"/>
          <a:ext cx="4220164" cy="6087325"/>
        </a:xfrm>
        <a:prstGeom prst="rect">
          <a:avLst/>
        </a:prstGeom>
      </xdr:spPr>
    </xdr:pic>
    <xdr:clientData/>
  </xdr:twoCellAnchor>
  <xdr:twoCellAnchor editAs="oneCell">
    <xdr:from>
      <xdr:col>48</xdr:col>
      <xdr:colOff>0</xdr:colOff>
      <xdr:row>1</xdr:row>
      <xdr:rowOff>0</xdr:rowOff>
    </xdr:from>
    <xdr:to>
      <xdr:col>53</xdr:col>
      <xdr:colOff>362532</xdr:colOff>
      <xdr:row>25</xdr:row>
      <xdr:rowOff>29409</xdr:rowOff>
    </xdr:to>
    <xdr:pic>
      <xdr:nvPicPr>
        <xdr:cNvPr id="10" name="Imagen 9">
          <a:extLst>
            <a:ext uri="{FF2B5EF4-FFF2-40B4-BE49-F238E27FC236}">
              <a16:creationId xmlns:a16="http://schemas.microsoft.com/office/drawing/2014/main" id="{36E42A33-753D-3898-49A9-049F3B3F6659}"/>
            </a:ext>
          </a:extLst>
        </xdr:cNvPr>
        <xdr:cNvPicPr>
          <a:picLocks noChangeAspect="1"/>
        </xdr:cNvPicPr>
      </xdr:nvPicPr>
      <xdr:blipFill>
        <a:blip xmlns:r="http://schemas.openxmlformats.org/officeDocument/2006/relationships" r:embed="rId9"/>
        <a:stretch>
          <a:fillRect/>
        </a:stretch>
      </xdr:blipFill>
      <xdr:spPr>
        <a:xfrm>
          <a:off x="36252150" y="190500"/>
          <a:ext cx="4172532" cy="59730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8CC5-3F97-4CD6-90F0-3A0347A51B15}">
  <dimension ref="A1:A17"/>
  <sheetViews>
    <sheetView topLeftCell="J1" workbookViewId="0">
      <selection activeCell="AF4" sqref="AF4"/>
    </sheetView>
  </sheetViews>
  <sheetFormatPr baseColWidth="10" defaultRowHeight="15" x14ac:dyDescent="0.25"/>
  <cols>
    <col min="1" max="16384" width="11.42578125" style="2"/>
  </cols>
  <sheetData>
    <row r="1" spans="1:1" ht="92.25" x14ac:dyDescent="1.35">
      <c r="A1" s="3" t="s">
        <v>1</v>
      </c>
    </row>
    <row r="2" spans="1:1" ht="92.25" x14ac:dyDescent="1.35">
      <c r="A2" s="3" t="s">
        <v>2</v>
      </c>
    </row>
    <row r="3" spans="1:1" ht="92.25" x14ac:dyDescent="1.35">
      <c r="A3" s="3" t="s">
        <v>3</v>
      </c>
    </row>
    <row r="4" spans="1:1" ht="92.25" x14ac:dyDescent="1.35">
      <c r="A4" s="4"/>
    </row>
    <row r="5" spans="1:1" ht="92.25" x14ac:dyDescent="1.35">
      <c r="A5" s="4"/>
    </row>
    <row r="6" spans="1:1" ht="92.25" x14ac:dyDescent="1.35">
      <c r="A6" s="4"/>
    </row>
    <row r="7" spans="1:1" ht="92.25" x14ac:dyDescent="1.35">
      <c r="A7" s="4"/>
    </row>
    <row r="8" spans="1:1" ht="92.25" x14ac:dyDescent="1.35">
      <c r="A8" s="4"/>
    </row>
    <row r="9" spans="1:1" ht="92.25" x14ac:dyDescent="1.35">
      <c r="A9" s="4"/>
    </row>
    <row r="10" spans="1:1" ht="92.25" x14ac:dyDescent="1.35">
      <c r="A10" s="4"/>
    </row>
    <row r="11" spans="1:1" ht="92.25" x14ac:dyDescent="1.35">
      <c r="A11" s="4"/>
    </row>
    <row r="12" spans="1:1" ht="92.25" x14ac:dyDescent="1.35">
      <c r="A12" s="4"/>
    </row>
    <row r="13" spans="1:1" ht="92.25" x14ac:dyDescent="1.35">
      <c r="A13" s="4"/>
    </row>
    <row r="14" spans="1:1" ht="92.25" x14ac:dyDescent="1.35">
      <c r="A14" s="4"/>
    </row>
    <row r="15" spans="1:1" ht="92.25" x14ac:dyDescent="1.35">
      <c r="A15" s="4"/>
    </row>
    <row r="16" spans="1:1" ht="92.25" x14ac:dyDescent="1.35">
      <c r="A16" s="4"/>
    </row>
    <row r="17" spans="1:1" ht="92.25" x14ac:dyDescent="1.35">
      <c r="A17"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0D6-2EC6-4AA1-8302-F65F705E3ABA}">
  <dimension ref="A1:AD23"/>
  <sheetViews>
    <sheetView zoomScale="140" zoomScaleNormal="140" workbookViewId="0">
      <selection activeCell="E22" sqref="E22"/>
    </sheetView>
  </sheetViews>
  <sheetFormatPr baseColWidth="10" defaultRowHeight="15" x14ac:dyDescent="0.25"/>
  <cols>
    <col min="2" max="2" width="6.85546875" customWidth="1"/>
    <col min="6" max="6" width="1.85546875" customWidth="1"/>
    <col min="7" max="7" width="9.42578125" customWidth="1"/>
    <col min="8" max="8" width="3.7109375" customWidth="1"/>
    <col min="12" max="12" width="1.7109375" customWidth="1"/>
    <col min="18" max="18" width="5.42578125" customWidth="1"/>
    <col min="23" max="23" width="3.140625" bestFit="1" customWidth="1"/>
    <col min="25" max="25" width="3.85546875" customWidth="1"/>
    <col min="26" max="26" width="3.140625" bestFit="1" customWidth="1"/>
  </cols>
  <sheetData>
    <row r="1" spans="1:30" s="8" customFormat="1" ht="15.75" thickBot="1" x14ac:dyDescent="0.3">
      <c r="A1" s="7" t="s">
        <v>0</v>
      </c>
    </row>
    <row r="2" spans="1:30" ht="15.75" thickBot="1" x14ac:dyDescent="0.3">
      <c r="A2" s="1" t="s">
        <v>9</v>
      </c>
      <c r="O2" s="6" t="s">
        <v>20</v>
      </c>
      <c r="P2" s="6" t="s">
        <v>21</v>
      </c>
      <c r="S2" s="60" t="s">
        <v>24</v>
      </c>
      <c r="T2" s="61" t="s">
        <v>26</v>
      </c>
      <c r="U2" s="61"/>
      <c r="W2" s="31"/>
      <c r="X2" s="73">
        <f>IRR(X3:X15)</f>
        <v>1.8213247934505628E-2</v>
      </c>
    </row>
    <row r="3" spans="1:30" ht="15.75" thickBot="1" x14ac:dyDescent="0.3">
      <c r="A3" s="10" t="s">
        <v>4</v>
      </c>
      <c r="B3" s="11"/>
      <c r="C3" s="11"/>
      <c r="D3" s="11"/>
      <c r="E3" s="12"/>
      <c r="G3" s="34" t="s">
        <v>4</v>
      </c>
      <c r="H3" s="35"/>
      <c r="I3" s="35"/>
      <c r="J3" s="35"/>
      <c r="K3" s="36"/>
      <c r="M3" s="54" t="s">
        <v>16</v>
      </c>
      <c r="N3" s="54"/>
      <c r="O3" s="55">
        <f>+I4</f>
        <v>855000</v>
      </c>
      <c r="P3" s="54"/>
      <c r="S3" s="60" t="s">
        <v>25</v>
      </c>
      <c r="T3" s="63" t="s">
        <v>28</v>
      </c>
      <c r="U3" s="63" t="s">
        <v>27</v>
      </c>
      <c r="W3" s="13">
        <v>0</v>
      </c>
      <c r="X3" s="74">
        <f>+E4</f>
        <v>855000</v>
      </c>
      <c r="AA3" s="70" t="s">
        <v>29</v>
      </c>
      <c r="AB3" s="70" t="s">
        <v>30</v>
      </c>
      <c r="AC3" s="70" t="s">
        <v>31</v>
      </c>
      <c r="AD3" s="70" t="s">
        <v>32</v>
      </c>
    </row>
    <row r="4" spans="1:30" ht="15.75" thickBot="1" x14ac:dyDescent="0.3">
      <c r="A4" s="13" t="s">
        <v>5</v>
      </c>
      <c r="B4" s="14"/>
      <c r="C4" s="9">
        <v>900000</v>
      </c>
      <c r="D4" s="32" t="s">
        <v>16</v>
      </c>
      <c r="E4" s="33">
        <f>+C4*(1-C8)</f>
        <v>855000</v>
      </c>
      <c r="G4" s="37" t="s">
        <v>5</v>
      </c>
      <c r="H4" s="38"/>
      <c r="I4" s="49">
        <f>+E4</f>
        <v>855000</v>
      </c>
      <c r="J4" s="38" t="s">
        <v>17</v>
      </c>
      <c r="K4" s="39"/>
      <c r="M4" s="54" t="s">
        <v>19</v>
      </c>
      <c r="N4" s="54"/>
      <c r="O4" s="54"/>
      <c r="P4" s="55">
        <f>+O3</f>
        <v>855000</v>
      </c>
      <c r="R4">
        <v>1</v>
      </c>
      <c r="S4" s="5">
        <f>+J10</f>
        <v>15572.326984002104</v>
      </c>
      <c r="T4" s="62">
        <f>+C4-E4</f>
        <v>45000</v>
      </c>
      <c r="U4" s="5">
        <f>+D10</f>
        <v>9000</v>
      </c>
      <c r="W4" s="13">
        <v>1</v>
      </c>
      <c r="X4" s="75">
        <f>-E10</f>
        <v>-79963.909810507525</v>
      </c>
      <c r="Z4" s="61">
        <v>1</v>
      </c>
      <c r="AA4" s="62">
        <f>+X3</f>
        <v>855000</v>
      </c>
      <c r="AB4" s="62">
        <f>+AA4*$X$2</f>
        <v>15572.326984002311</v>
      </c>
      <c r="AC4" s="5">
        <f>+X4</f>
        <v>-79963.909810507525</v>
      </c>
      <c r="AD4" s="72">
        <f>+AA4+AB4+AC4</f>
        <v>790608.4171734947</v>
      </c>
    </row>
    <row r="5" spans="1:30" ht="15.75" thickBot="1" x14ac:dyDescent="0.3">
      <c r="A5" s="13" t="s">
        <v>6</v>
      </c>
      <c r="B5" s="14"/>
      <c r="C5" s="14">
        <v>12</v>
      </c>
      <c r="D5" s="14"/>
      <c r="E5" s="15"/>
      <c r="G5" s="37" t="s">
        <v>6</v>
      </c>
      <c r="H5" s="38"/>
      <c r="I5" s="50">
        <v>12</v>
      </c>
      <c r="J5" s="38" t="s">
        <v>17</v>
      </c>
      <c r="K5" s="39"/>
      <c r="R5">
        <f>+R4+1</f>
        <v>2</v>
      </c>
      <c r="S5" s="5">
        <f t="shared" ref="S5:S16" si="0">+J11</f>
        <v>14399.547121087722</v>
      </c>
      <c r="U5" s="5">
        <f t="shared" ref="U5:U15" si="1">+D11</f>
        <v>8290.3609018949264</v>
      </c>
      <c r="W5" s="13">
        <f>+W4+1</f>
        <v>2</v>
      </c>
      <c r="X5" s="75">
        <f t="shared" ref="X5:X15" si="2">-E11</f>
        <v>-79963.909810507525</v>
      </c>
      <c r="Z5" s="61">
        <f>+Z4+1</f>
        <v>2</v>
      </c>
      <c r="AA5" s="62">
        <f>+AD4</f>
        <v>790608.4171734947</v>
      </c>
      <c r="AB5" s="62">
        <f>+AA5*$X$2</f>
        <v>14399.547121087915</v>
      </c>
      <c r="AC5" s="5">
        <f>+X5</f>
        <v>-79963.909810507525</v>
      </c>
      <c r="AD5" s="72">
        <f>+AA5+AB5+AC5</f>
        <v>725044.05448407505</v>
      </c>
    </row>
    <row r="6" spans="1:30" ht="15.75" thickBot="1" x14ac:dyDescent="0.3">
      <c r="A6" s="13" t="s">
        <v>7</v>
      </c>
      <c r="B6" s="14"/>
      <c r="C6" s="16">
        <v>0.01</v>
      </c>
      <c r="D6" s="14"/>
      <c r="E6" s="15"/>
      <c r="G6" s="37" t="s">
        <v>7</v>
      </c>
      <c r="H6" s="38"/>
      <c r="I6" s="68">
        <f>RATE(I5,-I7,I4,0,0,0)</f>
        <v>1.8213247934505385E-2</v>
      </c>
      <c r="J6" s="38" t="s">
        <v>17</v>
      </c>
      <c r="K6" s="39"/>
      <c r="M6" s="54" t="s">
        <v>22</v>
      </c>
      <c r="N6" s="54"/>
      <c r="O6" s="55">
        <f>+J10</f>
        <v>15572.326984002104</v>
      </c>
      <c r="P6" s="54"/>
      <c r="R6">
        <f t="shared" ref="R6:R18" si="3">+R5+1</f>
        <v>3</v>
      </c>
      <c r="S6" s="5">
        <f t="shared" si="0"/>
        <v>13205.407127757489</v>
      </c>
      <c r="U6" s="5">
        <f t="shared" si="1"/>
        <v>7573.6254128087985</v>
      </c>
      <c r="W6" s="13">
        <f t="shared" ref="W6:W16" si="4">+W5+1</f>
        <v>3</v>
      </c>
      <c r="X6" s="75">
        <f t="shared" si="2"/>
        <v>-79963.909810507525</v>
      </c>
      <c r="Z6" s="61">
        <f t="shared" ref="Z6:Z15" si="5">+Z5+1</f>
        <v>3</v>
      </c>
      <c r="AA6" s="62">
        <f t="shared" ref="AA6:AA15" si="6">+AD5</f>
        <v>725044.05448407505</v>
      </c>
      <c r="AB6" s="62">
        <f t="shared" ref="AB6:AB15" si="7">+AA6*$X$2</f>
        <v>13205.407127757666</v>
      </c>
      <c r="AC6" s="5">
        <f t="shared" ref="AC6:AC15" si="8">+X6</f>
        <v>-79963.909810507525</v>
      </c>
      <c r="AD6" s="62">
        <f t="shared" ref="AD6:AD15" si="9">+AA6+AB6+AC6</f>
        <v>658285.55180132517</v>
      </c>
    </row>
    <row r="7" spans="1:30" ht="15.75" thickBot="1" x14ac:dyDescent="0.3">
      <c r="A7" s="13" t="s">
        <v>8</v>
      </c>
      <c r="B7" s="14"/>
      <c r="C7" s="17">
        <f>-PMT(C6,C5,C4,0,0)</f>
        <v>79963.909810507525</v>
      </c>
      <c r="D7" s="18" t="s">
        <v>10</v>
      </c>
      <c r="E7" s="15"/>
      <c r="G7" s="37" t="s">
        <v>8</v>
      </c>
      <c r="H7" s="38"/>
      <c r="I7" s="51">
        <f>+C7</f>
        <v>79963.909810507525</v>
      </c>
      <c r="J7" s="38" t="s">
        <v>17</v>
      </c>
      <c r="K7" s="39"/>
      <c r="M7" s="54" t="s">
        <v>19</v>
      </c>
      <c r="N7" s="54"/>
      <c r="O7" s="55">
        <f>+P8-O6</f>
        <v>64391.58282650519</v>
      </c>
      <c r="P7" s="55"/>
      <c r="R7">
        <f t="shared" si="3"/>
        <v>4</v>
      </c>
      <c r="S7" s="5">
        <f t="shared" si="0"/>
        <v>11989.517966660225</v>
      </c>
      <c r="U7" s="5">
        <f t="shared" si="1"/>
        <v>6849.7225688318122</v>
      </c>
      <c r="W7" s="13">
        <f t="shared" si="4"/>
        <v>4</v>
      </c>
      <c r="X7" s="75">
        <f t="shared" si="2"/>
        <v>-79963.909810507525</v>
      </c>
      <c r="Z7" s="61">
        <f t="shared" si="5"/>
        <v>4</v>
      </c>
      <c r="AA7" s="62">
        <f t="shared" si="6"/>
        <v>658285.55180132517</v>
      </c>
      <c r="AB7" s="62">
        <f t="shared" si="7"/>
        <v>11989.517966660384</v>
      </c>
      <c r="AC7" s="5">
        <f t="shared" si="8"/>
        <v>-79963.909810507525</v>
      </c>
      <c r="AD7" s="62">
        <f t="shared" si="9"/>
        <v>590311.15995747806</v>
      </c>
    </row>
    <row r="8" spans="1:30" ht="15.75" thickBot="1" x14ac:dyDescent="0.3">
      <c r="A8" s="19" t="s">
        <v>15</v>
      </c>
      <c r="B8" s="20"/>
      <c r="C8" s="21">
        <v>0.05</v>
      </c>
      <c r="D8" s="14"/>
      <c r="E8" s="15"/>
      <c r="G8" s="40" t="s">
        <v>18</v>
      </c>
      <c r="H8" s="41"/>
      <c r="I8" s="42"/>
      <c r="J8" s="38"/>
      <c r="K8" s="39"/>
      <c r="M8" s="54" t="s">
        <v>16</v>
      </c>
      <c r="N8" s="54"/>
      <c r="O8" s="54"/>
      <c r="P8" s="55">
        <f>+K10</f>
        <v>79963.909810507292</v>
      </c>
      <c r="R8">
        <f t="shared" si="3"/>
        <v>5</v>
      </c>
      <c r="S8" s="5">
        <f t="shared" si="0"/>
        <v>10751.483514811018</v>
      </c>
      <c r="U8" s="5">
        <f t="shared" si="1"/>
        <v>6118.5806964150543</v>
      </c>
      <c r="W8" s="13">
        <f t="shared" si="4"/>
        <v>5</v>
      </c>
      <c r="X8" s="75">
        <f t="shared" si="2"/>
        <v>-79963.909810507525</v>
      </c>
      <c r="Z8" s="61">
        <f t="shared" si="5"/>
        <v>5</v>
      </c>
      <c r="AA8" s="62">
        <f t="shared" si="6"/>
        <v>590311.15995747806</v>
      </c>
      <c r="AB8" s="62">
        <f t="shared" si="7"/>
        <v>10751.483514811158</v>
      </c>
      <c r="AC8" s="5">
        <f t="shared" si="8"/>
        <v>-79963.909810507525</v>
      </c>
      <c r="AD8" s="62">
        <f t="shared" si="9"/>
        <v>521098.73366178165</v>
      </c>
    </row>
    <row r="9" spans="1:30" ht="15.75" thickBot="1" x14ac:dyDescent="0.3">
      <c r="A9" s="13" t="s">
        <v>11</v>
      </c>
      <c r="B9" s="14"/>
      <c r="C9" s="22" t="s">
        <v>12</v>
      </c>
      <c r="D9" s="22" t="s">
        <v>13</v>
      </c>
      <c r="E9" s="23" t="s">
        <v>14</v>
      </c>
      <c r="G9" s="40"/>
      <c r="H9" s="38"/>
      <c r="I9" s="43" t="s">
        <v>12</v>
      </c>
      <c r="J9" s="43" t="s">
        <v>13</v>
      </c>
      <c r="K9" s="44" t="s">
        <v>14</v>
      </c>
      <c r="M9" s="56" t="s">
        <v>23</v>
      </c>
      <c r="N9" s="57"/>
      <c r="O9" s="57"/>
      <c r="P9" s="58">
        <f>+P4-O7</f>
        <v>790608.41717349482</v>
      </c>
      <c r="R9">
        <f t="shared" si="3"/>
        <v>6</v>
      </c>
      <c r="S9" s="5">
        <f t="shared" si="0"/>
        <v>9490.9004345388221</v>
      </c>
      <c r="U9" s="5">
        <f t="shared" si="1"/>
        <v>5380.1274052741283</v>
      </c>
      <c r="W9" s="13">
        <f t="shared" si="4"/>
        <v>6</v>
      </c>
      <c r="X9" s="75">
        <f t="shared" si="2"/>
        <v>-79963.909810507525</v>
      </c>
      <c r="Z9" s="61">
        <f t="shared" si="5"/>
        <v>6</v>
      </c>
      <c r="AA9" s="62">
        <f t="shared" si="6"/>
        <v>521098.73366178165</v>
      </c>
      <c r="AB9" s="62">
        <f t="shared" si="7"/>
        <v>9490.9004345389421</v>
      </c>
      <c r="AC9" s="5">
        <f t="shared" si="8"/>
        <v>-79963.909810507525</v>
      </c>
      <c r="AD9" s="62">
        <f t="shared" si="9"/>
        <v>450625.72428581305</v>
      </c>
    </row>
    <row r="10" spans="1:30" ht="15.75" thickBot="1" x14ac:dyDescent="0.3">
      <c r="A10" s="13"/>
      <c r="B10" s="14">
        <v>1</v>
      </c>
      <c r="C10" s="24">
        <f>-PPMT(C6,B10,12,C4,0,0)</f>
        <v>70963.909810507525</v>
      </c>
      <c r="D10" s="24">
        <f>-IPMT(C6,B10,12,C4,0,0)</f>
        <v>9000</v>
      </c>
      <c r="E10" s="25">
        <f>+C10+D10</f>
        <v>79963.909810507525</v>
      </c>
      <c r="G10" s="37"/>
      <c r="H10" s="38">
        <v>1</v>
      </c>
      <c r="I10" s="48">
        <f>-PPMT(I6,H10,12,I4,0,0)</f>
        <v>64391.582826505182</v>
      </c>
      <c r="J10" s="48">
        <f>-IPMT(I6,H10,12,I4,0,0)</f>
        <v>15572.326984002104</v>
      </c>
      <c r="K10" s="53">
        <f>+I10+J10</f>
        <v>79963.909810507292</v>
      </c>
      <c r="M10" s="56" t="s">
        <v>23</v>
      </c>
      <c r="N10" s="57"/>
      <c r="O10" s="57"/>
      <c r="P10" s="58">
        <f>SUM(I11:I21)</f>
        <v>790608.41717349458</v>
      </c>
      <c r="R10">
        <f t="shared" si="3"/>
        <v>7</v>
      </c>
      <c r="S10" s="5">
        <f t="shared" si="0"/>
        <v>8207.358042083586</v>
      </c>
      <c r="U10" s="5">
        <f t="shared" si="1"/>
        <v>4634.2895812217948</v>
      </c>
      <c r="W10" s="13">
        <f t="shared" si="4"/>
        <v>7</v>
      </c>
      <c r="X10" s="75">
        <f t="shared" si="2"/>
        <v>-79963.90981050751</v>
      </c>
      <c r="Z10" s="61">
        <f t="shared" si="5"/>
        <v>7</v>
      </c>
      <c r="AA10" s="62">
        <f t="shared" si="6"/>
        <v>450625.72428581305</v>
      </c>
      <c r="AB10" s="62">
        <f t="shared" si="7"/>
        <v>8207.3580420836861</v>
      </c>
      <c r="AC10" s="5">
        <f t="shared" si="8"/>
        <v>-79963.90981050751</v>
      </c>
      <c r="AD10" s="62">
        <f t="shared" si="9"/>
        <v>378869.17251738923</v>
      </c>
    </row>
    <row r="11" spans="1:30" ht="15.75" thickBot="1" x14ac:dyDescent="0.3">
      <c r="A11" s="13"/>
      <c r="B11" s="14">
        <f>+B10+1</f>
        <v>2</v>
      </c>
      <c r="C11" s="24">
        <f>-PPMT(C6,B11,12,C4,0,0)</f>
        <v>71673.548908612604</v>
      </c>
      <c r="D11" s="24">
        <f>-IPMT(C6,B11,12,C4,0,0)</f>
        <v>8290.3609018949264</v>
      </c>
      <c r="E11" s="25">
        <f>+C11+D11</f>
        <v>79963.909810507525</v>
      </c>
      <c r="G11" s="37"/>
      <c r="H11" s="38">
        <f>+H10+1</f>
        <v>2</v>
      </c>
      <c r="I11" s="48">
        <f>-PPMT(I6,H11,12,I4,0,0)</f>
        <v>65564.362689419562</v>
      </c>
      <c r="J11" s="48">
        <f>-IPMT(I6,H11,12,I4,0,0)</f>
        <v>14399.547121087722</v>
      </c>
      <c r="K11" s="53">
        <f>+I11+J11</f>
        <v>79963.909810507292</v>
      </c>
      <c r="M11" s="56" t="s">
        <v>23</v>
      </c>
      <c r="N11" s="57"/>
      <c r="O11" s="57"/>
      <c r="P11" s="58">
        <f>NPV(I6,K11:K21)</f>
        <v>790608.41717349424</v>
      </c>
      <c r="Q11" s="1" t="s">
        <v>33</v>
      </c>
      <c r="R11">
        <f t="shared" si="3"/>
        <v>8</v>
      </c>
      <c r="S11" s="5">
        <f t="shared" si="0"/>
        <v>6900.4381738001139</v>
      </c>
      <c r="U11" s="5">
        <f t="shared" si="1"/>
        <v>3880.9933789289375</v>
      </c>
      <c r="W11" s="13">
        <f t="shared" si="4"/>
        <v>8</v>
      </c>
      <c r="X11" s="75">
        <f t="shared" si="2"/>
        <v>-79963.909810507525</v>
      </c>
      <c r="Z11" s="61">
        <f t="shared" si="5"/>
        <v>8</v>
      </c>
      <c r="AA11" s="62">
        <f t="shared" si="6"/>
        <v>378869.17251738923</v>
      </c>
      <c r="AB11" s="62">
        <f t="shared" si="7"/>
        <v>6900.4381738001957</v>
      </c>
      <c r="AC11" s="5">
        <f t="shared" si="8"/>
        <v>-79963.909810507525</v>
      </c>
      <c r="AD11" s="62">
        <f t="shared" si="9"/>
        <v>305805.70088068186</v>
      </c>
    </row>
    <row r="12" spans="1:30" x14ac:dyDescent="0.25">
      <c r="A12" s="13"/>
      <c r="B12" s="14">
        <f t="shared" ref="B12:B21" si="10">+B11+1</f>
        <v>3</v>
      </c>
      <c r="C12" s="24">
        <f>-PPMT(C6,B12,12,C4,0,0)</f>
        <v>72390.284397698721</v>
      </c>
      <c r="D12" s="24">
        <f>-IPMT(C6,B12,12,C4,0,0)</f>
        <v>7573.6254128087985</v>
      </c>
      <c r="E12" s="25">
        <f>+C12+D12</f>
        <v>79963.909810507525</v>
      </c>
      <c r="G12" s="37"/>
      <c r="H12" s="38">
        <f t="shared" ref="H12:H21" si="11">+H11+1</f>
        <v>3</v>
      </c>
      <c r="I12" s="48">
        <f>-PPMT(I6,H12,12,I4,0,0)</f>
        <v>66758.502682749793</v>
      </c>
      <c r="J12" s="48">
        <f>-IPMT(I6,H12,12,I4,0,0)</f>
        <v>13205.407127757489</v>
      </c>
      <c r="K12" s="59">
        <f>+I12+J12</f>
        <v>79963.909810507277</v>
      </c>
      <c r="Q12" s="1"/>
      <c r="R12">
        <f t="shared" si="3"/>
        <v>9</v>
      </c>
      <c r="S12" s="5">
        <f t="shared" si="0"/>
        <v>5569.7150499250656</v>
      </c>
      <c r="U12" s="5">
        <f t="shared" si="1"/>
        <v>3120.1642146131512</v>
      </c>
      <c r="W12" s="13">
        <f t="shared" si="4"/>
        <v>9</v>
      </c>
      <c r="X12" s="75">
        <f t="shared" si="2"/>
        <v>-79963.909810507525</v>
      </c>
      <c r="Z12" s="61">
        <f t="shared" si="5"/>
        <v>9</v>
      </c>
      <c r="AA12" s="62">
        <f t="shared" si="6"/>
        <v>305805.70088068186</v>
      </c>
      <c r="AB12" s="62">
        <f t="shared" si="7"/>
        <v>5569.7150499251247</v>
      </c>
      <c r="AC12" s="5">
        <f t="shared" si="8"/>
        <v>-79963.909810507525</v>
      </c>
      <c r="AD12" s="62">
        <f t="shared" si="9"/>
        <v>231411.50612009948</v>
      </c>
    </row>
    <row r="13" spans="1:30" x14ac:dyDescent="0.25">
      <c r="A13" s="13"/>
      <c r="B13" s="14">
        <f t="shared" si="10"/>
        <v>4</v>
      </c>
      <c r="C13" s="24">
        <f>-PPMT(C6,B13,12,C4,0,0)</f>
        <v>73114.187241675711</v>
      </c>
      <c r="D13" s="24">
        <f>-IPMT(C6,B13,12,C4,0,0)</f>
        <v>6849.7225688318122</v>
      </c>
      <c r="E13" s="25">
        <f>+C13+D13</f>
        <v>79963.909810507525</v>
      </c>
      <c r="G13" s="37"/>
      <c r="H13" s="38">
        <f t="shared" si="11"/>
        <v>4</v>
      </c>
      <c r="I13" s="48">
        <f>-PPMT(I6,H13,12,I4,0,0)</f>
        <v>67974.391843847057</v>
      </c>
      <c r="J13" s="48">
        <f>-IPMT(I6,H13,12,I4,0,0)</f>
        <v>11989.517966660225</v>
      </c>
      <c r="K13" s="59">
        <f>+I13+J13</f>
        <v>79963.909810507277</v>
      </c>
      <c r="M13" s="54" t="s">
        <v>22</v>
      </c>
      <c r="N13" s="54"/>
      <c r="O13" s="55">
        <f>+J11</f>
        <v>14399.547121087722</v>
      </c>
      <c r="P13" s="54"/>
      <c r="Q13" s="1"/>
      <c r="R13">
        <f t="shared" si="3"/>
        <v>10</v>
      </c>
      <c r="S13" s="5">
        <f t="shared" si="0"/>
        <v>4214.7551358626997</v>
      </c>
      <c r="U13" s="5">
        <f t="shared" si="1"/>
        <v>2351.7267586542075</v>
      </c>
      <c r="W13" s="13">
        <f t="shared" si="4"/>
        <v>10</v>
      </c>
      <c r="X13" s="75">
        <f t="shared" si="2"/>
        <v>-79963.909810507525</v>
      </c>
      <c r="Z13" s="61">
        <f t="shared" si="5"/>
        <v>10</v>
      </c>
      <c r="AA13" s="62">
        <f t="shared" si="6"/>
        <v>231411.50612009948</v>
      </c>
      <c r="AB13" s="62">
        <f t="shared" si="7"/>
        <v>4214.7551358627379</v>
      </c>
      <c r="AC13" s="5">
        <f t="shared" si="8"/>
        <v>-79963.909810507525</v>
      </c>
      <c r="AD13" s="62">
        <f t="shared" si="9"/>
        <v>155662.3514454547</v>
      </c>
    </row>
    <row r="14" spans="1:30" ht="15.75" thickBot="1" x14ac:dyDescent="0.3">
      <c r="A14" s="13"/>
      <c r="B14" s="14">
        <f t="shared" si="10"/>
        <v>5</v>
      </c>
      <c r="C14" s="24">
        <f>-PPMT(C6,B14,12,C4,0,0)</f>
        <v>73845.32911409247</v>
      </c>
      <c r="D14" s="24">
        <f>-IPMT(C6,B14,12,C4,0,0)</f>
        <v>6118.5806964150543</v>
      </c>
      <c r="E14" s="25">
        <f>+C14+D14</f>
        <v>79963.909810507525</v>
      </c>
      <c r="G14" s="37"/>
      <c r="H14" s="38">
        <f t="shared" si="11"/>
        <v>5</v>
      </c>
      <c r="I14" s="48">
        <f>-PPMT(I6,H14,12,I4,0,0)</f>
        <v>69212.426295696278</v>
      </c>
      <c r="J14" s="48">
        <f>-IPMT(I6,H14,12,I4,0,0)</f>
        <v>10751.483514811018</v>
      </c>
      <c r="K14" s="59">
        <f>+I14+J14</f>
        <v>79963.909810507292</v>
      </c>
      <c r="M14" s="54" t="s">
        <v>19</v>
      </c>
      <c r="N14" s="54"/>
      <c r="O14" s="55">
        <f>+P15-O13</f>
        <v>65564.362689419562</v>
      </c>
      <c r="P14" s="55"/>
      <c r="Q14" s="1"/>
      <c r="R14">
        <f t="shared" si="3"/>
        <v>11</v>
      </c>
      <c r="S14" s="5">
        <f t="shared" si="0"/>
        <v>2835.1170009441998</v>
      </c>
      <c r="U14" s="5">
        <f t="shared" si="1"/>
        <v>1575.6049281356745</v>
      </c>
      <c r="W14" s="13">
        <f t="shared" si="4"/>
        <v>11</v>
      </c>
      <c r="X14" s="75">
        <f t="shared" si="2"/>
        <v>-79963.90981050751</v>
      </c>
      <c r="Z14" s="61">
        <f t="shared" si="5"/>
        <v>11</v>
      </c>
      <c r="AA14" s="62">
        <f t="shared" si="6"/>
        <v>155662.3514454547</v>
      </c>
      <c r="AB14" s="62">
        <f t="shared" si="7"/>
        <v>2835.1170009442167</v>
      </c>
      <c r="AC14" s="5">
        <f t="shared" si="8"/>
        <v>-79963.90981050751</v>
      </c>
      <c r="AD14" s="62">
        <f t="shared" si="9"/>
        <v>78533.558635891401</v>
      </c>
    </row>
    <row r="15" spans="1:30" ht="15.75" thickBot="1" x14ac:dyDescent="0.3">
      <c r="A15" s="13"/>
      <c r="B15" s="14">
        <f t="shared" si="10"/>
        <v>6</v>
      </c>
      <c r="C15" s="24">
        <f>-PPMT(C6,B15,12,C4,0,0)</f>
        <v>74583.782405233389</v>
      </c>
      <c r="D15" s="24">
        <f>-IPMT(C6,B15,12,C4,0,0)</f>
        <v>5380.1274052741283</v>
      </c>
      <c r="E15" s="25">
        <f>+C15+D15</f>
        <v>79963.909810507525</v>
      </c>
      <c r="G15" s="37"/>
      <c r="H15" s="38">
        <f t="shared" si="11"/>
        <v>6</v>
      </c>
      <c r="I15" s="48">
        <f>-PPMT(I6,H15,12,I4,0,0)</f>
        <v>70473.009375968453</v>
      </c>
      <c r="J15" s="48">
        <f>-IPMT(I6,H15,12,I4,0,0)</f>
        <v>9490.9004345388221</v>
      </c>
      <c r="K15" s="59">
        <f>+I15+J15</f>
        <v>79963.909810507277</v>
      </c>
      <c r="M15" s="54" t="s">
        <v>16</v>
      </c>
      <c r="N15" s="54"/>
      <c r="O15" s="54"/>
      <c r="P15" s="55">
        <f>+K11</f>
        <v>79963.909810507292</v>
      </c>
      <c r="Q15" s="1"/>
      <c r="R15">
        <f t="shared" si="3"/>
        <v>12</v>
      </c>
      <c r="S15" s="5">
        <f t="shared" si="0"/>
        <v>1430.3511746145311</v>
      </c>
      <c r="U15" s="5">
        <f t="shared" si="1"/>
        <v>791.72187931195583</v>
      </c>
      <c r="W15" s="26">
        <f t="shared" si="4"/>
        <v>12</v>
      </c>
      <c r="X15" s="76">
        <f t="shared" si="2"/>
        <v>-79963.909810507525</v>
      </c>
      <c r="Z15" s="61">
        <f t="shared" si="5"/>
        <v>12</v>
      </c>
      <c r="AA15" s="62">
        <f t="shared" si="6"/>
        <v>78533.558635891401</v>
      </c>
      <c r="AB15" s="62">
        <f t="shared" si="7"/>
        <v>1430.3511746145257</v>
      </c>
      <c r="AC15" s="5">
        <f t="shared" si="8"/>
        <v>-79963.909810507525</v>
      </c>
      <c r="AD15" s="69">
        <f>+AA15+AB15+AC15</f>
        <v>-1.6007106751203537E-9</v>
      </c>
    </row>
    <row r="16" spans="1:30" ht="15.75" thickBot="1" x14ac:dyDescent="0.3">
      <c r="A16" s="13"/>
      <c r="B16" s="14">
        <f t="shared" si="10"/>
        <v>7</v>
      </c>
      <c r="C16" s="24">
        <f>-PPMT(C6,B16,12,C4,0,0)</f>
        <v>75329.62022928572</v>
      </c>
      <c r="D16" s="24">
        <f>-IPMT(C6,B16,12,C4,0,0)</f>
        <v>4634.2895812217948</v>
      </c>
      <c r="E16" s="25">
        <f>+C16+D16</f>
        <v>79963.90981050751</v>
      </c>
      <c r="G16" s="37"/>
      <c r="H16" s="38">
        <f t="shared" si="11"/>
        <v>7</v>
      </c>
      <c r="I16" s="48">
        <f>-PPMT(I6,H16,12,I4,0,0)</f>
        <v>71756.551768423698</v>
      </c>
      <c r="J16" s="48">
        <f>-IPMT(I6,H16,12,I4,0,0)</f>
        <v>8207.358042083586</v>
      </c>
      <c r="K16" s="59">
        <f>+I16+J16</f>
        <v>79963.909810507292</v>
      </c>
      <c r="M16" s="56" t="s">
        <v>23</v>
      </c>
      <c r="N16" s="57"/>
      <c r="O16" s="57"/>
      <c r="P16" s="58">
        <f>+P11-O14</f>
        <v>725044.0544840747</v>
      </c>
      <c r="Q16" s="1" t="s">
        <v>34</v>
      </c>
      <c r="S16" s="64">
        <f>SUM(S4:S15)</f>
        <v>104566.91772608759</v>
      </c>
      <c r="T16" s="66">
        <f>SUM(T4:T15)</f>
        <v>45000</v>
      </c>
      <c r="U16" s="67">
        <f>SUM(U4:U15)</f>
        <v>59566.91772609044</v>
      </c>
      <c r="AB16" s="71">
        <f>SUM(AB4:AB15)</f>
        <v>104566.91772608885</v>
      </c>
    </row>
    <row r="17" spans="1:21" ht="15.75" thickBot="1" x14ac:dyDescent="0.3">
      <c r="A17" s="13"/>
      <c r="B17" s="14">
        <f t="shared" si="10"/>
        <v>8</v>
      </c>
      <c r="C17" s="24">
        <f>-PPMT(C6,B17,12,C4,0,0)</f>
        <v>76082.916431578589</v>
      </c>
      <c r="D17" s="24">
        <f>-IPMT(C6,B17,12,C4,0,0)</f>
        <v>3880.9933789289375</v>
      </c>
      <c r="E17" s="25">
        <f>+C17+D17</f>
        <v>79963.909810507525</v>
      </c>
      <c r="G17" s="37"/>
      <c r="H17" s="38">
        <f t="shared" si="11"/>
        <v>8</v>
      </c>
      <c r="I17" s="48">
        <f>-PPMT(I6,H17,12,I4,0,0)</f>
        <v>73063.471636707167</v>
      </c>
      <c r="J17" s="48">
        <f>-IPMT(I6,H17,12,I4,0,0)</f>
        <v>6900.4381738001139</v>
      </c>
      <c r="K17" s="59">
        <f>+I17+J17</f>
        <v>79963.909810507277</v>
      </c>
      <c r="M17" s="56" t="s">
        <v>23</v>
      </c>
      <c r="N17" s="57"/>
      <c r="O17" s="57"/>
      <c r="P17" s="58">
        <f>SUM(I12:I21)</f>
        <v>725044.05448407494</v>
      </c>
      <c r="U17" s="65">
        <f>+T16+U16</f>
        <v>104566.91772609044</v>
      </c>
    </row>
    <row r="18" spans="1:21" ht="15.75" thickBot="1" x14ac:dyDescent="0.3">
      <c r="A18" s="13"/>
      <c r="B18" s="14">
        <f t="shared" si="10"/>
        <v>9</v>
      </c>
      <c r="C18" s="24">
        <f>-PPMT(C6,B18,12,C4,0,0)</f>
        <v>76843.745595894376</v>
      </c>
      <c r="D18" s="24">
        <f>-IPMT(C6,B18,12,C4,0,0)</f>
        <v>3120.1642146131512</v>
      </c>
      <c r="E18" s="25">
        <f>+C18+D18</f>
        <v>79963.909810507525</v>
      </c>
      <c r="G18" s="37"/>
      <c r="H18" s="38">
        <f t="shared" si="11"/>
        <v>9</v>
      </c>
      <c r="I18" s="48">
        <f>-PPMT(I6,H18,12,I4,0,0)</f>
        <v>74394.194760582206</v>
      </c>
      <c r="J18" s="48">
        <f>-IPMT(I6,H18,12,I4,0,0)</f>
        <v>5569.7150499250656</v>
      </c>
      <c r="K18" s="59">
        <f>+I18+J18</f>
        <v>79963.909810507277</v>
      </c>
      <c r="M18" s="56" t="s">
        <v>23</v>
      </c>
      <c r="N18" s="57"/>
      <c r="O18" s="57"/>
      <c r="P18" s="58">
        <f>NPV(I6,K12:K21)</f>
        <v>725044.05448407494</v>
      </c>
    </row>
    <row r="19" spans="1:21" x14ac:dyDescent="0.25">
      <c r="A19" s="13"/>
      <c r="B19" s="14">
        <f t="shared" si="10"/>
        <v>10</v>
      </c>
      <c r="C19" s="24">
        <f>-PPMT(C6,B19,12,C4,0,0)</f>
        <v>77612.18305185331</v>
      </c>
      <c r="D19" s="24">
        <f>-IPMT(C6,B19,12,C4,0,0)</f>
        <v>2351.7267586542075</v>
      </c>
      <c r="E19" s="25">
        <f>+C19+D19</f>
        <v>79963.909810507525</v>
      </c>
      <c r="G19" s="37"/>
      <c r="H19" s="38">
        <f t="shared" si="11"/>
        <v>10</v>
      </c>
      <c r="I19" s="48">
        <f>-PPMT(I6,H19,12,I4,0,0)</f>
        <v>75749.154674644582</v>
      </c>
      <c r="J19" s="48">
        <f>-IPMT(I6,H19,12,I4,0,0)</f>
        <v>4214.7551358626997</v>
      </c>
      <c r="K19" s="59">
        <f>+I19+J19</f>
        <v>79963.909810507277</v>
      </c>
    </row>
    <row r="20" spans="1:21" x14ac:dyDescent="0.25">
      <c r="A20" s="13"/>
      <c r="B20" s="14">
        <f t="shared" si="10"/>
        <v>11</v>
      </c>
      <c r="C20" s="24">
        <f>-PPMT(C6,B20,12,C4,0,0)</f>
        <v>78388.304882371842</v>
      </c>
      <c r="D20" s="24">
        <f>-IPMT(C6,B20,12,C4,0,0)</f>
        <v>1575.6049281356745</v>
      </c>
      <c r="E20" s="25">
        <f>+C20+D20</f>
        <v>79963.90981050751</v>
      </c>
      <c r="G20" s="37"/>
      <c r="H20" s="38">
        <f t="shared" si="11"/>
        <v>11</v>
      </c>
      <c r="I20" s="48">
        <f>-PPMT(I6,H20,12,I4,0,0)</f>
        <v>77128.792809563078</v>
      </c>
      <c r="J20" s="48">
        <f>-IPMT(I6,H20,12,I4,0,0)</f>
        <v>2835.1170009441998</v>
      </c>
      <c r="K20" s="59">
        <f>+I20+J20</f>
        <v>79963.909810507277</v>
      </c>
    </row>
    <row r="21" spans="1:21" x14ac:dyDescent="0.25">
      <c r="A21" s="13"/>
      <c r="B21" s="14">
        <f t="shared" si="10"/>
        <v>12</v>
      </c>
      <c r="C21" s="24">
        <f>-PPMT(C6,B21,12,C4,0,0)</f>
        <v>79172.187931195571</v>
      </c>
      <c r="D21" s="24">
        <f>-IPMT(C6,B21,12,C4,0,0)</f>
        <v>791.72187931195583</v>
      </c>
      <c r="E21" s="25">
        <f>+C21+D21</f>
        <v>79963.909810507525</v>
      </c>
      <c r="G21" s="37"/>
      <c r="H21" s="38">
        <f t="shared" si="11"/>
        <v>12</v>
      </c>
      <c r="I21" s="48">
        <f>-PPMT(I6,H21,12,I4,0,0)</f>
        <v>78533.558635892754</v>
      </c>
      <c r="J21" s="48">
        <f>-IPMT(I6,H21,12,I4,0,0)</f>
        <v>1430.3511746145311</v>
      </c>
      <c r="K21" s="59">
        <f>+I21+J21</f>
        <v>79963.909810507292</v>
      </c>
    </row>
    <row r="22" spans="1:21" ht="15.75" thickBot="1" x14ac:dyDescent="0.3">
      <c r="A22" s="26"/>
      <c r="B22" s="27"/>
      <c r="C22" s="28">
        <f>SUM(C10:C21)</f>
        <v>899999.99999999988</v>
      </c>
      <c r="D22" s="29">
        <f>SUM(D10:D21)</f>
        <v>59566.91772609044</v>
      </c>
      <c r="E22" s="30"/>
      <c r="G22" s="45"/>
      <c r="H22" s="46"/>
      <c r="I22" s="52">
        <f>SUM(I10:I21)</f>
        <v>854999.99999999977</v>
      </c>
      <c r="J22" s="52">
        <f>SUM(J10:J21)</f>
        <v>104566.91772608759</v>
      </c>
      <c r="K22" s="47"/>
    </row>
    <row r="23" spans="1:21" x14ac:dyDescent="0.25">
      <c r="I23" s="5"/>
      <c r="J23"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F0D66-D43C-40E9-ACF2-7B28BBBCC4C2}">
  <dimension ref="BC2:BI25"/>
  <sheetViews>
    <sheetView topLeftCell="BI1" workbookViewId="0">
      <selection activeCell="CE3" sqref="CE3"/>
    </sheetView>
  </sheetViews>
  <sheetFormatPr baseColWidth="10" defaultRowHeight="17.25" x14ac:dyDescent="0.3"/>
  <cols>
    <col min="12" max="12" width="6.5703125" customWidth="1"/>
    <col min="55" max="61" width="11.42578125" style="77"/>
  </cols>
  <sheetData>
    <row r="2" spans="55:61" ht="19.5" x14ac:dyDescent="0.3">
      <c r="BC2" s="78"/>
      <c r="BD2" s="79"/>
      <c r="BE2" s="79"/>
      <c r="BF2" s="79"/>
      <c r="BG2" s="79"/>
      <c r="BH2" s="79"/>
      <c r="BI2" s="80"/>
    </row>
    <row r="3" spans="55:61" ht="19.5" x14ac:dyDescent="0.3">
      <c r="BC3" s="81"/>
      <c r="BD3" s="86"/>
      <c r="BE3" s="86"/>
      <c r="BF3" s="86"/>
      <c r="BG3" s="87" t="s">
        <v>37</v>
      </c>
      <c r="BH3" s="87" t="s">
        <v>36</v>
      </c>
      <c r="BI3" s="82"/>
    </row>
    <row r="4" spans="55:61" ht="19.5" x14ac:dyDescent="0.3">
      <c r="BC4" s="81"/>
      <c r="BD4" s="88" t="s">
        <v>35</v>
      </c>
      <c r="BE4" s="88"/>
      <c r="BF4" s="88"/>
      <c r="BG4" s="89">
        <v>2000</v>
      </c>
      <c r="BH4" s="89">
        <v>540</v>
      </c>
      <c r="BI4" s="82"/>
    </row>
    <row r="5" spans="55:61" ht="19.5" x14ac:dyDescent="0.3">
      <c r="BC5" s="81"/>
      <c r="BD5" s="86"/>
      <c r="BE5" s="86"/>
      <c r="BF5" s="86"/>
      <c r="BG5" s="86"/>
      <c r="BH5" s="86"/>
      <c r="BI5" s="82"/>
    </row>
    <row r="6" spans="55:61" ht="19.5" x14ac:dyDescent="0.3">
      <c r="BC6" s="81"/>
      <c r="BD6" s="88" t="s">
        <v>38</v>
      </c>
      <c r="BE6" s="88"/>
      <c r="BF6" s="86"/>
      <c r="BG6" s="86"/>
      <c r="BH6" s="86"/>
      <c r="BI6" s="82"/>
    </row>
    <row r="7" spans="55:61" ht="19.5" x14ac:dyDescent="0.3">
      <c r="BC7" s="81"/>
      <c r="BD7" s="86"/>
      <c r="BE7" s="86"/>
      <c r="BF7" s="86"/>
      <c r="BG7" s="86"/>
      <c r="BH7" s="86"/>
      <c r="BI7" s="82"/>
    </row>
    <row r="8" spans="55:61" ht="19.5" x14ac:dyDescent="0.3">
      <c r="BC8" s="81"/>
      <c r="BD8" s="88" t="s">
        <v>39</v>
      </c>
      <c r="BE8" s="88"/>
      <c r="BF8" s="86"/>
      <c r="BG8" s="89">
        <f>+BG4*0.75</f>
        <v>1500</v>
      </c>
      <c r="BH8" s="89">
        <f>+BH4*0.75</f>
        <v>405</v>
      </c>
      <c r="BI8" s="82"/>
    </row>
    <row r="9" spans="55:61" ht="19.5" x14ac:dyDescent="0.3">
      <c r="BC9" s="81"/>
      <c r="BD9" s="86"/>
      <c r="BE9" s="86"/>
      <c r="BF9" s="86"/>
      <c r="BG9" s="86"/>
      <c r="BH9" s="86"/>
      <c r="BI9" s="82"/>
    </row>
    <row r="10" spans="55:61" ht="19.5" x14ac:dyDescent="0.3">
      <c r="BC10" s="81"/>
      <c r="BD10" s="88" t="s">
        <v>40</v>
      </c>
      <c r="BE10" s="88"/>
      <c r="BF10" s="86"/>
      <c r="BG10" s="89">
        <f>+BG4</f>
        <v>2000</v>
      </c>
      <c r="BH10" s="89">
        <f>+BH4</f>
        <v>540</v>
      </c>
      <c r="BI10" s="82"/>
    </row>
    <row r="11" spans="55:61" ht="19.5" x14ac:dyDescent="0.3">
      <c r="BC11" s="81"/>
      <c r="BD11" s="88" t="s">
        <v>41</v>
      </c>
      <c r="BE11" s="86"/>
      <c r="BF11" s="86"/>
      <c r="BG11" s="86"/>
      <c r="BH11" s="86"/>
      <c r="BI11" s="82"/>
    </row>
    <row r="12" spans="55:61" ht="19.5" x14ac:dyDescent="0.3">
      <c r="BC12" s="81"/>
      <c r="BD12" s="86"/>
      <c r="BE12" s="86"/>
      <c r="BF12" s="86"/>
      <c r="BG12" s="86"/>
      <c r="BH12" s="86"/>
      <c r="BI12" s="82"/>
    </row>
    <row r="13" spans="55:61" ht="19.5" x14ac:dyDescent="0.3">
      <c r="BC13" s="81"/>
      <c r="BD13" s="86"/>
      <c r="BE13" s="86"/>
      <c r="BF13" s="86"/>
      <c r="BG13" s="86"/>
      <c r="BH13" s="86"/>
      <c r="BI13" s="82"/>
    </row>
    <row r="14" spans="55:61" ht="19.5" x14ac:dyDescent="0.3">
      <c r="BC14" s="81"/>
      <c r="BD14" s="86"/>
      <c r="BE14" s="86"/>
      <c r="BF14" s="86"/>
      <c r="BG14" s="86"/>
      <c r="BH14" s="86"/>
      <c r="BI14" s="82"/>
    </row>
    <row r="15" spans="55:61" ht="19.5" x14ac:dyDescent="0.3">
      <c r="BC15" s="81"/>
      <c r="BD15" s="86"/>
      <c r="BE15" s="86"/>
      <c r="BF15" s="86"/>
      <c r="BG15" s="86"/>
      <c r="BH15" s="86"/>
      <c r="BI15" s="82"/>
    </row>
    <row r="16" spans="55:61" ht="19.5" x14ac:dyDescent="0.3">
      <c r="BC16" s="81"/>
      <c r="BD16" s="86"/>
      <c r="BE16" s="86"/>
      <c r="BF16" s="86"/>
      <c r="BG16" s="86"/>
      <c r="BH16" s="86"/>
      <c r="BI16" s="82"/>
    </row>
    <row r="17" spans="55:61" ht="19.5" x14ac:dyDescent="0.3">
      <c r="BC17" s="81"/>
      <c r="BD17" s="86"/>
      <c r="BE17" s="86"/>
      <c r="BF17" s="86"/>
      <c r="BG17" s="86"/>
      <c r="BH17" s="86"/>
      <c r="BI17" s="82"/>
    </row>
    <row r="18" spans="55:61" ht="19.5" x14ac:dyDescent="0.3">
      <c r="BC18" s="81"/>
      <c r="BD18" s="86"/>
      <c r="BE18" s="86"/>
      <c r="BF18" s="86"/>
      <c r="BG18" s="86"/>
      <c r="BH18" s="86"/>
      <c r="BI18" s="82"/>
    </row>
    <row r="19" spans="55:61" ht="19.5" x14ac:dyDescent="0.3">
      <c r="BC19" s="81"/>
      <c r="BD19" s="86"/>
      <c r="BE19" s="86"/>
      <c r="BF19" s="86"/>
      <c r="BG19" s="86"/>
      <c r="BH19" s="86"/>
      <c r="BI19" s="82"/>
    </row>
    <row r="20" spans="55:61" ht="19.5" x14ac:dyDescent="0.3">
      <c r="BC20" s="81"/>
      <c r="BD20" s="86"/>
      <c r="BE20" s="86"/>
      <c r="BF20" s="86"/>
      <c r="BG20" s="86"/>
      <c r="BH20" s="86"/>
      <c r="BI20" s="82"/>
    </row>
    <row r="21" spans="55:61" ht="19.5" x14ac:dyDescent="0.3">
      <c r="BC21" s="81"/>
      <c r="BD21" s="86"/>
      <c r="BE21" s="86"/>
      <c r="BF21" s="86"/>
      <c r="BG21" s="86"/>
      <c r="BH21" s="86"/>
      <c r="BI21" s="82"/>
    </row>
    <row r="22" spans="55:61" ht="19.5" x14ac:dyDescent="0.3">
      <c r="BC22" s="81"/>
      <c r="BD22" s="86"/>
      <c r="BE22" s="86"/>
      <c r="BF22" s="86"/>
      <c r="BG22" s="86"/>
      <c r="BH22" s="86"/>
      <c r="BI22" s="82"/>
    </row>
    <row r="23" spans="55:61" ht="19.5" x14ac:dyDescent="0.3">
      <c r="BC23" s="81"/>
      <c r="BD23" s="86"/>
      <c r="BE23" s="86"/>
      <c r="BF23" s="86"/>
      <c r="BG23" s="86"/>
      <c r="BH23" s="86"/>
      <c r="BI23" s="82"/>
    </row>
    <row r="24" spans="55:61" ht="19.5" x14ac:dyDescent="0.3">
      <c r="BC24" s="81"/>
      <c r="BD24" s="86"/>
      <c r="BE24" s="86"/>
      <c r="BF24" s="86"/>
      <c r="BG24" s="86"/>
      <c r="BH24" s="86"/>
      <c r="BI24" s="82"/>
    </row>
    <row r="25" spans="55:61" ht="19.5" x14ac:dyDescent="0.3">
      <c r="BC25" s="83"/>
      <c r="BD25" s="84"/>
      <c r="BE25" s="84"/>
      <c r="BF25" s="84"/>
      <c r="BG25" s="84"/>
      <c r="BH25" s="84"/>
      <c r="BI25" s="8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438B6-282A-4B7B-A561-B399A694C6B5}">
  <dimension ref="A1:J28"/>
  <sheetViews>
    <sheetView tabSelected="1" zoomScale="110" zoomScaleNormal="110" workbookViewId="0">
      <selection activeCell="H1" sqref="H1:H1048576"/>
    </sheetView>
  </sheetViews>
  <sheetFormatPr baseColWidth="10" defaultRowHeight="15" x14ac:dyDescent="0.25"/>
  <cols>
    <col min="1" max="2" width="11.42578125" style="90"/>
    <col min="3" max="4" width="11.85546875" style="90" bestFit="1" customWidth="1"/>
    <col min="5" max="5" width="11.42578125" style="90"/>
    <col min="6" max="6" width="11.85546875" style="90" customWidth="1"/>
    <col min="7" max="7" width="20.5703125" style="90" bestFit="1" customWidth="1"/>
    <col min="8" max="16384" width="11.42578125" style="90"/>
  </cols>
  <sheetData>
    <row r="1" spans="1:10" x14ac:dyDescent="0.25">
      <c r="A1" s="100" t="s">
        <v>42</v>
      </c>
      <c r="B1" s="101"/>
      <c r="C1" s="102"/>
    </row>
    <row r="2" spans="1:10" x14ac:dyDescent="0.25">
      <c r="A2" s="107" t="s">
        <v>43</v>
      </c>
      <c r="B2" s="95">
        <v>1000000</v>
      </c>
      <c r="C2" s="108"/>
    </row>
    <row r="3" spans="1:10" x14ac:dyDescent="0.25">
      <c r="A3" s="107" t="s">
        <v>14</v>
      </c>
      <c r="B3" s="94">
        <v>100000</v>
      </c>
      <c r="C3" s="108"/>
    </row>
    <row r="4" spans="1:10" x14ac:dyDescent="0.25">
      <c r="A4" s="107" t="s">
        <v>44</v>
      </c>
      <c r="B4" s="94">
        <v>12</v>
      </c>
      <c r="C4" s="108" t="s">
        <v>45</v>
      </c>
    </row>
    <row r="5" spans="1:10" ht="15.75" thickBot="1" x14ac:dyDescent="0.3">
      <c r="A5" s="103" t="s">
        <v>46</v>
      </c>
      <c r="B5" s="115">
        <v>50000</v>
      </c>
      <c r="C5" s="109"/>
    </row>
    <row r="6" spans="1:10" ht="15.75" thickBot="1" x14ac:dyDescent="0.3">
      <c r="C6" s="105" t="s">
        <v>20</v>
      </c>
      <c r="D6" s="105" t="s">
        <v>21</v>
      </c>
      <c r="I6" s="97">
        <f>+D8-H9</f>
        <v>886013.11735292291</v>
      </c>
      <c r="J6" s="97">
        <f>-NPV(A10,D12:D22)</f>
        <v>886013.11735360534</v>
      </c>
    </row>
    <row r="7" spans="1:10" ht="15.75" thickBot="1" x14ac:dyDescent="0.3">
      <c r="A7" s="100" t="s">
        <v>47</v>
      </c>
      <c r="B7" s="101"/>
      <c r="C7" s="92">
        <f>+B2-B5</f>
        <v>950000</v>
      </c>
      <c r="D7" s="102"/>
      <c r="G7" s="113" t="s">
        <v>49</v>
      </c>
      <c r="H7" s="106" t="s">
        <v>20</v>
      </c>
      <c r="I7" s="110" t="s">
        <v>21</v>
      </c>
    </row>
    <row r="8" spans="1:10" ht="15.75" thickBot="1" x14ac:dyDescent="0.3">
      <c r="A8" s="103" t="s">
        <v>48</v>
      </c>
      <c r="B8" s="104"/>
      <c r="C8" s="104"/>
      <c r="D8" s="93">
        <f>+C7</f>
        <v>950000</v>
      </c>
      <c r="G8" s="107" t="s">
        <v>50</v>
      </c>
      <c r="H8" s="91">
        <f>+C11</f>
        <v>36013.11735292292</v>
      </c>
      <c r="I8" s="108"/>
    </row>
    <row r="9" spans="1:10" ht="15.75" thickBot="1" x14ac:dyDescent="0.3">
      <c r="G9" s="107" t="s">
        <v>48</v>
      </c>
      <c r="H9" s="91">
        <f>+I10-H8</f>
        <v>63986.88264707708</v>
      </c>
      <c r="I9" s="108"/>
    </row>
    <row r="10" spans="1:10" ht="15.75" thickBot="1" x14ac:dyDescent="0.3">
      <c r="A10" s="98">
        <v>3.7908544582024126E-2</v>
      </c>
      <c r="B10" s="96" t="s">
        <v>29</v>
      </c>
      <c r="C10" s="96" t="s">
        <v>30</v>
      </c>
      <c r="D10" s="96" t="s">
        <v>8</v>
      </c>
      <c r="E10" s="96" t="s">
        <v>32</v>
      </c>
      <c r="G10" s="103" t="s">
        <v>47</v>
      </c>
      <c r="H10" s="104"/>
      <c r="I10" s="109">
        <f>-D11</f>
        <v>100000</v>
      </c>
    </row>
    <row r="11" spans="1:10" ht="15.75" thickBot="1" x14ac:dyDescent="0.3">
      <c r="A11" s="90">
        <v>1</v>
      </c>
      <c r="B11" s="99">
        <f>D8</f>
        <v>950000</v>
      </c>
      <c r="C11" s="90">
        <f>+B11*$A$10</f>
        <v>36013.11735292292</v>
      </c>
      <c r="D11" s="99">
        <f>-B3</f>
        <v>-100000</v>
      </c>
      <c r="E11" s="97">
        <f>B11+C11+D11</f>
        <v>886013.11735292291</v>
      </c>
    </row>
    <row r="12" spans="1:10" ht="15.75" thickBot="1" x14ac:dyDescent="0.3">
      <c r="A12" s="90">
        <f>++A11+1</f>
        <v>2</v>
      </c>
      <c r="B12" s="90">
        <f>+E11</f>
        <v>886013.11735292291</v>
      </c>
      <c r="C12" s="90">
        <f>+B12*$A$10</f>
        <v>33587.467759431449</v>
      </c>
      <c r="D12" s="99">
        <f>+D11</f>
        <v>-100000</v>
      </c>
      <c r="E12" s="111">
        <f>B12+C12+D12</f>
        <v>819600.58511235437</v>
      </c>
      <c r="I12" s="111">
        <f>+I6-H15</f>
        <v>819600.58511235437</v>
      </c>
      <c r="J12" s="111">
        <f>-NPV(A10,D13:D22)</f>
        <v>819600.58511306276</v>
      </c>
    </row>
    <row r="13" spans="1:10" ht="15.75" thickBot="1" x14ac:dyDescent="0.3">
      <c r="A13" s="90">
        <f t="shared" ref="A13:A22" si="0">++A12+1</f>
        <v>3</v>
      </c>
      <c r="B13" s="90">
        <f>+E12</f>
        <v>819600.58511235437</v>
      </c>
      <c r="C13" s="90">
        <f>+B13*$A$10</f>
        <v>31069.865320184745</v>
      </c>
      <c r="D13" s="99">
        <f t="shared" ref="D13:D22" si="1">+D12</f>
        <v>-100000</v>
      </c>
      <c r="E13" s="112">
        <f>B13+C13+D13</f>
        <v>750670.4504325391</v>
      </c>
      <c r="G13" s="113" t="s">
        <v>51</v>
      </c>
      <c r="H13" s="106" t="s">
        <v>20</v>
      </c>
      <c r="I13" s="110" t="s">
        <v>21</v>
      </c>
    </row>
    <row r="14" spans="1:10" ht="15.75" thickBot="1" x14ac:dyDescent="0.3">
      <c r="A14" s="90">
        <f t="shared" si="0"/>
        <v>4</v>
      </c>
      <c r="B14" s="90">
        <f t="shared" ref="B14:B22" si="2">+E13</f>
        <v>750670.4504325391</v>
      </c>
      <c r="C14" s="90">
        <f>+B14*$A$10</f>
        <v>28456.82423663004</v>
      </c>
      <c r="D14" s="99">
        <f t="shared" si="1"/>
        <v>-100000</v>
      </c>
      <c r="E14" s="114">
        <f t="shared" ref="E14:E22" si="3">B14+C14+D14</f>
        <v>679127.2746691691</v>
      </c>
      <c r="G14" s="107" t="s">
        <v>50</v>
      </c>
      <c r="H14" s="91">
        <f>+C12</f>
        <v>33587.467759431449</v>
      </c>
      <c r="I14" s="108"/>
    </row>
    <row r="15" spans="1:10" x14ac:dyDescent="0.25">
      <c r="A15" s="90">
        <f t="shared" si="0"/>
        <v>5</v>
      </c>
      <c r="B15" s="90">
        <f t="shared" si="2"/>
        <v>679127.2746691691</v>
      </c>
      <c r="C15" s="90">
        <f>+B15*$A$10</f>
        <v>25744.726568664741</v>
      </c>
      <c r="D15" s="99">
        <f t="shared" si="1"/>
        <v>-100000</v>
      </c>
      <c r="E15" s="90">
        <f t="shared" si="3"/>
        <v>604872.00123783387</v>
      </c>
      <c r="G15" s="107" t="s">
        <v>48</v>
      </c>
      <c r="H15" s="91">
        <f>+I16-H14</f>
        <v>66412.532240568544</v>
      </c>
      <c r="I15" s="108"/>
    </row>
    <row r="16" spans="1:10" ht="15.75" thickBot="1" x14ac:dyDescent="0.3">
      <c r="A16" s="90">
        <f t="shared" si="0"/>
        <v>6</v>
      </c>
      <c r="B16" s="90">
        <f t="shared" si="2"/>
        <v>604872.00123783387</v>
      </c>
      <c r="C16" s="90">
        <f>+B16*$A$10</f>
        <v>22929.817225342576</v>
      </c>
      <c r="D16" s="99">
        <f t="shared" si="1"/>
        <v>-100000</v>
      </c>
      <c r="E16" s="90">
        <f t="shared" si="3"/>
        <v>527801.81846317649</v>
      </c>
      <c r="G16" s="103" t="s">
        <v>47</v>
      </c>
      <c r="H16" s="104"/>
      <c r="I16" s="109">
        <f>-D12</f>
        <v>100000</v>
      </c>
    </row>
    <row r="17" spans="1:10" ht="15.75" thickBot="1" x14ac:dyDescent="0.3">
      <c r="A17" s="90">
        <f t="shared" si="0"/>
        <v>7</v>
      </c>
      <c r="B17" s="90">
        <f t="shared" si="2"/>
        <v>527801.81846317649</v>
      </c>
      <c r="C17" s="90">
        <f>+B17*$A$10</f>
        <v>20008.19876568473</v>
      </c>
      <c r="D17" s="99">
        <f t="shared" si="1"/>
        <v>-100000</v>
      </c>
      <c r="E17" s="90">
        <f t="shared" si="3"/>
        <v>447810.01722886122</v>
      </c>
    </row>
    <row r="18" spans="1:10" ht="15.75" thickBot="1" x14ac:dyDescent="0.3">
      <c r="A18" s="90">
        <f t="shared" si="0"/>
        <v>8</v>
      </c>
      <c r="B18" s="90">
        <f t="shared" si="2"/>
        <v>447810.01722886122</v>
      </c>
      <c r="C18" s="90">
        <f>+B18*$A$10</f>
        <v>16975.826002397276</v>
      </c>
      <c r="D18" s="99">
        <f t="shared" si="1"/>
        <v>-100000</v>
      </c>
      <c r="E18" s="90">
        <f t="shared" si="3"/>
        <v>364785.84323125851</v>
      </c>
      <c r="I18" s="112">
        <f>+I12-H21</f>
        <v>750670.4504325391</v>
      </c>
      <c r="J18" s="112">
        <f>-NPV(A10,D14:D22)</f>
        <v>750670.45043327438</v>
      </c>
    </row>
    <row r="19" spans="1:10" x14ac:dyDescent="0.25">
      <c r="A19" s="90">
        <f t="shared" si="0"/>
        <v>9</v>
      </c>
      <c r="B19" s="90">
        <f t="shared" si="2"/>
        <v>364785.84323125851</v>
      </c>
      <c r="C19" s="90">
        <f>+B19*$A$10</f>
        <v>13828.500401023426</v>
      </c>
      <c r="D19" s="99">
        <f t="shared" si="1"/>
        <v>-100000</v>
      </c>
      <c r="E19" s="90">
        <f t="shared" si="3"/>
        <v>278614.34363228193</v>
      </c>
      <c r="G19" s="113" t="s">
        <v>52</v>
      </c>
      <c r="H19" s="106" t="s">
        <v>20</v>
      </c>
      <c r="I19" s="110" t="s">
        <v>21</v>
      </c>
    </row>
    <row r="20" spans="1:10" x14ac:dyDescent="0.25">
      <c r="A20" s="90">
        <f t="shared" si="0"/>
        <v>10</v>
      </c>
      <c r="B20" s="90">
        <f t="shared" si="2"/>
        <v>278614.34363228193</v>
      </c>
      <c r="C20" s="90">
        <f>+B20*$A$10</f>
        <v>10561.864266775749</v>
      </c>
      <c r="D20" s="99">
        <f t="shared" si="1"/>
        <v>-100000</v>
      </c>
      <c r="E20" s="90">
        <f t="shared" si="3"/>
        <v>189176.20789905766</v>
      </c>
      <c r="G20" s="107" t="s">
        <v>50</v>
      </c>
      <c r="H20" s="91">
        <f>+C13</f>
        <v>31069.865320184745</v>
      </c>
      <c r="I20" s="108"/>
    </row>
    <row r="21" spans="1:10" ht="15.75" thickBot="1" x14ac:dyDescent="0.3">
      <c r="A21" s="90">
        <f t="shared" si="0"/>
        <v>11</v>
      </c>
      <c r="B21" s="90">
        <f t="shared" si="2"/>
        <v>189176.20789905766</v>
      </c>
      <c r="C21" s="90">
        <f>+B21*$A$10</f>
        <v>7171.3947109996916</v>
      </c>
      <c r="D21" s="99">
        <f t="shared" si="1"/>
        <v>-100000</v>
      </c>
      <c r="E21" s="90">
        <f t="shared" si="3"/>
        <v>96347.602610057336</v>
      </c>
      <c r="G21" s="107" t="s">
        <v>48</v>
      </c>
      <c r="H21" s="91">
        <f>+I22-H20</f>
        <v>68930.134679815252</v>
      </c>
      <c r="I21" s="108"/>
    </row>
    <row r="22" spans="1:10" ht="15.75" thickBot="1" x14ac:dyDescent="0.3">
      <c r="A22" s="90">
        <f t="shared" si="0"/>
        <v>12</v>
      </c>
      <c r="B22" s="90">
        <f t="shared" si="2"/>
        <v>96347.602610057336</v>
      </c>
      <c r="C22" s="90">
        <f>+B22*$A$10</f>
        <v>3652.3973889145027</v>
      </c>
      <c r="D22" s="99">
        <f t="shared" si="1"/>
        <v>-100000</v>
      </c>
      <c r="E22" s="97">
        <f t="shared" si="3"/>
        <v>-1.0281655704602599E-6</v>
      </c>
      <c r="G22" s="103" t="s">
        <v>47</v>
      </c>
      <c r="H22" s="104"/>
      <c r="I22" s="109">
        <f>-D13</f>
        <v>100000</v>
      </c>
    </row>
    <row r="23" spans="1:10" ht="15.75" thickBot="1" x14ac:dyDescent="0.3"/>
    <row r="24" spans="1:10" ht="15.75" thickBot="1" x14ac:dyDescent="0.3">
      <c r="I24" s="114">
        <f>+I18-H27</f>
        <v>679127.2746691691</v>
      </c>
      <c r="J24" s="114">
        <f>-NPV(A10,D15:D22)</f>
        <v>679127.27466993232</v>
      </c>
    </row>
    <row r="25" spans="1:10" x14ac:dyDescent="0.25">
      <c r="G25" s="113" t="s">
        <v>53</v>
      </c>
      <c r="H25" s="106" t="s">
        <v>20</v>
      </c>
      <c r="I25" s="110" t="s">
        <v>21</v>
      </c>
    </row>
    <row r="26" spans="1:10" x14ac:dyDescent="0.25">
      <c r="G26" s="107" t="s">
        <v>50</v>
      </c>
      <c r="H26" s="91">
        <f>+C14</f>
        <v>28456.82423663004</v>
      </c>
      <c r="I26" s="108"/>
    </row>
    <row r="27" spans="1:10" x14ac:dyDescent="0.25">
      <c r="G27" s="107" t="s">
        <v>48</v>
      </c>
      <c r="H27" s="91">
        <f>+I28-H26</f>
        <v>71543.17576336996</v>
      </c>
      <c r="I27" s="108"/>
    </row>
    <row r="28" spans="1:10" ht="15.75" thickBot="1" x14ac:dyDescent="0.3">
      <c r="G28" s="103" t="s">
        <v>47</v>
      </c>
      <c r="H28" s="104"/>
      <c r="I28" s="109">
        <f>-D14</f>
        <v>100000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0</vt:lpstr>
      <vt:lpstr>1</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Freddy Llanto</dc:creator>
  <cp:lastModifiedBy>Freddy Llanto</cp:lastModifiedBy>
  <dcterms:created xsi:type="dcterms:W3CDTF">2024-10-03T03:17:30Z</dcterms:created>
  <dcterms:modified xsi:type="dcterms:W3CDTF">2024-10-03T05:34:23Z</dcterms:modified>
</cp:coreProperties>
</file>