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conta\Downloads\"/>
    </mc:Choice>
  </mc:AlternateContent>
  <xr:revisionPtr revIDLastSave="0" documentId="13_ncr:1_{B889F520-6EF1-4F79-92B9-5BD3707E193E}" xr6:coauthVersionLast="47" xr6:coauthVersionMax="47" xr10:uidLastSave="{00000000-0000-0000-0000-000000000000}"/>
  <bookViews>
    <workbookView xWindow="-120" yWindow="-120" windowWidth="29040" windowHeight="15720" tabRatio="1000" activeTab="2" xr2:uid="{00000000-000D-0000-FFFF-FFFF00000000}"/>
  </bookViews>
  <sheets>
    <sheet name="INSTRUCCIONES" sheetId="70" r:id="rId1"/>
    <sheet name="EASY" sheetId="72" r:id="rId2"/>
    <sheet name="Hoja2" sheetId="73" r:id="rId3"/>
    <sheet name="27-28" sheetId="23" r:id="rId4"/>
    <sheet name="29" sheetId="24" r:id="rId5"/>
    <sheet name="40" sheetId="26" r:id="rId6"/>
    <sheet name="41" sheetId="27" r:id="rId7"/>
    <sheet name="43" sheetId="28" r:id="rId8"/>
    <sheet name="44" sheetId="29" r:id="rId9"/>
    <sheet name="46" sheetId="30" r:id="rId10"/>
    <sheet name="48-" sheetId="10" r:id="rId11"/>
    <sheet name="64-75" sheetId="9" r:id="rId12"/>
    <sheet name="64-75 (2)" sheetId="71" r:id="rId13"/>
    <sheet name="79-81" sheetId="31" r:id="rId14"/>
    <sheet name="-83-" sheetId="33" r:id="rId15"/>
    <sheet name="-85-" sheetId="34" r:id="rId16"/>
    <sheet name="79 (2)" sheetId="35" state="hidden" r:id="rId17"/>
    <sheet name="-89-" sheetId="36" r:id="rId18"/>
    <sheet name="-90-" sheetId="37" r:id="rId19"/>
    <sheet name="-92-" sheetId="39" r:id="rId20"/>
    <sheet name="-93-" sheetId="41" r:id="rId21"/>
    <sheet name="-94-" sheetId="42" r:id="rId22"/>
    <sheet name="-95-" sheetId="43" r:id="rId23"/>
    <sheet name="-96-" sheetId="40" r:id="rId24"/>
    <sheet name="-98-" sheetId="44" r:id="rId25"/>
    <sheet name="-99-" sheetId="45" r:id="rId26"/>
    <sheet name="-102-" sheetId="38" r:id="rId27"/>
    <sheet name="-103-" sheetId="54" r:id="rId28"/>
    <sheet name="104-119" sheetId="46" r:id="rId29"/>
    <sheet name="Hoja17" sheetId="47" state="hidden" r:id="rId30"/>
    <sheet name="120-129" sheetId="5" r:id="rId31"/>
    <sheet name="130-145" sheetId="6" r:id="rId32"/>
    <sheet name="146-164" sheetId="7" r:id="rId33"/>
    <sheet name="168" sheetId="58" r:id="rId34"/>
    <sheet name="169-170" sheetId="59" r:id="rId35"/>
    <sheet name="171-172" sheetId="62" r:id="rId36"/>
    <sheet name="173-174" sheetId="65" r:id="rId37"/>
    <sheet name="175" sheetId="66" r:id="rId38"/>
    <sheet name="177" sheetId="68" r:id="rId39"/>
    <sheet name="Varios1" sheetId="25" state="hidden" r:id="rId40"/>
    <sheet name="Varios2" sheetId="11" state="hidden" r:id="rId41"/>
    <sheet name="Varios 3" sheetId="55" state="hidden" r:id="rId42"/>
    <sheet name="Varios 4" sheetId="69" state="hidden" r:id="rId43"/>
    <sheet name="Bonus II" sheetId="18" state="hidden" r:id="rId44"/>
    <sheet name="Bonus  II" sheetId="21" state="hidden" r:id="rId4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72" l="1"/>
  <c r="C50" i="73"/>
  <c r="C45" i="73"/>
  <c r="C41" i="73"/>
  <c r="D45" i="73" s="1"/>
  <c r="C51" i="73"/>
  <c r="C47" i="73"/>
  <c r="C36" i="73"/>
  <c r="C35" i="73"/>
  <c r="C32" i="73"/>
  <c r="C30" i="73"/>
  <c r="C26" i="73"/>
  <c r="N6" i="72"/>
  <c r="Q47" i="72"/>
  <c r="P47" i="72"/>
  <c r="O47" i="72"/>
  <c r="N47" i="72"/>
  <c r="M47" i="72"/>
  <c r="N31" i="72"/>
  <c r="C20" i="73"/>
  <c r="C19" i="73"/>
  <c r="C22" i="73"/>
  <c r="C18" i="73"/>
  <c r="D22" i="73" s="1"/>
  <c r="M41" i="72"/>
  <c r="C15" i="73"/>
  <c r="C12" i="73"/>
  <c r="C11" i="73"/>
  <c r="L41" i="72"/>
  <c r="K18" i="72"/>
  <c r="M18" i="72" s="1"/>
  <c r="K19" i="72"/>
  <c r="L47" i="72"/>
  <c r="R41" i="72"/>
  <c r="C8" i="73"/>
  <c r="C4" i="73"/>
  <c r="D8" i="73" s="1"/>
  <c r="R46" i="72"/>
  <c r="R42" i="72"/>
  <c r="R33" i="72"/>
  <c r="N22" i="72"/>
  <c r="N1" i="72"/>
  <c r="L2" i="72"/>
  <c r="L1" i="72"/>
  <c r="M21" i="72"/>
  <c r="M20" i="72"/>
  <c r="M19" i="72"/>
  <c r="M17" i="72"/>
  <c r="M16" i="72"/>
  <c r="M15" i="72"/>
  <c r="M14" i="72"/>
  <c r="M13" i="72"/>
  <c r="M12" i="72"/>
  <c r="M11" i="72"/>
  <c r="M10" i="72"/>
  <c r="M9" i="72"/>
  <c r="M8" i="72"/>
  <c r="M7" i="72"/>
  <c r="M6" i="72"/>
  <c r="M5" i="72"/>
  <c r="E28" i="72"/>
  <c r="K9" i="72"/>
  <c r="L9" i="72"/>
  <c r="K46" i="72"/>
  <c r="H43" i="72"/>
  <c r="K21" i="72" s="1"/>
  <c r="H40" i="72"/>
  <c r="K20" i="72" s="1"/>
  <c r="H39" i="72"/>
  <c r="H38" i="72"/>
  <c r="H35" i="72"/>
  <c r="K17" i="72" s="1"/>
  <c r="H34" i="72"/>
  <c r="H26" i="72"/>
  <c r="G25" i="72"/>
  <c r="G24" i="72"/>
  <c r="K13" i="72" s="1"/>
  <c r="H22" i="72"/>
  <c r="G21" i="72"/>
  <c r="K12" i="72" s="1"/>
  <c r="K11" i="72"/>
  <c r="K10" i="72"/>
  <c r="G14" i="72"/>
  <c r="K8" i="72" s="1"/>
  <c r="L14" i="72"/>
  <c r="L13" i="72"/>
  <c r="H12" i="72"/>
  <c r="H16" i="72" s="1"/>
  <c r="L12" i="72"/>
  <c r="G11" i="72"/>
  <c r="K7" i="72" s="1"/>
  <c r="L11" i="72"/>
  <c r="K6" i="72"/>
  <c r="L10" i="72"/>
  <c r="G9" i="72"/>
  <c r="L8" i="72"/>
  <c r="L7" i="72"/>
  <c r="L6" i="72"/>
  <c r="L5" i="72"/>
  <c r="K4" i="72"/>
  <c r="BZ40" i="71"/>
  <c r="BY38" i="71"/>
  <c r="BY39" i="71"/>
  <c r="BX33" i="71"/>
  <c r="BX15" i="71"/>
  <c r="BW22" i="71"/>
  <c r="BV13" i="71"/>
  <c r="CA13" i="71" s="1"/>
  <c r="CA45" i="71"/>
  <c r="CA15" i="71"/>
  <c r="CA14" i="71"/>
  <c r="H9" i="71"/>
  <c r="AX21" i="71"/>
  <c r="BL21" i="71" s="1"/>
  <c r="BT45" i="71"/>
  <c r="AT28" i="71"/>
  <c r="AP28" i="71"/>
  <c r="AG28" i="71"/>
  <c r="AS28" i="71" s="1"/>
  <c r="AT27" i="71"/>
  <c r="AG27" i="71"/>
  <c r="AS27" i="71" s="1"/>
  <c r="AT26" i="71"/>
  <c r="AG26" i="71"/>
  <c r="AS26" i="71" s="1"/>
  <c r="AT25" i="71"/>
  <c r="AG25" i="71"/>
  <c r="AS25" i="71" s="1"/>
  <c r="AT24" i="71"/>
  <c r="AP24" i="71"/>
  <c r="AG24" i="71"/>
  <c r="AI24" i="71" s="1"/>
  <c r="AT23" i="71"/>
  <c r="AT22" i="71"/>
  <c r="AG22" i="71"/>
  <c r="AS22" i="71" s="1"/>
  <c r="N22" i="71"/>
  <c r="M22" i="71"/>
  <c r="AT21" i="71"/>
  <c r="AS21" i="71"/>
  <c r="AT20" i="71"/>
  <c r="AP20" i="71"/>
  <c r="AG20" i="71"/>
  <c r="AS20" i="71" s="1"/>
  <c r="H20" i="71"/>
  <c r="AH19" i="71"/>
  <c r="AT19" i="71" s="1"/>
  <c r="G19" i="71"/>
  <c r="G20" i="71" s="1"/>
  <c r="AH18" i="71"/>
  <c r="AT18" i="71" s="1"/>
  <c r="AG18" i="71"/>
  <c r="AS18" i="71" s="1"/>
  <c r="AH17" i="71"/>
  <c r="AG17" i="71"/>
  <c r="AS17" i="71" s="1"/>
  <c r="AP16" i="71"/>
  <c r="AO15" i="71" s="1"/>
  <c r="CH7" i="71" s="1"/>
  <c r="AH16" i="71"/>
  <c r="AT16" i="71" s="1"/>
  <c r="AG16" i="71"/>
  <c r="AS16" i="71" s="1"/>
  <c r="AH15" i="71"/>
  <c r="AT15" i="71" s="1"/>
  <c r="AG15" i="71"/>
  <c r="AS15" i="71" s="1"/>
  <c r="AD15" i="71"/>
  <c r="N15" i="71"/>
  <c r="N18" i="71" s="1"/>
  <c r="M15" i="71"/>
  <c r="M18" i="71" s="1"/>
  <c r="AH14" i="71"/>
  <c r="AT14" i="71" s="1"/>
  <c r="AG14" i="71"/>
  <c r="AS14" i="71" s="1"/>
  <c r="AB14" i="71"/>
  <c r="AD14" i="71" s="1"/>
  <c r="H14" i="71"/>
  <c r="G14" i="71"/>
  <c r="AH13" i="71"/>
  <c r="AG13" i="71"/>
  <c r="AS13" i="71" s="1"/>
  <c r="AB13" i="71"/>
  <c r="AD13" i="71" s="1"/>
  <c r="AP12" i="71"/>
  <c r="AO11" i="71" s="1"/>
  <c r="CH6" i="71" s="1"/>
  <c r="AH12" i="71"/>
  <c r="AT12" i="71" s="1"/>
  <c r="AG12" i="71"/>
  <c r="AS12" i="71" s="1"/>
  <c r="AH11" i="71"/>
  <c r="AT11" i="71" s="1"/>
  <c r="AG11" i="71"/>
  <c r="AS11" i="71" s="1"/>
  <c r="AH10" i="71"/>
  <c r="AT10" i="71" s="1"/>
  <c r="AC10" i="71"/>
  <c r="AB10" i="71"/>
  <c r="T10" i="71"/>
  <c r="AG23" i="71" s="1"/>
  <c r="AS23" i="71" s="1"/>
  <c r="AH9" i="71"/>
  <c r="AT9" i="71" s="1"/>
  <c r="AG9" i="71"/>
  <c r="AS9" i="71" s="1"/>
  <c r="AU9" i="71" s="1"/>
  <c r="AX9" i="71" s="1"/>
  <c r="T9" i="71"/>
  <c r="AP8" i="71"/>
  <c r="AH8" i="71"/>
  <c r="AT8" i="71" s="1"/>
  <c r="AG8" i="71"/>
  <c r="AS8" i="71" s="1"/>
  <c r="AH7" i="71"/>
  <c r="AG7" i="71"/>
  <c r="AS7" i="71" s="1"/>
  <c r="AH6" i="71"/>
  <c r="AG6" i="71"/>
  <c r="AS6" i="71" s="1"/>
  <c r="AH5" i="71"/>
  <c r="AG5" i="71"/>
  <c r="BA22" i="9"/>
  <c r="AY20" i="9"/>
  <c r="BA8" i="9"/>
  <c r="I21" i="33"/>
  <c r="I20" i="33"/>
  <c r="I19" i="33"/>
  <c r="I18" i="33"/>
  <c r="I17" i="33"/>
  <c r="A11" i="23"/>
  <c r="T19" i="69"/>
  <c r="T18" i="69"/>
  <c r="T17" i="69"/>
  <c r="T15" i="69"/>
  <c r="T14" i="69"/>
  <c r="T13" i="69"/>
  <c r="T10" i="69"/>
  <c r="T9" i="69"/>
  <c r="T8" i="69"/>
  <c r="T5" i="69"/>
  <c r="T4" i="69"/>
  <c r="T3" i="69"/>
  <c r="BS8" i="55"/>
  <c r="BB10" i="55"/>
  <c r="BC10" i="55"/>
  <c r="BB15" i="55"/>
  <c r="BB20" i="55" s="1"/>
  <c r="BC20" i="55"/>
  <c r="C49" i="73" l="1"/>
  <c r="C34" i="73"/>
  <c r="C37" i="73" s="1"/>
  <c r="D30" i="73"/>
  <c r="D15" i="73"/>
  <c r="R44" i="72"/>
  <c r="P11" i="72"/>
  <c r="R19" i="72"/>
  <c r="P18" i="72"/>
  <c r="O7" i="72"/>
  <c r="O17" i="72"/>
  <c r="Q21" i="72"/>
  <c r="Q9" i="72"/>
  <c r="S13" i="72"/>
  <c r="S22" i="72" s="1"/>
  <c r="K41" i="72" s="1"/>
  <c r="O10" i="72"/>
  <c r="H27" i="72"/>
  <c r="H28" i="72" s="1"/>
  <c r="G26" i="72"/>
  <c r="G22" i="72"/>
  <c r="L22" i="72"/>
  <c r="H36" i="72"/>
  <c r="H41" i="72" s="1"/>
  <c r="H44" i="72" s="1"/>
  <c r="K14" i="72" s="1"/>
  <c r="K15" i="72"/>
  <c r="K5" i="72"/>
  <c r="G12" i="72"/>
  <c r="G16" i="72" s="1"/>
  <c r="BV21" i="71"/>
  <c r="AI5" i="71"/>
  <c r="AU11" i="71"/>
  <c r="AX11" i="71" s="1"/>
  <c r="AI6" i="71"/>
  <c r="AI7" i="71"/>
  <c r="AI13" i="71"/>
  <c r="AI14" i="71"/>
  <c r="AI15" i="71"/>
  <c r="AI16" i="71"/>
  <c r="AI18" i="71"/>
  <c r="AU8" i="71"/>
  <c r="AX8" i="71" s="1"/>
  <c r="AI20" i="71"/>
  <c r="AI8" i="71"/>
  <c r="AI22" i="71"/>
  <c r="AI25" i="71"/>
  <c r="AI11" i="71"/>
  <c r="AI26" i="71"/>
  <c r="AI9" i="71"/>
  <c r="AI12" i="71"/>
  <c r="AI28" i="71"/>
  <c r="AD10" i="71"/>
  <c r="AO27" i="71"/>
  <c r="CH10" i="71" s="1"/>
  <c r="AU22" i="71"/>
  <c r="AX22" i="71" s="1"/>
  <c r="AO19" i="71"/>
  <c r="CH8" i="71" s="1"/>
  <c r="AI23" i="71"/>
  <c r="AG10" i="71"/>
  <c r="AS10" i="71" s="1"/>
  <c r="AU10" i="71" s="1"/>
  <c r="AX10" i="71" s="1"/>
  <c r="T14" i="71"/>
  <c r="T16" i="71" s="1"/>
  <c r="T18" i="71" s="1"/>
  <c r="AG19" i="71" s="1"/>
  <c r="AS19" i="71" s="1"/>
  <c r="AU19" i="71" s="1"/>
  <c r="AX19" i="71" s="1"/>
  <c r="AI17" i="71"/>
  <c r="AU15" i="71"/>
  <c r="AT17" i="71"/>
  <c r="AU17" i="71" s="1"/>
  <c r="AX17" i="71" s="1"/>
  <c r="AU26" i="71"/>
  <c r="AS24" i="71"/>
  <c r="AU24" i="71" s="1"/>
  <c r="AX24" i="71" s="1"/>
  <c r="AO23" i="71"/>
  <c r="CH9" i="71" s="1"/>
  <c r="AO7" i="71"/>
  <c r="CH5" i="71" s="1"/>
  <c r="BU12" i="71" s="1"/>
  <c r="AU12" i="71"/>
  <c r="M23" i="71"/>
  <c r="AT7" i="71"/>
  <c r="N23" i="71"/>
  <c r="AU28" i="71"/>
  <c r="AX28" i="71" s="1"/>
  <c r="AU16" i="71"/>
  <c r="AX16" i="71" s="1"/>
  <c r="BH16" i="71" s="1"/>
  <c r="BL16" i="71" s="1"/>
  <c r="AU25" i="71"/>
  <c r="AX25" i="71" s="1"/>
  <c r="BF25" i="71" s="1"/>
  <c r="BL25" i="71" s="1"/>
  <c r="AT6" i="71"/>
  <c r="AU6" i="71" s="1"/>
  <c r="AX6" i="71" s="1"/>
  <c r="BA11" i="71"/>
  <c r="BT23" i="71" s="1"/>
  <c r="CA23" i="71" s="1"/>
  <c r="AU14" i="71"/>
  <c r="AX14" i="71" s="1"/>
  <c r="AU18" i="71"/>
  <c r="AX18" i="71" s="1"/>
  <c r="AU20" i="71"/>
  <c r="AX20" i="71" s="1"/>
  <c r="AP29" i="71"/>
  <c r="AT13" i="71"/>
  <c r="AU13" i="71" s="1"/>
  <c r="AX13" i="71" s="1"/>
  <c r="AU27" i="71"/>
  <c r="G23" i="71"/>
  <c r="H23" i="71"/>
  <c r="AU23" i="71"/>
  <c r="AX23" i="71" s="1"/>
  <c r="AS5" i="71"/>
  <c r="AT5" i="71"/>
  <c r="AH29" i="71"/>
  <c r="AI27" i="71"/>
  <c r="F22" i="68"/>
  <c r="G22" i="68" s="1"/>
  <c r="H22" i="68" s="1"/>
  <c r="I22" i="68" s="1"/>
  <c r="J22" i="68" s="1"/>
  <c r="K22" i="68" s="1"/>
  <c r="L22" i="68" s="1"/>
  <c r="M22" i="68" s="1"/>
  <c r="N22" i="68" s="1"/>
  <c r="O22" i="68" s="1"/>
  <c r="P22" i="68" s="1"/>
  <c r="G40" i="68"/>
  <c r="H40" i="68"/>
  <c r="I40" i="68"/>
  <c r="J40" i="68"/>
  <c r="K40" i="68"/>
  <c r="L40" i="68"/>
  <c r="M40" i="68"/>
  <c r="N40" i="68"/>
  <c r="O40" i="68"/>
  <c r="P40" i="68"/>
  <c r="G41" i="68"/>
  <c r="H41" i="68"/>
  <c r="I41" i="68"/>
  <c r="J41" i="68"/>
  <c r="K41" i="68"/>
  <c r="L41" i="68"/>
  <c r="M41" i="68"/>
  <c r="N41" i="68"/>
  <c r="O41" i="68"/>
  <c r="P41" i="68"/>
  <c r="P39" i="68"/>
  <c r="O39" i="68"/>
  <c r="N39" i="68"/>
  <c r="M39" i="68"/>
  <c r="L39" i="68"/>
  <c r="K39" i="68"/>
  <c r="J39" i="68"/>
  <c r="I39" i="68"/>
  <c r="H39" i="68"/>
  <c r="G39" i="68"/>
  <c r="P35" i="68"/>
  <c r="P37" i="68" s="1"/>
  <c r="O35" i="68"/>
  <c r="N35" i="68"/>
  <c r="M35" i="68"/>
  <c r="M37" i="68" s="1"/>
  <c r="L35" i="68"/>
  <c r="L37" i="68" s="1"/>
  <c r="K35" i="68"/>
  <c r="K37" i="68" s="1"/>
  <c r="J35" i="68"/>
  <c r="J37" i="68" s="1"/>
  <c r="I35" i="68"/>
  <c r="I37" i="68" s="1"/>
  <c r="H35" i="68"/>
  <c r="H37" i="68" s="1"/>
  <c r="G35" i="68"/>
  <c r="G37" i="68" s="1"/>
  <c r="P31" i="68"/>
  <c r="O31" i="68"/>
  <c r="N31" i="68"/>
  <c r="M31" i="68"/>
  <c r="L31" i="68"/>
  <c r="K31" i="68"/>
  <c r="J31" i="68"/>
  <c r="I31" i="68"/>
  <c r="H31" i="68"/>
  <c r="G31" i="68"/>
  <c r="P30" i="68"/>
  <c r="O30" i="68"/>
  <c r="N30" i="68"/>
  <c r="M30" i="68"/>
  <c r="L30" i="68"/>
  <c r="K30" i="68"/>
  <c r="J30" i="68"/>
  <c r="I30" i="68"/>
  <c r="H30" i="68"/>
  <c r="G30" i="68"/>
  <c r="P29" i="68"/>
  <c r="O29" i="68"/>
  <c r="N29" i="68"/>
  <c r="M29" i="68"/>
  <c r="L29" i="68"/>
  <c r="K29" i="68"/>
  <c r="J29" i="68"/>
  <c r="I29" i="68"/>
  <c r="H29" i="68"/>
  <c r="G29" i="68"/>
  <c r="P28" i="68"/>
  <c r="O28" i="68"/>
  <c r="N28" i="68"/>
  <c r="M28" i="68"/>
  <c r="L28" i="68"/>
  <c r="K28" i="68"/>
  <c r="J28" i="68"/>
  <c r="I28" i="68"/>
  <c r="H28" i="68"/>
  <c r="G28" i="68"/>
  <c r="F41" i="68"/>
  <c r="F40" i="68"/>
  <c r="F39" i="68"/>
  <c r="F35" i="68"/>
  <c r="F37" i="68" s="1"/>
  <c r="F29" i="68"/>
  <c r="F30" i="68"/>
  <c r="F31" i="68"/>
  <c r="F28" i="68"/>
  <c r="E14" i="68"/>
  <c r="E10" i="68"/>
  <c r="Q45" i="68"/>
  <c r="N37" i="68"/>
  <c r="O37" i="68"/>
  <c r="E37" i="68"/>
  <c r="F21" i="66"/>
  <c r="N21" i="66" s="1"/>
  <c r="Q21" i="66" s="1"/>
  <c r="AC47" i="55"/>
  <c r="AD47" i="55"/>
  <c r="AD46" i="55"/>
  <c r="AC46" i="55"/>
  <c r="AD44" i="55"/>
  <c r="AC44" i="55"/>
  <c r="AC45" i="55" s="1"/>
  <c r="AD41" i="55"/>
  <c r="AC41" i="55"/>
  <c r="AB48" i="55"/>
  <c r="AB45" i="55"/>
  <c r="AB42" i="55"/>
  <c r="AB43" i="55" s="1"/>
  <c r="AC36" i="55"/>
  <c r="AB36" i="55"/>
  <c r="AD36" i="55"/>
  <c r="AD33" i="55"/>
  <c r="AC33" i="55"/>
  <c r="AB33" i="55"/>
  <c r="AD30" i="55"/>
  <c r="AC30" i="55"/>
  <c r="AC31" i="55" s="1"/>
  <c r="AB30" i="55"/>
  <c r="AB31" i="55" s="1"/>
  <c r="AD17" i="55"/>
  <c r="AC17" i="55"/>
  <c r="AB18" i="55"/>
  <c r="AB19" i="55" s="1"/>
  <c r="AB22" i="55" s="1"/>
  <c r="AC9" i="55"/>
  <c r="AC21" i="55" s="1"/>
  <c r="AD9" i="55"/>
  <c r="AD8" i="55"/>
  <c r="AC8" i="55"/>
  <c r="AC20" i="55" s="1"/>
  <c r="AD6" i="55"/>
  <c r="AC6" i="55"/>
  <c r="AC7" i="55" s="1"/>
  <c r="AB6" i="55"/>
  <c r="AB7" i="55" s="1"/>
  <c r="AB10" i="55" s="1"/>
  <c r="AB11" i="55" s="1"/>
  <c r="H42" i="65"/>
  <c r="K20" i="65" s="1"/>
  <c r="M20" i="65" s="1"/>
  <c r="P20" i="65" s="1"/>
  <c r="H39" i="65"/>
  <c r="K19" i="65" s="1"/>
  <c r="M19" i="65" s="1"/>
  <c r="P19" i="65" s="1"/>
  <c r="H38" i="65"/>
  <c r="K18" i="65" s="1"/>
  <c r="M18" i="65" s="1"/>
  <c r="H37" i="65"/>
  <c r="H34" i="65"/>
  <c r="K16" i="65" s="1"/>
  <c r="M16" i="65" s="1"/>
  <c r="H33" i="65"/>
  <c r="K14" i="65" s="1"/>
  <c r="M14" i="65" s="1"/>
  <c r="P14" i="65" s="1"/>
  <c r="H23" i="65"/>
  <c r="K12" i="65" s="1"/>
  <c r="H20" i="65"/>
  <c r="K11" i="65" s="1"/>
  <c r="H19" i="65"/>
  <c r="K10" i="65" s="1"/>
  <c r="H18" i="65"/>
  <c r="K9" i="65" s="1"/>
  <c r="H14" i="65"/>
  <c r="K8" i="65" s="1"/>
  <c r="H11" i="65"/>
  <c r="K7" i="65" s="1"/>
  <c r="H10" i="65"/>
  <c r="K6" i="65" s="1"/>
  <c r="H9" i="65"/>
  <c r="K5" i="65" s="1"/>
  <c r="K17" i="65"/>
  <c r="M17" i="65" s="1"/>
  <c r="P17" i="65" s="1"/>
  <c r="G25" i="65"/>
  <c r="G21" i="65"/>
  <c r="P15" i="65"/>
  <c r="L13" i="65"/>
  <c r="L12" i="65"/>
  <c r="G12" i="65"/>
  <c r="G15" i="65" s="1"/>
  <c r="L11" i="65"/>
  <c r="L10" i="65"/>
  <c r="L9" i="65"/>
  <c r="L8" i="65"/>
  <c r="L7" i="65"/>
  <c r="L6" i="65"/>
  <c r="L5" i="65"/>
  <c r="AA42" i="65" s="1"/>
  <c r="K4" i="65"/>
  <c r="H30" i="62"/>
  <c r="H42" i="62"/>
  <c r="K20" i="62" s="1"/>
  <c r="M20" i="62" s="1"/>
  <c r="P20" i="62" s="1"/>
  <c r="H39" i="62"/>
  <c r="K19" i="62" s="1"/>
  <c r="M19" i="62" s="1"/>
  <c r="P19" i="62" s="1"/>
  <c r="H38" i="62"/>
  <c r="K18" i="62" s="1"/>
  <c r="M18" i="62" s="1"/>
  <c r="H37" i="62"/>
  <c r="K17" i="62" s="1"/>
  <c r="M17" i="62" s="1"/>
  <c r="P17" i="62" s="1"/>
  <c r="H34" i="62"/>
  <c r="K16" i="62" s="1"/>
  <c r="M16" i="62" s="1"/>
  <c r="H33" i="62"/>
  <c r="K14" i="62" s="1"/>
  <c r="M14" i="62" s="1"/>
  <c r="P14" i="62" s="1"/>
  <c r="H27" i="62"/>
  <c r="H26" i="62"/>
  <c r="H25" i="62"/>
  <c r="H23" i="62"/>
  <c r="H21" i="62"/>
  <c r="H20" i="62"/>
  <c r="K11" i="62" s="1"/>
  <c r="H19" i="62"/>
  <c r="K10" i="62" s="1"/>
  <c r="H18" i="62"/>
  <c r="H15" i="62"/>
  <c r="H14" i="62"/>
  <c r="K8" i="62" s="1"/>
  <c r="H12" i="62"/>
  <c r="H11" i="62"/>
  <c r="K7" i="62" s="1"/>
  <c r="H10" i="62"/>
  <c r="K6" i="62" s="1"/>
  <c r="H9" i="62"/>
  <c r="K5" i="62" s="1"/>
  <c r="K4" i="62"/>
  <c r="G25" i="62"/>
  <c r="G21" i="62"/>
  <c r="P15" i="62"/>
  <c r="L13" i="62"/>
  <c r="L12" i="62"/>
  <c r="G12" i="62"/>
  <c r="G15" i="62" s="1"/>
  <c r="L11" i="62"/>
  <c r="L10" i="62"/>
  <c r="L9" i="62"/>
  <c r="L8" i="62"/>
  <c r="L7" i="62"/>
  <c r="L6" i="62"/>
  <c r="L5" i="62"/>
  <c r="AA44" i="62" s="1"/>
  <c r="AB44" i="62" s="1"/>
  <c r="H42" i="59"/>
  <c r="K20" i="59" s="1"/>
  <c r="M20" i="59" s="1"/>
  <c r="P20" i="59" s="1"/>
  <c r="H39" i="59"/>
  <c r="K19" i="59" s="1"/>
  <c r="M19" i="59" s="1"/>
  <c r="P19" i="59" s="1"/>
  <c r="H38" i="59"/>
  <c r="K18" i="59" s="1"/>
  <c r="M18" i="59" s="1"/>
  <c r="O18" i="59" s="1"/>
  <c r="H37" i="59"/>
  <c r="H34" i="59"/>
  <c r="K16" i="59" s="1"/>
  <c r="M16" i="59" s="1"/>
  <c r="H33" i="59"/>
  <c r="H23" i="59"/>
  <c r="K12" i="59" s="1"/>
  <c r="H20" i="59"/>
  <c r="K11" i="59" s="1"/>
  <c r="H19" i="59"/>
  <c r="H18" i="59"/>
  <c r="K9" i="59" s="1"/>
  <c r="H11" i="59"/>
  <c r="K7" i="59" s="1"/>
  <c r="H10" i="59"/>
  <c r="K6" i="59" s="1"/>
  <c r="H9" i="59"/>
  <c r="K5" i="59" s="1"/>
  <c r="G25" i="59"/>
  <c r="G21" i="59"/>
  <c r="G26" i="59" s="1"/>
  <c r="K17" i="59"/>
  <c r="M17" i="59" s="1"/>
  <c r="P17" i="59" s="1"/>
  <c r="P15" i="59"/>
  <c r="L13" i="59"/>
  <c r="L12" i="59"/>
  <c r="G12" i="59"/>
  <c r="G15" i="59" s="1"/>
  <c r="L11" i="59"/>
  <c r="L10" i="59"/>
  <c r="L9" i="59"/>
  <c r="L8" i="59"/>
  <c r="L7" i="59"/>
  <c r="L6" i="59"/>
  <c r="L5" i="59"/>
  <c r="AA42" i="59" s="1"/>
  <c r="J21" i="58"/>
  <c r="J12" i="58"/>
  <c r="J15" i="58" s="1"/>
  <c r="I21" i="58"/>
  <c r="I12" i="58"/>
  <c r="I15" i="58" s="1"/>
  <c r="H35" i="58"/>
  <c r="H40" i="58" s="1"/>
  <c r="H43" i="58" s="1"/>
  <c r="H24" i="58" s="1"/>
  <c r="H24" i="59" s="1"/>
  <c r="G21" i="58"/>
  <c r="H21" i="58"/>
  <c r="G25" i="58"/>
  <c r="H14" i="58"/>
  <c r="H14" i="59" s="1"/>
  <c r="K8" i="59" s="1"/>
  <c r="G12" i="58"/>
  <c r="G15" i="58" s="1"/>
  <c r="H12" i="58"/>
  <c r="M127" i="55"/>
  <c r="M105" i="55"/>
  <c r="L105" i="55"/>
  <c r="M104" i="55"/>
  <c r="L104" i="55"/>
  <c r="M93" i="55"/>
  <c r="M96" i="55" s="1"/>
  <c r="M97" i="55" s="1"/>
  <c r="L93" i="55"/>
  <c r="L96" i="55" s="1"/>
  <c r="L97" i="55" s="1"/>
  <c r="M85" i="55"/>
  <c r="M87" i="55" s="1"/>
  <c r="L85" i="55"/>
  <c r="L87" i="55" s="1"/>
  <c r="L64" i="55"/>
  <c r="M64" i="55" s="1"/>
  <c r="M60" i="55"/>
  <c r="P60" i="55" s="1"/>
  <c r="P64" i="55" s="1"/>
  <c r="M70" i="55" s="1"/>
  <c r="M59" i="55"/>
  <c r="M62" i="55"/>
  <c r="Q62" i="55" s="1"/>
  <c r="Q64" i="55" s="1"/>
  <c r="M72" i="55" s="1"/>
  <c r="M61" i="55"/>
  <c r="O61" i="55" s="1"/>
  <c r="M58" i="55"/>
  <c r="M75" i="55" s="1"/>
  <c r="Q12" i="72" l="1"/>
  <c r="T14" i="72"/>
  <c r="T22" i="72" s="1"/>
  <c r="K42" i="72" s="1"/>
  <c r="K44" i="72" s="1"/>
  <c r="Q22" i="72"/>
  <c r="K33" i="72" s="1"/>
  <c r="N15" i="72"/>
  <c r="K30" i="72" s="1"/>
  <c r="R30" i="72" s="1"/>
  <c r="P22" i="72"/>
  <c r="K32" i="72" s="1"/>
  <c r="R32" i="72" s="1"/>
  <c r="O22" i="72"/>
  <c r="K31" i="72" s="1"/>
  <c r="R31" i="72" s="1"/>
  <c r="K22" i="72"/>
  <c r="G27" i="72"/>
  <c r="G28" i="72" s="1"/>
  <c r="BU19" i="71"/>
  <c r="CA12" i="71"/>
  <c r="BH29" i="71"/>
  <c r="BT37" i="71" s="1"/>
  <c r="CA37" i="71" s="1"/>
  <c r="AU5" i="71"/>
  <c r="AX5" i="71" s="1"/>
  <c r="BG10" i="71"/>
  <c r="BG29" i="71" s="1"/>
  <c r="BE34" i="71" s="1"/>
  <c r="AI10" i="71"/>
  <c r="BJ18" i="71"/>
  <c r="BJ29" i="71" s="1"/>
  <c r="BF14" i="71"/>
  <c r="BL14" i="71" s="1"/>
  <c r="AX26" i="71"/>
  <c r="BC28" i="71"/>
  <c r="BL28" i="71"/>
  <c r="AU7" i="71"/>
  <c r="AX7" i="71" s="1"/>
  <c r="BI17" i="71"/>
  <c r="BI29" i="71" s="1"/>
  <c r="BT38" i="71" s="1"/>
  <c r="CA38" i="71" s="1"/>
  <c r="BK19" i="71"/>
  <c r="BK29" i="71" s="1"/>
  <c r="AI19" i="71"/>
  <c r="AX12" i="71"/>
  <c r="BB12" i="71" s="1"/>
  <c r="BT24" i="71" s="1"/>
  <c r="CA24" i="71" s="1"/>
  <c r="AX15" i="71"/>
  <c r="BL11" i="71"/>
  <c r="BE24" i="71"/>
  <c r="BE29" i="71" s="1"/>
  <c r="AC11" i="71"/>
  <c r="AD11" i="71" s="1"/>
  <c r="BA22" i="71"/>
  <c r="BL22" i="71" s="1"/>
  <c r="AB12" i="71"/>
  <c r="AD12" i="71" s="1"/>
  <c r="AO29" i="71"/>
  <c r="AW29" i="71" s="1"/>
  <c r="BA8" i="71"/>
  <c r="N26" i="71"/>
  <c r="M26" i="71"/>
  <c r="AY20" i="71"/>
  <c r="BL20" i="71" s="1"/>
  <c r="AT29" i="71"/>
  <c r="AG29" i="71"/>
  <c r="BB23" i="71"/>
  <c r="BL23" i="71" s="1"/>
  <c r="AS29" i="71"/>
  <c r="BC13" i="71"/>
  <c r="BT25" i="71" s="1"/>
  <c r="CA25" i="71" s="1"/>
  <c r="H35" i="62"/>
  <c r="H40" i="62" s="1"/>
  <c r="H43" i="62" s="1"/>
  <c r="M11" i="62"/>
  <c r="P11" i="62" s="1"/>
  <c r="T11" i="62" s="1"/>
  <c r="G26" i="65"/>
  <c r="G27" i="65"/>
  <c r="Q39" i="68"/>
  <c r="AE41" i="55"/>
  <c r="AC48" i="55"/>
  <c r="AC37" i="55"/>
  <c r="AB49" i="55"/>
  <c r="AD42" i="55"/>
  <c r="AD43" i="55" s="1"/>
  <c r="AB37" i="55"/>
  <c r="AC42" i="55"/>
  <c r="AD21" i="55"/>
  <c r="AE21" i="55" s="1"/>
  <c r="W19" i="66"/>
  <c r="N20" i="68"/>
  <c r="M20" i="68"/>
  <c r="G20" i="68"/>
  <c r="H20" i="68"/>
  <c r="P20" i="68"/>
  <c r="I14" i="68"/>
  <c r="J14" i="68"/>
  <c r="K14" i="68"/>
  <c r="L14" i="68"/>
  <c r="M14" i="68"/>
  <c r="F14" i="68"/>
  <c r="N14" i="68"/>
  <c r="G14" i="68"/>
  <c r="O14" i="68"/>
  <c r="H14" i="68"/>
  <c r="P14" i="68"/>
  <c r="H43" i="68"/>
  <c r="N43" i="68"/>
  <c r="N33" i="68"/>
  <c r="F43" i="68"/>
  <c r="E33" i="68"/>
  <c r="M33" i="68"/>
  <c r="F33" i="68"/>
  <c r="I43" i="68"/>
  <c r="K33" i="68"/>
  <c r="M43" i="68"/>
  <c r="P33" i="68"/>
  <c r="J33" i="68"/>
  <c r="H33" i="68"/>
  <c r="G33" i="68"/>
  <c r="I33" i="68"/>
  <c r="P43" i="68"/>
  <c r="O33" i="68"/>
  <c r="L33" i="68"/>
  <c r="G43" i="68"/>
  <c r="K43" i="68"/>
  <c r="Q30" i="68"/>
  <c r="J43" i="68"/>
  <c r="O43" i="68"/>
  <c r="Q29" i="68"/>
  <c r="Q31" i="68"/>
  <c r="Q40" i="68"/>
  <c r="L43" i="68"/>
  <c r="Q41" i="68"/>
  <c r="Q28" i="68"/>
  <c r="Q35" i="68"/>
  <c r="Q37" i="68" s="1"/>
  <c r="E43" i="68"/>
  <c r="E20" i="68"/>
  <c r="P16" i="65"/>
  <c r="R16" i="65" s="1"/>
  <c r="H12" i="65"/>
  <c r="H15" i="65" s="1"/>
  <c r="M10" i="62"/>
  <c r="P10" i="62" s="1"/>
  <c r="S10" i="62" s="1"/>
  <c r="AE47" i="55"/>
  <c r="AE46" i="55"/>
  <c r="AD45" i="55"/>
  <c r="AD18" i="55"/>
  <c r="AD19" i="55" s="1"/>
  <c r="AD20" i="55"/>
  <c r="AE20" i="55" s="1"/>
  <c r="AC18" i="55"/>
  <c r="L106" i="55"/>
  <c r="AE17" i="55"/>
  <c r="AD31" i="55"/>
  <c r="AD37" i="55" s="1"/>
  <c r="AB23" i="55"/>
  <c r="AB24" i="55" s="1"/>
  <c r="AB12" i="55"/>
  <c r="M106" i="55"/>
  <c r="L98" i="55"/>
  <c r="AC10" i="55"/>
  <c r="AD7" i="55"/>
  <c r="AD10" i="55" s="1"/>
  <c r="AB42" i="65"/>
  <c r="AC42" i="65" s="1"/>
  <c r="AL23" i="65"/>
  <c r="AO23" i="65" s="1"/>
  <c r="M10" i="65"/>
  <c r="P10" i="65" s="1"/>
  <c r="S10" i="65" s="1"/>
  <c r="L21" i="65"/>
  <c r="H21" i="65"/>
  <c r="M12" i="65"/>
  <c r="P12" i="65" s="1"/>
  <c r="V12" i="65" s="1"/>
  <c r="V21" i="65" s="1"/>
  <c r="AC37" i="65" s="1"/>
  <c r="H16" i="66" s="1"/>
  <c r="M7" i="65"/>
  <c r="P7" i="65" s="1"/>
  <c r="R7" i="65" s="1"/>
  <c r="H35" i="65"/>
  <c r="H40" i="65" s="1"/>
  <c r="H43" i="65" s="1"/>
  <c r="M9" i="65"/>
  <c r="P9" i="65" s="1"/>
  <c r="M11" i="65"/>
  <c r="P11" i="65" s="1"/>
  <c r="T11" i="65" s="1"/>
  <c r="M6" i="65"/>
  <c r="P6" i="65" s="1"/>
  <c r="R19" i="65"/>
  <c r="S17" i="65"/>
  <c r="T20" i="65"/>
  <c r="Q14" i="65"/>
  <c r="M8" i="65"/>
  <c r="O18" i="65"/>
  <c r="N8" i="65" s="1"/>
  <c r="N21" i="65" s="1"/>
  <c r="M5" i="65"/>
  <c r="P16" i="62"/>
  <c r="R16" i="62" s="1"/>
  <c r="G26" i="62"/>
  <c r="G27" i="62" s="1"/>
  <c r="P16" i="59"/>
  <c r="R16" i="59" s="1"/>
  <c r="H21" i="59"/>
  <c r="M8" i="62"/>
  <c r="K9" i="62"/>
  <c r="M9" i="62" s="1"/>
  <c r="P9" i="62" s="1"/>
  <c r="R9" i="62" s="1"/>
  <c r="L21" i="62"/>
  <c r="M7" i="62"/>
  <c r="P7" i="62" s="1"/>
  <c r="R7" i="62" s="1"/>
  <c r="M6" i="62"/>
  <c r="P6" i="62" s="1"/>
  <c r="S17" i="62"/>
  <c r="T20" i="62"/>
  <c r="Q14" i="62"/>
  <c r="O18" i="62"/>
  <c r="P18" i="62" s="1"/>
  <c r="R19" i="62"/>
  <c r="M5" i="62"/>
  <c r="K12" i="62"/>
  <c r="H35" i="59"/>
  <c r="H40" i="59" s="1"/>
  <c r="H43" i="59" s="1"/>
  <c r="K13" i="59" s="1"/>
  <c r="M13" i="59" s="1"/>
  <c r="P13" i="59" s="1"/>
  <c r="K14" i="59"/>
  <c r="M14" i="59" s="1"/>
  <c r="P14" i="59" s="1"/>
  <c r="Q14" i="59" s="1"/>
  <c r="K10" i="59"/>
  <c r="M10" i="59" s="1"/>
  <c r="P10" i="59" s="1"/>
  <c r="S10" i="59" s="1"/>
  <c r="M9" i="59"/>
  <c r="P9" i="59" s="1"/>
  <c r="R9" i="59" s="1"/>
  <c r="M11" i="59"/>
  <c r="P11" i="59" s="1"/>
  <c r="T11" i="59" s="1"/>
  <c r="M8" i="59"/>
  <c r="M7" i="59"/>
  <c r="P7" i="59" s="1"/>
  <c r="R7" i="59" s="1"/>
  <c r="M6" i="59"/>
  <c r="P6" i="59" s="1"/>
  <c r="Q6" i="59" s="1"/>
  <c r="H12" i="59"/>
  <c r="H15" i="59" s="1"/>
  <c r="L21" i="59"/>
  <c r="M12" i="59"/>
  <c r="P12" i="59" s="1"/>
  <c r="V12" i="59" s="1"/>
  <c r="V21" i="59" s="1"/>
  <c r="AA37" i="59" s="1"/>
  <c r="F16" i="66" s="1"/>
  <c r="N16" i="66" s="1"/>
  <c r="G27" i="59"/>
  <c r="S17" i="59"/>
  <c r="O21" i="59"/>
  <c r="N8" i="59"/>
  <c r="N21" i="59" s="1"/>
  <c r="R19" i="59"/>
  <c r="H25" i="59"/>
  <c r="T20" i="59"/>
  <c r="P18" i="59"/>
  <c r="M5" i="59"/>
  <c r="J35" i="58"/>
  <c r="J40" i="58" s="1"/>
  <c r="J43" i="58" s="1"/>
  <c r="J24" i="58" s="1"/>
  <c r="H24" i="65" s="1"/>
  <c r="H25" i="65" s="1"/>
  <c r="I35" i="58"/>
  <c r="I40" i="58" s="1"/>
  <c r="I43" i="58" s="1"/>
  <c r="I24" i="58" s="1"/>
  <c r="H24" i="62" s="1"/>
  <c r="H15" i="58"/>
  <c r="G26" i="58"/>
  <c r="M98" i="55"/>
  <c r="M63" i="55"/>
  <c r="R63" i="55" s="1"/>
  <c r="R64" i="55" s="1"/>
  <c r="M73" i="55" s="1"/>
  <c r="O59" i="55"/>
  <c r="O64" i="55" s="1"/>
  <c r="M68" i="55" s="1"/>
  <c r="L50" i="55"/>
  <c r="N50" i="55" s="1"/>
  <c r="M40" i="55"/>
  <c r="S48" i="55" s="1"/>
  <c r="M39" i="55"/>
  <c r="R48" i="55" s="1"/>
  <c r="M38" i="55"/>
  <c r="M48" i="55" s="1"/>
  <c r="L42" i="55"/>
  <c r="M42" i="55" s="1"/>
  <c r="L48" i="55" s="1"/>
  <c r="O31" i="55"/>
  <c r="N33" i="55"/>
  <c r="Q33" i="55" s="1"/>
  <c r="N31" i="55"/>
  <c r="N30" i="55"/>
  <c r="Q30" i="55" s="1"/>
  <c r="M20" i="55"/>
  <c r="M23" i="55" s="1"/>
  <c r="L20" i="55"/>
  <c r="L23" i="55" s="1"/>
  <c r="M15" i="55"/>
  <c r="L15" i="55"/>
  <c r="L4" i="55"/>
  <c r="L6" i="55" s="1"/>
  <c r="M6" i="55"/>
  <c r="B14" i="55"/>
  <c r="E3" i="55"/>
  <c r="E2" i="55"/>
  <c r="R35" i="72" l="1"/>
  <c r="K35" i="72"/>
  <c r="R8" i="72"/>
  <c r="R22" i="72" s="1"/>
  <c r="M22" i="72"/>
  <c r="BL19" i="71"/>
  <c r="BL13" i="71"/>
  <c r="BL18" i="71"/>
  <c r="BE35" i="71"/>
  <c r="BL24" i="71"/>
  <c r="BL17" i="71"/>
  <c r="BF29" i="71"/>
  <c r="BT26" i="71"/>
  <c r="CA26" i="71" s="1"/>
  <c r="BT40" i="71"/>
  <c r="CA40" i="71" s="1"/>
  <c r="BB29" i="71"/>
  <c r="AZ7" i="71"/>
  <c r="BL7" i="71" s="1"/>
  <c r="BD15" i="71"/>
  <c r="BT27" i="71" s="1"/>
  <c r="CA27" i="71" s="1"/>
  <c r="AZ26" i="71"/>
  <c r="BL26" i="71" s="1"/>
  <c r="BT21" i="71"/>
  <c r="CA21" i="71" s="1"/>
  <c r="BL8" i="71"/>
  <c r="BL12" i="71"/>
  <c r="BL10" i="71"/>
  <c r="BC9" i="71"/>
  <c r="AD16" i="71"/>
  <c r="AD28" i="71" s="1"/>
  <c r="AC16" i="71"/>
  <c r="AC28" i="71" s="1"/>
  <c r="AI29" i="71"/>
  <c r="BT33" i="71"/>
  <c r="AK17" i="71"/>
  <c r="AB16" i="71"/>
  <c r="AB28" i="71" s="1"/>
  <c r="AX27" i="71"/>
  <c r="AY6" i="71"/>
  <c r="AV29" i="71"/>
  <c r="AU29" i="71"/>
  <c r="BA29" i="71"/>
  <c r="K13" i="65"/>
  <c r="K13" i="62"/>
  <c r="M13" i="62" s="1"/>
  <c r="P13" i="62" s="1"/>
  <c r="W13" i="62" s="1"/>
  <c r="W21" i="62" s="1"/>
  <c r="AB40" i="62" s="1"/>
  <c r="H26" i="59"/>
  <c r="H27" i="59" s="1"/>
  <c r="T21" i="65"/>
  <c r="AC29" i="65" s="1"/>
  <c r="H8" i="66" s="1"/>
  <c r="H26" i="65"/>
  <c r="H27" i="65" s="1"/>
  <c r="AE42" i="55"/>
  <c r="AE43" i="55" s="1"/>
  <c r="AC43" i="55"/>
  <c r="AC49" i="55" s="1"/>
  <c r="X19" i="66"/>
  <c r="L20" i="68"/>
  <c r="I20" i="68"/>
  <c r="J20" i="68"/>
  <c r="J21" i="68" s="1"/>
  <c r="O20" i="68"/>
  <c r="K20" i="68"/>
  <c r="J10" i="68"/>
  <c r="H10" i="68"/>
  <c r="H21" i="68" s="1"/>
  <c r="I10" i="68"/>
  <c r="F20" i="68"/>
  <c r="N44" i="68"/>
  <c r="M10" i="68"/>
  <c r="M21" i="68" s="1"/>
  <c r="K10" i="68"/>
  <c r="O10" i="68"/>
  <c r="P10" i="68"/>
  <c r="P21" i="68" s="1"/>
  <c r="G10" i="68"/>
  <c r="G21" i="68" s="1"/>
  <c r="L10" i="68"/>
  <c r="N10" i="68"/>
  <c r="N21" i="68" s="1"/>
  <c r="F10" i="68"/>
  <c r="F21" i="68" s="1"/>
  <c r="H44" i="68"/>
  <c r="P44" i="68"/>
  <c r="I44" i="68"/>
  <c r="F44" i="68"/>
  <c r="K44" i="68"/>
  <c r="E44" i="68"/>
  <c r="E46" i="68" s="1"/>
  <c r="F45" i="68" s="1"/>
  <c r="M44" i="68"/>
  <c r="J44" i="68"/>
  <c r="Q43" i="68"/>
  <c r="O44" i="68"/>
  <c r="L44" i="68"/>
  <c r="G44" i="68"/>
  <c r="Q33" i="68"/>
  <c r="E21" i="68"/>
  <c r="E23" i="68" s="1"/>
  <c r="G21" i="66"/>
  <c r="AA39" i="62"/>
  <c r="AA37" i="65"/>
  <c r="AE48" i="55"/>
  <c r="AD48" i="55"/>
  <c r="AD49" i="55" s="1"/>
  <c r="AE44" i="55"/>
  <c r="AE45" i="55" s="1"/>
  <c r="AE18" i="55"/>
  <c r="AE19" i="55" s="1"/>
  <c r="AE22" i="55" s="1"/>
  <c r="AD22" i="55"/>
  <c r="AC19" i="55"/>
  <c r="AC22" i="55" s="1"/>
  <c r="AC11" i="55"/>
  <c r="AD11" i="55"/>
  <c r="R9" i="65"/>
  <c r="R21" i="65" s="1"/>
  <c r="AC27" i="65" s="1"/>
  <c r="H6" i="66" s="1"/>
  <c r="K21" i="65"/>
  <c r="M13" i="65"/>
  <c r="P13" i="65" s="1"/>
  <c r="W13" i="65" s="1"/>
  <c r="W21" i="65" s="1"/>
  <c r="AC38" i="65" s="1"/>
  <c r="H17" i="66" s="1"/>
  <c r="P8" i="65"/>
  <c r="U8" i="65" s="1"/>
  <c r="U21" i="65" s="1"/>
  <c r="AC33" i="65" s="1"/>
  <c r="O21" i="65"/>
  <c r="S21" i="65"/>
  <c r="AC28" i="65" s="1"/>
  <c r="H7" i="66" s="1"/>
  <c r="P5" i="65"/>
  <c r="Q6" i="65"/>
  <c r="Q21" i="65" s="1"/>
  <c r="AC26" i="65" s="1"/>
  <c r="H5" i="66" s="1"/>
  <c r="P18" i="65"/>
  <c r="R21" i="62"/>
  <c r="AB29" i="62" s="1"/>
  <c r="K21" i="62"/>
  <c r="T21" i="62"/>
  <c r="AB31" i="62" s="1"/>
  <c r="M12" i="62"/>
  <c r="P12" i="62" s="1"/>
  <c r="S21" i="62"/>
  <c r="AB30" i="62" s="1"/>
  <c r="N8" i="62"/>
  <c r="O21" i="62"/>
  <c r="P5" i="62"/>
  <c r="Q6" i="62"/>
  <c r="Q21" i="62" s="1"/>
  <c r="AB28" i="62" s="1"/>
  <c r="S21" i="59"/>
  <c r="AA28" i="59" s="1"/>
  <c r="F7" i="66" s="1"/>
  <c r="N7" i="66" s="1"/>
  <c r="P8" i="59"/>
  <c r="U8" i="59" s="1"/>
  <c r="U21" i="59" s="1"/>
  <c r="AA33" i="59" s="1"/>
  <c r="K21" i="59"/>
  <c r="R21" i="59"/>
  <c r="AA27" i="59" s="1"/>
  <c r="F6" i="66" s="1"/>
  <c r="N6" i="66" s="1"/>
  <c r="W13" i="59"/>
  <c r="W21" i="59" s="1"/>
  <c r="AA38" i="59" s="1"/>
  <c r="T21" i="59"/>
  <c r="AA29" i="59" s="1"/>
  <c r="F8" i="66" s="1"/>
  <c r="N8" i="66" s="1"/>
  <c r="M21" i="59"/>
  <c r="P5" i="59"/>
  <c r="Q21" i="59"/>
  <c r="AA26" i="59" s="1"/>
  <c r="F5" i="66" s="1"/>
  <c r="G27" i="58"/>
  <c r="M74" i="55"/>
  <c r="M76" i="55" s="1"/>
  <c r="N48" i="55"/>
  <c r="P50" i="55"/>
  <c r="O48" i="55" s="1"/>
  <c r="M43" i="55"/>
  <c r="Q31" i="55"/>
  <c r="E4" i="55"/>
  <c r="J19" i="7"/>
  <c r="J18" i="7"/>
  <c r="J17" i="7"/>
  <c r="B183" i="7"/>
  <c r="B184" i="7" s="1"/>
  <c r="B185" i="7" s="1"/>
  <c r="G103" i="7"/>
  <c r="F103" i="7"/>
  <c r="K37" i="72" l="1"/>
  <c r="R37" i="72" s="1"/>
  <c r="R39" i="72" s="1"/>
  <c r="R45" i="72" s="1"/>
  <c r="R47" i="72" s="1"/>
  <c r="N24" i="72"/>
  <c r="K39" i="72"/>
  <c r="K45" i="72" s="1"/>
  <c r="K47" i="72" s="1"/>
  <c r="Y44" i="72" s="1"/>
  <c r="BT35" i="71"/>
  <c r="CA33" i="71"/>
  <c r="CA35" i="71" s="1"/>
  <c r="BL15" i="71"/>
  <c r="BT22" i="71"/>
  <c r="CA22" i="71" s="1"/>
  <c r="BL9" i="71"/>
  <c r="BT20" i="71"/>
  <c r="CA20" i="71" s="1"/>
  <c r="AZ29" i="71"/>
  <c r="BT19" i="71"/>
  <c r="CA19" i="71" s="1"/>
  <c r="BL6" i="71"/>
  <c r="BC29" i="71"/>
  <c r="BD27" i="71"/>
  <c r="BL27" i="71" s="1"/>
  <c r="BT39" i="71"/>
  <c r="AY29" i="71"/>
  <c r="AX29" i="71"/>
  <c r="AA38" i="65"/>
  <c r="AL19" i="65" s="1"/>
  <c r="F17" i="66"/>
  <c r="AA33" i="65"/>
  <c r="F12" i="66"/>
  <c r="N5" i="66"/>
  <c r="N10" i="66" s="1"/>
  <c r="F10" i="66"/>
  <c r="AB26" i="65"/>
  <c r="G5" i="66"/>
  <c r="P5" i="66" s="1"/>
  <c r="AB29" i="65"/>
  <c r="G8" i="66"/>
  <c r="O8" i="66" s="1"/>
  <c r="AB38" i="65"/>
  <c r="G17" i="66"/>
  <c r="AB27" i="65"/>
  <c r="G6" i="66"/>
  <c r="O6" i="66" s="1"/>
  <c r="W6" i="66" s="1"/>
  <c r="AB28" i="65"/>
  <c r="G7" i="66"/>
  <c r="O7" i="66" s="1"/>
  <c r="W7" i="66" s="1"/>
  <c r="H19" i="66"/>
  <c r="AC35" i="65"/>
  <c r="H12" i="66"/>
  <c r="Q44" i="68"/>
  <c r="Q46" i="68" s="1"/>
  <c r="O21" i="68"/>
  <c r="AE49" i="55"/>
  <c r="L21" i="68"/>
  <c r="K21" i="68"/>
  <c r="I21" i="68"/>
  <c r="F46" i="68"/>
  <c r="G45" i="68" s="1"/>
  <c r="G46" i="68" s="1"/>
  <c r="H45" i="68" s="1"/>
  <c r="H46" i="68" s="1"/>
  <c r="I45" i="68" s="1"/>
  <c r="I46" i="68" s="1"/>
  <c r="J45" i="68" s="1"/>
  <c r="J46" i="68" s="1"/>
  <c r="K45" i="68" s="1"/>
  <c r="K46" i="68" s="1"/>
  <c r="L45" i="68" s="1"/>
  <c r="L46" i="68" s="1"/>
  <c r="M45" i="68" s="1"/>
  <c r="M46" i="68" s="1"/>
  <c r="N45" i="68" s="1"/>
  <c r="N46" i="68" s="1"/>
  <c r="O45" i="68" s="1"/>
  <c r="O46" i="68" s="1"/>
  <c r="P45" i="68" s="1"/>
  <c r="P46" i="68" s="1"/>
  <c r="H21" i="66"/>
  <c r="H10" i="66"/>
  <c r="AA30" i="62"/>
  <c r="AA28" i="65"/>
  <c r="AL9" i="65" s="1"/>
  <c r="AL18" i="65"/>
  <c r="AA35" i="65"/>
  <c r="AL14" i="65"/>
  <c r="AL16" i="65" s="1"/>
  <c r="AA29" i="62"/>
  <c r="AA27" i="65"/>
  <c r="AL8" i="65" s="1"/>
  <c r="AA31" i="62"/>
  <c r="AA29" i="65"/>
  <c r="AL10" i="65" s="1"/>
  <c r="AA28" i="62"/>
  <c r="AA26" i="65"/>
  <c r="AD12" i="55"/>
  <c r="AD23" i="55"/>
  <c r="AD24" i="55" s="1"/>
  <c r="AC12" i="55"/>
  <c r="AC23" i="55"/>
  <c r="Q48" i="55"/>
  <c r="AC40" i="65"/>
  <c r="AC31" i="65"/>
  <c r="M21" i="65"/>
  <c r="P21" i="65"/>
  <c r="M21" i="62"/>
  <c r="AA40" i="59"/>
  <c r="AA40" i="62"/>
  <c r="AA42" i="62" s="1"/>
  <c r="AA35" i="59"/>
  <c r="AA35" i="62"/>
  <c r="AA37" i="62" s="1"/>
  <c r="AB33" i="62"/>
  <c r="N21" i="62"/>
  <c r="P8" i="62"/>
  <c r="P21" i="62" s="1"/>
  <c r="V12" i="62"/>
  <c r="V21" i="62" s="1"/>
  <c r="AB39" i="62" s="1"/>
  <c r="G16" i="66" s="1"/>
  <c r="P21" i="59"/>
  <c r="AA31" i="59"/>
  <c r="Q50" i="55"/>
  <c r="M7" i="6"/>
  <c r="Z105" i="6"/>
  <c r="BT43" i="71" l="1"/>
  <c r="CA39" i="71"/>
  <c r="CA43" i="71" s="1"/>
  <c r="BD29" i="71"/>
  <c r="BF30" i="71" s="1"/>
  <c r="BT8" i="71"/>
  <c r="BE33" i="71"/>
  <c r="BE36" i="71" s="1"/>
  <c r="AY33" i="71"/>
  <c r="BL29" i="71"/>
  <c r="O17" i="66"/>
  <c r="P6" i="66"/>
  <c r="AM19" i="65"/>
  <c r="AN19" i="65" s="1"/>
  <c r="AA40" i="65"/>
  <c r="N12" i="66"/>
  <c r="N14" i="66" s="1"/>
  <c r="F14" i="66"/>
  <c r="F20" i="66" s="1"/>
  <c r="F22" i="66" s="1"/>
  <c r="F23" i="66" s="1"/>
  <c r="Q6" i="66"/>
  <c r="X6" i="66"/>
  <c r="N17" i="66"/>
  <c r="N19" i="66" s="1"/>
  <c r="F19" i="66"/>
  <c r="P7" i="66"/>
  <c r="X7" i="66" s="1"/>
  <c r="AB31" i="65"/>
  <c r="P8" i="66"/>
  <c r="X8" i="66" s="1"/>
  <c r="AM8" i="65"/>
  <c r="AN8" i="65" s="1"/>
  <c r="AM9" i="65"/>
  <c r="AN9" i="65" s="1"/>
  <c r="AO9" i="65" s="1"/>
  <c r="W8" i="66"/>
  <c r="O16" i="66"/>
  <c r="G19" i="66"/>
  <c r="P16" i="66"/>
  <c r="P17" i="66"/>
  <c r="G10" i="66"/>
  <c r="O5" i="66"/>
  <c r="H14" i="66"/>
  <c r="H20" i="66" s="1"/>
  <c r="H22" i="66" s="1"/>
  <c r="H23" i="66" s="1"/>
  <c r="AE23" i="55"/>
  <c r="AE24" i="55" s="1"/>
  <c r="F23" i="68"/>
  <c r="AB42" i="62"/>
  <c r="AB37" i="65"/>
  <c r="AB40" i="65" s="1"/>
  <c r="AA33" i="62"/>
  <c r="AA43" i="62" s="1"/>
  <c r="AA45" i="62" s="1"/>
  <c r="AC41" i="65"/>
  <c r="AC43" i="65" s="1"/>
  <c r="AC44" i="65" s="1"/>
  <c r="AL7" i="65"/>
  <c r="AA31" i="65"/>
  <c r="AM10" i="65"/>
  <c r="AN10" i="65" s="1"/>
  <c r="AL21" i="65"/>
  <c r="AC24" i="55"/>
  <c r="AA41" i="59"/>
  <c r="AA43" i="59" s="1"/>
  <c r="AD26" i="59" s="1"/>
  <c r="U8" i="62"/>
  <c r="U21" i="62" s="1"/>
  <c r="AB54" i="6"/>
  <c r="AB52" i="6"/>
  <c r="AB51" i="6"/>
  <c r="X17" i="5"/>
  <c r="AP9" i="5"/>
  <c r="BQ9" i="5"/>
  <c r="BJ7" i="46"/>
  <c r="BC38" i="46"/>
  <c r="AO31" i="46"/>
  <c r="AP32" i="46" s="1"/>
  <c r="I25" i="46" s="1"/>
  <c r="M16" i="54"/>
  <c r="L17" i="54"/>
  <c r="D18" i="54"/>
  <c r="M18" i="54" s="1"/>
  <c r="J18" i="54"/>
  <c r="J16" i="54"/>
  <c r="I16" i="54"/>
  <c r="D8" i="54"/>
  <c r="M10" i="54" s="1"/>
  <c r="D11" i="54"/>
  <c r="D7" i="54"/>
  <c r="D15" i="54"/>
  <c r="O23" i="7"/>
  <c r="O18" i="7"/>
  <c r="O17" i="7"/>
  <c r="N19" i="7"/>
  <c r="N18" i="7"/>
  <c r="N17" i="7"/>
  <c r="D172" i="7"/>
  <c r="E172" i="7"/>
  <c r="C182" i="7"/>
  <c r="D182" i="7" s="1"/>
  <c r="B186" i="7"/>
  <c r="B187" i="7" s="1"/>
  <c r="BT31" i="71" l="1"/>
  <c r="BT44" i="71" s="1"/>
  <c r="BT46" i="71" s="1"/>
  <c r="CA8" i="71"/>
  <c r="CA31" i="71" s="1"/>
  <c r="CA44" i="71" s="1"/>
  <c r="CA46" i="71" s="1"/>
  <c r="X10" i="66"/>
  <c r="Q7" i="66"/>
  <c r="AO19" i="65"/>
  <c r="AA41" i="65"/>
  <c r="AA43" i="65" s="1"/>
  <c r="N20" i="66"/>
  <c r="N22" i="66" s="1"/>
  <c r="O21" i="66" s="1"/>
  <c r="Q17" i="66"/>
  <c r="Q8" i="66"/>
  <c r="P10" i="66"/>
  <c r="P19" i="66"/>
  <c r="O19" i="66"/>
  <c r="Q16" i="66"/>
  <c r="W5" i="66"/>
  <c r="W10" i="66" s="1"/>
  <c r="O10" i="66"/>
  <c r="Q5" i="66"/>
  <c r="G23" i="68"/>
  <c r="AM18" i="65"/>
  <c r="AM21" i="65" s="1"/>
  <c r="AO10" i="65"/>
  <c r="AM7" i="65"/>
  <c r="AM12" i="65" s="1"/>
  <c r="AL12" i="65"/>
  <c r="AL22" i="65" s="1"/>
  <c r="AL24" i="65" s="1"/>
  <c r="AM23" i="65" s="1"/>
  <c r="AO8" i="65"/>
  <c r="AB35" i="62"/>
  <c r="G12" i="66" s="1"/>
  <c r="L16" i="54"/>
  <c r="D21" i="54"/>
  <c r="I18" i="54"/>
  <c r="K16" i="54"/>
  <c r="F172" i="7"/>
  <c r="P16" i="7"/>
  <c r="N7" i="7"/>
  <c r="O7" i="7"/>
  <c r="Q10" i="66" l="1"/>
  <c r="Q19" i="66"/>
  <c r="G14" i="66"/>
  <c r="G20" i="66" s="1"/>
  <c r="G22" i="66" s="1"/>
  <c r="G23" i="66" s="1"/>
  <c r="O12" i="66"/>
  <c r="P12" i="66"/>
  <c r="AN7" i="65"/>
  <c r="AO7" i="65" s="1"/>
  <c r="AO12" i="65" s="1"/>
  <c r="H23" i="68"/>
  <c r="AN18" i="65"/>
  <c r="AN21" i="65" s="1"/>
  <c r="AB37" i="62"/>
  <c r="AB43" i="62" s="1"/>
  <c r="AB45" i="62" s="1"/>
  <c r="AB46" i="62" s="1"/>
  <c r="AB33" i="65"/>
  <c r="N16" i="54"/>
  <c r="O16" i="54" s="1"/>
  <c r="O22" i="54" s="1"/>
  <c r="L22" i="54"/>
  <c r="E182" i="7"/>
  <c r="F182" i="7" s="1"/>
  <c r="P7" i="7"/>
  <c r="M9" i="6"/>
  <c r="AC82" i="6"/>
  <c r="AC81" i="6"/>
  <c r="G14" i="6"/>
  <c r="G9" i="6"/>
  <c r="G10" i="6" s="1"/>
  <c r="AC69" i="6"/>
  <c r="AA70" i="6"/>
  <c r="G13" i="6" s="1"/>
  <c r="AC52" i="6"/>
  <c r="AC54" i="6"/>
  <c r="AC51" i="6"/>
  <c r="W12" i="66" l="1"/>
  <c r="W14" i="66" s="1"/>
  <c r="W20" i="66" s="1"/>
  <c r="O14" i="66"/>
  <c r="O20" i="66" s="1"/>
  <c r="O22" i="66" s="1"/>
  <c r="P21" i="66" s="1"/>
  <c r="Q12" i="66"/>
  <c r="Q14" i="66" s="1"/>
  <c r="Q20" i="66" s="1"/>
  <c r="Q22" i="66" s="1"/>
  <c r="X12" i="66"/>
  <c r="X14" i="66" s="1"/>
  <c r="X20" i="66" s="1"/>
  <c r="P14" i="66"/>
  <c r="P20" i="66" s="1"/>
  <c r="AO18" i="65"/>
  <c r="AO21" i="65" s="1"/>
  <c r="AN12" i="65"/>
  <c r="I23" i="68"/>
  <c r="AB35" i="65"/>
  <c r="AB41" i="65" s="1"/>
  <c r="AB43" i="65" s="1"/>
  <c r="AM14" i="65"/>
  <c r="M22" i="54"/>
  <c r="AQ10" i="6"/>
  <c r="AR27" i="6"/>
  <c r="AR32" i="6"/>
  <c r="AR37" i="6"/>
  <c r="AF28" i="5"/>
  <c r="H6" i="5"/>
  <c r="G6" i="5"/>
  <c r="P26" i="5"/>
  <c r="AQ37" i="5" s="1"/>
  <c r="AQ38" i="5"/>
  <c r="AQ34" i="5"/>
  <c r="AQ33" i="5"/>
  <c r="AQ32" i="5"/>
  <c r="AQ31" i="5"/>
  <c r="AQ30" i="5"/>
  <c r="AQ28" i="5"/>
  <c r="AQ27" i="5"/>
  <c r="AQ26" i="5"/>
  <c r="AQ24" i="5"/>
  <c r="AQ23" i="5"/>
  <c r="AQ22" i="5"/>
  <c r="AQ20" i="5"/>
  <c r="AQ35" i="5"/>
  <c r="AS35" i="5" s="1"/>
  <c r="AV35" i="5" s="1"/>
  <c r="BH29" i="5"/>
  <c r="BH25" i="5"/>
  <c r="BH21" i="5"/>
  <c r="BR21" i="5"/>
  <c r="BR25" i="5"/>
  <c r="BR29" i="5"/>
  <c r="AS21" i="5"/>
  <c r="AS25" i="5"/>
  <c r="AS29" i="5"/>
  <c r="AF26" i="5"/>
  <c r="AG33" i="5" s="1"/>
  <c r="W10" i="5"/>
  <c r="X18" i="5" s="1"/>
  <c r="AP23" i="46"/>
  <c r="BJ16" i="46" s="1"/>
  <c r="P22" i="66" l="1"/>
  <c r="J23" i="68"/>
  <c r="AN14" i="65"/>
  <c r="AN16" i="65" s="1"/>
  <c r="AN22" i="65" s="1"/>
  <c r="AM16" i="65"/>
  <c r="AM22" i="65" s="1"/>
  <c r="AM24" i="65" s="1"/>
  <c r="AN23" i="65" s="1"/>
  <c r="BD35" i="5"/>
  <c r="BH35" i="5" s="1"/>
  <c r="BR35" i="5"/>
  <c r="K18" i="54"/>
  <c r="N18" i="54" s="1"/>
  <c r="P18" i="54" s="1"/>
  <c r="P22" i="54" s="1"/>
  <c r="AF29" i="5"/>
  <c r="I27" i="47"/>
  <c r="H27" i="47"/>
  <c r="G27" i="47"/>
  <c r="F27" i="47"/>
  <c r="I19" i="47"/>
  <c r="H19" i="47"/>
  <c r="G19" i="47"/>
  <c r="F19" i="47"/>
  <c r="I10" i="47"/>
  <c r="H10" i="47"/>
  <c r="G10" i="47"/>
  <c r="F10" i="47"/>
  <c r="G5" i="46"/>
  <c r="J5" i="46" s="1"/>
  <c r="AI5" i="46" s="1"/>
  <c r="G25" i="46"/>
  <c r="J25" i="46" s="1"/>
  <c r="J27" i="46"/>
  <c r="AI27" i="46" s="1"/>
  <c r="J28" i="46"/>
  <c r="AI28" i="46" s="1"/>
  <c r="J34" i="46"/>
  <c r="AI34" i="46" s="1"/>
  <c r="J36" i="46"/>
  <c r="AI36" i="46" s="1"/>
  <c r="E37" i="46"/>
  <c r="G37" i="46" s="1"/>
  <c r="E35" i="46"/>
  <c r="G35" i="46" s="1"/>
  <c r="D36" i="40"/>
  <c r="D57" i="40" s="1"/>
  <c r="D56" i="40"/>
  <c r="I58" i="40"/>
  <c r="D55" i="40"/>
  <c r="D6" i="40"/>
  <c r="D27" i="40" s="1"/>
  <c r="D26" i="40"/>
  <c r="D27" i="33"/>
  <c r="D25" i="33"/>
  <c r="L17" i="36"/>
  <c r="I17" i="36"/>
  <c r="K17" i="36" s="1"/>
  <c r="AO25" i="46" s="1"/>
  <c r="AP26" i="46" s="1"/>
  <c r="I21" i="36"/>
  <c r="E49" i="46" s="1"/>
  <c r="G49" i="46" s="1"/>
  <c r="J49" i="46" s="1"/>
  <c r="K21" i="36"/>
  <c r="N21" i="36" s="1"/>
  <c r="R21" i="36" s="1"/>
  <c r="R23" i="36" s="1"/>
  <c r="L16" i="36"/>
  <c r="AO28" i="46" s="1"/>
  <c r="F12" i="46"/>
  <c r="E44" i="46"/>
  <c r="G44" i="46" s="1"/>
  <c r="F24" i="46"/>
  <c r="J17" i="54" s="1"/>
  <c r="L13" i="38"/>
  <c r="AO55" i="46" s="1"/>
  <c r="AP56" i="46" s="1"/>
  <c r="BJ23" i="46" s="1"/>
  <c r="M17" i="38"/>
  <c r="D10" i="38"/>
  <c r="D18" i="38"/>
  <c r="D17" i="38"/>
  <c r="D16" i="38"/>
  <c r="C23" i="38"/>
  <c r="C24" i="38" s="1"/>
  <c r="C9" i="38"/>
  <c r="D8" i="38"/>
  <c r="K142" i="45"/>
  <c r="N140" i="45"/>
  <c r="M140" i="45"/>
  <c r="A130" i="45"/>
  <c r="A131" i="45" s="1"/>
  <c r="A132" i="45" s="1"/>
  <c r="A133" i="45" s="1"/>
  <c r="A134" i="45" s="1"/>
  <c r="A135" i="45" s="1"/>
  <c r="A136" i="45" s="1"/>
  <c r="A137" i="45" s="1"/>
  <c r="A138" i="45" s="1"/>
  <c r="A139" i="45" s="1"/>
  <c r="A140" i="45" s="1"/>
  <c r="A141" i="45" s="1"/>
  <c r="A142" i="45" s="1"/>
  <c r="A143" i="45" s="1"/>
  <c r="A144" i="45" s="1"/>
  <c r="A145" i="45" s="1"/>
  <c r="A146" i="45" s="1"/>
  <c r="A147" i="45" s="1"/>
  <c r="A148" i="45" s="1"/>
  <c r="A149" i="45" s="1"/>
  <c r="A150" i="45" s="1"/>
  <c r="A151" i="45" s="1"/>
  <c r="A152" i="45" s="1"/>
  <c r="C129" i="45"/>
  <c r="A72" i="45"/>
  <c r="A73" i="45" s="1"/>
  <c r="A74" i="45" s="1"/>
  <c r="A75" i="45" s="1"/>
  <c r="A76" i="45" s="1"/>
  <c r="A77" i="45" s="1"/>
  <c r="A78" i="45" s="1"/>
  <c r="A79" i="45" s="1"/>
  <c r="A80" i="45" s="1"/>
  <c r="A81" i="45" s="1"/>
  <c r="A82" i="45" s="1"/>
  <c r="A83" i="45" s="1"/>
  <c r="A84" i="45" s="1"/>
  <c r="A85" i="45" s="1"/>
  <c r="A86" i="45" s="1"/>
  <c r="A87" i="45" s="1"/>
  <c r="A88" i="45" s="1"/>
  <c r="A89" i="45" s="1"/>
  <c r="A90" i="45" s="1"/>
  <c r="A91" i="45" s="1"/>
  <c r="A92" i="45" s="1"/>
  <c r="A93" i="45" s="1"/>
  <c r="A94" i="45" s="1"/>
  <c r="A95" i="45" s="1"/>
  <c r="A96" i="45" s="1"/>
  <c r="A97" i="45" s="1"/>
  <c r="A98" i="45" s="1"/>
  <c r="A99" i="45" s="1"/>
  <c r="A100" i="45" s="1"/>
  <c r="A101" i="45" s="1"/>
  <c r="A102" i="45" s="1"/>
  <c r="A103" i="45" s="1"/>
  <c r="A104" i="45" s="1"/>
  <c r="A105" i="45" s="1"/>
  <c r="A106" i="45" s="1"/>
  <c r="A107" i="45" s="1"/>
  <c r="A108" i="45" s="1"/>
  <c r="A109" i="45" s="1"/>
  <c r="A110" i="45" s="1"/>
  <c r="A111" i="45" s="1"/>
  <c r="A112" i="45" s="1"/>
  <c r="A113" i="45" s="1"/>
  <c r="A114" i="45" s="1"/>
  <c r="A115" i="45" s="1"/>
  <c r="A116" i="45" s="1"/>
  <c r="A117" i="45" s="1"/>
  <c r="A118" i="45" s="1"/>
  <c r="B71" i="45"/>
  <c r="E68" i="45"/>
  <c r="D71" i="45" s="1"/>
  <c r="D72" i="45" s="1"/>
  <c r="D73" i="45" s="1"/>
  <c r="D74" i="45" s="1"/>
  <c r="D75" i="45" s="1"/>
  <c r="D76" i="45" s="1"/>
  <c r="D77" i="45" s="1"/>
  <c r="D78" i="45" s="1"/>
  <c r="D79" i="45" s="1"/>
  <c r="D80" i="45" s="1"/>
  <c r="B12" i="45"/>
  <c r="C12" i="45" s="1"/>
  <c r="E9" i="45"/>
  <c r="D12" i="45" s="1"/>
  <c r="D13" i="45" s="1"/>
  <c r="D14" i="45" s="1"/>
  <c r="D15" i="45" s="1"/>
  <c r="D16" i="45" s="1"/>
  <c r="D17" i="45" s="1"/>
  <c r="D18" i="45" s="1"/>
  <c r="D19" i="45" s="1"/>
  <c r="D20" i="45" s="1"/>
  <c r="D21" i="45" s="1"/>
  <c r="A13" i="45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A47" i="45" s="1"/>
  <c r="A48" i="45" s="1"/>
  <c r="A49" i="45" s="1"/>
  <c r="A50" i="45" s="1"/>
  <c r="A51" i="45" s="1"/>
  <c r="A52" i="45" s="1"/>
  <c r="A53" i="45" s="1"/>
  <c r="A54" i="45" s="1"/>
  <c r="A55" i="45" s="1"/>
  <c r="A56" i="45" s="1"/>
  <c r="A57" i="45" s="1"/>
  <c r="A58" i="45" s="1"/>
  <c r="A59" i="45" s="1"/>
  <c r="C49" i="44"/>
  <c r="C50" i="44"/>
  <c r="C51" i="44"/>
  <c r="C52" i="44"/>
  <c r="C31" i="44"/>
  <c r="C32" i="44"/>
  <c r="C33" i="44"/>
  <c r="C34" i="44"/>
  <c r="C35" i="44"/>
  <c r="C36" i="44"/>
  <c r="C37" i="44"/>
  <c r="C38" i="44"/>
  <c r="C39" i="44"/>
  <c r="C40" i="44"/>
  <c r="C41" i="44"/>
  <c r="C42" i="44"/>
  <c r="C43" i="44"/>
  <c r="C44" i="44"/>
  <c r="C45" i="44"/>
  <c r="C46" i="44"/>
  <c r="C47" i="44"/>
  <c r="C48" i="44"/>
  <c r="C18" i="44"/>
  <c r="C19" i="44"/>
  <c r="C20" i="44"/>
  <c r="C21" i="44"/>
  <c r="C22" i="44"/>
  <c r="C23" i="44"/>
  <c r="C24" i="44"/>
  <c r="C25" i="44"/>
  <c r="C26" i="44"/>
  <c r="C27" i="44"/>
  <c r="C28" i="44"/>
  <c r="C29" i="44"/>
  <c r="C30" i="44"/>
  <c r="C17" i="44"/>
  <c r="A18" i="44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E10" i="44"/>
  <c r="D13" i="44" s="1"/>
  <c r="E14" i="44" s="1"/>
  <c r="B17" i="44" s="1"/>
  <c r="K16" i="43"/>
  <c r="L16" i="43" s="1"/>
  <c r="F22" i="43"/>
  <c r="F23" i="43" s="1"/>
  <c r="E22" i="43"/>
  <c r="E23" i="43" s="1"/>
  <c r="E24" i="43" s="1"/>
  <c r="E25" i="43" s="1"/>
  <c r="E26" i="43" s="1"/>
  <c r="E27" i="43" s="1"/>
  <c r="E28" i="43" s="1"/>
  <c r="E29" i="43" s="1"/>
  <c r="E30" i="43" s="1"/>
  <c r="E31" i="43" s="1"/>
  <c r="E32" i="43" s="1"/>
  <c r="E33" i="43" s="1"/>
  <c r="E34" i="43" s="1"/>
  <c r="E35" i="43" s="1"/>
  <c r="E36" i="43" s="1"/>
  <c r="E37" i="43" s="1"/>
  <c r="E38" i="43" s="1"/>
  <c r="E39" i="43" s="1"/>
  <c r="E40" i="43" s="1"/>
  <c r="E41" i="43" s="1"/>
  <c r="E42" i="43" s="1"/>
  <c r="E43" i="43" s="1"/>
  <c r="E44" i="43" s="1"/>
  <c r="G21" i="43"/>
  <c r="F21" i="43"/>
  <c r="I21" i="43" s="1"/>
  <c r="F20" i="43"/>
  <c r="G20" i="42"/>
  <c r="F20" i="42"/>
  <c r="I20" i="42" s="1"/>
  <c r="F19" i="42"/>
  <c r="E21" i="42"/>
  <c r="E22" i="42" s="1"/>
  <c r="E23" i="42" s="1"/>
  <c r="E24" i="42" s="1"/>
  <c r="E25" i="42" s="1"/>
  <c r="E26" i="42" s="1"/>
  <c r="E27" i="42" s="1"/>
  <c r="E28" i="42" s="1"/>
  <c r="E29" i="42" s="1"/>
  <c r="E30" i="42" s="1"/>
  <c r="E31" i="42" s="1"/>
  <c r="E32" i="42" s="1"/>
  <c r="E33" i="42" s="1"/>
  <c r="E34" i="42" s="1"/>
  <c r="E35" i="42" s="1"/>
  <c r="E36" i="42" s="1"/>
  <c r="E37" i="42" s="1"/>
  <c r="E38" i="42" s="1"/>
  <c r="E39" i="42" s="1"/>
  <c r="E40" i="42" s="1"/>
  <c r="E41" i="42" s="1"/>
  <c r="E42" i="42" s="1"/>
  <c r="E43" i="42" s="1"/>
  <c r="M17" i="42"/>
  <c r="D8" i="41"/>
  <c r="J8" i="41"/>
  <c r="F8" i="46" s="1"/>
  <c r="I15" i="41"/>
  <c r="E43" i="46" s="1"/>
  <c r="G43" i="46" s="1"/>
  <c r="I14" i="41"/>
  <c r="K14" i="41" s="1"/>
  <c r="I13" i="41"/>
  <c r="K13" i="41" s="1"/>
  <c r="N13" i="41" s="1"/>
  <c r="P13" i="41" s="1"/>
  <c r="M15" i="41"/>
  <c r="L8" i="41" s="1"/>
  <c r="AO47" i="46" s="1"/>
  <c r="H8" i="46" s="1"/>
  <c r="L14" i="41"/>
  <c r="AO44" i="46" s="1"/>
  <c r="D16" i="41"/>
  <c r="D12" i="41"/>
  <c r="C18" i="38" s="1"/>
  <c r="J41" i="40"/>
  <c r="O49" i="40"/>
  <c r="K49" i="40"/>
  <c r="N49" i="40" s="1"/>
  <c r="D49" i="40"/>
  <c r="O48" i="40"/>
  <c r="K48" i="40"/>
  <c r="N48" i="40" s="1"/>
  <c r="O47" i="40"/>
  <c r="K47" i="40"/>
  <c r="N47" i="40" s="1"/>
  <c r="D43" i="40"/>
  <c r="D37" i="40"/>
  <c r="I19" i="40"/>
  <c r="K19" i="40" s="1"/>
  <c r="N19" i="40" s="1"/>
  <c r="I18" i="40"/>
  <c r="K18" i="40" s="1"/>
  <c r="N18" i="40" s="1"/>
  <c r="I17" i="40"/>
  <c r="K17" i="40" s="1"/>
  <c r="O19" i="40"/>
  <c r="O18" i="40"/>
  <c r="O17" i="40"/>
  <c r="I28" i="40"/>
  <c r="D25" i="40"/>
  <c r="J11" i="40" s="1"/>
  <c r="F16" i="46" s="1"/>
  <c r="D19" i="40"/>
  <c r="D13" i="40"/>
  <c r="C10" i="38" s="1"/>
  <c r="M19" i="36"/>
  <c r="L9" i="36" s="1"/>
  <c r="K19" i="36"/>
  <c r="D16" i="36"/>
  <c r="D11" i="36"/>
  <c r="I20" i="39"/>
  <c r="K20" i="39" s="1"/>
  <c r="L20" i="39" s="1"/>
  <c r="M9" i="39" s="1"/>
  <c r="AP42" i="46" s="1"/>
  <c r="I13" i="46" s="1"/>
  <c r="I19" i="39"/>
  <c r="J9" i="39"/>
  <c r="F13" i="46" s="1"/>
  <c r="J8" i="39"/>
  <c r="D22" i="39"/>
  <c r="C17" i="38" s="1"/>
  <c r="D18" i="39"/>
  <c r="D12" i="39"/>
  <c r="C16" i="38" s="1"/>
  <c r="D8" i="39"/>
  <c r="M22" i="36"/>
  <c r="L11" i="36" s="1"/>
  <c r="I22" i="36"/>
  <c r="K22" i="36" s="1"/>
  <c r="I17" i="38"/>
  <c r="K17" i="38" s="1"/>
  <c r="J13" i="38"/>
  <c r="F17" i="46" s="1"/>
  <c r="D41" i="38"/>
  <c r="I13" i="38" s="1"/>
  <c r="E17" i="46" s="1"/>
  <c r="O30" i="37"/>
  <c r="O35" i="37" s="1"/>
  <c r="J30" i="37"/>
  <c r="D29" i="37"/>
  <c r="I30" i="37" s="1"/>
  <c r="D22" i="37"/>
  <c r="D21" i="37"/>
  <c r="D20" i="37"/>
  <c r="D19" i="37"/>
  <c r="D16" i="37"/>
  <c r="D31" i="37" s="1"/>
  <c r="I33" i="37" s="1"/>
  <c r="K33" i="37" s="1"/>
  <c r="N33" i="37" s="1"/>
  <c r="P33" i="37" s="1"/>
  <c r="P35" i="37" s="1"/>
  <c r="D15" i="37"/>
  <c r="P8" i="37"/>
  <c r="W10" i="46" s="1"/>
  <c r="W54" i="46" s="1"/>
  <c r="BC20" i="46" s="1"/>
  <c r="O8" i="37"/>
  <c r="V10" i="46" s="1"/>
  <c r="V54" i="46" s="1"/>
  <c r="BC19" i="46" s="1"/>
  <c r="J8" i="37"/>
  <c r="F10" i="46" s="1"/>
  <c r="I11" i="37"/>
  <c r="E38" i="46" s="1"/>
  <c r="G38" i="46" s="1"/>
  <c r="D13" i="37"/>
  <c r="D7" i="37"/>
  <c r="M11" i="36"/>
  <c r="M10" i="36"/>
  <c r="M9" i="36"/>
  <c r="L14" i="36" s="1"/>
  <c r="AO34" i="46" s="1"/>
  <c r="M20" i="36"/>
  <c r="L12" i="36" s="1"/>
  <c r="I20" i="36"/>
  <c r="K20" i="36" s="1"/>
  <c r="D27" i="36"/>
  <c r="J14" i="36"/>
  <c r="F19" i="46" s="1"/>
  <c r="D23" i="36"/>
  <c r="D19" i="36"/>
  <c r="J8" i="36" s="1"/>
  <c r="F11" i="46" s="1"/>
  <c r="J10" i="54" s="1"/>
  <c r="M13" i="34"/>
  <c r="M11" i="35" s="1"/>
  <c r="L19" i="34"/>
  <c r="AO10" i="46" s="1"/>
  <c r="J9" i="35"/>
  <c r="D34" i="35"/>
  <c r="D30" i="35"/>
  <c r="D26" i="35"/>
  <c r="I11" i="35" s="1"/>
  <c r="I16" i="35"/>
  <c r="K16" i="35" s="1"/>
  <c r="M16" i="35" s="1"/>
  <c r="L9" i="35" s="1"/>
  <c r="D20" i="35"/>
  <c r="J11" i="35"/>
  <c r="D13" i="35"/>
  <c r="D31" i="35" s="1"/>
  <c r="D7" i="35"/>
  <c r="D6" i="35"/>
  <c r="D7" i="34"/>
  <c r="M9" i="34" s="1"/>
  <c r="M22" i="34"/>
  <c r="J9" i="34"/>
  <c r="D30" i="34"/>
  <c r="L11" i="34"/>
  <c r="AO7" i="46" s="1"/>
  <c r="AP8" i="46" s="1"/>
  <c r="J11" i="34"/>
  <c r="D34" i="34"/>
  <c r="E39" i="46" l="1"/>
  <c r="G39" i="46" s="1"/>
  <c r="L10" i="34"/>
  <c r="D23" i="37"/>
  <c r="I8" i="39"/>
  <c r="I9" i="39"/>
  <c r="K8" i="39"/>
  <c r="E12" i="46"/>
  <c r="G12" i="46" s="1"/>
  <c r="E13" i="46"/>
  <c r="G13" i="46" s="1"/>
  <c r="J13" i="46" s="1"/>
  <c r="K9" i="39"/>
  <c r="K19" i="39"/>
  <c r="L19" i="39" s="1"/>
  <c r="K15" i="41"/>
  <c r="N15" i="41" s="1"/>
  <c r="Q15" i="41" s="1"/>
  <c r="Q17" i="41" s="1"/>
  <c r="I8" i="41"/>
  <c r="E8" i="46" s="1"/>
  <c r="G8" i="46" s="1"/>
  <c r="E42" i="46"/>
  <c r="G42" i="46" s="1"/>
  <c r="E40" i="46"/>
  <c r="G40" i="46" s="1"/>
  <c r="J40" i="46" s="1"/>
  <c r="L17" i="43"/>
  <c r="M9" i="43"/>
  <c r="M17" i="43" s="1"/>
  <c r="J9" i="44"/>
  <c r="E11" i="44"/>
  <c r="K9" i="44"/>
  <c r="K23" i="68"/>
  <c r="AN24" i="65"/>
  <c r="AO14" i="65"/>
  <c r="AO16" i="65" s="1"/>
  <c r="AO22" i="65" s="1"/>
  <c r="AO24" i="65" s="1"/>
  <c r="BD39" i="5"/>
  <c r="CI13" i="5" s="1"/>
  <c r="H42" i="46"/>
  <c r="BJ19" i="46"/>
  <c r="AP11" i="46"/>
  <c r="I18" i="46" s="1"/>
  <c r="BJ12" i="46"/>
  <c r="I45" i="46"/>
  <c r="BJ11" i="46"/>
  <c r="AP29" i="46"/>
  <c r="H23" i="46"/>
  <c r="AH25" i="46"/>
  <c r="AH54" i="46" s="1"/>
  <c r="BC34" i="46" s="1"/>
  <c r="J37" i="46"/>
  <c r="AA40" i="46"/>
  <c r="J35" i="46"/>
  <c r="P49" i="46"/>
  <c r="G17" i="46"/>
  <c r="H17" i="46"/>
  <c r="D58" i="40"/>
  <c r="I41" i="40"/>
  <c r="K41" i="40" s="1"/>
  <c r="N41" i="40" s="1"/>
  <c r="O41" i="40" s="1"/>
  <c r="O53" i="40" s="1"/>
  <c r="D7" i="40"/>
  <c r="D26" i="36"/>
  <c r="I14" i="36" s="1"/>
  <c r="E19" i="46" s="1"/>
  <c r="G19" i="46" s="1"/>
  <c r="AP45" i="46"/>
  <c r="I8" i="46" s="1"/>
  <c r="AP35" i="46"/>
  <c r="H19" i="46"/>
  <c r="AO16" i="46"/>
  <c r="AP17" i="46" s="1"/>
  <c r="AP20" i="46"/>
  <c r="E24" i="46"/>
  <c r="E47" i="46"/>
  <c r="G47" i="46" s="1"/>
  <c r="AP48" i="46"/>
  <c r="E52" i="46"/>
  <c r="AO22" i="46" s="1"/>
  <c r="H24" i="46"/>
  <c r="H6" i="46"/>
  <c r="N17" i="38"/>
  <c r="D19" i="38"/>
  <c r="D20" i="38" s="1"/>
  <c r="C19" i="38"/>
  <c r="C20" i="38" s="1"/>
  <c r="I9" i="38" s="1"/>
  <c r="K13" i="38"/>
  <c r="D130" i="45"/>
  <c r="E129" i="45"/>
  <c r="B130" i="45" s="1"/>
  <c r="C130" i="45" s="1"/>
  <c r="D22" i="45"/>
  <c r="D23" i="45" s="1"/>
  <c r="D24" i="45" s="1"/>
  <c r="D25" i="45" s="1"/>
  <c r="D26" i="45" s="1"/>
  <c r="D27" i="45" s="1"/>
  <c r="D28" i="45" s="1"/>
  <c r="D29" i="45" s="1"/>
  <c r="D30" i="45" s="1"/>
  <c r="D31" i="45" s="1"/>
  <c r="D32" i="45" s="1"/>
  <c r="D33" i="45" s="1"/>
  <c r="D34" i="45" s="1"/>
  <c r="D35" i="45" s="1"/>
  <c r="D36" i="45" s="1"/>
  <c r="D37" i="45" s="1"/>
  <c r="D38" i="45" s="1"/>
  <c r="D39" i="45" s="1"/>
  <c r="D40" i="45" s="1"/>
  <c r="D41" i="45" s="1"/>
  <c r="D42" i="45" s="1"/>
  <c r="D43" i="45" s="1"/>
  <c r="D44" i="45" s="1"/>
  <c r="D45" i="45" s="1"/>
  <c r="D46" i="45" s="1"/>
  <c r="D47" i="45" s="1"/>
  <c r="D48" i="45" s="1"/>
  <c r="D49" i="45" s="1"/>
  <c r="D50" i="45" s="1"/>
  <c r="D51" i="45" s="1"/>
  <c r="D52" i="45" s="1"/>
  <c r="D53" i="45" s="1"/>
  <c r="D54" i="45" s="1"/>
  <c r="D55" i="45" s="1"/>
  <c r="D56" i="45" s="1"/>
  <c r="D57" i="45" s="1"/>
  <c r="D58" i="45" s="1"/>
  <c r="D59" i="45" s="1"/>
  <c r="D81" i="45"/>
  <c r="D82" i="45" s="1"/>
  <c r="D83" i="45" s="1"/>
  <c r="D84" i="45" s="1"/>
  <c r="D85" i="45" s="1"/>
  <c r="D86" i="45" s="1"/>
  <c r="D87" i="45" s="1"/>
  <c r="D88" i="45" s="1"/>
  <c r="D89" i="45" s="1"/>
  <c r="D90" i="45" s="1"/>
  <c r="D91" i="45" s="1"/>
  <c r="D92" i="45" s="1"/>
  <c r="D93" i="45" s="1"/>
  <c r="D94" i="45" s="1"/>
  <c r="D95" i="45" s="1"/>
  <c r="D96" i="45" s="1"/>
  <c r="D97" i="45" s="1"/>
  <c r="D98" i="45" s="1"/>
  <c r="D99" i="45" s="1"/>
  <c r="D100" i="45" s="1"/>
  <c r="D101" i="45" s="1"/>
  <c r="D102" i="45" s="1"/>
  <c r="D103" i="45" s="1"/>
  <c r="D104" i="45" s="1"/>
  <c r="D105" i="45" s="1"/>
  <c r="D106" i="45" s="1"/>
  <c r="D107" i="45" s="1"/>
  <c r="D108" i="45" s="1"/>
  <c r="D109" i="45" s="1"/>
  <c r="D110" i="45" s="1"/>
  <c r="D111" i="45" s="1"/>
  <c r="D112" i="45" s="1"/>
  <c r="D113" i="45" s="1"/>
  <c r="D114" i="45" s="1"/>
  <c r="D115" i="45" s="1"/>
  <c r="D116" i="45" s="1"/>
  <c r="D117" i="45" s="1"/>
  <c r="D118" i="45" s="1"/>
  <c r="C71" i="45"/>
  <c r="E71" i="45" s="1"/>
  <c r="B72" i="45" s="1"/>
  <c r="D17" i="44"/>
  <c r="E17" i="44" s="1"/>
  <c r="B18" i="44" s="1"/>
  <c r="F24" i="43"/>
  <c r="I23" i="43"/>
  <c r="I22" i="43"/>
  <c r="F21" i="42"/>
  <c r="F22" i="42" s="1"/>
  <c r="L17" i="42"/>
  <c r="I12" i="41"/>
  <c r="E46" i="46" s="1"/>
  <c r="G46" i="46" s="1"/>
  <c r="J46" i="46" s="1"/>
  <c r="Z46" i="46" s="1"/>
  <c r="M8" i="41"/>
  <c r="M17" i="41" s="1"/>
  <c r="P17" i="41"/>
  <c r="N17" i="40"/>
  <c r="D28" i="40"/>
  <c r="I11" i="40" s="1"/>
  <c r="N19" i="36"/>
  <c r="P19" i="36" s="1"/>
  <c r="P23" i="36" s="1"/>
  <c r="N22" i="36"/>
  <c r="N20" i="36"/>
  <c r="M23" i="36"/>
  <c r="I8" i="37"/>
  <c r="K30" i="37"/>
  <c r="L35" i="37"/>
  <c r="M35" i="37"/>
  <c r="P14" i="37"/>
  <c r="K11" i="37"/>
  <c r="L11" i="37" s="1"/>
  <c r="N17" i="36"/>
  <c r="L23" i="36"/>
  <c r="D9" i="35"/>
  <c r="I14" i="35"/>
  <c r="K14" i="35" s="1"/>
  <c r="K11" i="35"/>
  <c r="N16" i="35"/>
  <c r="O16" i="35" s="1"/>
  <c r="D32" i="35"/>
  <c r="D15" i="35"/>
  <c r="D13" i="34"/>
  <c r="J10" i="34"/>
  <c r="F6" i="46" s="1"/>
  <c r="I22" i="34"/>
  <c r="I19" i="34"/>
  <c r="K19" i="34" s="1"/>
  <c r="J13" i="34"/>
  <c r="F18" i="46" s="1"/>
  <c r="D20" i="34"/>
  <c r="M21" i="33"/>
  <c r="L9" i="33"/>
  <c r="AO4" i="46" s="1"/>
  <c r="H7" i="46" s="1"/>
  <c r="I33" i="46" s="1"/>
  <c r="D36" i="33"/>
  <c r="D38" i="33" s="1"/>
  <c r="I11" i="33" s="1"/>
  <c r="E15" i="46" s="1"/>
  <c r="J11" i="33"/>
  <c r="F15" i="46" s="1"/>
  <c r="J9" i="33"/>
  <c r="F7" i="46" s="1"/>
  <c r="D32" i="33"/>
  <c r="C8" i="38" s="1"/>
  <c r="D19" i="33"/>
  <c r="D22" i="33" s="1"/>
  <c r="D13" i="33"/>
  <c r="D7" i="33"/>
  <c r="G15" i="46" l="1"/>
  <c r="J15" i="46" s="1"/>
  <c r="L15" i="46" s="1"/>
  <c r="K20" i="33"/>
  <c r="N20" i="33" s="1"/>
  <c r="O20" i="33" s="1"/>
  <c r="E32" i="46"/>
  <c r="G32" i="46" s="1"/>
  <c r="J32" i="46" s="1"/>
  <c r="L32" i="46" s="1"/>
  <c r="AI32" i="46" s="1"/>
  <c r="K21" i="33"/>
  <c r="E33" i="46"/>
  <c r="G33" i="46" s="1"/>
  <c r="J33" i="46" s="1"/>
  <c r="AI33" i="46" s="1"/>
  <c r="AP5" i="46"/>
  <c r="BJ10" i="46" s="1"/>
  <c r="M10" i="34"/>
  <c r="L20" i="34"/>
  <c r="L14" i="35" s="1"/>
  <c r="N14" i="35" s="1"/>
  <c r="O14" i="35" s="1"/>
  <c r="K22" i="34"/>
  <c r="N22" i="34" s="1"/>
  <c r="O22" i="34" s="1"/>
  <c r="E45" i="46"/>
  <c r="G45" i="46" s="1"/>
  <c r="J45" i="46" s="1"/>
  <c r="AI45" i="46" s="1"/>
  <c r="D9" i="38"/>
  <c r="D24" i="38" s="1"/>
  <c r="D35" i="38" s="1"/>
  <c r="C34" i="38" s="1"/>
  <c r="M20" i="38" s="1"/>
  <c r="AO61" i="46" s="1"/>
  <c r="AP62" i="46" s="1"/>
  <c r="I24" i="46" s="1"/>
  <c r="I11" i="34"/>
  <c r="K11" i="34" s="1"/>
  <c r="N11" i="34" s="1"/>
  <c r="O11" i="34" s="1"/>
  <c r="K8" i="37"/>
  <c r="E10" i="46"/>
  <c r="G10" i="46" s="1"/>
  <c r="M8" i="37"/>
  <c r="M14" i="37" s="1"/>
  <c r="AO37" i="46"/>
  <c r="M8" i="39"/>
  <c r="AP41" i="46" s="1"/>
  <c r="I12" i="46" s="1"/>
  <c r="J12" i="46" s="1"/>
  <c r="X12" i="46" s="1"/>
  <c r="X54" i="46" s="1"/>
  <c r="BC21" i="46" s="1"/>
  <c r="AO40" i="46"/>
  <c r="K12" i="41"/>
  <c r="N12" i="41" s="1"/>
  <c r="O12" i="41" s="1"/>
  <c r="K8" i="41"/>
  <c r="N8" i="41" s="1"/>
  <c r="O8" i="41" s="1"/>
  <c r="O17" i="41" s="1"/>
  <c r="L9" i="44"/>
  <c r="O9" i="44" s="1"/>
  <c r="K10" i="44"/>
  <c r="F14" i="46" s="1"/>
  <c r="J20" i="44"/>
  <c r="E48" i="46" s="1"/>
  <c r="G48" i="46" s="1"/>
  <c r="J10" i="44"/>
  <c r="E14" i="46" s="1"/>
  <c r="L23" i="68"/>
  <c r="BO23" i="5"/>
  <c r="I11" i="46"/>
  <c r="AI46" i="46"/>
  <c r="BJ29" i="46"/>
  <c r="AI40" i="46"/>
  <c r="BJ26" i="46"/>
  <c r="J42" i="46"/>
  <c r="AI42" i="46" s="1"/>
  <c r="I43" i="46"/>
  <c r="J43" i="46" s="1"/>
  <c r="AB43" i="46" s="1"/>
  <c r="BJ20" i="46"/>
  <c r="AO19" i="46"/>
  <c r="BJ15" i="46"/>
  <c r="I44" i="46"/>
  <c r="J44" i="46" s="1"/>
  <c r="BJ14" i="46"/>
  <c r="G24" i="46"/>
  <c r="I17" i="54"/>
  <c r="K17" i="54" s="1"/>
  <c r="N17" i="54" s="1"/>
  <c r="AI25" i="46"/>
  <c r="P54" i="46"/>
  <c r="AI49" i="46"/>
  <c r="N35" i="46"/>
  <c r="AI35" i="46" s="1"/>
  <c r="AA54" i="46"/>
  <c r="BC24" i="46" s="1"/>
  <c r="N37" i="46"/>
  <c r="AI37" i="46" s="1"/>
  <c r="J8" i="46"/>
  <c r="J19" i="46"/>
  <c r="J17" i="46"/>
  <c r="Y13" i="46"/>
  <c r="Y54" i="46" s="1"/>
  <c r="BC22" i="46" s="1"/>
  <c r="K11" i="40"/>
  <c r="N11" i="40" s="1"/>
  <c r="O11" i="40" s="1"/>
  <c r="O23" i="40" s="1"/>
  <c r="E16" i="46"/>
  <c r="G16" i="46" s="1"/>
  <c r="J16" i="46" s="1"/>
  <c r="K14" i="36"/>
  <c r="N14" i="36" s="1"/>
  <c r="Q14" i="36" s="1"/>
  <c r="Q23" i="36" s="1"/>
  <c r="I47" i="46"/>
  <c r="I52" i="46"/>
  <c r="G52" i="46"/>
  <c r="K16" i="36"/>
  <c r="N16" i="36" s="1"/>
  <c r="G23" i="46"/>
  <c r="N13" i="38"/>
  <c r="O13" i="38" s="1"/>
  <c r="D31" i="38"/>
  <c r="D131" i="45"/>
  <c r="K144" i="45" s="1"/>
  <c r="E130" i="45"/>
  <c r="B131" i="45" s="1"/>
  <c r="C131" i="45" s="1"/>
  <c r="K85" i="45"/>
  <c r="K26" i="45"/>
  <c r="C72" i="45"/>
  <c r="E72" i="45" s="1"/>
  <c r="B73" i="45" s="1"/>
  <c r="E12" i="45"/>
  <c r="B13" i="45" s="1"/>
  <c r="C13" i="45" s="1"/>
  <c r="D18" i="44"/>
  <c r="E18" i="44" s="1"/>
  <c r="B19" i="44" s="1"/>
  <c r="I24" i="43"/>
  <c r="F25" i="43"/>
  <c r="I21" i="42"/>
  <c r="I22" i="42"/>
  <c r="F23" i="42"/>
  <c r="L17" i="41"/>
  <c r="N14" i="41"/>
  <c r="D20" i="36"/>
  <c r="I8" i="36" s="1"/>
  <c r="L22" i="39"/>
  <c r="M22" i="39"/>
  <c r="N9" i="39"/>
  <c r="P9" i="39" s="1"/>
  <c r="P22" i="39" s="1"/>
  <c r="N30" i="37"/>
  <c r="L14" i="37"/>
  <c r="I9" i="35"/>
  <c r="K9" i="35" s="1"/>
  <c r="N11" i="35"/>
  <c r="O11" i="35" s="1"/>
  <c r="D31" i="34"/>
  <c r="I20" i="34" s="1"/>
  <c r="K20" i="34" s="1"/>
  <c r="N19" i="34"/>
  <c r="O19" i="34" s="1"/>
  <c r="D15" i="34"/>
  <c r="I10" i="34" s="1"/>
  <c r="K10" i="34" s="1"/>
  <c r="D26" i="34"/>
  <c r="K11" i="33"/>
  <c r="N11" i="33" s="1"/>
  <c r="O11" i="33" s="1"/>
  <c r="I9" i="33"/>
  <c r="AT28" i="31"/>
  <c r="AP28" i="31"/>
  <c r="AO27" i="31" s="1"/>
  <c r="AG28" i="31"/>
  <c r="AS28" i="31" s="1"/>
  <c r="AT27" i="31"/>
  <c r="AG27" i="31"/>
  <c r="AS27" i="31" s="1"/>
  <c r="AT26" i="31"/>
  <c r="AG26" i="31"/>
  <c r="AI26" i="31" s="1"/>
  <c r="AT25" i="31"/>
  <c r="AG25" i="31"/>
  <c r="AI25" i="31" s="1"/>
  <c r="AT24" i="31"/>
  <c r="AP24" i="31"/>
  <c r="AO23" i="31" s="1"/>
  <c r="AG24" i="31"/>
  <c r="AI24" i="31" s="1"/>
  <c r="AT23" i="31"/>
  <c r="AT22" i="31"/>
  <c r="AG22" i="31"/>
  <c r="AI22" i="31" s="1"/>
  <c r="N22" i="31"/>
  <c r="M22" i="31"/>
  <c r="AX21" i="31"/>
  <c r="AT21" i="31"/>
  <c r="AS21" i="31"/>
  <c r="AT20" i="31"/>
  <c r="AP20" i="31"/>
  <c r="AW24" i="31" s="1"/>
  <c r="AG20" i="31"/>
  <c r="AI20" i="31" s="1"/>
  <c r="H20" i="31"/>
  <c r="AH19" i="31"/>
  <c r="AT19" i="31" s="1"/>
  <c r="G19" i="31"/>
  <c r="G20" i="31" s="1"/>
  <c r="AH18" i="31"/>
  <c r="AG18" i="31"/>
  <c r="AS18" i="31" s="1"/>
  <c r="AH17" i="31"/>
  <c r="AT17" i="31" s="1"/>
  <c r="AG17" i="31"/>
  <c r="AS17" i="31" s="1"/>
  <c r="AP16" i="31"/>
  <c r="AO15" i="31" s="1"/>
  <c r="BM14" i="31" s="1"/>
  <c r="AH16" i="31"/>
  <c r="AG16" i="31"/>
  <c r="AS16" i="31" s="1"/>
  <c r="AH15" i="31"/>
  <c r="AG15" i="31"/>
  <c r="AS15" i="31" s="1"/>
  <c r="AD15" i="31"/>
  <c r="N15" i="31"/>
  <c r="N18" i="31" s="1"/>
  <c r="N23" i="31" s="1"/>
  <c r="M15" i="31"/>
  <c r="M18" i="31" s="1"/>
  <c r="AH14" i="31"/>
  <c r="AT14" i="31" s="1"/>
  <c r="AG14" i="31"/>
  <c r="AS14" i="31" s="1"/>
  <c r="AB14" i="31"/>
  <c r="AD14" i="31" s="1"/>
  <c r="H14" i="31"/>
  <c r="G14" i="31"/>
  <c r="AH13" i="31"/>
  <c r="AT13" i="31" s="1"/>
  <c r="AG13" i="31"/>
  <c r="AS13" i="31" s="1"/>
  <c r="AB13" i="31"/>
  <c r="AD13" i="31" s="1"/>
  <c r="AP12" i="31"/>
  <c r="AW22" i="31" s="1"/>
  <c r="AH12" i="31"/>
  <c r="AG12" i="31"/>
  <c r="AS12" i="31" s="1"/>
  <c r="AO11" i="31"/>
  <c r="AV8" i="31" s="1"/>
  <c r="AH11" i="31"/>
  <c r="AT11" i="31" s="1"/>
  <c r="AG11" i="31"/>
  <c r="AS11" i="31" s="1"/>
  <c r="AH10" i="31"/>
  <c r="AT10" i="31" s="1"/>
  <c r="AC10" i="31"/>
  <c r="AB10" i="31"/>
  <c r="T10" i="31"/>
  <c r="AG23" i="31" s="1"/>
  <c r="AH9" i="31"/>
  <c r="AT9" i="31" s="1"/>
  <c r="AG9" i="31"/>
  <c r="AS9" i="31" s="1"/>
  <c r="T9" i="31"/>
  <c r="AP8" i="31"/>
  <c r="AO7" i="31" s="1"/>
  <c r="AH8" i="31"/>
  <c r="AT8" i="31" s="1"/>
  <c r="AG8" i="31"/>
  <c r="AS8" i="31" s="1"/>
  <c r="AS7" i="31"/>
  <c r="AH7" i="31"/>
  <c r="AT7" i="31" s="1"/>
  <c r="AG7" i="31"/>
  <c r="AH6" i="31"/>
  <c r="AT6" i="31" s="1"/>
  <c r="AG6" i="31"/>
  <c r="AS6" i="31" s="1"/>
  <c r="AH5" i="31"/>
  <c r="AT5" i="31" s="1"/>
  <c r="AG5" i="31"/>
  <c r="AU14" i="31" l="1"/>
  <c r="AX14" i="31" s="1"/>
  <c r="M23" i="31"/>
  <c r="AG10" i="31"/>
  <c r="AS10" i="31" s="1"/>
  <c r="L9" i="38"/>
  <c r="N8" i="37"/>
  <c r="O14" i="37" s="1"/>
  <c r="AS24" i="31"/>
  <c r="AU24" i="31" s="1"/>
  <c r="AX24" i="31" s="1"/>
  <c r="AI8" i="31"/>
  <c r="T14" i="31"/>
  <c r="T16" i="31" s="1"/>
  <c r="T18" i="31" s="1"/>
  <c r="AC11" i="31" s="1"/>
  <c r="AD11" i="31" s="1"/>
  <c r="E7" i="46"/>
  <c r="G7" i="46" s="1"/>
  <c r="J7" i="46" s="1"/>
  <c r="L7" i="46" s="1"/>
  <c r="BJ33" i="46" s="1"/>
  <c r="K9" i="33"/>
  <c r="N9" i="33" s="1"/>
  <c r="O9" i="33" s="1"/>
  <c r="K18" i="33"/>
  <c r="N18" i="33" s="1"/>
  <c r="O18" i="33" s="1"/>
  <c r="E30" i="46"/>
  <c r="G30" i="46" s="1"/>
  <c r="J30" i="46" s="1"/>
  <c r="L30" i="46" s="1"/>
  <c r="AI30" i="46" s="1"/>
  <c r="I20" i="38"/>
  <c r="K20" i="38" s="1"/>
  <c r="J9" i="38"/>
  <c r="K9" i="38" s="1"/>
  <c r="M9" i="35"/>
  <c r="N9" i="35" s="1"/>
  <c r="O9" i="35" s="1"/>
  <c r="O18" i="35" s="1"/>
  <c r="O27" i="35" s="1"/>
  <c r="AO13" i="46"/>
  <c r="BJ17" i="46"/>
  <c r="AP38" i="46"/>
  <c r="I10" i="46" s="1"/>
  <c r="J10" i="46" s="1"/>
  <c r="AI10" i="46" s="1"/>
  <c r="H38" i="46"/>
  <c r="J38" i="46" s="1"/>
  <c r="AI38" i="46" s="1"/>
  <c r="H39" i="46"/>
  <c r="J39" i="46" s="1"/>
  <c r="AI39" i="46" s="1"/>
  <c r="BJ18" i="46"/>
  <c r="N8" i="39"/>
  <c r="O8" i="39" s="1"/>
  <c r="O22" i="39" s="1"/>
  <c r="L10" i="44"/>
  <c r="D19" i="44"/>
  <c r="K14" i="44"/>
  <c r="F20" i="46" s="1"/>
  <c r="G14" i="46"/>
  <c r="J24" i="46"/>
  <c r="AI24" i="46" s="1"/>
  <c r="M23" i="68"/>
  <c r="AB54" i="46"/>
  <c r="BC25" i="46" s="1"/>
  <c r="BJ27" i="46"/>
  <c r="AI15" i="46"/>
  <c r="BJ35" i="46"/>
  <c r="H11" i="46"/>
  <c r="AI13" i="46"/>
  <c r="AI43" i="46"/>
  <c r="AI12" i="46"/>
  <c r="J52" i="46"/>
  <c r="AI52" i="46" s="1"/>
  <c r="J23" i="46"/>
  <c r="J47" i="46"/>
  <c r="AI47" i="46" s="1"/>
  <c r="R17" i="46"/>
  <c r="Z8" i="46"/>
  <c r="Z54" i="46" s="1"/>
  <c r="BC23" i="46" s="1"/>
  <c r="U44" i="46"/>
  <c r="AD19" i="46"/>
  <c r="AD54" i="46" s="1"/>
  <c r="BC30" i="46" s="1"/>
  <c r="N16" i="46"/>
  <c r="N20" i="38"/>
  <c r="K8" i="36"/>
  <c r="N8" i="36" s="1"/>
  <c r="O8" i="36" s="1"/>
  <c r="O23" i="36" s="1"/>
  <c r="E11" i="46"/>
  <c r="I10" i="54" s="1"/>
  <c r="K10" i="54" s="1"/>
  <c r="N10" i="54" s="1"/>
  <c r="O22" i="38"/>
  <c r="E131" i="45"/>
  <c r="B132" i="45" s="1"/>
  <c r="C132" i="45" s="1"/>
  <c r="C73" i="45"/>
  <c r="E73" i="45" s="1"/>
  <c r="B74" i="45" s="1"/>
  <c r="E13" i="45"/>
  <c r="I25" i="43"/>
  <c r="F26" i="43"/>
  <c r="F24" i="42"/>
  <c r="I23" i="42"/>
  <c r="L22" i="38"/>
  <c r="N10" i="34"/>
  <c r="O10" i="34" s="1"/>
  <c r="N20" i="34"/>
  <c r="O20" i="34" s="1"/>
  <c r="I13" i="34"/>
  <c r="N21" i="33"/>
  <c r="O21" i="33" s="1"/>
  <c r="AW9" i="31"/>
  <c r="AI11" i="31"/>
  <c r="AD10" i="31"/>
  <c r="AI12" i="31"/>
  <c r="G23" i="31"/>
  <c r="M26" i="31" s="1"/>
  <c r="AU8" i="31"/>
  <c r="AX8" i="31" s="1"/>
  <c r="AU7" i="31"/>
  <c r="AX7" i="31" s="1"/>
  <c r="AZ7" i="31" s="1"/>
  <c r="AI18" i="31"/>
  <c r="AS22" i="31"/>
  <c r="AU22" i="31" s="1"/>
  <c r="AX22" i="31" s="1"/>
  <c r="AI9" i="31"/>
  <c r="AU11" i="31"/>
  <c r="AX11" i="31" s="1"/>
  <c r="BA11" i="31" s="1"/>
  <c r="BM22" i="31" s="1"/>
  <c r="AI16" i="31"/>
  <c r="AI27" i="31"/>
  <c r="AI15" i="31"/>
  <c r="AT12" i="31"/>
  <c r="AU12" i="31" s="1"/>
  <c r="AX12" i="31" s="1"/>
  <c r="AI17" i="31"/>
  <c r="AS26" i="31"/>
  <c r="AU26" i="31" s="1"/>
  <c r="AU28" i="31"/>
  <c r="AU9" i="31"/>
  <c r="AO19" i="31"/>
  <c r="AI28" i="31"/>
  <c r="AI7" i="31"/>
  <c r="H23" i="31"/>
  <c r="N26" i="31" s="1"/>
  <c r="AU13" i="31"/>
  <c r="AX13" i="31" s="1"/>
  <c r="AU27" i="31"/>
  <c r="AU6" i="31"/>
  <c r="AV6" i="31"/>
  <c r="BM12" i="31"/>
  <c r="AO29" i="31"/>
  <c r="AW27" i="31" s="1"/>
  <c r="AU10" i="31"/>
  <c r="AS23" i="31"/>
  <c r="AU23" i="31" s="1"/>
  <c r="AX23" i="31" s="1"/>
  <c r="AI23" i="31"/>
  <c r="AU17" i="31"/>
  <c r="AX17" i="31" s="1"/>
  <c r="AB12" i="31"/>
  <c r="AD12" i="31" s="1"/>
  <c r="AV18" i="31"/>
  <c r="BE14" i="31"/>
  <c r="BM26" i="31" s="1"/>
  <c r="AH29" i="31"/>
  <c r="AI13" i="31"/>
  <c r="AI14" i="31"/>
  <c r="AW26" i="31"/>
  <c r="AI6" i="31"/>
  <c r="AT15" i="31"/>
  <c r="AU15" i="31" s="1"/>
  <c r="AX15" i="31" s="1"/>
  <c r="AT16" i="31"/>
  <c r="AU16" i="31" s="1"/>
  <c r="AT18" i="31"/>
  <c r="AU18" i="31" s="1"/>
  <c r="AS25" i="31"/>
  <c r="AU25" i="31" s="1"/>
  <c r="AX25" i="31" s="1"/>
  <c r="AI10" i="31"/>
  <c r="BM13" i="31"/>
  <c r="AW19" i="31"/>
  <c r="AS20" i="31"/>
  <c r="AU20" i="31" s="1"/>
  <c r="AX20" i="31" s="1"/>
  <c r="AV28" i="31"/>
  <c r="AP29" i="31"/>
  <c r="AI5" i="31"/>
  <c r="AS5" i="31"/>
  <c r="AW16" i="31"/>
  <c r="AP28" i="9"/>
  <c r="AO27" i="9" s="1"/>
  <c r="AP24" i="9"/>
  <c r="AO23" i="9" s="1"/>
  <c r="AP20" i="9"/>
  <c r="AO19" i="9" s="1"/>
  <c r="AP16" i="9"/>
  <c r="AO15" i="9" s="1"/>
  <c r="AP12" i="9"/>
  <c r="AO11" i="9" s="1"/>
  <c r="CA13" i="9" s="1"/>
  <c r="AP8" i="9"/>
  <c r="AO7" i="9" s="1"/>
  <c r="CA12" i="9" s="1"/>
  <c r="AT28" i="9"/>
  <c r="AT27" i="9"/>
  <c r="AT26" i="9"/>
  <c r="AT25" i="9"/>
  <c r="AT24" i="9"/>
  <c r="AT23" i="9"/>
  <c r="AT22" i="9"/>
  <c r="AT21" i="9"/>
  <c r="AS21" i="9"/>
  <c r="AT20" i="9"/>
  <c r="AG14" i="9"/>
  <c r="AS14" i="9" s="1"/>
  <c r="AH14" i="9"/>
  <c r="AT14" i="9" s="1"/>
  <c r="AH10" i="9"/>
  <c r="AT10" i="9" s="1"/>
  <c r="AG8" i="9"/>
  <c r="AS8" i="9" s="1"/>
  <c r="AH8" i="9"/>
  <c r="AT8" i="9" s="1"/>
  <c r="AG7" i="9"/>
  <c r="AS7" i="9" s="1"/>
  <c r="AH7" i="9"/>
  <c r="AG19" i="31" l="1"/>
  <c r="AG29" i="31" s="1"/>
  <c r="BM8" i="31"/>
  <c r="N9" i="38"/>
  <c r="L54" i="46"/>
  <c r="BC8" i="46" s="1"/>
  <c r="AI7" i="46"/>
  <c r="AP14" i="46"/>
  <c r="I6" i="46" s="1"/>
  <c r="BJ13" i="46"/>
  <c r="H26" i="46"/>
  <c r="K13" i="34"/>
  <c r="N13" i="34" s="1"/>
  <c r="O13" i="34" s="1"/>
  <c r="E18" i="46"/>
  <c r="G18" i="46" s="1"/>
  <c r="J18" i="46" s="1"/>
  <c r="E19" i="44"/>
  <c r="B20" i="44" s="1"/>
  <c r="D20" i="44" s="1"/>
  <c r="E20" i="44" s="1"/>
  <c r="B21" i="44" s="1"/>
  <c r="D21" i="44" s="1"/>
  <c r="E21" i="44" s="1"/>
  <c r="B22" i="44" s="1"/>
  <c r="D22" i="44" s="1"/>
  <c r="E22" i="44" s="1"/>
  <c r="B23" i="44" s="1"/>
  <c r="D23" i="44" s="1"/>
  <c r="E23" i="44" s="1"/>
  <c r="B24" i="44" s="1"/>
  <c r="D11" i="38"/>
  <c r="D12" i="38" s="1"/>
  <c r="D13" i="38" s="1"/>
  <c r="J10" i="38" s="1"/>
  <c r="N23" i="68"/>
  <c r="AI44" i="46"/>
  <c r="BJ28" i="46"/>
  <c r="AI16" i="46"/>
  <c r="BJ36" i="46"/>
  <c r="R54" i="46"/>
  <c r="BC12" i="46" s="1"/>
  <c r="BJ37" i="46"/>
  <c r="AI17" i="46"/>
  <c r="AI19" i="46"/>
  <c r="AI8" i="46"/>
  <c r="AG23" i="46"/>
  <c r="AG54" i="46" s="1"/>
  <c r="BC33" i="46" s="1"/>
  <c r="U54" i="46"/>
  <c r="BC18" i="46" s="1"/>
  <c r="G11" i="46"/>
  <c r="J11" i="46" s="1"/>
  <c r="K19" i="33"/>
  <c r="N19" i="33" s="1"/>
  <c r="E31" i="46"/>
  <c r="G31" i="46" s="1"/>
  <c r="J31" i="46" s="1"/>
  <c r="E132" i="45"/>
  <c r="B133" i="45" s="1"/>
  <c r="C133" i="45" s="1"/>
  <c r="C74" i="45"/>
  <c r="E74" i="45" s="1"/>
  <c r="B75" i="45" s="1"/>
  <c r="B14" i="45"/>
  <c r="C14" i="45" s="1"/>
  <c r="E14" i="45" s="1"/>
  <c r="B15" i="45" s="1"/>
  <c r="C15" i="45" s="1"/>
  <c r="F27" i="43"/>
  <c r="I26" i="43"/>
  <c r="F25" i="42"/>
  <c r="I24" i="42"/>
  <c r="D28" i="33"/>
  <c r="O23" i="33"/>
  <c r="BE22" i="31"/>
  <c r="BA22" i="31"/>
  <c r="AB16" i="31"/>
  <c r="AB28" i="31" s="1"/>
  <c r="AC16" i="31"/>
  <c r="AC28" i="31" s="1"/>
  <c r="AD16" i="31"/>
  <c r="AD28" i="31" s="1"/>
  <c r="AX9" i="31"/>
  <c r="AX26" i="31"/>
  <c r="AZ26" i="31" s="1"/>
  <c r="AZ29" i="31" s="1"/>
  <c r="AX28" i="31"/>
  <c r="BC28" i="31" s="1"/>
  <c r="AX18" i="31"/>
  <c r="AV10" i="31"/>
  <c r="AV29" i="31" s="1"/>
  <c r="BM15" i="31"/>
  <c r="AW29" i="31"/>
  <c r="BM20" i="31"/>
  <c r="AX16" i="31"/>
  <c r="AX27" i="31"/>
  <c r="AS19" i="31"/>
  <c r="AU19" i="31" s="1"/>
  <c r="AX19" i="31" s="1"/>
  <c r="AI19" i="31"/>
  <c r="AI29" i="31" s="1"/>
  <c r="BE25" i="31"/>
  <c r="AU5" i="31"/>
  <c r="BC13" i="31"/>
  <c r="AX6" i="31"/>
  <c r="BD15" i="31"/>
  <c r="BB23" i="31"/>
  <c r="AT29" i="31"/>
  <c r="BA8" i="31"/>
  <c r="BE8" i="31"/>
  <c r="BB12" i="31"/>
  <c r="AY20" i="31"/>
  <c r="BE20" i="31"/>
  <c r="AV8" i="9"/>
  <c r="AV6" i="9"/>
  <c r="AV18" i="9"/>
  <c r="AI7" i="9"/>
  <c r="AT7" i="9"/>
  <c r="AU8" i="9"/>
  <c r="AU14" i="9"/>
  <c r="AI14" i="9"/>
  <c r="U6" i="10"/>
  <c r="T6" i="10"/>
  <c r="F25" i="30"/>
  <c r="I25" i="30" s="1"/>
  <c r="F24" i="30"/>
  <c r="H24" i="30" s="1"/>
  <c r="G20" i="30"/>
  <c r="F20" i="30"/>
  <c r="F18" i="30"/>
  <c r="G18" i="30"/>
  <c r="F17" i="30"/>
  <c r="G17" i="30"/>
  <c r="G16" i="30"/>
  <c r="F16" i="30"/>
  <c r="F11" i="30"/>
  <c r="F27" i="29"/>
  <c r="H27" i="29" s="1"/>
  <c r="F22" i="29"/>
  <c r="G22" i="29"/>
  <c r="G22" i="30" s="1"/>
  <c r="F11" i="29"/>
  <c r="F27" i="30" l="1"/>
  <c r="K27" i="30" s="1"/>
  <c r="H17" i="30"/>
  <c r="H22" i="29"/>
  <c r="H29" i="29" s="1"/>
  <c r="F22" i="30"/>
  <c r="K22" i="30"/>
  <c r="K29" i="30" s="1"/>
  <c r="I20" i="30"/>
  <c r="I18" i="30"/>
  <c r="I29" i="30" s="1"/>
  <c r="H29" i="30"/>
  <c r="K18" i="46"/>
  <c r="BJ38" i="46" s="1"/>
  <c r="AI18" i="46"/>
  <c r="F22" i="46"/>
  <c r="O23" i="68"/>
  <c r="AI23" i="46"/>
  <c r="S31" i="46"/>
  <c r="AI31" i="46" s="1"/>
  <c r="K17" i="33"/>
  <c r="N17" i="33" s="1"/>
  <c r="E29" i="46"/>
  <c r="T11" i="46"/>
  <c r="T54" i="46" s="1"/>
  <c r="E133" i="45"/>
  <c r="B134" i="45" s="1"/>
  <c r="C134" i="45" s="1"/>
  <c r="K143" i="45" s="1"/>
  <c r="C75" i="45"/>
  <c r="E75" i="45" s="1"/>
  <c r="B76" i="45" s="1"/>
  <c r="D24" i="44"/>
  <c r="E24" i="44" s="1"/>
  <c r="B25" i="44" s="1"/>
  <c r="D25" i="44" s="1"/>
  <c r="E25" i="44" s="1"/>
  <c r="B26" i="44" s="1"/>
  <c r="F28" i="43"/>
  <c r="I27" i="43"/>
  <c r="F26" i="42"/>
  <c r="I25" i="42"/>
  <c r="AX10" i="31"/>
  <c r="AK17" i="31"/>
  <c r="BE29" i="31"/>
  <c r="BA29" i="31"/>
  <c r="BM21" i="31"/>
  <c r="AY6" i="31"/>
  <c r="BD27" i="31"/>
  <c r="BD29" i="31" s="1"/>
  <c r="BM24" i="31"/>
  <c r="BC29" i="31"/>
  <c r="BB29" i="31"/>
  <c r="BM23" i="31"/>
  <c r="BM25" i="31"/>
  <c r="AU29" i="31"/>
  <c r="AX5" i="31"/>
  <c r="AS29" i="31"/>
  <c r="P23" i="68" l="1"/>
  <c r="BC17" i="46"/>
  <c r="BC27" i="46" s="1"/>
  <c r="AI11" i="46"/>
  <c r="G29" i="46"/>
  <c r="J29" i="46" s="1"/>
  <c r="S54" i="46"/>
  <c r="BC13" i="46" s="1"/>
  <c r="Q132" i="45"/>
  <c r="Q140" i="45" s="1"/>
  <c r="E134" i="45"/>
  <c r="C76" i="45"/>
  <c r="E76" i="45" s="1"/>
  <c r="B77" i="45" s="1"/>
  <c r="E15" i="45"/>
  <c r="B16" i="45" s="1"/>
  <c r="C16" i="45" s="1"/>
  <c r="D26" i="44"/>
  <c r="I28" i="43"/>
  <c r="F29" i="43"/>
  <c r="F27" i="42"/>
  <c r="I26" i="42"/>
  <c r="BM19" i="31"/>
  <c r="BM30" i="31" s="1"/>
  <c r="AY29" i="31"/>
  <c r="AX29" i="31"/>
  <c r="F25" i="28"/>
  <c r="G21" i="28"/>
  <c r="F11" i="28"/>
  <c r="F21" i="28" s="1"/>
  <c r="G13" i="27"/>
  <c r="G12" i="27"/>
  <c r="H22" i="27"/>
  <c r="H7" i="27"/>
  <c r="H5" i="27"/>
  <c r="H6" i="27" s="1"/>
  <c r="E8" i="27"/>
  <c r="G11" i="27" s="1"/>
  <c r="H27" i="27"/>
  <c r="L20" i="26"/>
  <c r="L15" i="26"/>
  <c r="H24" i="27"/>
  <c r="D13" i="26"/>
  <c r="D15" i="26" s="1"/>
  <c r="I16" i="25"/>
  <c r="H16" i="25"/>
  <c r="G16" i="25"/>
  <c r="L24" i="26" l="1"/>
  <c r="F21" i="30"/>
  <c r="F21" i="29"/>
  <c r="H25" i="28"/>
  <c r="F26" i="29"/>
  <c r="F26" i="30" s="1"/>
  <c r="J26" i="30" s="1"/>
  <c r="H21" i="28"/>
  <c r="G21" i="29"/>
  <c r="G21" i="30"/>
  <c r="E26" i="44"/>
  <c r="B27" i="44" s="1"/>
  <c r="N29" i="46"/>
  <c r="N54" i="46" s="1"/>
  <c r="B135" i="45"/>
  <c r="C135" i="45" s="1"/>
  <c r="J132" i="45"/>
  <c r="C77" i="45"/>
  <c r="E77" i="45" s="1"/>
  <c r="B78" i="45" s="1"/>
  <c r="E16" i="45"/>
  <c r="B17" i="45" s="1"/>
  <c r="C17" i="45" s="1"/>
  <c r="F30" i="43"/>
  <c r="I29" i="43"/>
  <c r="F28" i="42"/>
  <c r="I27" i="42"/>
  <c r="BE30" i="31"/>
  <c r="G14" i="27"/>
  <c r="H29" i="27"/>
  <c r="F7" i="24"/>
  <c r="D8" i="24"/>
  <c r="K7" i="24"/>
  <c r="K8" i="24" s="1"/>
  <c r="K9" i="24" s="1"/>
  <c r="K10" i="24" s="1"/>
  <c r="K11" i="24" s="1"/>
  <c r="K12" i="24" s="1"/>
  <c r="K13" i="24" s="1"/>
  <c r="K14" i="24" s="1"/>
  <c r="K15" i="24" s="1"/>
  <c r="K16" i="24" s="1"/>
  <c r="K17" i="24" s="1"/>
  <c r="L6" i="24"/>
  <c r="A5" i="24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5" i="23"/>
  <c r="A6" i="23" s="1"/>
  <c r="A7" i="23" s="1"/>
  <c r="A8" i="23" s="1"/>
  <c r="A9" i="23" s="1"/>
  <c r="A10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G6" i="23"/>
  <c r="M6" i="23" s="1"/>
  <c r="F7" i="23"/>
  <c r="F8" i="23" s="1"/>
  <c r="F9" i="23" s="1"/>
  <c r="F10" i="23" s="1"/>
  <c r="F11" i="23" s="1"/>
  <c r="F12" i="23" s="1"/>
  <c r="F13" i="23" s="1"/>
  <c r="F14" i="23" s="1"/>
  <c r="F15" i="23" s="1"/>
  <c r="F16" i="23" s="1"/>
  <c r="F17" i="23" s="1"/>
  <c r="F18" i="23" s="1"/>
  <c r="F19" i="23" s="1"/>
  <c r="F20" i="23" s="1"/>
  <c r="F21" i="23" s="1"/>
  <c r="F22" i="23" s="1"/>
  <c r="F23" i="23" s="1"/>
  <c r="F24" i="23" s="1"/>
  <c r="F25" i="23" s="1"/>
  <c r="F26" i="23" s="1"/>
  <c r="F27" i="23" s="1"/>
  <c r="F28" i="23" s="1"/>
  <c r="F29" i="23" s="1"/>
  <c r="F30" i="23" s="1"/>
  <c r="F31" i="23" s="1"/>
  <c r="F32" i="23" s="1"/>
  <c r="F33" i="23" s="1"/>
  <c r="F34" i="23" s="1"/>
  <c r="F35" i="23" s="1"/>
  <c r="F36" i="23" s="1"/>
  <c r="F37" i="23" s="1"/>
  <c r="F38" i="23" s="1"/>
  <c r="F39" i="23" s="1"/>
  <c r="F40" i="23" s="1"/>
  <c r="F41" i="23" s="1"/>
  <c r="F42" i="23" s="1"/>
  <c r="F43" i="23" s="1"/>
  <c r="F44" i="23" s="1"/>
  <c r="F46" i="23" s="1"/>
  <c r="F47" i="23" s="1"/>
  <c r="F48" i="23" s="1"/>
  <c r="F49" i="23" s="1"/>
  <c r="F50" i="23" s="1"/>
  <c r="F51" i="23" s="1"/>
  <c r="F52" i="23" s="1"/>
  <c r="F53" i="23" s="1"/>
  <c r="F54" i="23" s="1"/>
  <c r="D8" i="23"/>
  <c r="I11" i="23" s="1"/>
  <c r="H26" i="28" l="1"/>
  <c r="J21" i="30"/>
  <c r="J29" i="30" s="1"/>
  <c r="BC10" i="46"/>
  <c r="AI29" i="46"/>
  <c r="E135" i="45"/>
  <c r="B136" i="45" s="1"/>
  <c r="C136" i="45" s="1"/>
  <c r="E136" i="45" s="1"/>
  <c r="B137" i="45" s="1"/>
  <c r="C137" i="45" s="1"/>
  <c r="C78" i="45"/>
  <c r="E78" i="45" s="1"/>
  <c r="B79" i="45" s="1"/>
  <c r="D27" i="44"/>
  <c r="F31" i="43"/>
  <c r="I30" i="43"/>
  <c r="F29" i="42"/>
  <c r="I28" i="42"/>
  <c r="F8" i="24"/>
  <c r="F9" i="24" s="1"/>
  <c r="F10" i="24" s="1"/>
  <c r="F11" i="24" s="1"/>
  <c r="F12" i="24" s="1"/>
  <c r="N9" i="24"/>
  <c r="N13" i="24"/>
  <c r="N17" i="24"/>
  <c r="N14" i="24"/>
  <c r="N6" i="24"/>
  <c r="M6" i="24"/>
  <c r="N10" i="24"/>
  <c r="N7" i="24"/>
  <c r="N16" i="24"/>
  <c r="N11" i="24"/>
  <c r="N15" i="24"/>
  <c r="N12" i="24"/>
  <c r="N8" i="24"/>
  <c r="I51" i="23"/>
  <c r="I34" i="23"/>
  <c r="I26" i="23"/>
  <c r="I18" i="23"/>
  <c r="I10" i="23"/>
  <c r="H6" i="23"/>
  <c r="I41" i="23"/>
  <c r="I33" i="23"/>
  <c r="I25" i="23"/>
  <c r="I17" i="23"/>
  <c r="I9" i="23"/>
  <c r="I6" i="23"/>
  <c r="I49" i="23"/>
  <c r="I40" i="23"/>
  <c r="I32" i="23"/>
  <c r="I24" i="23"/>
  <c r="I16" i="23"/>
  <c r="I8" i="23"/>
  <c r="I7" i="23"/>
  <c r="I48" i="23"/>
  <c r="I39" i="23"/>
  <c r="I31" i="23"/>
  <c r="I23" i="23"/>
  <c r="I15" i="23"/>
  <c r="I42" i="23"/>
  <c r="I50" i="23"/>
  <c r="I47" i="23"/>
  <c r="I38" i="23"/>
  <c r="I30" i="23"/>
  <c r="I22" i="23"/>
  <c r="I14" i="23"/>
  <c r="I54" i="23"/>
  <c r="I21" i="23"/>
  <c r="I53" i="23"/>
  <c r="I44" i="23"/>
  <c r="I36" i="23"/>
  <c r="I28" i="23"/>
  <c r="I20" i="23"/>
  <c r="I12" i="23"/>
  <c r="I46" i="23"/>
  <c r="I37" i="23"/>
  <c r="I29" i="23"/>
  <c r="I13" i="23"/>
  <c r="I52" i="23"/>
  <c r="I43" i="23"/>
  <c r="I35" i="23"/>
  <c r="I27" i="23"/>
  <c r="I19" i="23"/>
  <c r="E27" i="44" l="1"/>
  <c r="B28" i="44" s="1"/>
  <c r="E137" i="45"/>
  <c r="B138" i="45" s="1"/>
  <c r="C138" i="45" s="1"/>
  <c r="C79" i="45"/>
  <c r="E79" i="45" s="1"/>
  <c r="B80" i="45" s="1"/>
  <c r="E17" i="45"/>
  <c r="B18" i="45" s="1"/>
  <c r="C18" i="45" s="1"/>
  <c r="L20" i="44"/>
  <c r="F32" i="43"/>
  <c r="I31" i="43"/>
  <c r="F30" i="42"/>
  <c r="I29" i="42"/>
  <c r="F13" i="24"/>
  <c r="N18" i="24"/>
  <c r="O6" i="24"/>
  <c r="L7" i="24" s="1"/>
  <c r="O8" i="23"/>
  <c r="D59" i="23" s="1"/>
  <c r="O10" i="23"/>
  <c r="O9" i="23"/>
  <c r="J6" i="23"/>
  <c r="G7" i="23" s="1"/>
  <c r="O6" i="23"/>
  <c r="O7" i="23"/>
  <c r="N20" i="44" l="1"/>
  <c r="K83" i="45"/>
  <c r="K73" i="45"/>
  <c r="F21" i="46" s="1"/>
  <c r="C80" i="45"/>
  <c r="E80" i="45" s="1"/>
  <c r="B81" i="45" s="1"/>
  <c r="E18" i="45"/>
  <c r="B19" i="45" s="1"/>
  <c r="C19" i="45" s="1"/>
  <c r="D28" i="44"/>
  <c r="E28" i="44"/>
  <c r="B29" i="44" s="1"/>
  <c r="D29" i="44" s="1"/>
  <c r="E29" i="44" s="1"/>
  <c r="I32" i="43"/>
  <c r="F33" i="43"/>
  <c r="F31" i="42"/>
  <c r="I30" i="42"/>
  <c r="F14" i="24"/>
  <c r="M7" i="24"/>
  <c r="H7" i="23"/>
  <c r="J7" i="23" s="1"/>
  <c r="G8" i="23" s="1"/>
  <c r="AM211" i="21"/>
  <c r="AO211" i="21" s="1"/>
  <c r="BB213" i="21"/>
  <c r="AP52" i="46" l="1"/>
  <c r="M10" i="44"/>
  <c r="O20" i="44"/>
  <c r="E138" i="45"/>
  <c r="B139" i="45" s="1"/>
  <c r="C139" i="45" s="1"/>
  <c r="C81" i="45"/>
  <c r="E19" i="45"/>
  <c r="B20" i="45" s="1"/>
  <c r="C20" i="45" s="1"/>
  <c r="B30" i="44"/>
  <c r="F34" i="43"/>
  <c r="I33" i="43"/>
  <c r="F32" i="42"/>
  <c r="I31" i="42"/>
  <c r="O7" i="24"/>
  <c r="L8" i="24" s="1"/>
  <c r="M8" i="24" s="1"/>
  <c r="O8" i="24" s="1"/>
  <c r="L9" i="24" s="1"/>
  <c r="F15" i="24"/>
  <c r="H8" i="23"/>
  <c r="J8" i="23" s="1"/>
  <c r="G9" i="23" s="1"/>
  <c r="F90" i="21"/>
  <c r="F89" i="21"/>
  <c r="F88" i="21"/>
  <c r="E89" i="21"/>
  <c r="G89" i="21" s="1"/>
  <c r="D64" i="21"/>
  <c r="E90" i="21" s="1"/>
  <c r="G90" i="21" s="1"/>
  <c r="E62" i="21"/>
  <c r="E88" i="21"/>
  <c r="G88" i="21" s="1"/>
  <c r="E61" i="21"/>
  <c r="E60" i="21"/>
  <c r="E81" i="21" s="1"/>
  <c r="E53" i="21"/>
  <c r="F53" i="21"/>
  <c r="F54" i="21"/>
  <c r="G54" i="21" s="1"/>
  <c r="E27" i="21"/>
  <c r="D29" i="21"/>
  <c r="E29" i="21" s="1"/>
  <c r="D46" i="21" s="1"/>
  <c r="E26" i="21"/>
  <c r="D9" i="21"/>
  <c r="E8" i="21"/>
  <c r="E7" i="21"/>
  <c r="AH218" i="21"/>
  <c r="BR214" i="21"/>
  <c r="AH213" i="21"/>
  <c r="BR187" i="21"/>
  <c r="BR207" i="21" s="1"/>
  <c r="AM212" i="21"/>
  <c r="AO212" i="21" s="1"/>
  <c r="AM210" i="21"/>
  <c r="AO210" i="21" s="1"/>
  <c r="AM209" i="21"/>
  <c r="AO209" i="21" s="1"/>
  <c r="AM208" i="21"/>
  <c r="AO208" i="21" s="1"/>
  <c r="AM207" i="21"/>
  <c r="AO207" i="21" s="1"/>
  <c r="AM204" i="21"/>
  <c r="AO204" i="21" s="1"/>
  <c r="K202" i="21"/>
  <c r="J202" i="21"/>
  <c r="AM202" i="21"/>
  <c r="AO202" i="21" s="1"/>
  <c r="AN201" i="21"/>
  <c r="AN200" i="21"/>
  <c r="AM200" i="21"/>
  <c r="AN199" i="21"/>
  <c r="AM199" i="21"/>
  <c r="E198" i="21"/>
  <c r="AH197" i="21"/>
  <c r="AG196" i="21" s="1"/>
  <c r="AN198" i="21"/>
  <c r="AM198" i="21"/>
  <c r="AC197" i="21"/>
  <c r="D197" i="21"/>
  <c r="D198" i="21" s="1"/>
  <c r="Z196" i="21"/>
  <c r="AC196" i="21" s="1"/>
  <c r="AN196" i="21"/>
  <c r="AM196" i="21"/>
  <c r="Z195" i="21"/>
  <c r="AC195" i="21" s="1"/>
  <c r="AN195" i="21"/>
  <c r="AM195" i="21"/>
  <c r="Z194" i="21"/>
  <c r="AC194" i="21" s="1"/>
  <c r="AN194" i="21"/>
  <c r="AM194" i="21"/>
  <c r="AA193" i="21"/>
  <c r="AA198" i="21" s="1"/>
  <c r="AG206" i="21" s="1"/>
  <c r="K193" i="21"/>
  <c r="K194" i="21" s="1"/>
  <c r="K197" i="21" s="1"/>
  <c r="K203" i="21" s="1"/>
  <c r="J193" i="21"/>
  <c r="AM197" i="21" s="1"/>
  <c r="E193" i="21"/>
  <c r="D193" i="21"/>
  <c r="AH192" i="21"/>
  <c r="AN193" i="21"/>
  <c r="AM193" i="21"/>
  <c r="S192" i="21"/>
  <c r="AN192" i="21"/>
  <c r="AB191" i="21"/>
  <c r="Z191" i="21"/>
  <c r="S191" i="21"/>
  <c r="AM205" i="21" s="1"/>
  <c r="AO205" i="21" s="1"/>
  <c r="AN191" i="21"/>
  <c r="AM191" i="21"/>
  <c r="AN190" i="21"/>
  <c r="AM190" i="21"/>
  <c r="S189" i="21"/>
  <c r="AN189" i="21"/>
  <c r="AM189" i="21"/>
  <c r="AL189" i="21"/>
  <c r="AH187" i="21"/>
  <c r="AN188" i="21"/>
  <c r="AM188" i="21"/>
  <c r="AN187" i="21"/>
  <c r="AM187" i="21"/>
  <c r="AO50" i="46" l="1"/>
  <c r="O10" i="44"/>
  <c r="I48" i="46"/>
  <c r="J48" i="46" s="1"/>
  <c r="AI48" i="46" s="1"/>
  <c r="BJ21" i="46"/>
  <c r="E81" i="45"/>
  <c r="B82" i="45" s="1"/>
  <c r="E20" i="45"/>
  <c r="B21" i="45" s="1"/>
  <c r="K24" i="45" s="1"/>
  <c r="D30" i="44"/>
  <c r="F35" i="43"/>
  <c r="I34" i="43"/>
  <c r="F33" i="42"/>
  <c r="I32" i="42"/>
  <c r="F16" i="24"/>
  <c r="M9" i="24"/>
  <c r="O9" i="24" s="1"/>
  <c r="L10" i="24" s="1"/>
  <c r="H9" i="23"/>
  <c r="J9" i="23" s="1"/>
  <c r="G10" i="23" s="1"/>
  <c r="D65" i="21"/>
  <c r="AO200" i="21"/>
  <c r="G53" i="21"/>
  <c r="G55" i="21" s="1"/>
  <c r="E64" i="21"/>
  <c r="D81" i="21" s="1"/>
  <c r="F81" i="21" s="1"/>
  <c r="G91" i="21"/>
  <c r="E28" i="21"/>
  <c r="E39" i="21" s="1"/>
  <c r="G46" i="21" s="1"/>
  <c r="E46" i="21"/>
  <c r="F46" i="21" s="1"/>
  <c r="AO198" i="21"/>
  <c r="E30" i="21"/>
  <c r="S195" i="21"/>
  <c r="E9" i="21"/>
  <c r="E20" i="21" s="1"/>
  <c r="F21" i="21" s="1"/>
  <c r="AO191" i="21"/>
  <c r="D30" i="21"/>
  <c r="AM192" i="21"/>
  <c r="AO192" i="21" s="1"/>
  <c r="E203" i="21"/>
  <c r="K221" i="21" s="1"/>
  <c r="AC193" i="21"/>
  <c r="AO190" i="21"/>
  <c r="AO187" i="21"/>
  <c r="AO194" i="21"/>
  <c r="AN197" i="21"/>
  <c r="AO197" i="21" s="1"/>
  <c r="AO189" i="21"/>
  <c r="AO193" i="21"/>
  <c r="D203" i="21"/>
  <c r="AH208" i="21"/>
  <c r="AO199" i="21"/>
  <c r="AH202" i="21"/>
  <c r="AG201" i="21" s="1"/>
  <c r="AG220" i="21" s="1"/>
  <c r="AM206" i="21"/>
  <c r="AO206" i="21" s="1"/>
  <c r="AO188" i="21"/>
  <c r="AC191" i="21"/>
  <c r="Z198" i="21"/>
  <c r="J194" i="21"/>
  <c r="J197" i="21" s="1"/>
  <c r="J203" i="21" s="1"/>
  <c r="AO195" i="21"/>
  <c r="AO196" i="21"/>
  <c r="AA106" i="6"/>
  <c r="AA107" i="6" s="1"/>
  <c r="E30" i="44" l="1"/>
  <c r="J21" i="44"/>
  <c r="P14" i="44"/>
  <c r="H14" i="46"/>
  <c r="AA108" i="6"/>
  <c r="AA109" i="6" s="1"/>
  <c r="AA110" i="6" s="1"/>
  <c r="AA111" i="6" s="1"/>
  <c r="AA112" i="6" s="1"/>
  <c r="AA113" i="6" s="1"/>
  <c r="AA114" i="6" s="1"/>
  <c r="AA115" i="6" s="1"/>
  <c r="AA116" i="6" s="1"/>
  <c r="AA117" i="6" s="1"/>
  <c r="AA118" i="6" s="1"/>
  <c r="AA119" i="6" s="1"/>
  <c r="AA120" i="6" s="1"/>
  <c r="AA121" i="6" s="1"/>
  <c r="AA122" i="6" s="1"/>
  <c r="E139" i="45"/>
  <c r="B140" i="45" s="1"/>
  <c r="C82" i="45"/>
  <c r="C21" i="45"/>
  <c r="E21" i="45" s="1"/>
  <c r="B22" i="45" s="1"/>
  <c r="C22" i="45" s="1"/>
  <c r="K14" i="45"/>
  <c r="F36" i="43"/>
  <c r="I35" i="43"/>
  <c r="F34" i="42"/>
  <c r="I33" i="42"/>
  <c r="F17" i="24"/>
  <c r="G16" i="24" s="1"/>
  <c r="M10" i="24"/>
  <c r="O10" i="24" s="1"/>
  <c r="L11" i="24" s="1"/>
  <c r="H10" i="23"/>
  <c r="J10" i="23" s="1"/>
  <c r="G11" i="23" s="1"/>
  <c r="E63" i="21"/>
  <c r="E74" i="21" s="1"/>
  <c r="G81" i="21" s="1"/>
  <c r="I81" i="21" s="1"/>
  <c r="J81" i="21" s="1"/>
  <c r="S199" i="21"/>
  <c r="S201" i="21" s="1"/>
  <c r="AB192" i="21" s="1"/>
  <c r="E65" i="21"/>
  <c r="AH220" i="21"/>
  <c r="AP189" i="21" s="1"/>
  <c r="I46" i="21"/>
  <c r="J46" i="21" s="1"/>
  <c r="F40" i="21"/>
  <c r="J221" i="21"/>
  <c r="AN213" i="21"/>
  <c r="AN8" i="5"/>
  <c r="H16" i="24" l="1"/>
  <c r="I16" i="24" s="1"/>
  <c r="E50" i="46"/>
  <c r="G50" i="46" s="1"/>
  <c r="L21" i="44"/>
  <c r="B31" i="44"/>
  <c r="J14" i="44"/>
  <c r="J14" i="46"/>
  <c r="AI14" i="46" s="1"/>
  <c r="O20" i="46"/>
  <c r="Q14" i="44"/>
  <c r="Q23" i="44" s="1"/>
  <c r="AB126" i="6"/>
  <c r="AB134" i="6"/>
  <c r="C140" i="45"/>
  <c r="E140" i="45" s="1"/>
  <c r="E82" i="45"/>
  <c r="B83" i="45" s="1"/>
  <c r="E22" i="45"/>
  <c r="B23" i="45" s="1"/>
  <c r="C23" i="45" s="1"/>
  <c r="I36" i="43"/>
  <c r="F37" i="43"/>
  <c r="F35" i="42"/>
  <c r="I34" i="42"/>
  <c r="H17" i="24"/>
  <c r="H7" i="24"/>
  <c r="G11" i="24"/>
  <c r="H11" i="24"/>
  <c r="H10" i="24"/>
  <c r="G7" i="24"/>
  <c r="G6" i="24"/>
  <c r="G8" i="24"/>
  <c r="H8" i="24"/>
  <c r="G10" i="24"/>
  <c r="H6" i="24"/>
  <c r="H12" i="24"/>
  <c r="G17" i="24"/>
  <c r="G9" i="24"/>
  <c r="H9" i="24"/>
  <c r="G12" i="24"/>
  <c r="H13" i="24"/>
  <c r="G13" i="24"/>
  <c r="H14" i="24"/>
  <c r="G14" i="24"/>
  <c r="H15" i="24"/>
  <c r="G15" i="24"/>
  <c r="M11" i="24"/>
  <c r="H11" i="23"/>
  <c r="N6" i="23" s="1"/>
  <c r="P6" i="23" s="1"/>
  <c r="M7" i="23" s="1"/>
  <c r="AQ188" i="21"/>
  <c r="AP193" i="21"/>
  <c r="AQ187" i="21"/>
  <c r="F75" i="21"/>
  <c r="AQ212" i="21"/>
  <c r="AQ191" i="21"/>
  <c r="AQ189" i="21"/>
  <c r="AP209" i="21"/>
  <c r="AP201" i="21"/>
  <c r="AP191" i="21"/>
  <c r="AP195" i="21"/>
  <c r="AP188" i="21"/>
  <c r="AP203" i="21"/>
  <c r="AP190" i="21"/>
  <c r="AP207" i="21"/>
  <c r="AP211" i="21"/>
  <c r="AQ206" i="21"/>
  <c r="AQ198" i="21"/>
  <c r="AQ210" i="21"/>
  <c r="AP212" i="21"/>
  <c r="AQ211" i="21"/>
  <c r="AP187" i="21"/>
  <c r="AQ190" i="21"/>
  <c r="AQ208" i="21"/>
  <c r="AP210" i="21"/>
  <c r="AP197" i="21"/>
  <c r="AQ204" i="21"/>
  <c r="AP206" i="21"/>
  <c r="AQ205" i="21"/>
  <c r="AP194" i="21"/>
  <c r="AP208" i="21"/>
  <c r="AQ202" i="21"/>
  <c r="AP204" i="21"/>
  <c r="AQ203" i="21"/>
  <c r="AP205" i="21"/>
  <c r="AP200" i="21"/>
  <c r="AQ200" i="21"/>
  <c r="AP202" i="21"/>
  <c r="AP192" i="21"/>
  <c r="AQ196" i="21"/>
  <c r="AP198" i="21"/>
  <c r="AQ197" i="21"/>
  <c r="AQ201" i="21"/>
  <c r="AP199" i="21"/>
  <c r="AQ194" i="21"/>
  <c r="AP196" i="21"/>
  <c r="AQ195" i="21"/>
  <c r="AQ193" i="21"/>
  <c r="AQ207" i="21"/>
  <c r="AQ192" i="21"/>
  <c r="AQ209" i="21"/>
  <c r="AQ199" i="21"/>
  <c r="AC192" i="21"/>
  <c r="AC198" i="21" s="1"/>
  <c r="AB198" i="21"/>
  <c r="AM201" i="21" s="1"/>
  <c r="AM213" i="21" s="1"/>
  <c r="CU50" i="18"/>
  <c r="AI68" i="18"/>
  <c r="AI67" i="18"/>
  <c r="AR26" i="18"/>
  <c r="AT26" i="18" s="1"/>
  <c r="BL26" i="18" s="1"/>
  <c r="AS9" i="18"/>
  <c r="CT34" i="18" s="1"/>
  <c r="AR9" i="18"/>
  <c r="E27" i="18"/>
  <c r="AS19" i="18" s="1"/>
  <c r="E28" i="18"/>
  <c r="AS20" i="18" s="1"/>
  <c r="AH68" i="18"/>
  <c r="AH67" i="18"/>
  <c r="AK62" i="18"/>
  <c r="AK68" i="18" s="1"/>
  <c r="AK61" i="18"/>
  <c r="AK67" i="18" s="1"/>
  <c r="AI63" i="18"/>
  <c r="AH63" i="18"/>
  <c r="AF35" i="18"/>
  <c r="AF36" i="18" s="1"/>
  <c r="AF37" i="18" s="1"/>
  <c r="AH34" i="18"/>
  <c r="AG34" i="18"/>
  <c r="AM34" i="18" s="1"/>
  <c r="AF20" i="18"/>
  <c r="AH20" i="18" s="1"/>
  <c r="AH19" i="18"/>
  <c r="AG19" i="18"/>
  <c r="AM19" i="18" s="1"/>
  <c r="AJ9" i="18"/>
  <c r="Y72" i="18"/>
  <c r="Y70" i="18"/>
  <c r="AA70" i="18" s="1"/>
  <c r="Y65" i="18"/>
  <c r="Y61" i="18"/>
  <c r="AA58" i="18"/>
  <c r="BC32" i="18"/>
  <c r="BD33" i="18" s="1"/>
  <c r="BC29" i="18"/>
  <c r="BD30" i="18" s="1"/>
  <c r="AR27" i="18"/>
  <c r="AT27" i="18" s="1"/>
  <c r="BL27" i="18" s="1"/>
  <c r="CA25" i="18"/>
  <c r="BX25" i="18"/>
  <c r="AR25" i="18"/>
  <c r="AT25" i="18" s="1"/>
  <c r="BL25" i="18" s="1"/>
  <c r="BX24" i="18"/>
  <c r="Y53" i="18"/>
  <c r="D27" i="18"/>
  <c r="CA23" i="18"/>
  <c r="BZ23" i="18"/>
  <c r="BX23" i="18"/>
  <c r="Y31" i="18"/>
  <c r="X29" i="18" s="1"/>
  <c r="X31" i="18" s="1"/>
  <c r="AR21" i="18"/>
  <c r="AT21" i="18" s="1"/>
  <c r="BL21" i="18" s="1"/>
  <c r="Y49" i="18"/>
  <c r="D22" i="18"/>
  <c r="AA47" i="18"/>
  <c r="BD23" i="18"/>
  <c r="BC22" i="18" s="1"/>
  <c r="CU49" i="18" s="1"/>
  <c r="AR18" i="18"/>
  <c r="AS17" i="18"/>
  <c r="Y25" i="18"/>
  <c r="X25" i="18"/>
  <c r="AA25" i="18" s="1"/>
  <c r="BD20" i="18"/>
  <c r="BD19" i="18"/>
  <c r="BD18" i="18"/>
  <c r="Y19" i="18"/>
  <c r="E39" i="18" s="1"/>
  <c r="AR23" i="18" s="1"/>
  <c r="AT23" i="18" s="1"/>
  <c r="BL23" i="18" s="1"/>
  <c r="X18" i="18"/>
  <c r="X19" i="18" s="1"/>
  <c r="E37" i="18" s="1"/>
  <c r="N18" i="18"/>
  <c r="N19" i="18" s="1"/>
  <c r="BC14" i="18"/>
  <c r="BD15" i="18" s="1"/>
  <c r="Z17" i="18"/>
  <c r="Z19" i="18" s="1"/>
  <c r="E40" i="18" s="1"/>
  <c r="AR24" i="18" s="1"/>
  <c r="AT24" i="18" s="1"/>
  <c r="BL24" i="18" s="1"/>
  <c r="P17" i="18"/>
  <c r="AS15" i="18"/>
  <c r="AR15" i="18"/>
  <c r="P16" i="18"/>
  <c r="AS14" i="18"/>
  <c r="AR14" i="18"/>
  <c r="Y43" i="18"/>
  <c r="X41" i="18" s="1"/>
  <c r="X43" i="18" s="1"/>
  <c r="AA44" i="18" s="1"/>
  <c r="P15" i="18"/>
  <c r="AS13" i="18"/>
  <c r="AR13" i="18"/>
  <c r="O14" i="18"/>
  <c r="P14" i="18" s="1"/>
  <c r="AS12" i="18"/>
  <c r="AR12" i="18"/>
  <c r="E13" i="18"/>
  <c r="E17" i="18" s="1"/>
  <c r="D13" i="18"/>
  <c r="D17" i="18" s="1"/>
  <c r="AS11" i="18"/>
  <c r="AR11" i="18"/>
  <c r="AS10" i="18"/>
  <c r="AR10" i="18"/>
  <c r="Y37" i="18"/>
  <c r="AA39" i="18" s="1"/>
  <c r="X37" i="18"/>
  <c r="AA38" i="18" s="1"/>
  <c r="BC8" i="18"/>
  <c r="BD9" i="18" s="1"/>
  <c r="AJ19" i="11"/>
  <c r="AK19" i="11"/>
  <c r="I7" i="24" l="1"/>
  <c r="I17" i="24"/>
  <c r="I11" i="24"/>
  <c r="I8" i="24"/>
  <c r="BJ39" i="46"/>
  <c r="O54" i="46"/>
  <c r="E20" i="46"/>
  <c r="G20" i="46" s="1"/>
  <c r="C11" i="38"/>
  <c r="C12" i="38" s="1"/>
  <c r="C13" i="38" s="1"/>
  <c r="L14" i="44"/>
  <c r="D31" i="44"/>
  <c r="E31" i="44" s="1"/>
  <c r="B32" i="44" s="1"/>
  <c r="D32" i="44" s="1"/>
  <c r="E32" i="44" s="1"/>
  <c r="B33" i="44" s="1"/>
  <c r="D33" i="44" s="1"/>
  <c r="E33" i="44" s="1"/>
  <c r="B34" i="44" s="1"/>
  <c r="D34" i="44" s="1"/>
  <c r="E34" i="44" s="1"/>
  <c r="B35" i="44" s="1"/>
  <c r="D35" i="44" s="1"/>
  <c r="E35" i="44" s="1"/>
  <c r="B36" i="44" s="1"/>
  <c r="N21" i="44"/>
  <c r="B141" i="45"/>
  <c r="C141" i="45" s="1"/>
  <c r="C83" i="45"/>
  <c r="E83" i="45" s="1"/>
  <c r="B84" i="45" s="1"/>
  <c r="E23" i="45"/>
  <c r="B24" i="45" s="1"/>
  <c r="C24" i="45" s="1"/>
  <c r="I37" i="43"/>
  <c r="F38" i="43"/>
  <c r="F36" i="42"/>
  <c r="I35" i="42"/>
  <c r="I13" i="24"/>
  <c r="I6" i="24"/>
  <c r="G18" i="24"/>
  <c r="I15" i="24"/>
  <c r="I9" i="24"/>
  <c r="I14" i="24"/>
  <c r="I12" i="24"/>
  <c r="H18" i="24"/>
  <c r="I10" i="24"/>
  <c r="O11" i="24"/>
  <c r="L12" i="24" s="1"/>
  <c r="M12" i="24" s="1"/>
  <c r="J11" i="23"/>
  <c r="G12" i="23" s="1"/>
  <c r="H12" i="23" s="1"/>
  <c r="J12" i="23" s="1"/>
  <c r="G13" i="23" s="1"/>
  <c r="H13" i="23" s="1"/>
  <c r="J13" i="23" s="1"/>
  <c r="G14" i="23" s="1"/>
  <c r="H14" i="23" s="1"/>
  <c r="J14" i="23" s="1"/>
  <c r="G15" i="23" s="1"/>
  <c r="H15" i="23" s="1"/>
  <c r="J15" i="23" s="1"/>
  <c r="G16" i="23" s="1"/>
  <c r="CU46" i="18"/>
  <c r="AR197" i="21"/>
  <c r="AR199" i="21"/>
  <c r="BD199" i="21" s="1"/>
  <c r="BG199" i="21" s="1"/>
  <c r="AR209" i="21"/>
  <c r="AT209" i="21" s="1"/>
  <c r="BG209" i="21" s="1"/>
  <c r="AR208" i="21"/>
  <c r="BA208" i="21" s="1"/>
  <c r="BG208" i="21" s="1"/>
  <c r="AO201" i="21"/>
  <c r="AR201" i="21" s="1"/>
  <c r="BE201" i="21" s="1"/>
  <c r="BG201" i="21" s="1"/>
  <c r="AR211" i="21"/>
  <c r="BF211" i="21" s="1"/>
  <c r="BF213" i="21" s="1"/>
  <c r="AR206" i="21"/>
  <c r="BG206" i="21" s="1"/>
  <c r="AR207" i="21"/>
  <c r="AR202" i="21"/>
  <c r="AR205" i="21"/>
  <c r="AR187" i="21"/>
  <c r="AR196" i="21"/>
  <c r="AR193" i="21"/>
  <c r="AR192" i="21"/>
  <c r="AR203" i="21"/>
  <c r="AR195" i="21"/>
  <c r="AR204" i="21"/>
  <c r="AR212" i="21"/>
  <c r="AR191" i="21"/>
  <c r="BG191" i="21" s="1"/>
  <c r="AR198" i="21"/>
  <c r="BG198" i="21" s="1"/>
  <c r="AR194" i="21"/>
  <c r="AR190" i="21"/>
  <c r="AR188" i="21"/>
  <c r="AR189" i="21"/>
  <c r="AR200" i="21"/>
  <c r="BG200" i="21" s="1"/>
  <c r="AR210" i="21"/>
  <c r="AQ213" i="21"/>
  <c r="AP213" i="21"/>
  <c r="CU43" i="18"/>
  <c r="Y66" i="18"/>
  <c r="AA66" i="18" s="1"/>
  <c r="AT10" i="18"/>
  <c r="BL10" i="18" s="1"/>
  <c r="AT11" i="18"/>
  <c r="BL11" i="18" s="1"/>
  <c r="N21" i="18"/>
  <c r="AM43" i="18"/>
  <c r="P18" i="18"/>
  <c r="AT15" i="18"/>
  <c r="BL15" i="18" s="1"/>
  <c r="Y54" i="18"/>
  <c r="AA54" i="18" s="1"/>
  <c r="CU48" i="18" s="1"/>
  <c r="AH69" i="18"/>
  <c r="AJ67" i="18"/>
  <c r="Y71" i="18"/>
  <c r="AG20" i="18"/>
  <c r="AI20" i="18" s="1"/>
  <c r="AJ68" i="18"/>
  <c r="AI69" i="18"/>
  <c r="AT13" i="18"/>
  <c r="BL13" i="18" s="1"/>
  <c r="AI19" i="18"/>
  <c r="AK69" i="18"/>
  <c r="AK63" i="18"/>
  <c r="AT12" i="18"/>
  <c r="BL12" i="18" s="1"/>
  <c r="BC11" i="18"/>
  <c r="AT14" i="18"/>
  <c r="BL14" i="18" s="1"/>
  <c r="AA72" i="18"/>
  <c r="AT9" i="18"/>
  <c r="BL9" i="18" s="1"/>
  <c r="AI34" i="18"/>
  <c r="E38" i="18"/>
  <c r="E41" i="18" s="1"/>
  <c r="AR22" i="18"/>
  <c r="AT22" i="18" s="1"/>
  <c r="BL22" i="18" s="1"/>
  <c r="AH37" i="18"/>
  <c r="AG37" i="18"/>
  <c r="AM37" i="18" s="1"/>
  <c r="X24" i="18"/>
  <c r="AA30" i="18" s="1"/>
  <c r="AR17" i="18"/>
  <c r="AT17" i="18" s="1"/>
  <c r="BL17" i="18" s="1"/>
  <c r="BC25" i="18"/>
  <c r="BC26" i="18"/>
  <c r="AR19" i="18"/>
  <c r="AT19" i="18" s="1"/>
  <c r="BL19" i="18" s="1"/>
  <c r="AF38" i="18"/>
  <c r="AA24" i="18"/>
  <c r="Y24" i="18"/>
  <c r="AA31" i="18" s="1"/>
  <c r="BC17" i="18"/>
  <c r="CU47" i="18" s="1"/>
  <c r="AH35" i="18"/>
  <c r="AG35" i="18"/>
  <c r="AM35" i="18" s="1"/>
  <c r="AH36" i="18"/>
  <c r="AG36" i="18"/>
  <c r="AM36" i="18" s="1"/>
  <c r="AF21" i="18"/>
  <c r="D36" i="44" l="1"/>
  <c r="E36" i="44"/>
  <c r="B37" i="44" s="1"/>
  <c r="D37" i="44" s="1"/>
  <c r="E37" i="44" s="1"/>
  <c r="B38" i="44" s="1"/>
  <c r="D38" i="44" s="1"/>
  <c r="E38" i="44" s="1"/>
  <c r="B39" i="44" s="1"/>
  <c r="D39" i="44" s="1"/>
  <c r="E39" i="44" s="1"/>
  <c r="B40" i="44" s="1"/>
  <c r="D40" i="44" s="1"/>
  <c r="E40" i="44" s="1"/>
  <c r="B41" i="44" s="1"/>
  <c r="D41" i="44" s="1"/>
  <c r="E41" i="44" s="1"/>
  <c r="B42" i="44" s="1"/>
  <c r="D42" i="44" s="1"/>
  <c r="E42" i="44" s="1"/>
  <c r="B43" i="44" s="1"/>
  <c r="D43" i="44" s="1"/>
  <c r="E43" i="44" s="1"/>
  <c r="B44" i="44" s="1"/>
  <c r="D44" i="44" s="1"/>
  <c r="E44" i="44" s="1"/>
  <c r="B45" i="44" s="1"/>
  <c r="D45" i="44" s="1"/>
  <c r="E45" i="44" s="1"/>
  <c r="B46" i="44" s="1"/>
  <c r="D46" i="44" s="1"/>
  <c r="E46" i="44" s="1"/>
  <c r="B47" i="44" s="1"/>
  <c r="I10" i="38"/>
  <c r="C30" i="38"/>
  <c r="AP53" i="46"/>
  <c r="M14" i="44"/>
  <c r="O14" i="44" s="1"/>
  <c r="P23" i="44" s="1"/>
  <c r="N23" i="44"/>
  <c r="O21" i="44"/>
  <c r="E141" i="45"/>
  <c r="B142" i="45" s="1"/>
  <c r="C142" i="45" s="1"/>
  <c r="C84" i="45"/>
  <c r="E84" i="45" s="1"/>
  <c r="B85" i="45" s="1"/>
  <c r="E24" i="45"/>
  <c r="F39" i="43"/>
  <c r="I38" i="43"/>
  <c r="F37" i="42"/>
  <c r="I36" i="42"/>
  <c r="I18" i="24"/>
  <c r="O12" i="24"/>
  <c r="L13" i="24" s="1"/>
  <c r="H16" i="23"/>
  <c r="J16" i="23" s="1"/>
  <c r="G17" i="23" s="1"/>
  <c r="AO213" i="21"/>
  <c r="BV187" i="21"/>
  <c r="BR212" i="21"/>
  <c r="BG211" i="21"/>
  <c r="AU204" i="21"/>
  <c r="BG204" i="21" s="1"/>
  <c r="AY207" i="21"/>
  <c r="BG207" i="21" s="1"/>
  <c r="AX210" i="21"/>
  <c r="BG210" i="21" s="1"/>
  <c r="AT189" i="21"/>
  <c r="BG189" i="21" s="1"/>
  <c r="AW195" i="21"/>
  <c r="BG195" i="21" s="1"/>
  <c r="AV194" i="21"/>
  <c r="BG194" i="21" s="1"/>
  <c r="AZ192" i="21"/>
  <c r="BG192" i="21" s="1"/>
  <c r="AU193" i="21"/>
  <c r="BG193" i="21" s="1"/>
  <c r="AX196" i="21"/>
  <c r="AU190" i="21"/>
  <c r="BG190" i="21" s="1"/>
  <c r="AV205" i="21"/>
  <c r="BG205" i="21" s="1"/>
  <c r="BC197" i="21"/>
  <c r="BG197" i="21" s="1"/>
  <c r="BA213" i="21"/>
  <c r="BQ187" i="21" s="1"/>
  <c r="BR204" i="21" s="1"/>
  <c r="BD213" i="21"/>
  <c r="BT187" i="21" s="1"/>
  <c r="BR209" i="21" s="1"/>
  <c r="AR213" i="21"/>
  <c r="BE213" i="21"/>
  <c r="BU187" i="21" s="1"/>
  <c r="BR210" i="21" s="1"/>
  <c r="AS202" i="21"/>
  <c r="BG202" i="21" s="1"/>
  <c r="AW212" i="21"/>
  <c r="BG212" i="21" s="1"/>
  <c r="AU203" i="21"/>
  <c r="BG203" i="21" s="1"/>
  <c r="AS188" i="21"/>
  <c r="BG188" i="21" s="1"/>
  <c r="BD12" i="18"/>
  <c r="CU44" i="18"/>
  <c r="AJ69" i="18"/>
  <c r="BC35" i="18" s="1"/>
  <c r="E20" i="18"/>
  <c r="AG51" i="18"/>
  <c r="AM20" i="18"/>
  <c r="E44" i="18"/>
  <c r="E46" i="18" s="1"/>
  <c r="CU40" i="18" s="1"/>
  <c r="AI37" i="18"/>
  <c r="AI35" i="18"/>
  <c r="AG52" i="18"/>
  <c r="BD27" i="18"/>
  <c r="AH21" i="18"/>
  <c r="AG21" i="18"/>
  <c r="AM21" i="18" s="1"/>
  <c r="AF22" i="18"/>
  <c r="AI36" i="18"/>
  <c r="AH38" i="18"/>
  <c r="AG38" i="18"/>
  <c r="AM38" i="18" s="1"/>
  <c r="AF39" i="18"/>
  <c r="I50" i="46" l="1"/>
  <c r="J50" i="46" s="1"/>
  <c r="AI50" i="46" s="1"/>
  <c r="BJ22" i="46"/>
  <c r="AO51" i="46"/>
  <c r="M23" i="44"/>
  <c r="M10" i="38"/>
  <c r="C29" i="38"/>
  <c r="E22" i="46"/>
  <c r="G22" i="46" s="1"/>
  <c r="K10" i="38"/>
  <c r="N10" i="38" s="1"/>
  <c r="E142" i="45"/>
  <c r="B143" i="45" s="1"/>
  <c r="C143" i="45" s="1"/>
  <c r="C85" i="45"/>
  <c r="E85" i="45" s="1"/>
  <c r="B86" i="45" s="1"/>
  <c r="B25" i="45"/>
  <c r="D47" i="44"/>
  <c r="E47" i="44" s="1"/>
  <c r="B48" i="44" s="1"/>
  <c r="F40" i="43"/>
  <c r="I39" i="43"/>
  <c r="F38" i="42"/>
  <c r="I37" i="42"/>
  <c r="M13" i="24"/>
  <c r="O13" i="24" s="1"/>
  <c r="L14" i="24" s="1"/>
  <c r="H17" i="23"/>
  <c r="J17" i="23" s="1"/>
  <c r="G18" i="23" s="1"/>
  <c r="AY213" i="21"/>
  <c r="BO187" i="21" s="1"/>
  <c r="BR200" i="21" s="1"/>
  <c r="AX213" i="21"/>
  <c r="BN187" i="21" s="1"/>
  <c r="BR199" i="21" s="1"/>
  <c r="BG196" i="21"/>
  <c r="AW213" i="21"/>
  <c r="BM187" i="21" s="1"/>
  <c r="BR198" i="21" s="1"/>
  <c r="AZ213" i="21"/>
  <c r="BP187" i="21" s="1"/>
  <c r="BR203" i="21" s="1"/>
  <c r="BC213" i="21"/>
  <c r="BS187" i="21" s="1"/>
  <c r="BR208" i="21" s="1"/>
  <c r="AT213" i="21"/>
  <c r="BJ187" i="21" s="1"/>
  <c r="BR195" i="21" s="1"/>
  <c r="AS213" i="21"/>
  <c r="BI187" i="21" s="1"/>
  <c r="BR194" i="21" s="1"/>
  <c r="AV213" i="21"/>
  <c r="BL187" i="21" s="1"/>
  <c r="BR197" i="21" s="1"/>
  <c r="AU213" i="21"/>
  <c r="BK187" i="21" s="1"/>
  <c r="BR196" i="21" s="1"/>
  <c r="BD36" i="18"/>
  <c r="AG53" i="18"/>
  <c r="AG54" i="18" s="1"/>
  <c r="D20" i="18" s="1"/>
  <c r="D21" i="18" s="1"/>
  <c r="E21" i="18"/>
  <c r="AI38" i="18"/>
  <c r="O13" i="18"/>
  <c r="P13" i="18" s="1"/>
  <c r="AH22" i="18"/>
  <c r="AG22" i="18"/>
  <c r="AM22" i="18" s="1"/>
  <c r="AF23" i="18"/>
  <c r="AI21" i="18"/>
  <c r="AH39" i="18"/>
  <c r="AH40" i="18" s="1"/>
  <c r="AG39" i="18"/>
  <c r="AR19" i="5"/>
  <c r="H20" i="46" l="1"/>
  <c r="M18" i="38"/>
  <c r="AP59" i="46" s="1"/>
  <c r="I18" i="38"/>
  <c r="E143" i="45"/>
  <c r="B144" i="45" s="1"/>
  <c r="C144" i="45" s="1"/>
  <c r="C86" i="45"/>
  <c r="E86" i="45" s="1"/>
  <c r="B87" i="45" s="1"/>
  <c r="C25" i="45"/>
  <c r="E25" i="45" s="1"/>
  <c r="B26" i="45" s="1"/>
  <c r="D48" i="44"/>
  <c r="E48" i="44" s="1"/>
  <c r="B49" i="44" s="1"/>
  <c r="D49" i="44" s="1"/>
  <c r="E49" i="44" s="1"/>
  <c r="B50" i="44" s="1"/>
  <c r="D50" i="44" s="1"/>
  <c r="E50" i="44" s="1"/>
  <c r="B51" i="44" s="1"/>
  <c r="D51" i="44" s="1"/>
  <c r="E51" i="44" s="1"/>
  <c r="B52" i="44" s="1"/>
  <c r="D52" i="44" s="1"/>
  <c r="E52" i="44" s="1"/>
  <c r="I40" i="43"/>
  <c r="F41" i="43"/>
  <c r="F39" i="42"/>
  <c r="I38" i="42"/>
  <c r="M14" i="24"/>
  <c r="O14" i="24" s="1"/>
  <c r="L15" i="24" s="1"/>
  <c r="H18" i="23"/>
  <c r="J18" i="23" s="1"/>
  <c r="G19" i="23" s="1"/>
  <c r="BR205" i="21"/>
  <c r="BR211" i="21"/>
  <c r="BR201" i="21"/>
  <c r="O19" i="18"/>
  <c r="D28" i="18" s="1"/>
  <c r="AI52" i="18"/>
  <c r="AJ52" i="18" s="1"/>
  <c r="AM39" i="18"/>
  <c r="AI22" i="18"/>
  <c r="AI39" i="18"/>
  <c r="AI40" i="18" s="1"/>
  <c r="AG40" i="18"/>
  <c r="AI28" i="18" s="1"/>
  <c r="AH23" i="18"/>
  <c r="AG23" i="18"/>
  <c r="AM23" i="18" s="1"/>
  <c r="AF24" i="18"/>
  <c r="M22" i="38" l="1"/>
  <c r="I53" i="46"/>
  <c r="I54" i="46" s="1"/>
  <c r="BJ24" i="46"/>
  <c r="AO58" i="46"/>
  <c r="AP63" i="46"/>
  <c r="E53" i="46"/>
  <c r="G53" i="46" s="1"/>
  <c r="K18" i="38"/>
  <c r="N18" i="38" s="1"/>
  <c r="J20" i="46"/>
  <c r="E144" i="45"/>
  <c r="B145" i="45" s="1"/>
  <c r="C145" i="45" s="1"/>
  <c r="C87" i="45"/>
  <c r="E87" i="45" s="1"/>
  <c r="B88" i="45" s="1"/>
  <c r="C26" i="45"/>
  <c r="I41" i="43"/>
  <c r="F42" i="43"/>
  <c r="F40" i="42"/>
  <c r="I39" i="42"/>
  <c r="M15" i="24"/>
  <c r="O15" i="24" s="1"/>
  <c r="L16" i="24" s="1"/>
  <c r="H19" i="23"/>
  <c r="J19" i="23" s="1"/>
  <c r="G20" i="23" s="1"/>
  <c r="BR213" i="21"/>
  <c r="BR215" i="21" s="1"/>
  <c r="AI7" i="18"/>
  <c r="AH52" i="18"/>
  <c r="D29" i="18"/>
  <c r="AR20" i="18"/>
  <c r="AT20" i="18" s="1"/>
  <c r="BL20" i="18" s="1"/>
  <c r="O21" i="18"/>
  <c r="AH24" i="18"/>
  <c r="AH25" i="18" s="1"/>
  <c r="AG24" i="18"/>
  <c r="AI23" i="18"/>
  <c r="AC20" i="46" l="1"/>
  <c r="AC54" i="46" s="1"/>
  <c r="BC29" i="46" s="1"/>
  <c r="H22" i="46"/>
  <c r="AO63" i="46"/>
  <c r="J53" i="46"/>
  <c r="AI53" i="46" s="1"/>
  <c r="E145" i="45"/>
  <c r="B146" i="45" s="1"/>
  <c r="C146" i="45" s="1"/>
  <c r="C88" i="45"/>
  <c r="E88" i="45" s="1"/>
  <c r="B89" i="45" s="1"/>
  <c r="E26" i="45"/>
  <c r="B27" i="45" s="1"/>
  <c r="C27" i="45" s="1"/>
  <c r="F43" i="43"/>
  <c r="I42" i="43"/>
  <c r="F41" i="42"/>
  <c r="I40" i="42"/>
  <c r="M16" i="24"/>
  <c r="O16" i="24" s="1"/>
  <c r="L17" i="24" s="1"/>
  <c r="H20" i="23"/>
  <c r="J20" i="23" s="1"/>
  <c r="G21" i="23" s="1"/>
  <c r="AI51" i="18"/>
  <c r="AJ51" i="18" s="1"/>
  <c r="AJ53" i="18" s="1"/>
  <c r="AM24" i="18"/>
  <c r="AM44" i="18" s="1"/>
  <c r="BX29" i="18"/>
  <c r="CN10" i="18" s="1"/>
  <c r="CT18" i="18" s="1"/>
  <c r="AI24" i="18"/>
  <c r="AI25" i="18" s="1"/>
  <c r="AG25" i="18"/>
  <c r="AI13" i="18" s="1"/>
  <c r="J22" i="46" l="1"/>
  <c r="AI22" i="46" s="1"/>
  <c r="H54" i="46"/>
  <c r="AI20" i="46"/>
  <c r="E146" i="45"/>
  <c r="B147" i="45" s="1"/>
  <c r="C147" i="45" s="1"/>
  <c r="C89" i="45"/>
  <c r="E89" i="45" s="1"/>
  <c r="B90" i="45" s="1"/>
  <c r="E27" i="45"/>
  <c r="B28" i="45" s="1"/>
  <c r="C28" i="45" s="1"/>
  <c r="F44" i="43"/>
  <c r="I43" i="43"/>
  <c r="F42" i="42"/>
  <c r="I41" i="42"/>
  <c r="M17" i="24"/>
  <c r="H21" i="23"/>
  <c r="J21" i="23" s="1"/>
  <c r="G22" i="23" s="1"/>
  <c r="AH51" i="18"/>
  <c r="AH53" i="18" s="1"/>
  <c r="AH54" i="18" s="1"/>
  <c r="D23" i="18" s="1"/>
  <c r="AR16" i="18" s="1"/>
  <c r="AI53" i="18"/>
  <c r="AI54" i="18" s="1"/>
  <c r="AI8" i="18"/>
  <c r="AI9" i="18" s="1"/>
  <c r="E23" i="18"/>
  <c r="AM45" i="18"/>
  <c r="AP45" i="6"/>
  <c r="I56" i="46" l="1"/>
  <c r="I57" i="46"/>
  <c r="AR45" i="6"/>
  <c r="E147" i="45"/>
  <c r="B148" i="45" s="1"/>
  <c r="C148" i="45" s="1"/>
  <c r="C90" i="45"/>
  <c r="E90" i="45" s="1"/>
  <c r="B91" i="45" s="1"/>
  <c r="E28" i="45"/>
  <c r="B29" i="45" s="1"/>
  <c r="C29" i="45" s="1"/>
  <c r="I44" i="43"/>
  <c r="F45" i="43"/>
  <c r="H21" i="43" s="1"/>
  <c r="J21" i="43" s="1"/>
  <c r="G22" i="43" s="1"/>
  <c r="F43" i="42"/>
  <c r="I42" i="42"/>
  <c r="O17" i="24"/>
  <c r="M18" i="24"/>
  <c r="H22" i="23"/>
  <c r="J22" i="23" s="1"/>
  <c r="G23" i="23" s="1"/>
  <c r="D24" i="18"/>
  <c r="D30" i="18" s="1"/>
  <c r="D31" i="18" s="1"/>
  <c r="AS16" i="18"/>
  <c r="AT16" i="18" s="1"/>
  <c r="AL9" i="18"/>
  <c r="E24" i="18"/>
  <c r="AR28" i="18"/>
  <c r="C173" i="7"/>
  <c r="G162" i="7"/>
  <c r="G158" i="7"/>
  <c r="G153" i="7"/>
  <c r="F153" i="7"/>
  <c r="G146" i="7"/>
  <c r="G144" i="7"/>
  <c r="G139" i="7"/>
  <c r="G135" i="7"/>
  <c r="G126" i="7"/>
  <c r="G122" i="7"/>
  <c r="F235" i="7"/>
  <c r="G236" i="7" s="1"/>
  <c r="F232" i="7"/>
  <c r="N33" i="7"/>
  <c r="X31" i="7"/>
  <c r="U31" i="7"/>
  <c r="G33" i="7"/>
  <c r="X30" i="7"/>
  <c r="U30" i="7"/>
  <c r="G113" i="7"/>
  <c r="G116" i="7" s="1"/>
  <c r="F31" i="7"/>
  <c r="F33" i="7" s="1"/>
  <c r="X28" i="7"/>
  <c r="W28" i="7"/>
  <c r="U28" i="7"/>
  <c r="N29" i="7"/>
  <c r="N27" i="7"/>
  <c r="F225" i="7"/>
  <c r="G226" i="7" s="1"/>
  <c r="O26" i="7"/>
  <c r="G109" i="7"/>
  <c r="O25" i="7"/>
  <c r="F25" i="7"/>
  <c r="F228" i="7" s="1"/>
  <c r="G223" i="7"/>
  <c r="F222" i="7" s="1"/>
  <c r="O24" i="7"/>
  <c r="N24" i="7"/>
  <c r="G220" i="7"/>
  <c r="O21" i="7"/>
  <c r="N21" i="7"/>
  <c r="G219" i="7"/>
  <c r="O20" i="7"/>
  <c r="N20" i="7"/>
  <c r="G218" i="7"/>
  <c r="O19" i="7"/>
  <c r="F84" i="7"/>
  <c r="E83" i="7"/>
  <c r="E84" i="7" s="1"/>
  <c r="F214" i="7"/>
  <c r="G215" i="7" s="1"/>
  <c r="O15" i="7"/>
  <c r="N15" i="7"/>
  <c r="G82" i="7"/>
  <c r="G84" i="7" s="1"/>
  <c r="O14" i="7"/>
  <c r="N14" i="7"/>
  <c r="G96" i="7"/>
  <c r="F94" i="7" s="1"/>
  <c r="F96" i="7" s="1"/>
  <c r="E68" i="7"/>
  <c r="G212" i="7"/>
  <c r="F211" i="7" s="1"/>
  <c r="O13" i="7"/>
  <c r="N13" i="7"/>
  <c r="G66" i="7"/>
  <c r="O12" i="7"/>
  <c r="N12" i="7"/>
  <c r="G65" i="7"/>
  <c r="O11" i="7"/>
  <c r="N11" i="7"/>
  <c r="G64" i="7"/>
  <c r="O10" i="7"/>
  <c r="N10" i="7"/>
  <c r="F63" i="7"/>
  <c r="G63" i="7" s="1"/>
  <c r="G10" i="7"/>
  <c r="G15" i="7" s="1"/>
  <c r="F10" i="7"/>
  <c r="F15" i="7" s="1"/>
  <c r="O9" i="7"/>
  <c r="N9" i="7"/>
  <c r="O8" i="7"/>
  <c r="N8" i="7"/>
  <c r="G90" i="7"/>
  <c r="F90" i="7"/>
  <c r="F61" i="7"/>
  <c r="D61" i="7"/>
  <c r="D68" i="7" s="1"/>
  <c r="D69" i="7" s="1"/>
  <c r="F205" i="7"/>
  <c r="AC10" i="6"/>
  <c r="AB10" i="6"/>
  <c r="AC9" i="6"/>
  <c r="AB9" i="6"/>
  <c r="X106" i="6"/>
  <c r="X107" i="6" s="1"/>
  <c r="AC99" i="6"/>
  <c r="AD99" i="6" s="1"/>
  <c r="AC95" i="6"/>
  <c r="AD95" i="6" s="1"/>
  <c r="AC75" i="6"/>
  <c r="AP43" i="6"/>
  <c r="AP42" i="6"/>
  <c r="AC68" i="6"/>
  <c r="AL33" i="6"/>
  <c r="AM34" i="6" s="1"/>
  <c r="AP38" i="6"/>
  <c r="G33" i="6"/>
  <c r="F33" i="6"/>
  <c r="AC63" i="6"/>
  <c r="AD63" i="6" s="1"/>
  <c r="AP36" i="6"/>
  <c r="AL30" i="6"/>
  <c r="AM31" i="6" s="1"/>
  <c r="AP34" i="6"/>
  <c r="AC60" i="6"/>
  <c r="AD60" i="6" s="1"/>
  <c r="AP33" i="6"/>
  <c r="AC35" i="6"/>
  <c r="AB35" i="6"/>
  <c r="AD35" i="6" s="1"/>
  <c r="AP26" i="6"/>
  <c r="AQ25" i="6"/>
  <c r="AC29" i="6"/>
  <c r="AB29" i="6"/>
  <c r="AB27" i="6" s="1"/>
  <c r="AC40" i="6" s="1"/>
  <c r="M21" i="6"/>
  <c r="AB53" i="6" s="1"/>
  <c r="AM22" i="6"/>
  <c r="AQ24" i="6"/>
  <c r="AP24" i="6"/>
  <c r="AM21" i="6"/>
  <c r="AQ22" i="6"/>
  <c r="AP22" i="6"/>
  <c r="AQ21" i="6"/>
  <c r="AP21" i="6"/>
  <c r="AQ20" i="6"/>
  <c r="AP20" i="6"/>
  <c r="AC23" i="6"/>
  <c r="AQ19" i="6"/>
  <c r="AP19" i="6"/>
  <c r="AQ18" i="6"/>
  <c r="AP18" i="6"/>
  <c r="AQ16" i="6"/>
  <c r="AP16" i="6"/>
  <c r="AQ15" i="6"/>
  <c r="AP15" i="6"/>
  <c r="U14" i="6"/>
  <c r="AQ14" i="6"/>
  <c r="U13" i="6"/>
  <c r="AC17" i="6"/>
  <c r="AB17" i="6"/>
  <c r="T12" i="6"/>
  <c r="U12" i="6" s="1"/>
  <c r="AQ12" i="6"/>
  <c r="AB23" i="6"/>
  <c r="AD23" i="6" s="1"/>
  <c r="AQ11" i="6"/>
  <c r="AP11" i="6"/>
  <c r="T10" i="6"/>
  <c r="G38" i="6" s="1"/>
  <c r="S10" i="6"/>
  <c r="G37" i="6" s="1"/>
  <c r="AQ9" i="6"/>
  <c r="AP9" i="6"/>
  <c r="AQ8" i="6"/>
  <c r="AP8" i="6"/>
  <c r="AQ7" i="6"/>
  <c r="BS35" i="6" s="1"/>
  <c r="AP7" i="6"/>
  <c r="AQ36" i="5"/>
  <c r="AU33" i="5"/>
  <c r="H28" i="5"/>
  <c r="BO30" i="5"/>
  <c r="AE22" i="5"/>
  <c r="AD22" i="5"/>
  <c r="H11" i="5" s="1"/>
  <c r="AF21" i="5"/>
  <c r="AF20" i="5"/>
  <c r="H21" i="5"/>
  <c r="H23" i="5" s="1"/>
  <c r="G21" i="5"/>
  <c r="G23" i="5" s="1"/>
  <c r="AN18" i="5"/>
  <c r="AU34" i="5" s="1"/>
  <c r="AR18" i="5"/>
  <c r="AN17" i="5"/>
  <c r="AU28" i="5" s="1"/>
  <c r="AR17" i="5"/>
  <c r="AQ17" i="5"/>
  <c r="AN16" i="5"/>
  <c r="AU24" i="5" s="1"/>
  <c r="AR16" i="5"/>
  <c r="AQ16" i="5"/>
  <c r="AF14" i="5"/>
  <c r="AR15" i="5"/>
  <c r="AQ15" i="5"/>
  <c r="AR14" i="5"/>
  <c r="AQ14" i="5"/>
  <c r="AR13" i="5"/>
  <c r="AQ13" i="5"/>
  <c r="AR12" i="5"/>
  <c r="AQ12" i="5"/>
  <c r="AM11" i="5"/>
  <c r="AT10" i="5" s="1"/>
  <c r="P11" i="5"/>
  <c r="AR10" i="5"/>
  <c r="AQ10" i="5"/>
  <c r="AF8" i="5"/>
  <c r="AE8" i="5"/>
  <c r="X10" i="5"/>
  <c r="AR9" i="5"/>
  <c r="AQ9" i="5"/>
  <c r="X9" i="5"/>
  <c r="CI10" i="5"/>
  <c r="V8" i="5"/>
  <c r="X8" i="5" s="1"/>
  <c r="AM7" i="5"/>
  <c r="AR7" i="5"/>
  <c r="AQ7" i="5"/>
  <c r="W6" i="5"/>
  <c r="X16" i="5" s="1"/>
  <c r="X19" i="5" s="1"/>
  <c r="V6" i="5"/>
  <c r="AW19" i="9"/>
  <c r="AW16" i="9"/>
  <c r="BT29" i="9"/>
  <c r="AG28" i="9"/>
  <c r="AG27" i="9"/>
  <c r="AG26" i="9"/>
  <c r="AG25" i="9"/>
  <c r="AG22" i="9"/>
  <c r="N22" i="9"/>
  <c r="M22" i="9"/>
  <c r="AG20" i="9"/>
  <c r="AH19" i="9"/>
  <c r="AT19" i="9" s="1"/>
  <c r="AH18" i="9"/>
  <c r="AT18" i="9" s="1"/>
  <c r="AG18" i="9"/>
  <c r="AS18" i="9" s="1"/>
  <c r="H20" i="9"/>
  <c r="AH17" i="9"/>
  <c r="AT17" i="9" s="1"/>
  <c r="AG17" i="9"/>
  <c r="AS17" i="9" s="1"/>
  <c r="AD15" i="9"/>
  <c r="G19" i="9"/>
  <c r="AB14" i="9"/>
  <c r="AD14" i="9" s="1"/>
  <c r="AH15" i="9"/>
  <c r="AT15" i="9" s="1"/>
  <c r="AG15" i="9"/>
  <c r="AS15" i="9" s="1"/>
  <c r="AB13" i="9"/>
  <c r="AD13" i="9" s="1"/>
  <c r="AH13" i="9"/>
  <c r="AT13" i="9" s="1"/>
  <c r="AG13" i="9"/>
  <c r="AS13" i="9" s="1"/>
  <c r="AB12" i="9"/>
  <c r="AD12" i="9" s="1"/>
  <c r="AH12" i="9"/>
  <c r="AT12" i="9" s="1"/>
  <c r="AG12" i="9"/>
  <c r="AS12" i="9" s="1"/>
  <c r="AH16" i="9"/>
  <c r="AT16" i="9" s="1"/>
  <c r="AG16" i="9"/>
  <c r="AS16" i="9" s="1"/>
  <c r="H14" i="9"/>
  <c r="G14" i="9"/>
  <c r="AW22" i="9"/>
  <c r="AH11" i="9"/>
  <c r="AT11" i="9" s="1"/>
  <c r="AG11" i="9"/>
  <c r="AS11" i="9" s="1"/>
  <c r="AC10" i="9"/>
  <c r="AB10" i="9"/>
  <c r="T10" i="9"/>
  <c r="AH9" i="9"/>
  <c r="AT9" i="9" s="1"/>
  <c r="AG9" i="9"/>
  <c r="AS9" i="9" s="1"/>
  <c r="T9" i="9"/>
  <c r="AH6" i="9"/>
  <c r="AT6" i="9" s="1"/>
  <c r="AG6" i="9"/>
  <c r="AS6" i="9" s="1"/>
  <c r="AH5" i="9"/>
  <c r="AT5" i="9" s="1"/>
  <c r="AG5" i="9"/>
  <c r="AS5" i="9" s="1"/>
  <c r="AI36" i="10"/>
  <c r="T25" i="10"/>
  <c r="AE25" i="10" s="1"/>
  <c r="T24" i="10"/>
  <c r="V24" i="10" s="1"/>
  <c r="T23" i="10"/>
  <c r="V23" i="10" s="1"/>
  <c r="T22" i="10"/>
  <c r="AE22" i="10" s="1"/>
  <c r="K20" i="10"/>
  <c r="J20" i="10"/>
  <c r="T20" i="10"/>
  <c r="AE20" i="10" s="1"/>
  <c r="T19" i="10"/>
  <c r="V19" i="10" s="1"/>
  <c r="T18" i="10"/>
  <c r="V18" i="10" s="1"/>
  <c r="AH16" i="10"/>
  <c r="AH35" i="10" s="1"/>
  <c r="U17" i="10"/>
  <c r="AF17" i="10" s="1"/>
  <c r="F16" i="10"/>
  <c r="F21" i="10" s="1"/>
  <c r="E16" i="10"/>
  <c r="E21" i="10" s="1"/>
  <c r="U16" i="10"/>
  <c r="T16" i="10"/>
  <c r="AE16" i="10" s="1"/>
  <c r="K52" i="10"/>
  <c r="K15" i="10"/>
  <c r="J15" i="10"/>
  <c r="U15" i="10"/>
  <c r="AF15" i="10" s="1"/>
  <c r="T15" i="10"/>
  <c r="J51" i="10"/>
  <c r="K51" i="10" s="1"/>
  <c r="T21" i="10"/>
  <c r="V21" i="10" s="1"/>
  <c r="U14" i="10"/>
  <c r="T14" i="10"/>
  <c r="AE14" i="10" s="1"/>
  <c r="K50" i="10"/>
  <c r="I31" i="10"/>
  <c r="U13" i="10"/>
  <c r="AF13" i="10" s="1"/>
  <c r="T13" i="10"/>
  <c r="AE13" i="10" s="1"/>
  <c r="U12" i="10"/>
  <c r="T12" i="10"/>
  <c r="AE12" i="10" s="1"/>
  <c r="J48" i="10"/>
  <c r="I48" i="10"/>
  <c r="U11" i="10"/>
  <c r="AF11" i="10" s="1"/>
  <c r="T11" i="10"/>
  <c r="U10" i="10"/>
  <c r="T10" i="10"/>
  <c r="AE10" i="10" s="1"/>
  <c r="U9" i="10"/>
  <c r="AF9" i="10" s="1"/>
  <c r="T9" i="10"/>
  <c r="U8" i="10"/>
  <c r="AF8" i="10" s="1"/>
  <c r="BI26" i="10" s="1"/>
  <c r="I75" i="10" s="1"/>
  <c r="T8" i="10"/>
  <c r="AU19" i="11"/>
  <c r="AU21" i="11" s="1"/>
  <c r="AS18" i="11"/>
  <c r="H17" i="11"/>
  <c r="G17" i="11"/>
  <c r="AS13" i="11"/>
  <c r="H13" i="11"/>
  <c r="G13" i="11"/>
  <c r="D13" i="11"/>
  <c r="D18" i="11" s="1"/>
  <c r="C13" i="11"/>
  <c r="C18" i="11" s="1"/>
  <c r="K8" i="11"/>
  <c r="G244" i="7" l="1"/>
  <c r="AS12" i="7"/>
  <c r="G242" i="7"/>
  <c r="Q11" i="7"/>
  <c r="AS13" i="7"/>
  <c r="G243" i="7"/>
  <c r="AS15" i="7"/>
  <c r="G246" i="7"/>
  <c r="AS16" i="7"/>
  <c r="G245" i="7"/>
  <c r="AS14" i="7"/>
  <c r="G233" i="7"/>
  <c r="G47" i="7"/>
  <c r="N31" i="7" s="1"/>
  <c r="P31" i="7" s="1"/>
  <c r="G46" i="7"/>
  <c r="N30" i="7" s="1"/>
  <c r="P30" i="7" s="1"/>
  <c r="G42" i="7"/>
  <c r="N28" i="7" s="1"/>
  <c r="E173" i="7"/>
  <c r="D173" i="7"/>
  <c r="G89" i="7"/>
  <c r="P17" i="7"/>
  <c r="P11" i="7"/>
  <c r="P12" i="7"/>
  <c r="P13" i="7"/>
  <c r="P18" i="7"/>
  <c r="P33" i="7"/>
  <c r="P9" i="7"/>
  <c r="P10" i="7"/>
  <c r="P15" i="7"/>
  <c r="P21" i="7"/>
  <c r="P27" i="7"/>
  <c r="P29" i="7"/>
  <c r="P14" i="7"/>
  <c r="P19" i="7"/>
  <c r="P20" i="7"/>
  <c r="P8" i="7"/>
  <c r="P24" i="7"/>
  <c r="F107" i="7"/>
  <c r="F109" i="7" s="1"/>
  <c r="AC15" i="6"/>
  <c r="AE17" i="6"/>
  <c r="AB33" i="6"/>
  <c r="AB34" i="6" s="1"/>
  <c r="AE35" i="6"/>
  <c r="AC22" i="6"/>
  <c r="AE23" i="6"/>
  <c r="AC141" i="6"/>
  <c r="AE10" i="6"/>
  <c r="AC27" i="6"/>
  <c r="AC38" i="6" s="1"/>
  <c r="AC41" i="6" s="1"/>
  <c r="AE29" i="6"/>
  <c r="AB15" i="6"/>
  <c r="AD17" i="6"/>
  <c r="AB141" i="6"/>
  <c r="AD10" i="6"/>
  <c r="AB140" i="6"/>
  <c r="AD9" i="6"/>
  <c r="AC140" i="6"/>
  <c r="AE9" i="6"/>
  <c r="AD88" i="6"/>
  <c r="AR24" i="6"/>
  <c r="AR38" i="6"/>
  <c r="AR11" i="6"/>
  <c r="AR7" i="6"/>
  <c r="AR8" i="6"/>
  <c r="AR22" i="6"/>
  <c r="AR21" i="6"/>
  <c r="AR19" i="6"/>
  <c r="AR20" i="6"/>
  <c r="AR26" i="6"/>
  <c r="AR42" i="6"/>
  <c r="AR15" i="6"/>
  <c r="AR16" i="6"/>
  <c r="AR18" i="6"/>
  <c r="AR36" i="6"/>
  <c r="AR43" i="6"/>
  <c r="AR33" i="6"/>
  <c r="AR34" i="6"/>
  <c r="AR9" i="6"/>
  <c r="AC34" i="6"/>
  <c r="AS7" i="5"/>
  <c r="AS17" i="5"/>
  <c r="AV17" i="5" s="1"/>
  <c r="BR17" i="5" s="1"/>
  <c r="AS14" i="5"/>
  <c r="AV14" i="5" s="1"/>
  <c r="BR14" i="5" s="1"/>
  <c r="AS13" i="5"/>
  <c r="AV13" i="5" s="1"/>
  <c r="AS34" i="5"/>
  <c r="AV34" i="5" s="1"/>
  <c r="BH34" i="5" s="1"/>
  <c r="AS27" i="5"/>
  <c r="AS20" i="5"/>
  <c r="AS36" i="5"/>
  <c r="AS10" i="5"/>
  <c r="AS24" i="5"/>
  <c r="AV24" i="5" s="1"/>
  <c r="BH24" i="5" s="1"/>
  <c r="AS38" i="5"/>
  <c r="AS23" i="5"/>
  <c r="AV23" i="5" s="1"/>
  <c r="AS37" i="5"/>
  <c r="AS30" i="5"/>
  <c r="AS31" i="5"/>
  <c r="AS9" i="5"/>
  <c r="AS15" i="5"/>
  <c r="AV15" i="5" s="1"/>
  <c r="AS22" i="5"/>
  <c r="AS32" i="5"/>
  <c r="AS12" i="5"/>
  <c r="AV12" i="5" s="1"/>
  <c r="BR12" i="5" s="1"/>
  <c r="AS26" i="5"/>
  <c r="AS33" i="5"/>
  <c r="AV33" i="5" s="1"/>
  <c r="BH33" i="5" s="1"/>
  <c r="AS16" i="5"/>
  <c r="AS28" i="5"/>
  <c r="AV28" i="5" s="1"/>
  <c r="BH28" i="5" s="1"/>
  <c r="AE12" i="5"/>
  <c r="AE14" i="5" s="1"/>
  <c r="AG14" i="5" s="1"/>
  <c r="G7" i="5"/>
  <c r="G9" i="5" s="1"/>
  <c r="H7" i="5"/>
  <c r="AR11" i="5"/>
  <c r="AG22" i="5"/>
  <c r="E148" i="45"/>
  <c r="B149" i="45" s="1"/>
  <c r="C149" i="45" s="1"/>
  <c r="C91" i="45"/>
  <c r="K84" i="45" s="1"/>
  <c r="E29" i="45"/>
  <c r="B30" i="45" s="1"/>
  <c r="C30" i="45" s="1"/>
  <c r="H22" i="43"/>
  <c r="J22" i="43" s="1"/>
  <c r="G23" i="43" s="1"/>
  <c r="I43" i="42"/>
  <c r="F44" i="42"/>
  <c r="H20" i="42" s="1"/>
  <c r="J20" i="42" s="1"/>
  <c r="G21" i="42" s="1"/>
  <c r="AU9" i="9"/>
  <c r="AU17" i="9"/>
  <c r="AU6" i="9"/>
  <c r="AU16" i="9"/>
  <c r="AU15" i="9"/>
  <c r="AU11" i="9"/>
  <c r="AU12" i="9"/>
  <c r="AI26" i="9"/>
  <c r="AS26" i="9"/>
  <c r="AU26" i="9" s="1"/>
  <c r="AI20" i="9"/>
  <c r="AS20" i="9"/>
  <c r="AU20" i="9" s="1"/>
  <c r="AI27" i="9"/>
  <c r="AS27" i="9"/>
  <c r="AU27" i="9" s="1"/>
  <c r="AU13" i="9"/>
  <c r="AI28" i="9"/>
  <c r="AS28" i="9"/>
  <c r="AU28" i="9" s="1"/>
  <c r="AI22" i="9"/>
  <c r="AS22" i="9"/>
  <c r="AU22" i="9" s="1"/>
  <c r="AU18" i="9"/>
  <c r="AI25" i="9"/>
  <c r="AS25" i="9"/>
  <c r="AU25" i="9" s="1"/>
  <c r="AU5" i="9"/>
  <c r="AG23" i="9"/>
  <c r="AU7" i="9"/>
  <c r="AW24" i="9"/>
  <c r="AW9" i="9"/>
  <c r="AW26" i="9"/>
  <c r="G20" i="9"/>
  <c r="G23" i="9" s="1"/>
  <c r="AG10" i="9"/>
  <c r="H23" i="23"/>
  <c r="BL16" i="18"/>
  <c r="H23" i="9"/>
  <c r="G161" i="7"/>
  <c r="AD70" i="6"/>
  <c r="H29" i="5"/>
  <c r="AN12" i="5"/>
  <c r="AU38" i="5" s="1"/>
  <c r="CI11" i="5"/>
  <c r="AF22" i="5"/>
  <c r="AN22" i="5"/>
  <c r="AM21" i="5" s="1"/>
  <c r="AT18" i="5" s="1"/>
  <c r="AU19" i="5" s="1"/>
  <c r="X6" i="5"/>
  <c r="AT8" i="5"/>
  <c r="AM15" i="5"/>
  <c r="AT11" i="5" s="1"/>
  <c r="P22" i="5"/>
  <c r="V11" i="5"/>
  <c r="AI9" i="9"/>
  <c r="AI8" i="9"/>
  <c r="AI12" i="9"/>
  <c r="AI17" i="9"/>
  <c r="AD10" i="9"/>
  <c r="AI16" i="9"/>
  <c r="AB16" i="9"/>
  <c r="AB28" i="9" s="1"/>
  <c r="M15" i="9"/>
  <c r="AI18" i="9"/>
  <c r="N15" i="9"/>
  <c r="AI13" i="9"/>
  <c r="AI15" i="9"/>
  <c r="T14" i="9"/>
  <c r="T16" i="9" s="1"/>
  <c r="AG24" i="9"/>
  <c r="AI6" i="9"/>
  <c r="AH29" i="9"/>
  <c r="AI11" i="9"/>
  <c r="AI5" i="9"/>
  <c r="G18" i="11"/>
  <c r="H18" i="11"/>
  <c r="V8" i="10"/>
  <c r="AE19" i="10"/>
  <c r="AG19" i="10" s="1"/>
  <c r="AJ19" i="10" s="1"/>
  <c r="AP19" i="10" s="1"/>
  <c r="V25" i="10"/>
  <c r="V14" i="10"/>
  <c r="I35" i="10"/>
  <c r="I37" i="10" s="1"/>
  <c r="J21" i="10"/>
  <c r="V16" i="10"/>
  <c r="AE24" i="10"/>
  <c r="AG24" i="10" s="1"/>
  <c r="AJ24" i="10" s="1"/>
  <c r="AP24" i="10" s="1"/>
  <c r="AF14" i="10"/>
  <c r="AG14" i="10" s="1"/>
  <c r="AJ14" i="10" s="1"/>
  <c r="AP14" i="10" s="1"/>
  <c r="BM14" i="10" s="1"/>
  <c r="AE23" i="10"/>
  <c r="AG23" i="10" s="1"/>
  <c r="AJ23" i="10" s="1"/>
  <c r="AP23" i="10" s="1"/>
  <c r="V10" i="10"/>
  <c r="AF16" i="10"/>
  <c r="AG16" i="10" s="1"/>
  <c r="AJ16" i="10" s="1"/>
  <c r="AP16" i="10" s="1"/>
  <c r="AG13" i="10"/>
  <c r="AJ13" i="10" s="1"/>
  <c r="AP13" i="10" s="1"/>
  <c r="AG20" i="10"/>
  <c r="AJ20" i="10" s="1"/>
  <c r="AP20" i="10" s="1"/>
  <c r="AE18" i="10"/>
  <c r="AG18" i="10" s="1"/>
  <c r="AJ18" i="10" s="1"/>
  <c r="AP18" i="10" s="1"/>
  <c r="AE8" i="10"/>
  <c r="AG8" i="10" s="1"/>
  <c r="AF10" i="10"/>
  <c r="AG10" i="10" s="1"/>
  <c r="AJ10" i="10" s="1"/>
  <c r="AP10" i="10" s="1"/>
  <c r="V9" i="10"/>
  <c r="V13" i="10"/>
  <c r="K21" i="10"/>
  <c r="V20" i="10"/>
  <c r="V22" i="10"/>
  <c r="AE15" i="10"/>
  <c r="AG15" i="10" s="1"/>
  <c r="AJ15" i="10" s="1"/>
  <c r="AP15" i="10" s="1"/>
  <c r="V15" i="10"/>
  <c r="AF12" i="10"/>
  <c r="AG12" i="10" s="1"/>
  <c r="V12" i="10"/>
  <c r="I53" i="10"/>
  <c r="K48" i="10"/>
  <c r="AE11" i="10"/>
  <c r="AG11" i="10" s="1"/>
  <c r="AJ11" i="10" s="1"/>
  <c r="AP11" i="10" s="1"/>
  <c r="AE21" i="10"/>
  <c r="AG21" i="10" s="1"/>
  <c r="AJ21" i="10" s="1"/>
  <c r="AP21" i="10" s="1"/>
  <c r="U26" i="10"/>
  <c r="V11" i="10"/>
  <c r="AG25" i="10"/>
  <c r="AJ25" i="10" s="1"/>
  <c r="AP25" i="10" s="1"/>
  <c r="AE9" i="10"/>
  <c r="AG22" i="10"/>
  <c r="F89" i="7"/>
  <c r="G140" i="7"/>
  <c r="F208" i="7"/>
  <c r="G209" i="7" s="1"/>
  <c r="G127" i="7"/>
  <c r="G145" i="7"/>
  <c r="AL33" i="7"/>
  <c r="G67" i="7"/>
  <c r="F217" i="7"/>
  <c r="C174" i="7"/>
  <c r="G206" i="7"/>
  <c r="G61" i="7"/>
  <c r="E69" i="7"/>
  <c r="N25" i="7"/>
  <c r="P25" i="7" s="1"/>
  <c r="F229" i="7"/>
  <c r="G230" i="7" s="1"/>
  <c r="N23" i="7"/>
  <c r="P23" i="7" s="1"/>
  <c r="AD29" i="6"/>
  <c r="AB7" i="6"/>
  <c r="U15" i="6"/>
  <c r="AL27" i="6"/>
  <c r="AM28" i="6" s="1"/>
  <c r="AM45" i="6" s="1"/>
  <c r="CA18" i="6" s="1"/>
  <c r="CI18" i="6" s="1"/>
  <c r="M17" i="6"/>
  <c r="X108" i="6"/>
  <c r="AP39" i="6"/>
  <c r="AB11" i="6"/>
  <c r="U10" i="6"/>
  <c r="AC11" i="6"/>
  <c r="AP40" i="6"/>
  <c r="AC7" i="6"/>
  <c r="S16" i="6"/>
  <c r="G39" i="6" s="1"/>
  <c r="AP28" i="6"/>
  <c r="AB21" i="6"/>
  <c r="AB22" i="6" s="1"/>
  <c r="AS10" i="7" l="1"/>
  <c r="G240" i="7"/>
  <c r="AS11" i="7"/>
  <c r="G241" i="7"/>
  <c r="R12" i="7"/>
  <c r="Q27" i="7"/>
  <c r="R24" i="7"/>
  <c r="R28" i="7"/>
  <c r="Q25" i="7"/>
  <c r="Q17" i="7"/>
  <c r="R22" i="7"/>
  <c r="R30" i="7"/>
  <c r="Q20" i="7"/>
  <c r="R7" i="7"/>
  <c r="Q26" i="7"/>
  <c r="R19" i="7"/>
  <c r="R33" i="7"/>
  <c r="R16" i="7"/>
  <c r="R26" i="7"/>
  <c r="Q22" i="7"/>
  <c r="Q32" i="7"/>
  <c r="Q14" i="7"/>
  <c r="R8" i="7"/>
  <c r="Q13" i="7"/>
  <c r="Q29" i="7"/>
  <c r="Q33" i="7"/>
  <c r="R14" i="7"/>
  <c r="P25" i="5"/>
  <c r="P28" i="5" s="1"/>
  <c r="R27" i="7"/>
  <c r="Q28" i="7"/>
  <c r="Q9" i="7"/>
  <c r="Q24" i="7"/>
  <c r="R10" i="7"/>
  <c r="R31" i="7"/>
  <c r="R23" i="7"/>
  <c r="R21" i="7"/>
  <c r="R13" i="7"/>
  <c r="Q16" i="7"/>
  <c r="R11" i="7"/>
  <c r="R9" i="7"/>
  <c r="R15" i="7"/>
  <c r="R18" i="7"/>
  <c r="Q31" i="7"/>
  <c r="Q12" i="7"/>
  <c r="R32" i="7"/>
  <c r="Q18" i="7"/>
  <c r="Q8" i="7"/>
  <c r="Q10" i="7"/>
  <c r="R20" i="7"/>
  <c r="R29" i="7"/>
  <c r="R25" i="7"/>
  <c r="Q23" i="7"/>
  <c r="Q19" i="7"/>
  <c r="Q7" i="7"/>
  <c r="Q21" i="7"/>
  <c r="R17" i="7"/>
  <c r="Q15" i="7"/>
  <c r="Q30" i="7"/>
  <c r="G43" i="7"/>
  <c r="G48" i="7" s="1"/>
  <c r="E174" i="7"/>
  <c r="D174" i="7"/>
  <c r="G198" i="7" s="1"/>
  <c r="F173" i="7"/>
  <c r="E183" i="7" s="1"/>
  <c r="P28" i="7"/>
  <c r="AB55" i="6"/>
  <c r="AC53" i="6"/>
  <c r="AC55" i="6" s="1"/>
  <c r="AC45" i="6" s="1"/>
  <c r="AC47" i="6" s="1"/>
  <c r="F9" i="6" s="1"/>
  <c r="AR28" i="6"/>
  <c r="AR39" i="6"/>
  <c r="AR40" i="6"/>
  <c r="BR15" i="5"/>
  <c r="BX15" i="5" s="1"/>
  <c r="BA15" i="5"/>
  <c r="BH15" i="5" s="1"/>
  <c r="BR23" i="5"/>
  <c r="BV23" i="5" s="1"/>
  <c r="AZ23" i="5"/>
  <c r="BR24" i="5"/>
  <c r="BR28" i="5"/>
  <c r="BR33" i="5"/>
  <c r="BR34" i="5"/>
  <c r="AY13" i="5"/>
  <c r="BH13" i="5" s="1"/>
  <c r="BR13" i="5"/>
  <c r="BU13" i="5" s="1"/>
  <c r="AX12" i="5"/>
  <c r="BH12" i="5" s="1"/>
  <c r="BC17" i="5"/>
  <c r="BH17" i="5" s="1"/>
  <c r="BV14" i="5"/>
  <c r="AZ14" i="5"/>
  <c r="BH14" i="5" s="1"/>
  <c r="AV22" i="5"/>
  <c r="AV26" i="5"/>
  <c r="AV16" i="5"/>
  <c r="AV37" i="5"/>
  <c r="AV10" i="5"/>
  <c r="BH10" i="5" s="1"/>
  <c r="AV38" i="5"/>
  <c r="BH38" i="5" s="1"/>
  <c r="AV36" i="5"/>
  <c r="AV31" i="5"/>
  <c r="AV32" i="5"/>
  <c r="AV27" i="5"/>
  <c r="AV20" i="5"/>
  <c r="AV9" i="5"/>
  <c r="BR9" i="5" s="1"/>
  <c r="AV30" i="5"/>
  <c r="AQ8" i="5"/>
  <c r="H9" i="5"/>
  <c r="H12" i="5" s="1"/>
  <c r="H30" i="5" s="1"/>
  <c r="AR8" i="5"/>
  <c r="AG8" i="5"/>
  <c r="G11" i="5"/>
  <c r="AQ11" i="5" s="1"/>
  <c r="J79" i="45"/>
  <c r="L79" i="45" s="1"/>
  <c r="K86" i="45"/>
  <c r="E91" i="45"/>
  <c r="J73" i="45" s="1"/>
  <c r="E30" i="45"/>
  <c r="B31" i="45" s="1"/>
  <c r="C31" i="45" s="1"/>
  <c r="H23" i="43"/>
  <c r="J23" i="43" s="1"/>
  <c r="G24" i="43" s="1"/>
  <c r="H21" i="42"/>
  <c r="J21" i="42" s="1"/>
  <c r="G22" i="42" s="1"/>
  <c r="AV28" i="9"/>
  <c r="CA14" i="9"/>
  <c r="AV10" i="9"/>
  <c r="CA15" i="9"/>
  <c r="AI23" i="9"/>
  <c r="AS23" i="9"/>
  <c r="AU23" i="9" s="1"/>
  <c r="AI10" i="9"/>
  <c r="AS10" i="9"/>
  <c r="AU10" i="9" s="1"/>
  <c r="AI24" i="9"/>
  <c r="AS24" i="9"/>
  <c r="AU24" i="9" s="1"/>
  <c r="T18" i="9"/>
  <c r="CA8" i="9" s="1"/>
  <c r="AO29" i="9"/>
  <c r="AT29" i="9"/>
  <c r="M18" i="9"/>
  <c r="M23" i="9" s="1"/>
  <c r="N18" i="9"/>
  <c r="N23" i="9" s="1"/>
  <c r="AR10" i="10"/>
  <c r="BO10" i="10" s="1"/>
  <c r="I39" i="10"/>
  <c r="J49" i="10" s="1"/>
  <c r="K49" i="10" s="1"/>
  <c r="K53" i="10" s="1"/>
  <c r="AQ18" i="10"/>
  <c r="BN18" i="10" s="1"/>
  <c r="AR19" i="10"/>
  <c r="BO19" i="10" s="1"/>
  <c r="J23" i="23"/>
  <c r="G24" i="23" s="1"/>
  <c r="H24" i="23" s="1"/>
  <c r="N7" i="23"/>
  <c r="P7" i="23" s="1"/>
  <c r="M8" i="23" s="1"/>
  <c r="D57" i="23" s="1"/>
  <c r="CI12" i="5"/>
  <c r="AN23" i="5"/>
  <c r="BT12" i="5"/>
  <c r="CI18" i="5" s="1"/>
  <c r="AM23" i="5"/>
  <c r="AU39" i="5"/>
  <c r="G26" i="5"/>
  <c r="V13" i="5" s="1"/>
  <c r="AT39" i="5"/>
  <c r="AP29" i="9"/>
  <c r="BM19" i="10"/>
  <c r="BM20" i="10"/>
  <c r="AF26" i="10"/>
  <c r="AT20" i="10"/>
  <c r="AR14" i="10"/>
  <c r="BO14" i="10" s="1"/>
  <c r="CA16" i="10" s="1"/>
  <c r="BM13" i="10"/>
  <c r="AT13" i="10"/>
  <c r="AV23" i="10"/>
  <c r="BM24" i="10"/>
  <c r="AS24" i="10"/>
  <c r="BM23" i="10"/>
  <c r="AG9" i="10"/>
  <c r="AJ9" i="10" s="1"/>
  <c r="AP9" i="10" s="1"/>
  <c r="AV21" i="10"/>
  <c r="BM21" i="10"/>
  <c r="BM11" i="10"/>
  <c r="AS11" i="10"/>
  <c r="BP11" i="10" s="1"/>
  <c r="CA14" i="10" s="1"/>
  <c r="BM18" i="10"/>
  <c r="BM25" i="10"/>
  <c r="AU25" i="10"/>
  <c r="BM15" i="10"/>
  <c r="AU15" i="10"/>
  <c r="AI22" i="10"/>
  <c r="AJ22" i="10" s="1"/>
  <c r="AP22" i="10" s="1"/>
  <c r="AZ22" i="10" s="1"/>
  <c r="BM16" i="10"/>
  <c r="AX16" i="10"/>
  <c r="AJ8" i="10"/>
  <c r="BM10" i="10"/>
  <c r="C175" i="7"/>
  <c r="F237" i="7"/>
  <c r="G237" i="7"/>
  <c r="AP35" i="6"/>
  <c r="X109" i="6"/>
  <c r="AL10" i="6"/>
  <c r="AM11" i="6" s="1"/>
  <c r="AM40" i="6" s="1"/>
  <c r="CA13" i="6" s="1"/>
  <c r="M10" i="6"/>
  <c r="M23" i="6"/>
  <c r="AL7" i="6"/>
  <c r="L73" i="45" l="1"/>
  <c r="E21" i="46"/>
  <c r="BK6" i="55"/>
  <c r="BS6" i="55" s="1"/>
  <c r="CI13" i="6"/>
  <c r="G247" i="7"/>
  <c r="W7" i="5"/>
  <c r="X7" i="5" s="1"/>
  <c r="X11" i="5" s="1"/>
  <c r="CI7" i="5"/>
  <c r="G23" i="7"/>
  <c r="F174" i="7"/>
  <c r="E184" i="7" s="1"/>
  <c r="G193" i="7" s="1"/>
  <c r="D175" i="7"/>
  <c r="E175" i="7"/>
  <c r="S31" i="7"/>
  <c r="S18" i="7"/>
  <c r="S20" i="7"/>
  <c r="S29" i="7"/>
  <c r="S12" i="7"/>
  <c r="S8" i="7"/>
  <c r="S21" i="7"/>
  <c r="S15" i="7"/>
  <c r="S30" i="7"/>
  <c r="S24" i="7"/>
  <c r="S14" i="7"/>
  <c r="S10" i="7"/>
  <c r="S27" i="7"/>
  <c r="S11" i="7"/>
  <c r="S23" i="7"/>
  <c r="S9" i="7"/>
  <c r="S25" i="7"/>
  <c r="S17" i="7"/>
  <c r="S13" i="7"/>
  <c r="S28" i="7"/>
  <c r="S33" i="7"/>
  <c r="S16" i="7"/>
  <c r="S19" i="7"/>
  <c r="S7" i="7"/>
  <c r="F10" i="6"/>
  <c r="AP10" i="6"/>
  <c r="AR10" i="6" s="1"/>
  <c r="AR35" i="6"/>
  <c r="BR16" i="5"/>
  <c r="BW16" i="5" s="1"/>
  <c r="BW39" i="5" s="1"/>
  <c r="BH16" i="5"/>
  <c r="CI21" i="5"/>
  <c r="BX39" i="5"/>
  <c r="CI20" i="5"/>
  <c r="BA23" i="5"/>
  <c r="BH23" i="5" s="1"/>
  <c r="AW20" i="5"/>
  <c r="AZ27" i="5"/>
  <c r="BA27" i="5" s="1"/>
  <c r="AZ32" i="5"/>
  <c r="AZ31" i="5"/>
  <c r="BR38" i="5"/>
  <c r="BU38" i="5" s="1"/>
  <c r="BG36" i="5"/>
  <c r="BH36" i="5" s="1"/>
  <c r="BR36" i="5"/>
  <c r="BR10" i="5"/>
  <c r="BR20" i="5"/>
  <c r="BS20" i="5" s="1"/>
  <c r="AY37" i="5"/>
  <c r="BH37" i="5" s="1"/>
  <c r="BR37" i="5"/>
  <c r="BU37" i="5" s="1"/>
  <c r="BR27" i="5"/>
  <c r="BV27" i="5" s="1"/>
  <c r="BC39" i="5"/>
  <c r="BO22" i="5" s="1"/>
  <c r="AX30" i="5"/>
  <c r="BH30" i="5" s="1"/>
  <c r="BR30" i="5"/>
  <c r="BT30" i="5" s="1"/>
  <c r="BR32" i="5"/>
  <c r="BV32" i="5" s="1"/>
  <c r="AX26" i="5"/>
  <c r="BH26" i="5" s="1"/>
  <c r="BR26" i="5"/>
  <c r="BT26" i="5" s="1"/>
  <c r="BR31" i="5"/>
  <c r="BV31" i="5" s="1"/>
  <c r="AX22" i="5"/>
  <c r="BH22" i="5" s="1"/>
  <c r="BR22" i="5"/>
  <c r="BT22" i="5" s="1"/>
  <c r="BT9" i="5"/>
  <c r="AX9" i="5"/>
  <c r="BH9" i="5" s="1"/>
  <c r="AS8" i="5"/>
  <c r="AV8" i="5" s="1"/>
  <c r="BR8" i="5" s="1"/>
  <c r="AS11" i="5"/>
  <c r="AV11" i="5" s="1"/>
  <c r="BR11" i="5" s="1"/>
  <c r="G12" i="5"/>
  <c r="AR39" i="5"/>
  <c r="E149" i="45"/>
  <c r="L132" i="45" s="1"/>
  <c r="O132" i="45" s="1"/>
  <c r="J138" i="45"/>
  <c r="L138" i="45" s="1"/>
  <c r="O138" i="45" s="1"/>
  <c r="R138" i="45" s="1"/>
  <c r="R140" i="45" s="1"/>
  <c r="K145" i="45"/>
  <c r="O79" i="45"/>
  <c r="P79" i="45" s="1"/>
  <c r="P81" i="45" s="1"/>
  <c r="B92" i="45"/>
  <c r="E31" i="45"/>
  <c r="B32" i="45" s="1"/>
  <c r="H24" i="43"/>
  <c r="J24" i="43" s="1"/>
  <c r="G25" i="43" s="1"/>
  <c r="H22" i="42"/>
  <c r="J22" i="42" s="1"/>
  <c r="G23" i="42" s="1"/>
  <c r="H23" i="42" s="1"/>
  <c r="J23" i="42" s="1"/>
  <c r="G24" i="42" s="1"/>
  <c r="AG19" i="9"/>
  <c r="AS19" i="9" s="1"/>
  <c r="AU19" i="9" s="1"/>
  <c r="AU29" i="9" s="1"/>
  <c r="AC11" i="9"/>
  <c r="AD11" i="9" s="1"/>
  <c r="AD16" i="9" s="1"/>
  <c r="AD28" i="9" s="1"/>
  <c r="AX6" i="9"/>
  <c r="N26" i="9"/>
  <c r="M26" i="9"/>
  <c r="T17" i="10"/>
  <c r="T26" i="10" s="1"/>
  <c r="CA7" i="10"/>
  <c r="AZ20" i="10"/>
  <c r="BQ20" i="10"/>
  <c r="AZ25" i="10"/>
  <c r="BR25" i="10"/>
  <c r="AZ24" i="10"/>
  <c r="BP24" i="10"/>
  <c r="BP26" i="10" s="1"/>
  <c r="AZ23" i="10"/>
  <c r="BS23" i="10"/>
  <c r="AZ13" i="10"/>
  <c r="BQ13" i="10"/>
  <c r="CA15" i="10" s="1"/>
  <c r="AZ15" i="10"/>
  <c r="BR15" i="10"/>
  <c r="CA17" i="10" s="1"/>
  <c r="AZ21" i="10"/>
  <c r="BS21" i="10"/>
  <c r="AV19" i="10"/>
  <c r="AS26" i="10"/>
  <c r="BI12" i="10" s="1"/>
  <c r="I61" i="10" s="1"/>
  <c r="AZ11" i="10"/>
  <c r="AZ14" i="10"/>
  <c r="AV18" i="10"/>
  <c r="BS18" i="10" s="1"/>
  <c r="AX26" i="10"/>
  <c r="BI21" i="10" s="1"/>
  <c r="I70" i="10" s="1"/>
  <c r="AZ16" i="10"/>
  <c r="AV10" i="10"/>
  <c r="J24" i="23"/>
  <c r="G25" i="23" s="1"/>
  <c r="H25" i="23" s="1"/>
  <c r="CI19" i="5"/>
  <c r="AV7" i="5"/>
  <c r="BR7" i="5" s="1"/>
  <c r="AQ18" i="5"/>
  <c r="AS18" i="5" s="1"/>
  <c r="AX9" i="9"/>
  <c r="BK9" i="9" s="1"/>
  <c r="AX24" i="9"/>
  <c r="BK24" i="9" s="1"/>
  <c r="AX22" i="9"/>
  <c r="AX28" i="9"/>
  <c r="AW27" i="9"/>
  <c r="AX8" i="9"/>
  <c r="AX16" i="9"/>
  <c r="AX26" i="9"/>
  <c r="AX18" i="9"/>
  <c r="AT26" i="10"/>
  <c r="BI13" i="10" s="1"/>
  <c r="I62" i="10" s="1"/>
  <c r="AQ9" i="10"/>
  <c r="BM9" i="10"/>
  <c r="J53" i="10"/>
  <c r="AU26" i="10"/>
  <c r="BI14" i="10" s="1"/>
  <c r="I63" i="10" s="1"/>
  <c r="BO26" i="10"/>
  <c r="BM22" i="10"/>
  <c r="AP8" i="10"/>
  <c r="AH12" i="10"/>
  <c r="CA10" i="10"/>
  <c r="AI33" i="10"/>
  <c r="AI26" i="10"/>
  <c r="AR26" i="10"/>
  <c r="BI11" i="10" s="1"/>
  <c r="I60" i="10" s="1"/>
  <c r="R34" i="7"/>
  <c r="Q34" i="7"/>
  <c r="C176" i="7"/>
  <c r="X110" i="6"/>
  <c r="AP29" i="6"/>
  <c r="AM8" i="6"/>
  <c r="AM39" i="6" s="1"/>
  <c r="AP41" i="6"/>
  <c r="BR26" i="10" l="1"/>
  <c r="BN9" i="10"/>
  <c r="AZ9" i="10"/>
  <c r="BQ26" i="10"/>
  <c r="V17" i="10"/>
  <c r="X17" i="10" s="1"/>
  <c r="AE17" i="10"/>
  <c r="AE26" i="10" s="1"/>
  <c r="G21" i="46"/>
  <c r="R143" i="45"/>
  <c r="F198" i="7"/>
  <c r="F23" i="7" s="1"/>
  <c r="F24" i="7" s="1"/>
  <c r="CA12" i="6"/>
  <c r="W11" i="5"/>
  <c r="G27" i="5" s="1"/>
  <c r="G24" i="7"/>
  <c r="D176" i="7"/>
  <c r="E176" i="7"/>
  <c r="F175" i="7"/>
  <c r="E185" i="7" s="1"/>
  <c r="AR41" i="6"/>
  <c r="AR29" i="6"/>
  <c r="BU39" i="5"/>
  <c r="BV39" i="5"/>
  <c r="BH27" i="5"/>
  <c r="CI17" i="5"/>
  <c r="BT39" i="5"/>
  <c r="BA20" i="5"/>
  <c r="BH20" i="5" s="1"/>
  <c r="BA31" i="5"/>
  <c r="BH31" i="5" s="1"/>
  <c r="BA32" i="5"/>
  <c r="BH32" i="5" s="1"/>
  <c r="BG39" i="5"/>
  <c r="AX39" i="5"/>
  <c r="BO10" i="5" s="1"/>
  <c r="BB11" i="5"/>
  <c r="BH11" i="5" s="1"/>
  <c r="BS8" i="5"/>
  <c r="AW8" i="5"/>
  <c r="BH8" i="5" s="1"/>
  <c r="AZ39" i="5"/>
  <c r="BO12" i="5" s="1"/>
  <c r="BY18" i="5"/>
  <c r="AY39" i="5"/>
  <c r="BO11" i="5" s="1"/>
  <c r="P132" i="45"/>
  <c r="P140" i="45" s="1"/>
  <c r="P143" i="45" s="1"/>
  <c r="AE21" i="46" s="1"/>
  <c r="AE54" i="46" s="1"/>
  <c r="BC31" i="46" s="1"/>
  <c r="B150" i="45"/>
  <c r="N81" i="45"/>
  <c r="C92" i="45"/>
  <c r="E92" i="45" s="1"/>
  <c r="B93" i="45" s="1"/>
  <c r="C32" i="45"/>
  <c r="K25" i="45" s="1"/>
  <c r="P14" i="45" s="1"/>
  <c r="P22" i="45" s="1"/>
  <c r="H25" i="43"/>
  <c r="J25" i="43" s="1"/>
  <c r="G26" i="43" s="1"/>
  <c r="H24" i="42"/>
  <c r="J24" i="42" s="1"/>
  <c r="G25" i="42" s="1"/>
  <c r="BK8" i="9"/>
  <c r="BC28" i="9"/>
  <c r="BK28" i="9" s="1"/>
  <c r="AZ26" i="9"/>
  <c r="BK26" i="9" s="1"/>
  <c r="BG16" i="9"/>
  <c r="BG29" i="9" s="1"/>
  <c r="BT21" i="9" s="1"/>
  <c r="AX19" i="9"/>
  <c r="AS29" i="9"/>
  <c r="AG29" i="9"/>
  <c r="AI19" i="9"/>
  <c r="AK17" i="9" s="1"/>
  <c r="BI18" i="9"/>
  <c r="BK18" i="9" s="1"/>
  <c r="AY6" i="9"/>
  <c r="AX15" i="9"/>
  <c r="AX23" i="9"/>
  <c r="AX21" i="9"/>
  <c r="BK21" i="9" s="1"/>
  <c r="AX14" i="9"/>
  <c r="AX20" i="9"/>
  <c r="AX27" i="9"/>
  <c r="AX25" i="9"/>
  <c r="AX7" i="9"/>
  <c r="AX12" i="9"/>
  <c r="AX10" i="9"/>
  <c r="AX11" i="9"/>
  <c r="AX17" i="9"/>
  <c r="AX13" i="9"/>
  <c r="AX5" i="9"/>
  <c r="AC16" i="9"/>
  <c r="AC28" i="9" s="1"/>
  <c r="CA12" i="10"/>
  <c r="AZ19" i="10"/>
  <c r="BS19" i="10"/>
  <c r="BU22" i="10" s="1"/>
  <c r="AZ10" i="10"/>
  <c r="BS10" i="10"/>
  <c r="AV26" i="10"/>
  <c r="BI15" i="10" s="1"/>
  <c r="I64" i="10" s="1"/>
  <c r="AZ18" i="10"/>
  <c r="AQ26" i="10"/>
  <c r="BI10" i="10" s="1"/>
  <c r="J25" i="23"/>
  <c r="G26" i="23" s="1"/>
  <c r="H26" i="23" s="1"/>
  <c r="AV29" i="9"/>
  <c r="AW29" i="9"/>
  <c r="V26" i="10"/>
  <c r="BN26" i="10"/>
  <c r="CC9" i="10"/>
  <c r="BM8" i="10"/>
  <c r="AH32" i="10"/>
  <c r="AH26" i="10"/>
  <c r="AJ12" i="10"/>
  <c r="Y12" i="7"/>
  <c r="Y34" i="7" s="1"/>
  <c r="AL19" i="7" s="1"/>
  <c r="U17" i="7"/>
  <c r="AS24" i="7" s="1"/>
  <c r="T8" i="7"/>
  <c r="AS19" i="7" s="1"/>
  <c r="W14" i="7"/>
  <c r="AS22" i="7" s="1"/>
  <c r="Z10" i="7"/>
  <c r="Z34" i="7" s="1"/>
  <c r="AL20" i="7" s="1"/>
  <c r="T21" i="7"/>
  <c r="AS20" i="7" s="1"/>
  <c r="W9" i="7"/>
  <c r="AS21" i="7" s="1"/>
  <c r="C177" i="7"/>
  <c r="X19" i="7"/>
  <c r="V15" i="7"/>
  <c r="AS23" i="7" s="1"/>
  <c r="T27" i="7"/>
  <c r="V33" i="7"/>
  <c r="X20" i="7"/>
  <c r="AS25" i="7" s="1"/>
  <c r="X18" i="7"/>
  <c r="AC24" i="7"/>
  <c r="AC34" i="7" s="1"/>
  <c r="AL27" i="7" s="1"/>
  <c r="X111" i="6"/>
  <c r="BI16" i="10" l="1"/>
  <c r="I59" i="10"/>
  <c r="I65" i="10" s="1"/>
  <c r="AG17" i="10"/>
  <c r="AJ17" i="10" s="1"/>
  <c r="AP17" i="10" s="1"/>
  <c r="BM17" i="10" s="1"/>
  <c r="J21" i="46"/>
  <c r="BK5" i="55"/>
  <c r="BS5" i="55" s="1"/>
  <c r="CI12" i="6"/>
  <c r="F176" i="7"/>
  <c r="E186" i="7" s="1"/>
  <c r="D177" i="7"/>
  <c r="F199" i="7" s="1"/>
  <c r="E177" i="7"/>
  <c r="E178" i="7" s="1"/>
  <c r="W13" i="5"/>
  <c r="AQ19" i="5"/>
  <c r="AQ39" i="5" s="1"/>
  <c r="BY8" i="5"/>
  <c r="BS39" i="5"/>
  <c r="BY39" i="5" s="1"/>
  <c r="BA39" i="5"/>
  <c r="BO13" i="5" s="1"/>
  <c r="BO28" i="5"/>
  <c r="CI14" i="5" s="1"/>
  <c r="AW39" i="5"/>
  <c r="BO9" i="5" s="1"/>
  <c r="CI16" i="5"/>
  <c r="CK18" i="5" s="1"/>
  <c r="BB39" i="5"/>
  <c r="BO18" i="5" s="1"/>
  <c r="BO20" i="5" s="1"/>
  <c r="C150" i="45"/>
  <c r="E150" i="45" s="1"/>
  <c r="B151" i="45" s="1"/>
  <c r="E32" i="45"/>
  <c r="M81" i="45"/>
  <c r="O73" i="45"/>
  <c r="Q73" i="45" s="1"/>
  <c r="Q81" i="45" s="1"/>
  <c r="Q143" i="45" s="1"/>
  <c r="J20" i="45"/>
  <c r="K27" i="45"/>
  <c r="C93" i="45"/>
  <c r="E93" i="45" s="1"/>
  <c r="B94" i="45" s="1"/>
  <c r="H26" i="43"/>
  <c r="J26" i="43" s="1"/>
  <c r="G27" i="43" s="1"/>
  <c r="H25" i="42"/>
  <c r="J25" i="42" s="1"/>
  <c r="G26" i="42" s="1"/>
  <c r="J8" i="42" s="1"/>
  <c r="F9" i="46" s="1"/>
  <c r="CA21" i="9"/>
  <c r="BK22" i="9"/>
  <c r="BJ19" i="9"/>
  <c r="BK19" i="9" s="1"/>
  <c r="BK16" i="9"/>
  <c r="AI29" i="9"/>
  <c r="BK6" i="9"/>
  <c r="CA19" i="9"/>
  <c r="BD15" i="9"/>
  <c r="BE25" i="9"/>
  <c r="BK25" i="9" s="1"/>
  <c r="BD27" i="9"/>
  <c r="BK27" i="9" s="1"/>
  <c r="BH17" i="9"/>
  <c r="BH29" i="9" s="1"/>
  <c r="BE14" i="9"/>
  <c r="BB23" i="9"/>
  <c r="BK23" i="9" s="1"/>
  <c r="BC13" i="9"/>
  <c r="BI29" i="9"/>
  <c r="BT23" i="9" s="1"/>
  <c r="BA11" i="9"/>
  <c r="AZ7" i="9"/>
  <c r="BK7" i="9" s="1"/>
  <c r="BF10" i="9"/>
  <c r="BK10" i="9" s="1"/>
  <c r="BB12" i="9"/>
  <c r="BS26" i="10"/>
  <c r="CA13" i="10"/>
  <c r="CC14" i="10" s="1"/>
  <c r="BU13" i="10"/>
  <c r="BU26" i="10" s="1"/>
  <c r="J26" i="23"/>
  <c r="G27" i="23" s="1"/>
  <c r="H27" i="23" s="1"/>
  <c r="G28" i="5"/>
  <c r="AP12" i="10"/>
  <c r="X34" i="7"/>
  <c r="AL14" i="7" s="1"/>
  <c r="W34" i="7"/>
  <c r="AL13" i="7" s="1"/>
  <c r="U34" i="7"/>
  <c r="AL11" i="7" s="1"/>
  <c r="V34" i="7"/>
  <c r="AL12" i="7" s="1"/>
  <c r="AL22" i="7"/>
  <c r="T34" i="7"/>
  <c r="AL10" i="7" s="1"/>
  <c r="X112" i="6"/>
  <c r="AJ26" i="10" l="1"/>
  <c r="AY17" i="10"/>
  <c r="AG26" i="10"/>
  <c r="F54" i="46"/>
  <c r="L20" i="45"/>
  <c r="N20" i="45" s="1"/>
  <c r="E51" i="46"/>
  <c r="AF21" i="46"/>
  <c r="AF54" i="46" s="1"/>
  <c r="BC32" i="46" s="1"/>
  <c r="BC36" i="46" s="1"/>
  <c r="AI21" i="46"/>
  <c r="CK10" i="5"/>
  <c r="CI23" i="5"/>
  <c r="G199" i="7"/>
  <c r="G26" i="7" s="1"/>
  <c r="BO15" i="5"/>
  <c r="AL16" i="7"/>
  <c r="F26" i="7"/>
  <c r="F200" i="7"/>
  <c r="F177" i="7"/>
  <c r="F178" i="7" s="1"/>
  <c r="D178" i="7"/>
  <c r="AS19" i="5"/>
  <c r="C151" i="45"/>
  <c r="E151" i="45" s="1"/>
  <c r="B152" i="45" s="1"/>
  <c r="J14" i="45"/>
  <c r="L14" i="45" s="1"/>
  <c r="B33" i="45"/>
  <c r="C94" i="45"/>
  <c r="E94" i="45" s="1"/>
  <c r="B95" i="45" s="1"/>
  <c r="J8" i="43"/>
  <c r="H27" i="43"/>
  <c r="H26" i="42"/>
  <c r="BK12" i="9"/>
  <c r="CA23" i="9"/>
  <c r="BK13" i="9"/>
  <c r="CA24" i="9"/>
  <c r="BK14" i="9"/>
  <c r="CA26" i="9"/>
  <c r="BK11" i="9"/>
  <c r="CA22" i="9"/>
  <c r="BK15" i="9"/>
  <c r="CA25" i="9"/>
  <c r="BK20" i="9"/>
  <c r="BK17" i="9"/>
  <c r="CA20" i="9"/>
  <c r="BT22" i="9"/>
  <c r="AZ29" i="9"/>
  <c r="BT8" i="9" s="1"/>
  <c r="BE29" i="9"/>
  <c r="BT13" i="9" s="1"/>
  <c r="BF29" i="9"/>
  <c r="BT17" i="9" s="1"/>
  <c r="BT19" i="9" s="1"/>
  <c r="BD29" i="9"/>
  <c r="CA20" i="10"/>
  <c r="AY26" i="10"/>
  <c r="BI22" i="10" s="1"/>
  <c r="AZ17" i="10"/>
  <c r="J27" i="23"/>
  <c r="G28" i="23" s="1"/>
  <c r="H28" i="23" s="1"/>
  <c r="G29" i="5"/>
  <c r="X13" i="5"/>
  <c r="AV18" i="5"/>
  <c r="BA29" i="9"/>
  <c r="BT9" i="9" s="1"/>
  <c r="BB29" i="9"/>
  <c r="BT10" i="9" s="1"/>
  <c r="AX29" i="9"/>
  <c r="BM12" i="10"/>
  <c r="BM26" i="10" s="1"/>
  <c r="AW12" i="10"/>
  <c r="AP26" i="10"/>
  <c r="X113" i="6"/>
  <c r="AC62" i="6"/>
  <c r="M13" i="6"/>
  <c r="AM14" i="6"/>
  <c r="BI23" i="10" l="1"/>
  <c r="I71" i="10"/>
  <c r="I72" i="10" s="1"/>
  <c r="G51" i="46"/>
  <c r="CI24" i="5"/>
  <c r="G200" i="7"/>
  <c r="O22" i="7"/>
  <c r="O34" i="7" s="1"/>
  <c r="G27" i="7"/>
  <c r="G34" i="7" s="1"/>
  <c r="G35" i="7" s="1"/>
  <c r="E187" i="7"/>
  <c r="AM41" i="6"/>
  <c r="BE18" i="5"/>
  <c r="BH18" i="5" s="1"/>
  <c r="BR18" i="5"/>
  <c r="C152" i="45"/>
  <c r="E152" i="45" s="1"/>
  <c r="C33" i="45"/>
  <c r="E33" i="45" s="1"/>
  <c r="B34" i="45" s="1"/>
  <c r="M14" i="45"/>
  <c r="N22" i="45"/>
  <c r="O20" i="45"/>
  <c r="C95" i="45"/>
  <c r="E95" i="45" s="1"/>
  <c r="B96" i="45" s="1"/>
  <c r="J9" i="43"/>
  <c r="J27" i="43"/>
  <c r="G28" i="43" s="1"/>
  <c r="J26" i="42"/>
  <c r="G27" i="42" s="1"/>
  <c r="H27" i="42" s="1"/>
  <c r="J27" i="42" s="1"/>
  <c r="G28" i="42" s="1"/>
  <c r="H28" i="42" s="1"/>
  <c r="J28" i="42" s="1"/>
  <c r="G29" i="42" s="1"/>
  <c r="BT12" i="9"/>
  <c r="CA30" i="9"/>
  <c r="AY29" i="9"/>
  <c r="BT7" i="9" s="1"/>
  <c r="BJ29" i="9"/>
  <c r="BC29" i="9"/>
  <c r="BT11" i="9" s="1"/>
  <c r="AW26" i="10"/>
  <c r="BI18" i="10" s="1"/>
  <c r="AZ12" i="10"/>
  <c r="J28" i="23"/>
  <c r="G29" i="23" s="1"/>
  <c r="H29" i="23" s="1"/>
  <c r="J29" i="23" s="1"/>
  <c r="G30" i="23" s="1"/>
  <c r="G30" i="5"/>
  <c r="AL13" i="6"/>
  <c r="X114" i="6"/>
  <c r="AP31" i="6"/>
  <c r="BI19" i="10" l="1"/>
  <c r="BI25" i="10" s="1"/>
  <c r="BI27" i="10" s="1"/>
  <c r="I67" i="10"/>
  <c r="I68" i="10" s="1"/>
  <c r="I74" i="10" s="1"/>
  <c r="I76" i="10" s="1"/>
  <c r="AW36" i="10"/>
  <c r="BE30" i="9"/>
  <c r="J51" i="46"/>
  <c r="CA14" i="6"/>
  <c r="CI14" i="6" s="1"/>
  <c r="C183" i="7"/>
  <c r="D183" i="7" s="1"/>
  <c r="AR31" i="6"/>
  <c r="C34" i="45"/>
  <c r="E34" i="45" s="1"/>
  <c r="B35" i="45" s="1"/>
  <c r="M22" i="45"/>
  <c r="O14" i="45"/>
  <c r="Q14" i="45" s="1"/>
  <c r="Q22" i="45" s="1"/>
  <c r="C96" i="45"/>
  <c r="E96" i="45" s="1"/>
  <c r="B97" i="45" s="1"/>
  <c r="H28" i="43"/>
  <c r="J28" i="43" s="1"/>
  <c r="G29" i="43" s="1"/>
  <c r="H29" i="42"/>
  <c r="J29" i="42" s="1"/>
  <c r="G30" i="42" s="1"/>
  <c r="H30" i="42" s="1"/>
  <c r="J30" i="42" s="1"/>
  <c r="G31" i="42" s="1"/>
  <c r="H31" i="42" s="1"/>
  <c r="J31" i="42" s="1"/>
  <c r="G32" i="42" s="1"/>
  <c r="H32" i="42" s="1"/>
  <c r="J32" i="42" s="1"/>
  <c r="G33" i="42" s="1"/>
  <c r="H33" i="42" s="1"/>
  <c r="J33" i="42" s="1"/>
  <c r="G34" i="42" s="1"/>
  <c r="BK29" i="9"/>
  <c r="BT24" i="9"/>
  <c r="BT27" i="9" s="1"/>
  <c r="AY27" i="10"/>
  <c r="H30" i="23"/>
  <c r="J30" i="23" s="1"/>
  <c r="G31" i="23" s="1"/>
  <c r="BE39" i="5"/>
  <c r="BO24" i="5" s="1"/>
  <c r="AV19" i="5"/>
  <c r="AS39" i="5"/>
  <c r="N22" i="7"/>
  <c r="P22" i="7" s="1"/>
  <c r="S22" i="7" s="1"/>
  <c r="F27" i="7"/>
  <c r="F34" i="7" s="1"/>
  <c r="F35" i="7" s="1"/>
  <c r="X115" i="6"/>
  <c r="Q51" i="46" l="1"/>
  <c r="Q54" i="46" s="1"/>
  <c r="BC11" i="46" s="1"/>
  <c r="BF19" i="5"/>
  <c r="BH19" i="5" s="1"/>
  <c r="BR19" i="5"/>
  <c r="C35" i="45"/>
  <c r="E35" i="45" s="1"/>
  <c r="B36" i="45" s="1"/>
  <c r="C97" i="45"/>
  <c r="E97" i="45" s="1"/>
  <c r="B98" i="45" s="1"/>
  <c r="H29" i="43"/>
  <c r="J29" i="43" s="1"/>
  <c r="G30" i="43" s="1"/>
  <c r="H34" i="42"/>
  <c r="H31" i="23"/>
  <c r="J31" i="23" s="1"/>
  <c r="G32" i="23" s="1"/>
  <c r="BT15" i="9"/>
  <c r="CA34" i="9" s="1"/>
  <c r="AV39" i="5"/>
  <c r="X116" i="6"/>
  <c r="AI51" i="46" l="1"/>
  <c r="F183" i="7"/>
  <c r="C184" i="7" s="1"/>
  <c r="G191" i="7" s="1"/>
  <c r="C36" i="45"/>
  <c r="E36" i="45"/>
  <c r="B37" i="45" s="1"/>
  <c r="C98" i="45"/>
  <c r="E98" i="45" s="1"/>
  <c r="B99" i="45" s="1"/>
  <c r="H30" i="43"/>
  <c r="J30" i="43" s="1"/>
  <c r="G31" i="43" s="1"/>
  <c r="J34" i="42"/>
  <c r="G35" i="42" s="1"/>
  <c r="H35" i="42" s="1"/>
  <c r="BT28" i="9"/>
  <c r="BT30" i="9" s="1"/>
  <c r="H32" i="23"/>
  <c r="J32" i="23" s="1"/>
  <c r="G33" i="23" s="1"/>
  <c r="BR39" i="5"/>
  <c r="BF39" i="5"/>
  <c r="X117" i="6"/>
  <c r="BG40" i="5" l="1"/>
  <c r="BO25" i="5"/>
  <c r="BO27" i="5" s="1"/>
  <c r="D184" i="7"/>
  <c r="G192" i="7" s="1"/>
  <c r="G49" i="7" s="1"/>
  <c r="C37" i="45"/>
  <c r="E37" i="45" s="1"/>
  <c r="B38" i="45" s="1"/>
  <c r="C99" i="45"/>
  <c r="E99" i="45" s="1"/>
  <c r="B100" i="45" s="1"/>
  <c r="H31" i="43"/>
  <c r="J31" i="43" s="1"/>
  <c r="G32" i="43" s="1"/>
  <c r="J35" i="42"/>
  <c r="G36" i="42" s="1"/>
  <c r="H36" i="42" s="1"/>
  <c r="H33" i="23"/>
  <c r="J33" i="23" s="1"/>
  <c r="G34" i="23" s="1"/>
  <c r="X118" i="6"/>
  <c r="N32" i="7" l="1"/>
  <c r="P32" i="7" s="1"/>
  <c r="S32" i="7" s="1"/>
  <c r="AB32" i="7" s="1"/>
  <c r="AB34" i="7" s="1"/>
  <c r="G50" i="7"/>
  <c r="G52" i="7" s="1"/>
  <c r="G194" i="7"/>
  <c r="F184" i="7"/>
  <c r="C185" i="7" s="1"/>
  <c r="D185" i="7" s="1"/>
  <c r="BO29" i="5"/>
  <c r="BO31" i="5" s="1"/>
  <c r="BO32" i="5" s="1"/>
  <c r="C38" i="45"/>
  <c r="E38" i="45" s="1"/>
  <c r="B39" i="45" s="1"/>
  <c r="C39" i="45" s="1"/>
  <c r="E39" i="45" s="1"/>
  <c r="B40" i="45" s="1"/>
  <c r="C40" i="45" s="1"/>
  <c r="E40" i="45" s="1"/>
  <c r="B41" i="45" s="1"/>
  <c r="C100" i="45"/>
  <c r="E100" i="45" s="1"/>
  <c r="B101" i="45" s="1"/>
  <c r="H32" i="43"/>
  <c r="J32" i="43" s="1"/>
  <c r="G33" i="43" s="1"/>
  <c r="J36" i="42"/>
  <c r="G37" i="42" s="1"/>
  <c r="H37" i="42" s="1"/>
  <c r="I13" i="42" s="1"/>
  <c r="H34" i="23"/>
  <c r="J34" i="23" s="1"/>
  <c r="G35" i="23" s="1"/>
  <c r="X119" i="6"/>
  <c r="K13" i="42" l="1"/>
  <c r="N13" i="42" s="1"/>
  <c r="O13" i="42" s="1"/>
  <c r="E41" i="46"/>
  <c r="F62" i="7"/>
  <c r="AS8" i="7"/>
  <c r="N26" i="7"/>
  <c r="AS17" i="7"/>
  <c r="AL26" i="7"/>
  <c r="F185" i="7"/>
  <c r="C101" i="45"/>
  <c r="E101" i="45" s="1"/>
  <c r="B102" i="45" s="1"/>
  <c r="C41" i="45"/>
  <c r="E41" i="45" s="1"/>
  <c r="B42" i="45" s="1"/>
  <c r="C42" i="45" s="1"/>
  <c r="E42" i="45" s="1"/>
  <c r="B43" i="45" s="1"/>
  <c r="H33" i="43"/>
  <c r="J33" i="43" s="1"/>
  <c r="G34" i="43" s="1"/>
  <c r="J37" i="42"/>
  <c r="H35" i="23"/>
  <c r="N8" i="23" s="1"/>
  <c r="AA22" i="7"/>
  <c r="AA34" i="7" s="1"/>
  <c r="AL25" i="7" s="1"/>
  <c r="X120" i="6"/>
  <c r="G41" i="46" l="1"/>
  <c r="J41" i="46" s="1"/>
  <c r="M41" i="46" s="1"/>
  <c r="AI41" i="46" s="1"/>
  <c r="AS26" i="7"/>
  <c r="AS27" i="7" s="1"/>
  <c r="G62" i="7"/>
  <c r="G68" i="7" s="1"/>
  <c r="G69" i="7" s="1"/>
  <c r="F68" i="7"/>
  <c r="F69" i="7" s="1"/>
  <c r="P26" i="7"/>
  <c r="N34" i="7"/>
  <c r="C186" i="7"/>
  <c r="D186" i="7" s="1"/>
  <c r="C102" i="45"/>
  <c r="E102" i="45" s="1"/>
  <c r="B103" i="45" s="1"/>
  <c r="C43" i="45"/>
  <c r="E43" i="45" s="1"/>
  <c r="B44" i="45" s="1"/>
  <c r="C44" i="45" s="1"/>
  <c r="E44" i="45" s="1"/>
  <c r="B45" i="45" s="1"/>
  <c r="C45" i="45" s="1"/>
  <c r="E45" i="45" s="1"/>
  <c r="B46" i="45" s="1"/>
  <c r="H34" i="43"/>
  <c r="J34" i="43" s="1"/>
  <c r="G35" i="43" s="1"/>
  <c r="G38" i="42"/>
  <c r="H38" i="42" s="1"/>
  <c r="J38" i="42" s="1"/>
  <c r="G39" i="42" s="1"/>
  <c r="H39" i="42" s="1"/>
  <c r="J39" i="42" s="1"/>
  <c r="G40" i="42" s="1"/>
  <c r="H40" i="42" s="1"/>
  <c r="J40" i="42" s="1"/>
  <c r="G41" i="42" s="1"/>
  <c r="H41" i="42" s="1"/>
  <c r="J41" i="42" s="1"/>
  <c r="G42" i="42" s="1"/>
  <c r="H42" i="42" s="1"/>
  <c r="J42" i="42" s="1"/>
  <c r="G43" i="42" s="1"/>
  <c r="H43" i="42" s="1"/>
  <c r="J43" i="42" s="1"/>
  <c r="I8" i="42"/>
  <c r="P8" i="23"/>
  <c r="M9" i="23" s="1"/>
  <c r="D58" i="23"/>
  <c r="J35" i="23"/>
  <c r="G36" i="23" s="1"/>
  <c r="H36" i="23" s="1"/>
  <c r="X121" i="6"/>
  <c r="D60" i="23" l="1"/>
  <c r="J58" i="23"/>
  <c r="K8" i="42"/>
  <c r="N8" i="42" s="1"/>
  <c r="O8" i="42" s="1"/>
  <c r="O17" i="42" s="1"/>
  <c r="E9" i="46"/>
  <c r="S26" i="7"/>
  <c r="P34" i="7"/>
  <c r="F186" i="7"/>
  <c r="C103" i="45"/>
  <c r="E103" i="45" s="1"/>
  <c r="B104" i="45" s="1"/>
  <c r="C46" i="45"/>
  <c r="H35" i="43"/>
  <c r="J35" i="43" s="1"/>
  <c r="G36" i="43" s="1"/>
  <c r="J36" i="23"/>
  <c r="G37" i="23" s="1"/>
  <c r="H37" i="23" s="1"/>
  <c r="J37" i="23" s="1"/>
  <c r="G38" i="23" s="1"/>
  <c r="X122" i="6"/>
  <c r="J59" i="23" l="1"/>
  <c r="J60" i="23" s="1"/>
  <c r="G9" i="46"/>
  <c r="AD26" i="7"/>
  <c r="AD34" i="7" s="1"/>
  <c r="AL28" i="7" s="1"/>
  <c r="AL30" i="7" s="1"/>
  <c r="AL32" i="7" s="1"/>
  <c r="AL34" i="7" s="1"/>
  <c r="AM34" i="7" s="1"/>
  <c r="S34" i="7"/>
  <c r="C187" i="7"/>
  <c r="D187" i="7" s="1"/>
  <c r="C104" i="45"/>
  <c r="E104" i="45" s="1"/>
  <c r="B105" i="45" s="1"/>
  <c r="E46" i="45"/>
  <c r="B47" i="45" s="1"/>
  <c r="H36" i="43"/>
  <c r="J36" i="43" s="1"/>
  <c r="G37" i="43" s="1"/>
  <c r="H38" i="23"/>
  <c r="J38" i="23"/>
  <c r="G39" i="23" s="1"/>
  <c r="J9" i="46" l="1"/>
  <c r="F187" i="7"/>
  <c r="C105" i="45"/>
  <c r="E105" i="45" s="1"/>
  <c r="B106" i="45" s="1"/>
  <c r="C47" i="45"/>
  <c r="E47" i="45" s="1"/>
  <c r="B48" i="45" s="1"/>
  <c r="H37" i="43"/>
  <c r="J37" i="43" s="1"/>
  <c r="G38" i="43" s="1"/>
  <c r="H39" i="23"/>
  <c r="J39" i="23" s="1"/>
  <c r="G40" i="23" s="1"/>
  <c r="M9" i="46" l="1"/>
  <c r="AI9" i="46"/>
  <c r="C106" i="45"/>
  <c r="E106" i="45" s="1"/>
  <c r="B107" i="45" s="1"/>
  <c r="C48" i="45"/>
  <c r="E48" i="45" s="1"/>
  <c r="B49" i="45" s="1"/>
  <c r="H38" i="43"/>
  <c r="I13" i="43" s="1"/>
  <c r="K13" i="43" s="1"/>
  <c r="N13" i="43" s="1"/>
  <c r="O13" i="43" s="1"/>
  <c r="H40" i="23"/>
  <c r="J40" i="23" s="1"/>
  <c r="G41" i="23" s="1"/>
  <c r="M54" i="46" l="1"/>
  <c r="BC9" i="46" s="1"/>
  <c r="BJ34" i="46"/>
  <c r="C107" i="45"/>
  <c r="E107" i="45" s="1"/>
  <c r="B108" i="45" s="1"/>
  <c r="C49" i="45"/>
  <c r="J38" i="43"/>
  <c r="G39" i="43" s="1"/>
  <c r="H41" i="23"/>
  <c r="J41" i="23" s="1"/>
  <c r="G42" i="23" s="1"/>
  <c r="I8" i="43" l="1"/>
  <c r="C108" i="45"/>
  <c r="E108" i="45" s="1"/>
  <c r="B109" i="45" s="1"/>
  <c r="E49" i="45"/>
  <c r="B50" i="45" s="1"/>
  <c r="I9" i="43"/>
  <c r="K9" i="43" s="1"/>
  <c r="N9" i="43" s="1"/>
  <c r="O9" i="43" s="1"/>
  <c r="K8" i="43"/>
  <c r="N8" i="43" s="1"/>
  <c r="O8" i="43" s="1"/>
  <c r="H39" i="43"/>
  <c r="J39" i="43" s="1"/>
  <c r="G40" i="43" s="1"/>
  <c r="H42" i="23"/>
  <c r="J42" i="23" s="1"/>
  <c r="G43" i="23" s="1"/>
  <c r="C109" i="45" l="1"/>
  <c r="E109" i="45" s="1"/>
  <c r="B110" i="45" s="1"/>
  <c r="C50" i="45"/>
  <c r="O17" i="43"/>
  <c r="H40" i="43"/>
  <c r="J40" i="43" s="1"/>
  <c r="G41" i="43" s="1"/>
  <c r="H43" i="23"/>
  <c r="J43" i="23" s="1"/>
  <c r="G44" i="23" s="1"/>
  <c r="M19" i="18"/>
  <c r="M21" i="18" s="1"/>
  <c r="P12" i="18"/>
  <c r="P19" i="18" s="1"/>
  <c r="P21" i="18" s="1"/>
  <c r="E26" i="18"/>
  <c r="AS18" i="18" s="1"/>
  <c r="C110" i="45" l="1"/>
  <c r="E110" i="45" s="1"/>
  <c r="B111" i="45" s="1"/>
  <c r="E50" i="45"/>
  <c r="B51" i="45" s="1"/>
  <c r="C51" i="45" s="1"/>
  <c r="H41" i="43"/>
  <c r="J41" i="43" s="1"/>
  <c r="G42" i="43" s="1"/>
  <c r="H44" i="23"/>
  <c r="J44" i="23" s="1"/>
  <c r="G46" i="23" s="1"/>
  <c r="AT18" i="18"/>
  <c r="AS28" i="18"/>
  <c r="E29" i="18"/>
  <c r="E30" i="18" s="1"/>
  <c r="E31" i="18" s="1"/>
  <c r="C111" i="45" l="1"/>
  <c r="E111" i="45" s="1"/>
  <c r="B112" i="45" s="1"/>
  <c r="E51" i="45"/>
  <c r="B52" i="45" s="1"/>
  <c r="H42" i="43"/>
  <c r="J42" i="43" s="1"/>
  <c r="G43" i="43" s="1"/>
  <c r="H46" i="23"/>
  <c r="J46" i="23" s="1"/>
  <c r="G47" i="23" s="1"/>
  <c r="BL18" i="18"/>
  <c r="AT28" i="18"/>
  <c r="C112" i="45" l="1"/>
  <c r="E112" i="45" s="1"/>
  <c r="B113" i="45" s="1"/>
  <c r="C52" i="45"/>
  <c r="H43" i="43"/>
  <c r="J43" i="43" s="1"/>
  <c r="G44" i="43" s="1"/>
  <c r="H47" i="23"/>
  <c r="J47" i="23" s="1"/>
  <c r="G48" i="23" s="1"/>
  <c r="BL28" i="18"/>
  <c r="BD38" i="18"/>
  <c r="BC38" i="18"/>
  <c r="BM11" i="18" s="1"/>
  <c r="BN22" i="18"/>
  <c r="BN15" i="18"/>
  <c r="BN26" i="18"/>
  <c r="BN25" i="18"/>
  <c r="BN19" i="18"/>
  <c r="BN9" i="18"/>
  <c r="BN11" i="18"/>
  <c r="BN27" i="18"/>
  <c r="BM9" i="18"/>
  <c r="BN10" i="18"/>
  <c r="BN13" i="18" l="1"/>
  <c r="BN16" i="18"/>
  <c r="BN12" i="18"/>
  <c r="C113" i="45"/>
  <c r="E113" i="45" s="1"/>
  <c r="B114" i="45" s="1"/>
  <c r="E52" i="45"/>
  <c r="B53" i="45" s="1"/>
  <c r="H44" i="43"/>
  <c r="J44" i="43" s="1"/>
  <c r="H48" i="23"/>
  <c r="N9" i="23" s="1"/>
  <c r="P9" i="23" s="1"/>
  <c r="M10" i="23" s="1"/>
  <c r="BN18" i="18"/>
  <c r="BN21" i="18"/>
  <c r="BN20" i="18"/>
  <c r="BN23" i="18"/>
  <c r="BN17" i="18"/>
  <c r="BN14" i="18"/>
  <c r="BN24" i="18"/>
  <c r="BO11" i="18"/>
  <c r="BV12" i="18" s="1"/>
  <c r="BZ12" i="18" s="1"/>
  <c r="CU54" i="18" s="1"/>
  <c r="BM17" i="18"/>
  <c r="BM13" i="18"/>
  <c r="BM20" i="18"/>
  <c r="BM24" i="18"/>
  <c r="BM16" i="18"/>
  <c r="BM19" i="18"/>
  <c r="BO19" i="18" s="1"/>
  <c r="BV20" i="18" s="1"/>
  <c r="BM23" i="18"/>
  <c r="BM22" i="18"/>
  <c r="BO22" i="18" s="1"/>
  <c r="BV23" i="18" s="1"/>
  <c r="BO9" i="18"/>
  <c r="BM15" i="18"/>
  <c r="BO15" i="18" s="1"/>
  <c r="BV16" i="18" s="1"/>
  <c r="BZ16" i="18" s="1"/>
  <c r="CU55" i="18" s="1"/>
  <c r="BM21" i="18"/>
  <c r="BM14" i="18"/>
  <c r="BM25" i="18"/>
  <c r="BO25" i="18" s="1"/>
  <c r="BV26" i="18" s="1"/>
  <c r="CE26" i="18" s="1"/>
  <c r="CU51" i="18" s="1"/>
  <c r="BM12" i="18"/>
  <c r="BM10" i="18"/>
  <c r="BM27" i="18"/>
  <c r="BO27" i="18" s="1"/>
  <c r="BV28" i="18" s="1"/>
  <c r="BY28" i="18" s="1"/>
  <c r="BY29" i="18" s="1"/>
  <c r="CO10" i="18" s="1"/>
  <c r="CT19" i="18" s="1"/>
  <c r="BM18" i="18"/>
  <c r="BM26" i="18"/>
  <c r="BO26" i="18" s="1"/>
  <c r="BV27" i="18" s="1"/>
  <c r="CB27" i="18" s="1"/>
  <c r="CB29" i="18" s="1"/>
  <c r="CR10" i="18" s="1"/>
  <c r="CT32" i="18" s="1"/>
  <c r="BO16" i="18" l="1"/>
  <c r="BV17" i="18" s="1"/>
  <c r="CD17" i="18" s="1"/>
  <c r="CD29" i="18" s="1"/>
  <c r="CT10" i="18" s="1"/>
  <c r="CT27" i="18" s="1"/>
  <c r="BO13" i="18"/>
  <c r="BV14" i="18" s="1"/>
  <c r="CC14" i="18" s="1"/>
  <c r="CC29" i="18" s="1"/>
  <c r="CS10" i="18" s="1"/>
  <c r="CT24" i="18" s="1"/>
  <c r="CT25" i="18" s="1"/>
  <c r="BO12" i="18"/>
  <c r="BV13" i="18" s="1"/>
  <c r="C114" i="45"/>
  <c r="E114" i="45" s="1"/>
  <c r="B115" i="45" s="1"/>
  <c r="C53" i="45"/>
  <c r="J48" i="23"/>
  <c r="G49" i="23" s="1"/>
  <c r="H49" i="23" s="1"/>
  <c r="BO20" i="18"/>
  <c r="BV21" i="18" s="1"/>
  <c r="CG21" i="18" s="1"/>
  <c r="CG29" i="18" s="1"/>
  <c r="CW10" i="18" s="1"/>
  <c r="CT30" i="18" s="1"/>
  <c r="BO17" i="18"/>
  <c r="BV18" i="18" s="1"/>
  <c r="BO18" i="18"/>
  <c r="BV19" i="18" s="1"/>
  <c r="CF19" i="18" s="1"/>
  <c r="CF29" i="18" s="1"/>
  <c r="CV10" i="18" s="1"/>
  <c r="CT29" i="18" s="1"/>
  <c r="BO14" i="18"/>
  <c r="BV15" i="18" s="1"/>
  <c r="BO21" i="18"/>
  <c r="BV22" i="18" s="1"/>
  <c r="BW22" i="18" s="1"/>
  <c r="BO23" i="18"/>
  <c r="BV24" i="18" s="1"/>
  <c r="CA24" i="18" s="1"/>
  <c r="BO24" i="18"/>
  <c r="BV25" i="18" s="1"/>
  <c r="BN28" i="18"/>
  <c r="CE29" i="18"/>
  <c r="CU10" i="18" s="1"/>
  <c r="CT28" i="18" s="1"/>
  <c r="BM28" i="18"/>
  <c r="BZ29" i="18"/>
  <c r="CP10" i="18" s="1"/>
  <c r="CT20" i="18" s="1"/>
  <c r="BO10" i="18"/>
  <c r="BV11" i="18" s="1"/>
  <c r="BW11" i="18" s="1"/>
  <c r="CU53" i="18" s="1"/>
  <c r="CU56" i="18" s="1"/>
  <c r="BV10" i="18"/>
  <c r="C115" i="45" l="1"/>
  <c r="E115" i="45" s="1"/>
  <c r="B116" i="45" s="1"/>
  <c r="E53" i="45"/>
  <c r="B54" i="45" s="1"/>
  <c r="J49" i="23"/>
  <c r="G50" i="23" s="1"/>
  <c r="H50" i="23" s="1"/>
  <c r="CT31" i="18"/>
  <c r="CA22" i="18"/>
  <c r="CA29" i="18" s="1"/>
  <c r="CQ10" i="18" s="1"/>
  <c r="CT21" i="18" s="1"/>
  <c r="BV29" i="18"/>
  <c r="BO28" i="18"/>
  <c r="BW29" i="18"/>
  <c r="CM10" i="18" s="1"/>
  <c r="C116" i="45" l="1"/>
  <c r="E116" i="45" s="1"/>
  <c r="B117" i="45" s="1"/>
  <c r="C54" i="45"/>
  <c r="J50" i="23"/>
  <c r="G51" i="23" s="1"/>
  <c r="H51" i="23" s="1"/>
  <c r="CX10" i="18"/>
  <c r="CT17" i="18"/>
  <c r="CT22" i="18" s="1"/>
  <c r="C117" i="45" l="1"/>
  <c r="E117" i="45" s="1"/>
  <c r="B118" i="45" s="1"/>
  <c r="E54" i="45"/>
  <c r="B55" i="45" s="1"/>
  <c r="C55" i="45" s="1"/>
  <c r="J51" i="23"/>
  <c r="G52" i="23" s="1"/>
  <c r="H52" i="23" s="1"/>
  <c r="CT33" i="18"/>
  <c r="CT35" i="18" s="1"/>
  <c r="CU35" i="18" s="1"/>
  <c r="CV56" i="18"/>
  <c r="C118" i="45" l="1"/>
  <c r="E118" i="45" s="1"/>
  <c r="E55" i="45"/>
  <c r="B56" i="45" s="1"/>
  <c r="J52" i="23"/>
  <c r="G53" i="23" s="1"/>
  <c r="H53" i="23" s="1"/>
  <c r="AB105" i="6"/>
  <c r="Y106" i="6" s="1"/>
  <c r="Z106" i="6" s="1"/>
  <c r="C56" i="45" l="1"/>
  <c r="E56" i="45" s="1"/>
  <c r="B57" i="45" s="1"/>
  <c r="J53" i="23"/>
  <c r="G54" i="23" s="1"/>
  <c r="H54" i="23" s="1"/>
  <c r="N10" i="23" s="1"/>
  <c r="P10" i="23" s="1"/>
  <c r="AB106" i="6"/>
  <c r="Y107" i="6" s="1"/>
  <c r="AB132" i="6" s="1"/>
  <c r="Z107" i="6" l="1"/>
  <c r="AB128" i="6"/>
  <c r="AB127" i="6" s="1"/>
  <c r="C57" i="45"/>
  <c r="J54" i="23"/>
  <c r="AB107" i="6" l="1"/>
  <c r="Y108" i="6" s="1"/>
  <c r="Z108" i="6" s="1"/>
  <c r="E57" i="45"/>
  <c r="B58" i="45" s="1"/>
  <c r="AB108" i="6"/>
  <c r="Y109" i="6" s="1"/>
  <c r="Z109" i="6" s="1"/>
  <c r="C58" i="45" l="1"/>
  <c r="AB109" i="6"/>
  <c r="Y110" i="6" s="1"/>
  <c r="Z110" i="6" s="1"/>
  <c r="E58" i="45" l="1"/>
  <c r="B59" i="45" s="1"/>
  <c r="AB110" i="6"/>
  <c r="Y111" i="6" s="1"/>
  <c r="Z111" i="6" s="1"/>
  <c r="C59" i="45" l="1"/>
  <c r="E59" i="45" s="1"/>
  <c r="AB111" i="6"/>
  <c r="Y112" i="6" s="1"/>
  <c r="Z112" i="6" s="1"/>
  <c r="AB112" i="6" l="1"/>
  <c r="Y113" i="6" s="1"/>
  <c r="Z113" i="6" s="1"/>
  <c r="AB113" i="6" l="1"/>
  <c r="Y114" i="6" s="1"/>
  <c r="Z114" i="6" s="1"/>
  <c r="AB114" i="6" l="1"/>
  <c r="Y115" i="6" s="1"/>
  <c r="Z115" i="6" s="1"/>
  <c r="AB115" i="6" l="1"/>
  <c r="Y116" i="6" s="1"/>
  <c r="Z116" i="6" s="1"/>
  <c r="AB116" i="6" l="1"/>
  <c r="Y117" i="6" l="1"/>
  <c r="Z117" i="6" s="1"/>
  <c r="AB117" i="6" l="1"/>
  <c r="Y118" i="6" s="1"/>
  <c r="Z118" i="6" s="1"/>
  <c r="AB133" i="6" l="1"/>
  <c r="M27" i="6" s="1"/>
  <c r="AP44" i="6" s="1"/>
  <c r="AR44" i="6" s="1"/>
  <c r="AD107" i="6"/>
  <c r="G28" i="6"/>
  <c r="AB118" i="6"/>
  <c r="AB135" i="6" l="1"/>
  <c r="Y119" i="6"/>
  <c r="Z119" i="6" s="1"/>
  <c r="AB119" i="6" s="1"/>
  <c r="Y120" i="6" s="1"/>
  <c r="Z120" i="6" s="1"/>
  <c r="AA126" i="6"/>
  <c r="G26" i="6"/>
  <c r="F26" i="6" l="1"/>
  <c r="AA128" i="6"/>
  <c r="G27" i="6"/>
  <c r="G29" i="6" s="1"/>
  <c r="G34" i="6" s="1"/>
  <c r="AQ23" i="6"/>
  <c r="AB120" i="6"/>
  <c r="Y121" i="6" s="1"/>
  <c r="Z121" i="6" s="1"/>
  <c r="F27" i="6" l="1"/>
  <c r="F29" i="6" s="1"/>
  <c r="F34" i="6" s="1"/>
  <c r="AP23" i="6"/>
  <c r="AR23" i="6"/>
  <c r="AB121" i="6"/>
  <c r="Y122" i="6" s="1"/>
  <c r="Z122" i="6" s="1"/>
  <c r="AB122" i="6" l="1"/>
  <c r="I18" i="34" l="1"/>
  <c r="D6" i="34"/>
  <c r="D9" i="34" s="1"/>
  <c r="D32" i="34"/>
  <c r="I9" i="34" l="1"/>
  <c r="E6" i="46" s="1"/>
  <c r="K18" i="34"/>
  <c r="N18" i="34" s="1"/>
  <c r="O18" i="34" s="1"/>
  <c r="E26" i="46"/>
  <c r="G26" i="46" l="1"/>
  <c r="J26" i="46" s="1"/>
  <c r="K26" i="46" s="1"/>
  <c r="AI26" i="46" s="1"/>
  <c r="BJ6" i="46"/>
  <c r="G6" i="46"/>
  <c r="E54" i="46"/>
  <c r="K9" i="34"/>
  <c r="N9" i="34" s="1"/>
  <c r="O9" i="34" s="1"/>
  <c r="O26" i="34" s="1"/>
  <c r="O35" i="34" s="1"/>
  <c r="AA77" i="6"/>
  <c r="J6" i="46" l="1"/>
  <c r="G54" i="46"/>
  <c r="BL17" i="46"/>
  <c r="G12" i="6"/>
  <c r="AD77" i="6" s="1"/>
  <c r="K6" i="46" l="1"/>
  <c r="AI6" i="46"/>
  <c r="J54" i="46"/>
  <c r="G15" i="6"/>
  <c r="G36" i="6" s="1"/>
  <c r="AQ13" i="6"/>
  <c r="AQ47" i="6" s="1"/>
  <c r="K54" i="46" l="1"/>
  <c r="BC7" i="46" s="1"/>
  <c r="BC15" i="46" s="1"/>
  <c r="BC37" i="46" s="1"/>
  <c r="BC39" i="46" s="1"/>
  <c r="BJ32" i="46"/>
  <c r="AL16" i="6"/>
  <c r="AC70" i="6"/>
  <c r="BL35" i="46" l="1"/>
  <c r="BJ42" i="46"/>
  <c r="BJ43" i="46" s="1"/>
  <c r="F13" i="6"/>
  <c r="AE62" i="6" s="1"/>
  <c r="AM17" i="6"/>
  <c r="AM42" i="6"/>
  <c r="CA15" i="6" l="1"/>
  <c r="BK7" i="55" s="1"/>
  <c r="BS7" i="55" s="1"/>
  <c r="AP12" i="6"/>
  <c r="AR12" i="6" s="1"/>
  <c r="M30" i="6" l="1"/>
  <c r="AP46" i="6" s="1"/>
  <c r="AR46" i="6" s="1"/>
  <c r="AC90" i="6"/>
  <c r="F14" i="6" s="1"/>
  <c r="M11" i="6"/>
  <c r="AP30" i="6" s="1"/>
  <c r="AR30" i="6" s="1"/>
  <c r="AC83" i="6"/>
  <c r="AB76" i="6" s="1"/>
  <c r="AD90" i="6" l="1"/>
  <c r="AL19" i="6"/>
  <c r="AC76" i="6"/>
  <c r="AC77" i="6" s="1"/>
  <c r="AM25" i="6"/>
  <c r="AL24" i="6" s="1"/>
  <c r="AM44" i="6" s="1"/>
  <c r="CA17" i="6" s="1"/>
  <c r="BK9" i="55" s="1"/>
  <c r="BS9" i="55" s="1"/>
  <c r="AP14" i="6"/>
  <c r="AR14" i="6" s="1"/>
  <c r="AM20" i="6"/>
  <c r="M12" i="6"/>
  <c r="M26" i="6" s="1"/>
  <c r="M28" i="6" s="1"/>
  <c r="M31" i="6" s="1"/>
  <c r="CA8" i="6" s="1"/>
  <c r="BK3" i="55" s="1"/>
  <c r="BS3" i="55" s="1"/>
  <c r="AT10" i="6" l="1"/>
  <c r="AS10" i="6"/>
  <c r="F12" i="6"/>
  <c r="AM43" i="6"/>
  <c r="AL36" i="6"/>
  <c r="AT12" i="6"/>
  <c r="AT22" i="6"/>
  <c r="AT21" i="6"/>
  <c r="AT17" i="6"/>
  <c r="AT42" i="6"/>
  <c r="AS26" i="6"/>
  <c r="AS23" i="6"/>
  <c r="AS30" i="6"/>
  <c r="AS13" i="6"/>
  <c r="AS29" i="6"/>
  <c r="AS24" i="6"/>
  <c r="AT19" i="6"/>
  <c r="AT39" i="6"/>
  <c r="AT35" i="6"/>
  <c r="AS16" i="6"/>
  <c r="AS21" i="6"/>
  <c r="AS14" i="6"/>
  <c r="AS36" i="6"/>
  <c r="AS46" i="6"/>
  <c r="AS17" i="6"/>
  <c r="AS38" i="6"/>
  <c r="AS28" i="6"/>
  <c r="AS34" i="6"/>
  <c r="AT46" i="6"/>
  <c r="AT44" i="6"/>
  <c r="AT9" i="6"/>
  <c r="AT41" i="6"/>
  <c r="AT34" i="6"/>
  <c r="AS25" i="6"/>
  <c r="AT37" i="6"/>
  <c r="AS44" i="6"/>
  <c r="AS40" i="6"/>
  <c r="AS20" i="6"/>
  <c r="AS11" i="6"/>
  <c r="AS39" i="6"/>
  <c r="AS35" i="6"/>
  <c r="AT45" i="6"/>
  <c r="AS7" i="6"/>
  <c r="AT11" i="6"/>
  <c r="AT40" i="6"/>
  <c r="AT31" i="6"/>
  <c r="AT38" i="6"/>
  <c r="AS33" i="6"/>
  <c r="AS32" i="6"/>
  <c r="AT18" i="6"/>
  <c r="AT33" i="6"/>
  <c r="AT28" i="6"/>
  <c r="AT7" i="6"/>
  <c r="AT27" i="6"/>
  <c r="AT32" i="6"/>
  <c r="AS42" i="6"/>
  <c r="AS8" i="6"/>
  <c r="AS12" i="6"/>
  <c r="AS41" i="6"/>
  <c r="AT14" i="6"/>
  <c r="AS37" i="6"/>
  <c r="AT16" i="6"/>
  <c r="AT13" i="6"/>
  <c r="AT29" i="6"/>
  <c r="AT15" i="6"/>
  <c r="AT25" i="6"/>
  <c r="AM36" i="6"/>
  <c r="AS43" i="6"/>
  <c r="AS45" i="6"/>
  <c r="AT30" i="6"/>
  <c r="AS9" i="6"/>
  <c r="AT24" i="6"/>
  <c r="AS27" i="6"/>
  <c r="AS31" i="6"/>
  <c r="AT23" i="6"/>
  <c r="AT20" i="6"/>
  <c r="AT43" i="6"/>
  <c r="AS18" i="6"/>
  <c r="AT36" i="6"/>
  <c r="AS19" i="6"/>
  <c r="AS22" i="6"/>
  <c r="AT8" i="6"/>
  <c r="AT26" i="6"/>
  <c r="AS15" i="6"/>
  <c r="AP25" i="6"/>
  <c r="AR25" i="6" s="1"/>
  <c r="T11" i="6"/>
  <c r="CA16" i="6" l="1"/>
  <c r="AM46" i="6"/>
  <c r="AS49" i="6"/>
  <c r="AU26" i="6"/>
  <c r="AT49" i="6"/>
  <c r="AU40" i="6"/>
  <c r="AU24" i="6"/>
  <c r="BF24" i="6" s="1"/>
  <c r="AU20" i="6"/>
  <c r="BA20" i="6" s="1"/>
  <c r="CA28" i="6" s="1"/>
  <c r="AU14" i="6"/>
  <c r="BH14" i="6" s="1"/>
  <c r="AU10" i="6"/>
  <c r="AU29" i="6"/>
  <c r="BH29" i="6" s="1"/>
  <c r="AU33" i="6"/>
  <c r="AW33" i="6" s="1"/>
  <c r="BH33" i="6" s="1"/>
  <c r="AP13" i="6"/>
  <c r="F15" i="6"/>
  <c r="F36" i="6" s="1"/>
  <c r="AE69" i="6"/>
  <c r="AU43" i="6"/>
  <c r="AU23" i="6"/>
  <c r="BD23" i="6" s="1"/>
  <c r="AU28" i="6"/>
  <c r="AU11" i="6"/>
  <c r="BC11" i="6" s="1"/>
  <c r="AU8" i="6"/>
  <c r="AV8" i="6" s="1"/>
  <c r="CA21" i="6" s="1"/>
  <c r="AU25" i="6"/>
  <c r="BG25" i="6" s="1"/>
  <c r="BG47" i="6" s="1"/>
  <c r="BS30" i="6" s="1"/>
  <c r="AU36" i="6"/>
  <c r="BH36" i="6" s="1"/>
  <c r="AU32" i="6"/>
  <c r="BH32" i="6" s="1"/>
  <c r="AU38" i="6"/>
  <c r="AU18" i="6"/>
  <c r="AS47" i="6"/>
  <c r="AU37" i="6"/>
  <c r="BH37" i="6" s="1"/>
  <c r="AU35" i="6"/>
  <c r="BH35" i="6" s="1"/>
  <c r="AU15" i="6"/>
  <c r="AU45" i="6"/>
  <c r="AU39" i="6"/>
  <c r="U11" i="6"/>
  <c r="U16" i="6" s="1"/>
  <c r="T16" i="6"/>
  <c r="G40" i="6" s="1"/>
  <c r="AU34" i="6"/>
  <c r="AU19" i="6"/>
  <c r="AU42" i="6"/>
  <c r="AU41" i="6"/>
  <c r="AU17" i="6"/>
  <c r="BH17" i="6" s="1"/>
  <c r="AU30" i="6"/>
  <c r="BH30" i="6" s="1"/>
  <c r="AU16" i="6"/>
  <c r="AU27" i="6"/>
  <c r="AU31" i="6"/>
  <c r="BH31" i="6" s="1"/>
  <c r="AU9" i="6"/>
  <c r="AU21" i="6"/>
  <c r="AU7" i="6"/>
  <c r="AT47" i="6"/>
  <c r="AU44" i="6"/>
  <c r="AU22" i="6"/>
  <c r="AU46" i="6"/>
  <c r="BH46" i="6" s="1"/>
  <c r="AU12" i="6"/>
  <c r="BH12" i="6" s="1"/>
  <c r="CI28" i="6" l="1"/>
  <c r="CI21" i="6"/>
  <c r="BK11" i="55"/>
  <c r="BS11" i="55" s="1"/>
  <c r="BH41" i="6"/>
  <c r="BH42" i="6"/>
  <c r="BH43" i="6"/>
  <c r="AT50" i="6"/>
  <c r="BH27" i="6"/>
  <c r="AV26" i="6"/>
  <c r="BH26" i="6" s="1"/>
  <c r="AZ28" i="6"/>
  <c r="AY28" i="6" s="1"/>
  <c r="AZ10" i="6"/>
  <c r="AY40" i="6"/>
  <c r="AZ40" i="6" s="1"/>
  <c r="BH40" i="6" s="1"/>
  <c r="AY39" i="6"/>
  <c r="AZ39" i="6" s="1"/>
  <c r="AY34" i="6"/>
  <c r="AZ34" i="6" s="1"/>
  <c r="AY19" i="6"/>
  <c r="CA27" i="6" s="1"/>
  <c r="BH20" i="6"/>
  <c r="BC47" i="6"/>
  <c r="BS22" i="6" s="1"/>
  <c r="BF47" i="6"/>
  <c r="BS29" i="6" s="1"/>
  <c r="BD47" i="6"/>
  <c r="BS27" i="6" s="1"/>
  <c r="BH8" i="6"/>
  <c r="AY9" i="6"/>
  <c r="AR13" i="6"/>
  <c r="AP47" i="6"/>
  <c r="BH25" i="6"/>
  <c r="AW38" i="6"/>
  <c r="BH38" i="6" s="1"/>
  <c r="BH11" i="6"/>
  <c r="AY15" i="6"/>
  <c r="CA24" i="6" s="1"/>
  <c r="BH24" i="6"/>
  <c r="BA21" i="6"/>
  <c r="BH7" i="6"/>
  <c r="AX45" i="6"/>
  <c r="BH45" i="6" s="1"/>
  <c r="AX16" i="6"/>
  <c r="CA25" i="6" s="1"/>
  <c r="BE44" i="6"/>
  <c r="CA19" i="6" s="1"/>
  <c r="AV22" i="6"/>
  <c r="CA30" i="6" s="1"/>
  <c r="BH23" i="6"/>
  <c r="AW18" i="6"/>
  <c r="CA26" i="6" s="1"/>
  <c r="CI26" i="6" l="1"/>
  <c r="CI30" i="6"/>
  <c r="CI24" i="6"/>
  <c r="BK13" i="55"/>
  <c r="BS13" i="55" s="1"/>
  <c r="CI27" i="6"/>
  <c r="BK15" i="55"/>
  <c r="BS15" i="55" s="1"/>
  <c r="CI25" i="6"/>
  <c r="BK14" i="55"/>
  <c r="BS14" i="55" s="1"/>
  <c r="CI8" i="6"/>
  <c r="BH10" i="6"/>
  <c r="CA23" i="6"/>
  <c r="AZ9" i="6"/>
  <c r="CA22" i="6" s="1"/>
  <c r="BH21" i="6"/>
  <c r="CA29" i="6"/>
  <c r="BH15" i="6"/>
  <c r="BH39" i="6"/>
  <c r="AW47" i="6"/>
  <c r="BS12" i="6" s="1"/>
  <c r="BA47" i="6"/>
  <c r="BS16" i="6" s="1"/>
  <c r="BE47" i="6"/>
  <c r="BH16" i="6"/>
  <c r="AX47" i="6"/>
  <c r="BS13" i="6" s="1"/>
  <c r="AY47" i="6"/>
  <c r="BS14" i="6" s="1"/>
  <c r="AV47" i="6"/>
  <c r="BS11" i="6" s="1"/>
  <c r="AR47" i="6"/>
  <c r="AU13" i="6"/>
  <c r="BH18" i="6"/>
  <c r="BH22" i="6"/>
  <c r="BH19" i="6"/>
  <c r="BH34" i="6"/>
  <c r="BH44" i="6"/>
  <c r="CI22" i="6" l="1"/>
  <c r="BK12" i="55"/>
  <c r="BS12" i="55" s="1"/>
  <c r="CI23" i="6"/>
  <c r="CI29" i="6"/>
  <c r="AZ47" i="6"/>
  <c r="BS15" i="6" s="1"/>
  <c r="BS18" i="6" s="1"/>
  <c r="BS28" i="6"/>
  <c r="CA31" i="6"/>
  <c r="BH9" i="6"/>
  <c r="BH28" i="6"/>
  <c r="BB13" i="6"/>
  <c r="AU47" i="6"/>
  <c r="BS16" i="55" l="1"/>
  <c r="BK16" i="55"/>
  <c r="CI31" i="6"/>
  <c r="CA48" i="6"/>
  <c r="CA49" i="6" s="1"/>
  <c r="BS32" i="6"/>
  <c r="BB47" i="6"/>
  <c r="BS21" i="6" s="1"/>
  <c r="BH13" i="6"/>
  <c r="BS24" i="6" l="1"/>
  <c r="BS34" i="6" s="1"/>
  <c r="BS36" i="6" l="1"/>
  <c r="I25" i="58" l="1"/>
  <c r="I26" i="58" s="1"/>
  <c r="I27" i="58" s="1"/>
  <c r="J25" i="58"/>
  <c r="J26" i="58" s="1"/>
  <c r="J27" i="58" s="1"/>
  <c r="H25" i="58"/>
  <c r="H26" i="58" s="1"/>
  <c r="H27" i="58" s="1"/>
  <c r="X22" i="66"/>
  <c r="W21" i="66" s="1"/>
  <c r="W22" i="66" s="1"/>
</calcChain>
</file>

<file path=xl/sharedStrings.xml><?xml version="1.0" encoding="utf-8"?>
<sst xmlns="http://schemas.openxmlformats.org/spreadsheetml/2006/main" count="6070" uniqueCount="1368">
  <si>
    <t>Estado de flujos de efectivo</t>
  </si>
  <si>
    <t>Efectivo</t>
  </si>
  <si>
    <t>Existencias</t>
  </si>
  <si>
    <t>$</t>
  </si>
  <si>
    <t>Cuentas por pagar comerciales</t>
  </si>
  <si>
    <t>Remuneraciones por pagar</t>
  </si>
  <si>
    <t>Préstamos por pagar</t>
  </si>
  <si>
    <t>Capital social</t>
  </si>
  <si>
    <t>Resultados acumulados</t>
  </si>
  <si>
    <t>Ventas</t>
  </si>
  <si>
    <t>Costo de ventas</t>
  </si>
  <si>
    <t>Gastos de personal</t>
  </si>
  <si>
    <t>Servicios de terceros</t>
  </si>
  <si>
    <t>Utilidad bruta</t>
  </si>
  <si>
    <t>Utilidad operativa</t>
  </si>
  <si>
    <t>Impuesto a la renta</t>
  </si>
  <si>
    <t>Utilidad neta</t>
  </si>
  <si>
    <t>Cobros a</t>
  </si>
  <si>
    <t>Pago</t>
  </si>
  <si>
    <t>Compra</t>
  </si>
  <si>
    <t>de A.F.</t>
  </si>
  <si>
    <t>Pago a</t>
  </si>
  <si>
    <t>Pago de</t>
  </si>
  <si>
    <t>Impuesto a la renta por pagar</t>
  </si>
  <si>
    <t>Aporte</t>
  </si>
  <si>
    <t>Otros</t>
  </si>
  <si>
    <t>Pagos</t>
  </si>
  <si>
    <t>Cuentas por pagar diversas</t>
  </si>
  <si>
    <t>Activo fijo</t>
  </si>
  <si>
    <t>Alquileres</t>
  </si>
  <si>
    <t>Saldo inicial</t>
  </si>
  <si>
    <t>IVA</t>
  </si>
  <si>
    <t>Saldo final</t>
  </si>
  <si>
    <t>(-) Cobranzas</t>
  </si>
  <si>
    <t>(+) Compras</t>
  </si>
  <si>
    <t>Costo</t>
  </si>
  <si>
    <t>Depreciación acumulada</t>
  </si>
  <si>
    <t>Mantenimiento</t>
  </si>
  <si>
    <t>Depreciación</t>
  </si>
  <si>
    <t>Compras</t>
  </si>
  <si>
    <t>Total</t>
  </si>
  <si>
    <t>Impuestos a la renta por pagar</t>
  </si>
  <si>
    <t>IVA por pagar</t>
  </si>
  <si>
    <t>(-) Pagos</t>
  </si>
  <si>
    <t>Gasto de personal</t>
  </si>
  <si>
    <t>Gastos financieros</t>
  </si>
  <si>
    <t>(+) Gasto financiero</t>
  </si>
  <si>
    <t>Saldo inicial del efectivo</t>
  </si>
  <si>
    <t>(-) Pago de dividendos</t>
  </si>
  <si>
    <t>Saldo final del efectivo</t>
  </si>
  <si>
    <t>Cobros</t>
  </si>
  <si>
    <t>Actividades de operación</t>
  </si>
  <si>
    <t>Actividades de inversión</t>
  </si>
  <si>
    <t>Cuentas por pagar diversas:</t>
  </si>
  <si>
    <t>Total activos</t>
  </si>
  <si>
    <t>Total pasivos</t>
  </si>
  <si>
    <t>Activos</t>
  </si>
  <si>
    <t>Activos corrientes</t>
  </si>
  <si>
    <t>Activos no corrientes</t>
  </si>
  <si>
    <t>Pasivos y patrimonio</t>
  </si>
  <si>
    <t>Pasivos no corriente</t>
  </si>
  <si>
    <t>Pasivos corrientes</t>
  </si>
  <si>
    <t>Estado de situación financiera</t>
  </si>
  <si>
    <t>Activo fijo, neto</t>
  </si>
  <si>
    <t>[a]</t>
  </si>
  <si>
    <t>[b]</t>
  </si>
  <si>
    <t>[c]</t>
  </si>
  <si>
    <t>[d]</t>
  </si>
  <si>
    <t>Adiciones</t>
  </si>
  <si>
    <t>Gasto por depreciación</t>
  </si>
  <si>
    <t>Inicial</t>
  </si>
  <si>
    <t>Final</t>
  </si>
  <si>
    <t>Corto plazo</t>
  </si>
  <si>
    <t>Largo plazo</t>
  </si>
  <si>
    <t>Actividades de financiamiento</t>
  </si>
  <si>
    <t>Total activo</t>
  </si>
  <si>
    <t>Total pasivo</t>
  </si>
  <si>
    <t>Pasivo corriente</t>
  </si>
  <si>
    <t>Activo corriente</t>
  </si>
  <si>
    <t>Pasivo y patrimonio</t>
  </si>
  <si>
    <t>Patrimonio</t>
  </si>
  <si>
    <t>Total patrimonio</t>
  </si>
  <si>
    <t>Total pasivo y patrimonio</t>
  </si>
  <si>
    <t>Préstamos por pagar a Matriz</t>
  </si>
  <si>
    <t>Costo operativo</t>
  </si>
  <si>
    <t>Gasto de administración</t>
  </si>
  <si>
    <t>Gasto de ventas</t>
  </si>
  <si>
    <t>Publicidad en medios</t>
  </si>
  <si>
    <t>Movilidad</t>
  </si>
  <si>
    <t>Utilidad antes de impuestos</t>
  </si>
  <si>
    <t>Cuentas por cobrar, neto</t>
  </si>
  <si>
    <t>Facturas por cobrar</t>
  </si>
  <si>
    <t>Deterioro de cuentas por cobrar</t>
  </si>
  <si>
    <t>Deterioro del periodo</t>
  </si>
  <si>
    <t>Saldo</t>
  </si>
  <si>
    <t>Préstamo por pagar</t>
  </si>
  <si>
    <t>Capital</t>
  </si>
  <si>
    <t>Social</t>
  </si>
  <si>
    <t>Resultados</t>
  </si>
  <si>
    <t>Acumulados</t>
  </si>
  <si>
    <t>Dividendos distribuidos</t>
  </si>
  <si>
    <t>Estado de resultados</t>
  </si>
  <si>
    <t>Por el periodo terminado el 31 de diciembre de 2016</t>
  </si>
  <si>
    <t>Variación</t>
  </si>
  <si>
    <t>Neta</t>
  </si>
  <si>
    <t>[A]</t>
  </si>
  <si>
    <t>[B]</t>
  </si>
  <si>
    <t>[C]=[B-A]</t>
  </si>
  <si>
    <t>Hoja de trabajo</t>
  </si>
  <si>
    <t>Eliminaciones</t>
  </si>
  <si>
    <t>Debe</t>
  </si>
  <si>
    <t>Haber</t>
  </si>
  <si>
    <t>ESF</t>
  </si>
  <si>
    <t>ERI</t>
  </si>
  <si>
    <t>Activo diferido por impuesto a la renta</t>
  </si>
  <si>
    <t>Equipos diversos</t>
  </si>
  <si>
    <t>Capitalización de utilidades</t>
  </si>
  <si>
    <t>Eliminación 1</t>
  </si>
  <si>
    <t>Eliminación 2</t>
  </si>
  <si>
    <t>Eliminación 3</t>
  </si>
  <si>
    <t>Eliminación 4</t>
  </si>
  <si>
    <t>clientes</t>
  </si>
  <si>
    <t>empleados</t>
  </si>
  <si>
    <t>impuesto</t>
  </si>
  <si>
    <t>cobros</t>
  </si>
  <si>
    <t>préstamos</t>
  </si>
  <si>
    <t>de capital</t>
  </si>
  <si>
    <t>dividendos</t>
  </si>
  <si>
    <t>Compra de</t>
  </si>
  <si>
    <t>activo fijo</t>
  </si>
  <si>
    <t>proveedores</t>
  </si>
  <si>
    <t>Actividades de :</t>
  </si>
  <si>
    <t>Operación</t>
  </si>
  <si>
    <t>Inversión</t>
  </si>
  <si>
    <t>Financiamiento</t>
  </si>
  <si>
    <t>Cobros a clientes</t>
  </si>
  <si>
    <t>Pagos a empleados</t>
  </si>
  <si>
    <t>Pago de impuesto a la renta</t>
  </si>
  <si>
    <t>Pago a proveedores</t>
  </si>
  <si>
    <t>Compra de equipos</t>
  </si>
  <si>
    <t>Pago de préstamos</t>
  </si>
  <si>
    <t>Aporte de capital recibidos</t>
  </si>
  <si>
    <t>Pago de dividendos</t>
  </si>
  <si>
    <t>Activiades de inversión</t>
  </si>
  <si>
    <t>Activiades de financiamiento</t>
  </si>
  <si>
    <t>Efectivo neto generado por actividades de operación</t>
  </si>
  <si>
    <t>Efectivo utilizado en actividades de inversión</t>
  </si>
  <si>
    <t>Efectivo neto utilizado en actividades de financiamiento</t>
  </si>
  <si>
    <t>Flujo de efectivo neto del periodo</t>
  </si>
  <si>
    <t>Depreciación del ejercicio</t>
  </si>
  <si>
    <t>Impuesto a la renta diferido</t>
  </si>
  <si>
    <t>(+) Transacciones que no generan flujos de efectivo</t>
  </si>
  <si>
    <t>(+/-) Variaciones en los activos y pasivos operativos</t>
  </si>
  <si>
    <t>Disminución de cuentas por cobrar comerciales</t>
  </si>
  <si>
    <t>Disminución de trabajos en curso</t>
  </si>
  <si>
    <t>Disminución de remuneraciones por pagar</t>
  </si>
  <si>
    <t>D</t>
  </si>
  <si>
    <t>G</t>
  </si>
  <si>
    <t>A</t>
  </si>
  <si>
    <t>C</t>
  </si>
  <si>
    <t>B</t>
  </si>
  <si>
    <t>E</t>
  </si>
  <si>
    <t>F</t>
  </si>
  <si>
    <t>Sobregiros bancarios</t>
  </si>
  <si>
    <t>[D]=Debe</t>
  </si>
  <si>
    <t>[H]=Haber</t>
  </si>
  <si>
    <t>[C+H-D]</t>
  </si>
  <si>
    <t>Provisión por pagarantías a clientes</t>
  </si>
  <si>
    <t>Anticipos recibidos de clientes</t>
  </si>
  <si>
    <t>Existencias, neto</t>
  </si>
  <si>
    <t>Propiedades y equipos diversos</t>
  </si>
  <si>
    <t>Intangibles, neto</t>
  </si>
  <si>
    <t>Inversión en subsidiaria</t>
  </si>
  <si>
    <t>Costo de los bienes vendidos</t>
  </si>
  <si>
    <t>Deterioro de existencias</t>
  </si>
  <si>
    <t>Servicios públicos</t>
  </si>
  <si>
    <t>Participación en resultados de subsidiaria</t>
  </si>
  <si>
    <t>Garantías otorgadas</t>
  </si>
  <si>
    <t>Amortización</t>
  </si>
  <si>
    <t>Aporte de capital en activos</t>
  </si>
  <si>
    <t>Aporte de capital en efectivo</t>
  </si>
  <si>
    <t>Excedente</t>
  </si>
  <si>
    <t>de</t>
  </si>
  <si>
    <t>revaluación</t>
  </si>
  <si>
    <t>Revaluación de terreno</t>
  </si>
  <si>
    <t>Excedente de revaluación</t>
  </si>
  <si>
    <t>Pasivo diferido por impuesto a la renta</t>
  </si>
  <si>
    <t>Mercaderias</t>
  </si>
  <si>
    <t>Dividendos recibidos</t>
  </si>
  <si>
    <t>Intangibles</t>
  </si>
  <si>
    <t>Amortización acumulada</t>
  </si>
  <si>
    <t>Activo diferido por Impuesto a la Renta</t>
  </si>
  <si>
    <t>Abono a resultados</t>
  </si>
  <si>
    <t>Provisión por garantías</t>
  </si>
  <si>
    <t>(+) Garantías por ventas del periodo</t>
  </si>
  <si>
    <t>(-) Extornos por extinción de garantías</t>
  </si>
  <si>
    <t>(-) Pagos de garantías en efectivo</t>
  </si>
  <si>
    <t>Banco AAA</t>
  </si>
  <si>
    <t>Banco BBB</t>
  </si>
  <si>
    <t>Monto</t>
  </si>
  <si>
    <t>Tasa</t>
  </si>
  <si>
    <t>Plazo</t>
  </si>
  <si>
    <t>Principal</t>
  </si>
  <si>
    <t>Interés</t>
  </si>
  <si>
    <t>Saldos al 31 de diciembre de 2016</t>
  </si>
  <si>
    <t>CP</t>
  </si>
  <si>
    <t>LP</t>
  </si>
  <si>
    <t>x</t>
  </si>
  <si>
    <t>Eliminación 5</t>
  </si>
  <si>
    <t>Eliminación 6</t>
  </si>
  <si>
    <t>Eliminación 7</t>
  </si>
  <si>
    <t>Eliminación 8</t>
  </si>
  <si>
    <t>Eliminación 9</t>
  </si>
  <si>
    <t>Eliminación 10</t>
  </si>
  <si>
    <t>Cobro</t>
  </si>
  <si>
    <t>pagos</t>
  </si>
  <si>
    <t>Depreciación- GV</t>
  </si>
  <si>
    <t>Depreciación- GA</t>
  </si>
  <si>
    <t>Otros pagos relacionados a la actividad</t>
  </si>
  <si>
    <t>Cobro de dividendos</t>
  </si>
  <si>
    <t>Aporte de capital recibido</t>
  </si>
  <si>
    <t>Efectivo y equivalente de efectivo</t>
  </si>
  <si>
    <t>Fondo fijo</t>
  </si>
  <si>
    <t>Cuentas corrientes</t>
  </si>
  <si>
    <t>Depósitos a plazo</t>
  </si>
  <si>
    <t>Saldo en estado de situación financiera</t>
  </si>
  <si>
    <t>(-) Sobregiros bancarios</t>
  </si>
  <si>
    <t>Saldo para el estado de flujos de efectivo</t>
  </si>
  <si>
    <t>Incremento en cuentas por cobrar comerciales</t>
  </si>
  <si>
    <t>Incremento en existencias</t>
  </si>
  <si>
    <t>Incremento de impuesto a la renta por pagar</t>
  </si>
  <si>
    <t>Incremento de remuneraciones por pagar</t>
  </si>
  <si>
    <t>Incremento de cuentas por pagar diversas</t>
  </si>
  <si>
    <t>H</t>
  </si>
  <si>
    <t>I</t>
  </si>
  <si>
    <t>PATRIMONIO</t>
  </si>
  <si>
    <t xml:space="preserve">ACTIVOS </t>
  </si>
  <si>
    <t xml:space="preserve">DE </t>
  </si>
  <si>
    <t>LARGA</t>
  </si>
  <si>
    <t>DURACION</t>
  </si>
  <si>
    <t>+</t>
  </si>
  <si>
    <t>Otros, neto</t>
  </si>
  <si>
    <t>Revaluación de activos</t>
  </si>
  <si>
    <t>Capitalización de deudas</t>
  </si>
  <si>
    <t>Capitalización de resultados acumulados</t>
  </si>
  <si>
    <t>M</t>
  </si>
  <si>
    <t>N</t>
  </si>
  <si>
    <t>(+) Ventas</t>
  </si>
  <si>
    <t>Cobranzas a clientes</t>
  </si>
  <si>
    <t>Intereses por cobrar</t>
  </si>
  <si>
    <t>Ingresos financieros</t>
  </si>
  <si>
    <t>Intereses por pagar</t>
  </si>
  <si>
    <t>Cuentas por cobrar comerciales</t>
  </si>
  <si>
    <t>Bienes vendidos</t>
  </si>
  <si>
    <t>Cobranzas de intereses</t>
  </si>
  <si>
    <t>Cobranza de intereses</t>
  </si>
  <si>
    <t>Variación de Cuentas por pagar comerciales</t>
  </si>
  <si>
    <t>a clientes</t>
  </si>
  <si>
    <t>intereses</t>
  </si>
  <si>
    <t>AO</t>
  </si>
  <si>
    <t>AI</t>
  </si>
  <si>
    <t>AF</t>
  </si>
  <si>
    <t>ORI</t>
  </si>
  <si>
    <t>Propiedad y equipo, neto</t>
  </si>
  <si>
    <t>CV - Bienes vendidos</t>
  </si>
  <si>
    <t>ACTIVIDADES DE OPERACIÓN</t>
  </si>
  <si>
    <t>Obtención</t>
  </si>
  <si>
    <t>ACTIVIDADES DE FINANCIAMIENTO</t>
  </si>
  <si>
    <t>diversos</t>
  </si>
  <si>
    <t>Pago de intereses</t>
  </si>
  <si>
    <t>(+) Excedente de revaluación</t>
  </si>
  <si>
    <t>(+) Capitalización de prestamos</t>
  </si>
  <si>
    <t>(+) Capital en efectivo recibido</t>
  </si>
  <si>
    <t>(-) Pago de dividenos</t>
  </si>
  <si>
    <t>acumulados</t>
  </si>
  <si>
    <t>J</t>
  </si>
  <si>
    <t>K</t>
  </si>
  <si>
    <t>L</t>
  </si>
  <si>
    <t>Pagos diversos</t>
  </si>
  <si>
    <t>Pagos a trabajadores</t>
  </si>
  <si>
    <t>Pago por compra de activo fijo</t>
  </si>
  <si>
    <t>Cobranza en venta de activos fijos</t>
  </si>
  <si>
    <t>Obtención de préstamos</t>
  </si>
  <si>
    <t>Aportes de accionistas</t>
  </si>
  <si>
    <t>Efectivo y equivalente de efectivo al inicio del periodo</t>
  </si>
  <si>
    <t>Efectivo y equivalente de efectivo al final del periodo</t>
  </si>
  <si>
    <t>Variación neta del efectivo</t>
  </si>
  <si>
    <t>Utilidad del ejercicio</t>
  </si>
  <si>
    <t>Depreciación del periodo</t>
  </si>
  <si>
    <t>Cobranza</t>
  </si>
  <si>
    <t xml:space="preserve">Cuentas por cobrar </t>
  </si>
  <si>
    <t>Cuentas por pagar a proveedores</t>
  </si>
  <si>
    <t>Impuesto por pagar</t>
  </si>
  <si>
    <t>Gastos diversos</t>
  </si>
  <si>
    <t>Gastos de diversos</t>
  </si>
  <si>
    <t>Empresa Industrial S.A.A.</t>
  </si>
  <si>
    <t>Intangible, neto</t>
  </si>
  <si>
    <t>Excedente de revaluación de terreno</t>
  </si>
  <si>
    <t>TOTAL</t>
  </si>
  <si>
    <t>Costo de</t>
  </si>
  <si>
    <t>ventas</t>
  </si>
  <si>
    <t>Gasto de</t>
  </si>
  <si>
    <t>administr.</t>
  </si>
  <si>
    <t>Consumo de materia prima</t>
  </si>
  <si>
    <t>Suma</t>
  </si>
  <si>
    <t>Formulación del Flujo de Operación como reconciliación:</t>
  </si>
  <si>
    <t>Propiedad y equipo , neto</t>
  </si>
  <si>
    <t>Al 31 de diciembre de 2016 y 2015</t>
  </si>
  <si>
    <t>Total activo corriente</t>
  </si>
  <si>
    <t>Activo</t>
  </si>
  <si>
    <t>Activo no corriente</t>
  </si>
  <si>
    <t xml:space="preserve">Total pasivo </t>
  </si>
  <si>
    <t>Sección II</t>
  </si>
  <si>
    <t>Actividad de</t>
  </si>
  <si>
    <t>=</t>
  </si>
  <si>
    <t xml:space="preserve">$90,000 debe ser explicado por las entradas menos las salidas de efectivo que ha experimentado </t>
  </si>
  <si>
    <t xml:space="preserve">Como  podemos  observar  el  dinero  se  ha  incrementado  de  un  año  al  otro. El incremento de </t>
  </si>
  <si>
    <t xml:space="preserve">la  Compañía.  En  este  caso  los  ingresos de efectivo han sido superiores a las salidas en $90,000. </t>
  </si>
  <si>
    <t xml:space="preserve">Cualquier  movimiento  de efectivo y equivalente de efectivo (cobros o pagos) es susceptible de </t>
  </si>
  <si>
    <t xml:space="preserve">ser  calificado  dentro  de  tres categorías llamadas actividades: Actividad de operación, Actividad </t>
  </si>
  <si>
    <t xml:space="preserve">de   inversión   y   Actividad   de   financiamiento.  El  esquema  planteado  en  el  cuadro  superior </t>
  </si>
  <si>
    <t>efectivo es la tarea de encontrar las tres variables faltantes.</t>
  </si>
  <si>
    <t xml:space="preserve">establece  que  tenemos  una  ecuación  con tres variables. La preparación del estado de flujos de </t>
  </si>
  <si>
    <t>Esquema del Estado de Situación Financiera</t>
  </si>
  <si>
    <t>(+) Gasto financiero del periodo</t>
  </si>
  <si>
    <t>(-) Pago de primera cuota</t>
  </si>
  <si>
    <t>Composición de la primera cuota:</t>
  </si>
  <si>
    <t xml:space="preserve">   Principal</t>
  </si>
  <si>
    <t xml:space="preserve">   Intereses</t>
  </si>
  <si>
    <t xml:space="preserve">Ventas </t>
  </si>
  <si>
    <t>Inventarios vendidos</t>
  </si>
  <si>
    <t>CV: Inventarios</t>
  </si>
  <si>
    <t>CV: Gasto de personal</t>
  </si>
  <si>
    <t>de Int.</t>
  </si>
  <si>
    <t>capital</t>
  </si>
  <si>
    <t>A.O.</t>
  </si>
  <si>
    <t>A.I.</t>
  </si>
  <si>
    <t>A.F.</t>
  </si>
  <si>
    <t>Pagos a proveedores</t>
  </si>
  <si>
    <t>Cobros de intereses</t>
  </si>
  <si>
    <t>Pago de impuestos</t>
  </si>
  <si>
    <t>Efectivo neto utilizado en actividades de inversión</t>
  </si>
  <si>
    <t>Pago a empleados</t>
  </si>
  <si>
    <t>Saldo final del efectivo y equivalente de efectivo</t>
  </si>
  <si>
    <t>Saldo inicial del efectivo y equivalente de efectivo</t>
  </si>
  <si>
    <t>Estado de cambios en el patrimonio neto</t>
  </si>
  <si>
    <t xml:space="preserve">Capital </t>
  </si>
  <si>
    <t>proveed.</t>
  </si>
  <si>
    <t>trabaj.</t>
  </si>
  <si>
    <t>imp.</t>
  </si>
  <si>
    <t>dividendo</t>
  </si>
  <si>
    <t>Proveedores por pagar</t>
  </si>
  <si>
    <t>Clientes por cobrar</t>
  </si>
  <si>
    <t>Impuestos por pagar</t>
  </si>
  <si>
    <t xml:space="preserve">Clientes por cobrar </t>
  </si>
  <si>
    <t>[c]=[b-a]</t>
  </si>
  <si>
    <t>c+H-D</t>
  </si>
  <si>
    <t>(a)</t>
  </si>
  <si>
    <t>(b)</t>
  </si>
  <si>
    <t>(+/-) Variaciones en activos y pasivos operativos</t>
  </si>
  <si>
    <t>Incremento en Existencias</t>
  </si>
  <si>
    <t>Incremento en Cuentas por cobrar comerciales</t>
  </si>
  <si>
    <t>Incremento en Intereses por cobrar</t>
  </si>
  <si>
    <t>Incremento en Remuneraciones por pagar</t>
  </si>
  <si>
    <t>Incremento en Cuentas por pagar a proveedores</t>
  </si>
  <si>
    <t>Incremento en Impuesto a la renta por pagar</t>
  </si>
  <si>
    <t xml:space="preserve">Flujo neto de efectivo generado por </t>
  </si>
  <si>
    <t xml:space="preserve">   actividades de operación</t>
  </si>
  <si>
    <t>Golo S.A.</t>
  </si>
  <si>
    <t>Proveedores</t>
  </si>
  <si>
    <t>Clientes</t>
  </si>
  <si>
    <t>S/(000)</t>
  </si>
  <si>
    <t>Estado de Resultados</t>
  </si>
  <si>
    <t>Propiedad y equipo,  neto</t>
  </si>
  <si>
    <t>[c] = [b-a]</t>
  </si>
  <si>
    <t>de prést.</t>
  </si>
  <si>
    <t>ACT. DE INVERSIÓN</t>
  </si>
  <si>
    <t>interés</t>
  </si>
  <si>
    <t>Empl.</t>
  </si>
  <si>
    <t>Imptos.</t>
  </si>
  <si>
    <t>Cobro de</t>
  </si>
  <si>
    <t>(+) Capitalización de resultados acumuados</t>
  </si>
  <si>
    <t>Estado de flujos de efectivo (método directo)</t>
  </si>
  <si>
    <t>(+) Depreciación del ejercicio</t>
  </si>
  <si>
    <t>(+) Deterioro de cuentas por cobrar</t>
  </si>
  <si>
    <t>(-) Impuesto a la renta diferido</t>
  </si>
  <si>
    <t>[a+b+c]</t>
  </si>
  <si>
    <t>$(000)</t>
  </si>
  <si>
    <t>Cifras en $(000)</t>
  </si>
  <si>
    <t xml:space="preserve">Estado de resultados </t>
  </si>
  <si>
    <t>Gastos por naturaleza</t>
  </si>
  <si>
    <t>Amortización del periodo</t>
  </si>
  <si>
    <t>(A)</t>
  </si>
  <si>
    <t>(B)</t>
  </si>
  <si>
    <t>(C)</t>
  </si>
  <si>
    <t>(D)</t>
  </si>
  <si>
    <t>(E)</t>
  </si>
  <si>
    <t>(F)</t>
  </si>
  <si>
    <t>(H)</t>
  </si>
  <si>
    <t>(I)</t>
  </si>
  <si>
    <t>(J)</t>
  </si>
  <si>
    <t>Notas seleccionadas</t>
  </si>
  <si>
    <t>(+/- ) Transacciones que no generan flujos de efectivo</t>
  </si>
  <si>
    <t>Reconciliación del flujo de operación con la</t>
  </si>
  <si>
    <t>utilidad del periodo</t>
  </si>
  <si>
    <t xml:space="preserve">Disminución de cuentas por pagar </t>
  </si>
  <si>
    <t>Result.</t>
  </si>
  <si>
    <t>Acum.</t>
  </si>
  <si>
    <t>Proveed.</t>
  </si>
  <si>
    <t>DEUDA FINANCIERA</t>
  </si>
  <si>
    <t>Compañía de Minas Buenaventura S.A.A.</t>
  </si>
  <si>
    <t>Estado separado de flujos de efectivo</t>
  </si>
  <si>
    <t>Por los años terminados el 31 de diciembre de 2011 y 2010</t>
  </si>
  <si>
    <t>US$(000)</t>
  </si>
  <si>
    <t>Cobranza de ventas</t>
  </si>
  <si>
    <t>Cobranza de dividendos</t>
  </si>
  <si>
    <t>Recuperación de impuesto general a las ventas</t>
  </si>
  <si>
    <t>Pagos a proveedores y terceros</t>
  </si>
  <si>
    <t>Pagos de regalías</t>
  </si>
  <si>
    <t>Pagos de impuesto a la renta</t>
  </si>
  <si>
    <t>Pagos de intereses</t>
  </si>
  <si>
    <t>Efectivo generado por actividades de operación</t>
  </si>
  <si>
    <t>* Saldos deudores</t>
  </si>
  <si>
    <t>* Saldos acreedores</t>
  </si>
  <si>
    <t>en Negativo.</t>
  </si>
  <si>
    <t>en Positivo.</t>
  </si>
  <si>
    <t>Regla de oro :</t>
  </si>
  <si>
    <t>(+) Capitalización de resultados acumulados</t>
  </si>
  <si>
    <t xml:space="preserve">(+) Capital recibido en efectivo </t>
  </si>
  <si>
    <t>Otros pagos</t>
  </si>
  <si>
    <t xml:space="preserve">Otros </t>
  </si>
  <si>
    <t>Asientos contables de eliminación</t>
  </si>
  <si>
    <t>Propiedad, planta y equipo</t>
  </si>
  <si>
    <t>Pasivo por impuesto diferido</t>
  </si>
  <si>
    <t xml:space="preserve">D </t>
  </si>
  <si>
    <t xml:space="preserve">E </t>
  </si>
  <si>
    <t>Flujo de efectivo neto utilizado en actividades de financiamiento</t>
  </si>
  <si>
    <t>Impuesto a la renta corriente</t>
  </si>
  <si>
    <t>Emplead</t>
  </si>
  <si>
    <t>[N]</t>
  </si>
  <si>
    <t>[G]</t>
  </si>
  <si>
    <t>[N+G]</t>
  </si>
  <si>
    <t>Corriente</t>
  </si>
  <si>
    <t>No Corriente</t>
  </si>
  <si>
    <t>Exced.</t>
  </si>
  <si>
    <t>Resultad.</t>
  </si>
  <si>
    <t>Adic.</t>
  </si>
  <si>
    <t>Prést.</t>
  </si>
  <si>
    <t>Inter.</t>
  </si>
  <si>
    <t>Estado de cambios en el patrimonio</t>
  </si>
  <si>
    <t>Préstamo de Banco AAA</t>
  </si>
  <si>
    <t>Préstamo de Banco BBB</t>
  </si>
  <si>
    <t xml:space="preserve">        Pagado en 2016</t>
  </si>
  <si>
    <t>S.I.</t>
  </si>
  <si>
    <t>S.F.</t>
  </si>
  <si>
    <t>(K)</t>
  </si>
  <si>
    <t>Flujo</t>
  </si>
  <si>
    <t>Neto</t>
  </si>
  <si>
    <t>TRAMPO S.A.</t>
  </si>
  <si>
    <t>[C]</t>
  </si>
  <si>
    <t>Valor en libros</t>
  </si>
  <si>
    <t>Gastos</t>
  </si>
  <si>
    <t>(+) IVA</t>
  </si>
  <si>
    <t>operativos</t>
  </si>
  <si>
    <t>Intereses pagados</t>
  </si>
  <si>
    <t>Dividendos pagados</t>
  </si>
  <si>
    <t>Gasto financiero</t>
  </si>
  <si>
    <t>S/</t>
  </si>
  <si>
    <t>CORRIENTES</t>
  </si>
  <si>
    <t xml:space="preserve">PASIVOS </t>
  </si>
  <si>
    <t>Identificación de flujos de efectivo por actividades</t>
  </si>
  <si>
    <t>Las actividades (Operación, Inversión y Financiamiento) se relacionan directamente con los</t>
  </si>
  <si>
    <t>rubros del estado de situación financiera. Toda entra (o salida) de efectivo que mueve las</t>
  </si>
  <si>
    <t>Toda entra (o salida) de efectivo que mueve los activos de larga duración se debe clasificar en</t>
  </si>
  <si>
    <t>deudas financieras y/o el patrimonio se debe clasificar en actividad de financiamiento.</t>
  </si>
  <si>
    <t>actividades de inversión. Finalmente las entradas (o salidas) de efectivo que mueven los activos</t>
  </si>
  <si>
    <t>y/o pasivos operativos deben clasificarse en actividades de operación.</t>
  </si>
  <si>
    <t xml:space="preserve">Extracto del estado de flujos de Compañía de Minas Buenaventura S.A.A.; como se observa la </t>
  </si>
  <si>
    <t>Compañía ha presentado a la cobranza de dividendos formando parte de las actividades de</t>
  </si>
  <si>
    <t>operación.  La Compañía mantiene sus inversiones en asociadas y subsidiarias de acuerdo con el</t>
  </si>
  <si>
    <r>
      <t xml:space="preserve">método contable de la </t>
    </r>
    <r>
      <rPr>
        <i/>
        <sz val="14"/>
        <color theme="1"/>
        <rFont val="Calibri"/>
        <family val="2"/>
        <scheme val="minor"/>
      </rPr>
      <t>participación patrimonial</t>
    </r>
    <r>
      <rPr>
        <sz val="14"/>
        <color theme="1"/>
        <rFont val="Calibri"/>
        <family val="2"/>
        <scheme val="minor"/>
      </rPr>
      <t>. Según este método la cobranza de dividendos</t>
    </r>
  </si>
  <si>
    <t>se reconoce abonando a la inversión. De acuerdo con nuestro método, el flujo de cobranza de</t>
  </si>
  <si>
    <t xml:space="preserve">dividendos debe ser clasificado en actividades de inversión. Sin embargo, existen excepciones </t>
  </si>
  <si>
    <t>debido a la falta de consenso. Otro ejemplo es el pago de intereses, que esta Compañía clasifica</t>
  </si>
  <si>
    <t>porque el interés es consecuencia de haber conseguido financiamiento. Estas dos situaciones</t>
  </si>
  <si>
    <r>
      <t xml:space="preserve">son descritas en la sección </t>
    </r>
    <r>
      <rPr>
        <b/>
        <sz val="14"/>
        <color theme="1"/>
        <rFont val="Calibri"/>
        <family val="2"/>
        <scheme val="minor"/>
      </rPr>
      <t>3 Falta de consenso</t>
    </r>
    <r>
      <rPr>
        <sz val="14"/>
        <color theme="1"/>
        <rFont val="Calibri"/>
        <family val="2"/>
        <scheme val="minor"/>
      </rPr>
      <t xml:space="preserve">. </t>
    </r>
  </si>
  <si>
    <t>Segundo paso: ELIMINAR</t>
  </si>
  <si>
    <t>Tercer paso: DISTRIBUIR</t>
  </si>
  <si>
    <t>Primer paso: ORDENAR - saldos deudores en positivo / saldos acreedores en negativo</t>
  </si>
  <si>
    <t>Cuarto paso: PRESENTAR METODO DIRECTO</t>
  </si>
  <si>
    <t>Cuarto paso: PRESENTAR METODO INDIRECTO</t>
  </si>
  <si>
    <t>2. Actividades de operación, inversión y financiamiento</t>
  </si>
  <si>
    <t>Pag. 69</t>
  </si>
  <si>
    <t>Primer paso: ORDENAR - deudores en positivo y acreedores en negativo</t>
  </si>
  <si>
    <t xml:space="preserve">Segundo paso: ELIMINAR </t>
  </si>
  <si>
    <t>Asientos de eliminaciones</t>
  </si>
  <si>
    <t>Cuarto paso: Presentar Método Directo</t>
  </si>
  <si>
    <t>LÓGICA DEL MÉTODO INDIRECTO</t>
  </si>
  <si>
    <t>Pág. 129</t>
  </si>
  <si>
    <t>Pág. 130</t>
  </si>
  <si>
    <t>Pág. 131</t>
  </si>
  <si>
    <t>Pág. 139</t>
  </si>
  <si>
    <t>Pág. 140</t>
  </si>
  <si>
    <t>Decremento en existencias</t>
  </si>
  <si>
    <t>Decremento de remuneraciones por pagar</t>
  </si>
  <si>
    <t>Decremento de provisión por garantías</t>
  </si>
  <si>
    <t>Incremento de anticipos recibidos de clientes</t>
  </si>
  <si>
    <t>Pág. 133</t>
  </si>
  <si>
    <t>Pág. 134</t>
  </si>
  <si>
    <t>Pág. 141</t>
  </si>
  <si>
    <t>Pág. 142</t>
  </si>
  <si>
    <t>Pág. 143</t>
  </si>
  <si>
    <t>Decremento en cuentas por pagar comerciales</t>
  </si>
  <si>
    <t>Provisión por garantías a clientes</t>
  </si>
  <si>
    <t xml:space="preserve">en actividades de operación, otro criterio puede ser clasificarlo en actividades de financiamiento </t>
  </si>
  <si>
    <t>c + B - D</t>
  </si>
  <si>
    <t>Flujo de efectivo neto proveniente de actividades de operación</t>
  </si>
  <si>
    <t>Flujo de efectivo neto utilizado en actividades de inversión</t>
  </si>
  <si>
    <t xml:space="preserve">Depreciación </t>
  </si>
  <si>
    <t>Saldo al 31 de diciembre de 2015</t>
  </si>
  <si>
    <t>Movimiento del Préstamo por pagar (sólo principal)</t>
  </si>
  <si>
    <t>Decremento de anticipo recibido de clientes</t>
  </si>
  <si>
    <t>(+) Utilidad neta</t>
  </si>
  <si>
    <t>Pagos por compra de propiedad, planta y equipos</t>
  </si>
  <si>
    <t>Capital recibido en efectivo</t>
  </si>
  <si>
    <t>Cobro a</t>
  </si>
  <si>
    <t xml:space="preserve">Decremento de Cuentas por pagar comerciales </t>
  </si>
  <si>
    <t>Decremento de Remuneraciones por pagar</t>
  </si>
  <si>
    <t>Decremento de Impuesto a la renta por pagar</t>
  </si>
  <si>
    <t>Decremento de Intereses por pagar</t>
  </si>
  <si>
    <t>Cobro de aporte de capital social</t>
  </si>
  <si>
    <t>Caso con Diferencia en Cambio</t>
  </si>
  <si>
    <t>Pérdida por diferencia en cambio</t>
  </si>
  <si>
    <t>Pérdida</t>
  </si>
  <si>
    <t>USD</t>
  </si>
  <si>
    <t>USD(000)</t>
  </si>
  <si>
    <t>En moneda extranjera</t>
  </si>
  <si>
    <t>En moneda local</t>
  </si>
  <si>
    <t>T/C al inicio</t>
  </si>
  <si>
    <t>T/C al cierre</t>
  </si>
  <si>
    <t>T/C al de pago</t>
  </si>
  <si>
    <t>D/C</t>
  </si>
  <si>
    <t>D/C: pérdida por diferencia en cambio</t>
  </si>
  <si>
    <t>En USD</t>
  </si>
  <si>
    <t>En $</t>
  </si>
  <si>
    <t>Saldos al 31 de diciembre de 2015</t>
  </si>
  <si>
    <t>Gasto finaniero</t>
  </si>
  <si>
    <t>Pago de principal</t>
  </si>
  <si>
    <t>Aporte de capital social</t>
  </si>
  <si>
    <t>Aporte de capital en activos fijos</t>
  </si>
  <si>
    <t>Gastos de administración</t>
  </si>
  <si>
    <t>Bonus II</t>
  </si>
  <si>
    <t>QUE HACER CON LA DIFERENCIA DE CAMBIO</t>
  </si>
  <si>
    <t>Saldo al 31.12.2016</t>
  </si>
  <si>
    <t>Saldo al 31.12.2015</t>
  </si>
  <si>
    <t>La Compañía no ha obtenido mas préstamos durante el año. Solamente pagó intereses.</t>
  </si>
  <si>
    <t>En este escenario. No existe el flujo de financiamiento. Es cero. Sin embargo, en soles</t>
  </si>
  <si>
    <t>vemos que existe un movimiento generado por el efecto de la variación en los tipos de</t>
  </si>
  <si>
    <t>cambio.</t>
  </si>
  <si>
    <t>La pérdida por diferencia en cambio de S/13,000 es una transacción no monetaria.</t>
  </si>
  <si>
    <t>Debemos eliminarla para construir el flujo de efectivo asi:</t>
  </si>
  <si>
    <t>Supongamos lo siguiente 1:</t>
  </si>
  <si>
    <t>Supongamos lo siguiente 2:</t>
  </si>
  <si>
    <t>Pago del 30.06.2015</t>
  </si>
  <si>
    <t>Pérdida por dif/Cambio</t>
  </si>
  <si>
    <t>La Compañía ha pagado préstamos por USD20,000; que ha significado un desembolso de</t>
  </si>
  <si>
    <t xml:space="preserve">Sin embargo, por variación de la cuenta obtenemos un flujo negativo de S/56,000. Este </t>
  </si>
  <si>
    <t>movimiento se ve contaminado por la pérdia por diferencia en cambio que se debe eliminar asi:</t>
  </si>
  <si>
    <t>En la hoja de trabajo, está eliminación se mostraría de la siguientte manera:</t>
  </si>
  <si>
    <t>31.12.2016</t>
  </si>
  <si>
    <t>31.12.2015</t>
  </si>
  <si>
    <t>Var</t>
  </si>
  <si>
    <t>Var Neta</t>
  </si>
  <si>
    <t>Diferencia en cambio</t>
  </si>
  <si>
    <t>Al 30.06.15</t>
  </si>
  <si>
    <t>Al 30.12.16</t>
  </si>
  <si>
    <t>La diferencia en cambio de S/12,000 hace que el saldo en Soles del préstamo se encuentre expresado al</t>
  </si>
  <si>
    <t>tipo de cambio de cierre, que corresponde con su expresión en dólares de USD80,000. Este diferencial de cambio</t>
  </si>
  <si>
    <t>se ha ido creando de la siguiente manera:</t>
  </si>
  <si>
    <t>Diferencia generada por los USD100,000 hasta el 30.06.15</t>
  </si>
  <si>
    <t>Diferencia generada por los USD80,000 desde 30.06.15 hasta 31.12.15</t>
  </si>
  <si>
    <t>Supongamos lo siguiente 3:</t>
  </si>
  <si>
    <t>Pago del 30.09.2015</t>
  </si>
  <si>
    <t>La Compañía ha pagado préstamos por USD40,000; que ha significado un desembolso de</t>
  </si>
  <si>
    <t>S/136,000 al tipo de cambio de la fecha de transacción.</t>
  </si>
  <si>
    <t>S/68,000 al tipo de cambio de la fecha de transacción.</t>
  </si>
  <si>
    <t xml:space="preserve">Sin embargo, por variación de la cuenta obtenemos un flujo negativo de S/125,000. Este </t>
  </si>
  <si>
    <t>La diferencia en cambio de S/11,000 hace que el saldo en Soles del préstamo se encuentre expresado al</t>
  </si>
  <si>
    <t>tipo de cambio de cierre, que corresponde con su expresión en dólares de USD40,000. Este diferencial de cambio</t>
  </si>
  <si>
    <t>Al 30.09.15</t>
  </si>
  <si>
    <t>Conclusión:</t>
  </si>
  <si>
    <t>De estos 3 ejemplos concluimos que la diferencia en cambio debe ser eliminada al 100% para poder expresar los flujos de moneda extranjera</t>
  </si>
  <si>
    <t xml:space="preserve">al tipo de cambio histórico. En la pérdida (o ganancia) por diferencia en cambio se encuentra tanto las diferencias en cambio pagadas como </t>
  </si>
  <si>
    <t>no pagadas. Sin embargo, no es necesario llegar a esa distinción, pues como hemos visto con la eliminación total se llega a obtener las variaciones</t>
  </si>
  <si>
    <t>en el efectivo a sus tipos de cambio históricos.</t>
  </si>
  <si>
    <t>Queda pues como trabajo para hacer un estado de flujos de efectivo hacer una identificación de las ganancias (o pérdidas) por diferencia en</t>
  </si>
  <si>
    <t>cambio con las cuentas que las originaron. Es decir podremos saber cúanto de la diferencia en cambio corresponde a las cuentas por cobrar comerciales</t>
  </si>
  <si>
    <t>en moneda extranjera? Podemos identificar cuanto corresponde a los préstamos en moneda extranjera? Claro que esta información puede obtenerse</t>
  </si>
  <si>
    <t>per debemos sopesar el costo de obtenerla versus la utilidad de hacerlo (costo beneficio dice el Marco Conceptual).</t>
  </si>
  <si>
    <t>Experiencias internacionales</t>
  </si>
  <si>
    <t>¿QUÉ DICE LA NIC 7 SOBRE LAS DIFERENCIAS EN CAMBIO?</t>
  </si>
  <si>
    <t xml:space="preserve">Las pérdidas o ganancias no realizadas, por diferencias de cambio en moneda extranjera, no producen flujos de efectivo. Sin embargo, el efecto </t>
  </si>
  <si>
    <t xml:space="preserve">que la variación en los tipos de cambio tiene sobre el efectivo y los equivalentes al efectivo, mantenidos o debidos, en moneda extranjera, </t>
  </si>
  <si>
    <t xml:space="preserve">será objeto de presentación en el estado de flujos de efectivo para permitir la conciliación entre las existencias de efectivo al principio y al final </t>
  </si>
  <si>
    <t xml:space="preserve">del ejercicio. Este importe se presentará por separado de los flujos procedentes de las actividades de explotación, de inversión y de financiación, </t>
  </si>
  <si>
    <t>y en el mismo se incluirán las diferencias que, en su caso, hubieran resultado de haber presentado esos flujos al cambio de cierre.</t>
  </si>
  <si>
    <t>Miremos el siguiente estado financiero de NESTLE INTERNATIONAL</t>
  </si>
  <si>
    <t xml:space="preserve">Como se puede observar el efecto de las diferencias en cambio (currency retranslations) se encuentre fuera de las actividades. No forma parte de la </t>
  </si>
  <si>
    <t>Párrafo 28</t>
  </si>
  <si>
    <t>Operación, ni de la Inversión ni del Financiamiento. Este estado financiero está cumpliendo con el párrafo 28 de la NIC 7 mencionado anteriormente.</t>
  </si>
  <si>
    <t>Ahora que conocemos estos requerimientos, vamos a incorporarlo en nuestra hoja de trabajo.</t>
  </si>
  <si>
    <t>Dife</t>
  </si>
  <si>
    <t>Cambio</t>
  </si>
  <si>
    <t>Dif</t>
  </si>
  <si>
    <t>No Act</t>
  </si>
  <si>
    <t>Efecto de las diferencias en cambio</t>
  </si>
  <si>
    <t>En aplicación práctica, y siguiendo el párrafo 28 de la NIC 7, la diferencia en cambio se presenta fuera de las Actividades para poder reconciliar (cuadrar)</t>
  </si>
  <si>
    <t>los numeros, mire el siguiente estado financiero de NESTLE</t>
  </si>
  <si>
    <t>Fuera de las Actividades</t>
  </si>
  <si>
    <t>Aplicaremos este criterio en nuestra hoja de trabajo, con nuestra metodología. Vea que hacemos con la diferencia en cambio.</t>
  </si>
  <si>
    <t>SI</t>
  </si>
  <si>
    <t>SF</t>
  </si>
  <si>
    <t>Intereses</t>
  </si>
  <si>
    <t>VAR</t>
  </si>
  <si>
    <t>Cobro a clientes</t>
  </si>
  <si>
    <t>Al 31 de diciembre de 2020 y 2019</t>
  </si>
  <si>
    <t>3.1 Intereses pagados:</t>
  </si>
  <si>
    <t>Datos del préstamo</t>
  </si>
  <si>
    <t>Tasa Mensual</t>
  </si>
  <si>
    <t>Plazo en meses</t>
  </si>
  <si>
    <t>Pago mensual</t>
  </si>
  <si>
    <t>CF</t>
  </si>
  <si>
    <t>PAGO</t>
  </si>
  <si>
    <t xml:space="preserve">Inicio </t>
  </si>
  <si>
    <t>Junio</t>
  </si>
  <si>
    <t>:</t>
  </si>
  <si>
    <t>Cuadro del Costo amortizado por mes</t>
  </si>
  <si>
    <t>Cuadro del Costo amortizado por cierre de año</t>
  </si>
  <si>
    <t>Mes</t>
  </si>
  <si>
    <t>Corte</t>
  </si>
  <si>
    <t>O</t>
  </si>
  <si>
    <t>P</t>
  </si>
  <si>
    <t>Movimiento del préstamo 2020</t>
  </si>
  <si>
    <t>(+) Costo financiero</t>
  </si>
  <si>
    <t>(-) Pago</t>
  </si>
  <si>
    <t>Pago de interés</t>
  </si>
  <si>
    <t>Pago total</t>
  </si>
  <si>
    <t>Composición del pago</t>
  </si>
  <si>
    <t>Flujo de Financiamiento</t>
  </si>
  <si>
    <t>Flujo de Financiamiento ó de Operación</t>
  </si>
  <si>
    <t>Calendario de pagos</t>
  </si>
  <si>
    <t>PRINC</t>
  </si>
  <si>
    <t>3.2 Intereses cobrados:</t>
  </si>
  <si>
    <t>Costo F.</t>
  </si>
  <si>
    <t>PAGO(D6,D7,-D5,0,0)</t>
  </si>
  <si>
    <t>Pago        =</t>
  </si>
  <si>
    <t>=PAGOINT($D$6,F6,$F$17,$D$5,0,0)</t>
  </si>
  <si>
    <t>Pago de principal =</t>
  </si>
  <si>
    <t>Pago de interés =</t>
  </si>
  <si>
    <t>=PAGOPRIN($D$6,F6,$F$17,$D$5,0,0)</t>
  </si>
  <si>
    <t>Presentaciones</t>
  </si>
  <si>
    <t>AFP</t>
  </si>
  <si>
    <t>Integra</t>
  </si>
  <si>
    <t>Cia. De</t>
  </si>
  <si>
    <t>Minas</t>
  </si>
  <si>
    <t>Buenaventura</t>
  </si>
  <si>
    <t>Alicorp SAA</t>
  </si>
  <si>
    <t>Préstamos recibidos de terceros a corto plazo</t>
  </si>
  <si>
    <t>Préstamos recibidos de terceros a largo plazo</t>
  </si>
  <si>
    <t>Amortización de préstamos de terceros a corto plazo</t>
  </si>
  <si>
    <t>Amortización de préstamos de terceros a largo plazo</t>
  </si>
  <si>
    <t xml:space="preserve">Amortización de pasivos por arrendamientos </t>
  </si>
  <si>
    <t>Partida de estado financiero</t>
  </si>
  <si>
    <t>Flujo afectado</t>
  </si>
  <si>
    <t>Inventarios</t>
  </si>
  <si>
    <t xml:space="preserve">Remuneraciones por pagar </t>
  </si>
  <si>
    <t>Gasto por impuesto a la renta</t>
  </si>
  <si>
    <t xml:space="preserve">4.1 Cobranzas a clientes </t>
  </si>
  <si>
    <t xml:space="preserve">S.F. Cuentas por cobrar </t>
  </si>
  <si>
    <t>S.I. = Saldo inicial</t>
  </si>
  <si>
    <t>S.F. = Saldo final</t>
  </si>
  <si>
    <t xml:space="preserve">S.I. Cuentas por cobrar - S.F. Cuentas por cobrar  + Ventas x IVA </t>
  </si>
  <si>
    <t>Cobranzas  a clientes</t>
  </si>
  <si>
    <t>S.I. Cuentas por cobrar + Ventas x IVA - Cobranzas a clientes</t>
  </si>
  <si>
    <t>(-) Cobros</t>
  </si>
  <si>
    <t>Estado Financiero</t>
  </si>
  <si>
    <t>4.2 Pago a proveedores</t>
  </si>
  <si>
    <t>(-) Costo de ventas</t>
  </si>
  <si>
    <t>Pago a proveedores:</t>
  </si>
  <si>
    <t>Variación de Inventarios (incluido IVA)</t>
  </si>
  <si>
    <t>Costo de ventas (incluido IVA)</t>
  </si>
  <si>
    <t>4.3 Pago a trabajadores</t>
  </si>
  <si>
    <t>S.I. Remun. Por pagar + Gasto de Personal - Pagos a trabajadores = S.F. Remun. Por Pagar</t>
  </si>
  <si>
    <t>(+) Gasto de personal</t>
  </si>
  <si>
    <t>(-) Pagos a personal</t>
  </si>
  <si>
    <t>trabajadores</t>
  </si>
  <si>
    <t>4.4 Pago de impuesto a la renta</t>
  </si>
  <si>
    <t>S.I. Imp por pagar + Gasto por Imp. a la renta - Pagos a cuenta = S.F. Impuestos por pagar</t>
  </si>
  <si>
    <t>Saldo inicial de Imp. por pagar</t>
  </si>
  <si>
    <t>Pago de impuesto a la renta:</t>
  </si>
  <si>
    <t>(-) Saldo final de Imp. por pagar</t>
  </si>
  <si>
    <t>(+) Gasto de impuesto a la renta</t>
  </si>
  <si>
    <t>Gasto de impuesto a la renta</t>
  </si>
  <si>
    <t>Impuestos</t>
  </si>
  <si>
    <t>Impuesto</t>
  </si>
  <si>
    <t>Por el periodo terminado el 31 de diciembre de 2020</t>
  </si>
  <si>
    <t>SUMA</t>
  </si>
  <si>
    <t>Prueba</t>
  </si>
  <si>
    <t xml:space="preserve">Reconciliación de la utilidad del periodo con los flujos </t>
  </si>
  <si>
    <t>provenientes de las actividiades de operación</t>
  </si>
  <si>
    <t>Cuentas por cobrar diversas</t>
  </si>
  <si>
    <t>Otros ingresos</t>
  </si>
  <si>
    <t xml:space="preserve">Primer paso: ORDENAR </t>
  </si>
  <si>
    <t>V. Neta</t>
  </si>
  <si>
    <t>Costo de ventas:</t>
  </si>
  <si>
    <t>Otros cobros</t>
  </si>
  <si>
    <t>Decremento de cuentas por cobrar diversas</t>
  </si>
  <si>
    <t>Decremento de cuentas por pagar diversas</t>
  </si>
  <si>
    <t>Decremento de cuentas por cobrar comerciales</t>
  </si>
  <si>
    <t xml:space="preserve">Flujo de efectivo neto </t>
  </si>
  <si>
    <t xml:space="preserve">   proveniente de actividades de operación</t>
  </si>
  <si>
    <t xml:space="preserve">    utilizado en actividades de inversión</t>
  </si>
  <si>
    <t xml:space="preserve">    utilizado en actividades de financiamiento</t>
  </si>
  <si>
    <t>Checkpoint</t>
  </si>
  <si>
    <t xml:space="preserve">Reconciliación de la utilidad neta con el flujo </t>
  </si>
  <si>
    <t xml:space="preserve">de actividades de operación  </t>
  </si>
  <si>
    <t xml:space="preserve">(+/-) Transacciones que no </t>
  </si>
  <si>
    <t xml:space="preserve">          generan flujos de efectivo</t>
  </si>
  <si>
    <t xml:space="preserve">       proveniente de actividades de operación</t>
  </si>
  <si>
    <t>PPE</t>
  </si>
  <si>
    <t>Deterioro de inventarios</t>
  </si>
  <si>
    <t>Deterioro de Inventarios</t>
  </si>
  <si>
    <t>(+) Deterioro de Inventarios</t>
  </si>
  <si>
    <t>Decremento de Inventarios</t>
  </si>
  <si>
    <t>Efecto</t>
  </si>
  <si>
    <t>Cargo a resultados</t>
  </si>
  <si>
    <t>Impuesto diferido</t>
  </si>
  <si>
    <t>Asuntos para eliminar:</t>
  </si>
  <si>
    <t>Estimaciones</t>
  </si>
  <si>
    <t>Transacciones patrimoniales</t>
  </si>
  <si>
    <t>Capitalización de préstamos</t>
  </si>
  <si>
    <t>Por el periodo terminado el 31 de Dic de 2020</t>
  </si>
  <si>
    <t>C + H - D</t>
  </si>
  <si>
    <t>INVENTARIOS</t>
  </si>
  <si>
    <t>Deterioro acumulado</t>
  </si>
  <si>
    <t>(+) Deterioros del periodo</t>
  </si>
  <si>
    <t>Costo de mercadería</t>
  </si>
  <si>
    <t>Costo de productos terminados</t>
  </si>
  <si>
    <t>(+) Costo de producción</t>
  </si>
  <si>
    <t>Mano de obra</t>
  </si>
  <si>
    <t>Materia prima</t>
  </si>
  <si>
    <t>Costo de materia prima y suministros</t>
  </si>
  <si>
    <t>(-) Transferencia a producción</t>
  </si>
  <si>
    <t>CIF</t>
  </si>
  <si>
    <t>Productos terminados</t>
  </si>
  <si>
    <t>Mercadería</t>
  </si>
  <si>
    <t>Deterioros</t>
  </si>
  <si>
    <t>ELIMINACIONES</t>
  </si>
  <si>
    <t>Proveed</t>
  </si>
  <si>
    <t>Composición del costo de ventas</t>
  </si>
  <si>
    <t>[D]</t>
  </si>
  <si>
    <t>[H]</t>
  </si>
  <si>
    <t>DISTRIB.</t>
  </si>
  <si>
    <t>CUENTAS POR COBRAR COMERCIALES</t>
  </si>
  <si>
    <t>(+) Ventas  con IVA</t>
  </si>
  <si>
    <t>Ventas del periodo</t>
  </si>
  <si>
    <t>Ventas del periodo (sin IVA)</t>
  </si>
  <si>
    <t>Anticipos</t>
  </si>
  <si>
    <t>Transferencias de anticipos a ventas</t>
  </si>
  <si>
    <t>(+) Cobranzas</t>
  </si>
  <si>
    <t>(-) Transferencias a ventas</t>
  </si>
  <si>
    <t>Anticipos de clientes</t>
  </si>
  <si>
    <t>Cuentas por cobrar comerciales - estimación</t>
  </si>
  <si>
    <t>Cuentas por cobrar comerciales - Factura</t>
  </si>
  <si>
    <t>(+) Grado de avance</t>
  </si>
  <si>
    <t>Estimación - grado de avance</t>
  </si>
  <si>
    <t xml:space="preserve">   Facturadas</t>
  </si>
  <si>
    <t xml:space="preserve">   Estimadas</t>
  </si>
  <si>
    <t>(-) Facturas emitidas</t>
  </si>
  <si>
    <t>(+) Facturas emitidas por estimaciones</t>
  </si>
  <si>
    <t>Medición por grado de avance</t>
  </si>
  <si>
    <t>Ventas de bienes</t>
  </si>
  <si>
    <t>Ingresos del periodo</t>
  </si>
  <si>
    <t>PROPIEDAD, PLANTA Y EQUIPO</t>
  </si>
  <si>
    <t>Movimiento del Costo</t>
  </si>
  <si>
    <t>(+) Compras en efectivo</t>
  </si>
  <si>
    <t>(+) Compras en arrendamiento financiero</t>
  </si>
  <si>
    <t>(+) Aporte de capital social</t>
  </si>
  <si>
    <t>(+) Incremento por Exc. de Revaluación</t>
  </si>
  <si>
    <t>Propiedad planta y equipo, neto</t>
  </si>
  <si>
    <t>Movimiento de la depreciación acumulada</t>
  </si>
  <si>
    <t>(+) Depreciación del periodo</t>
  </si>
  <si>
    <t>Saldo al inicio</t>
  </si>
  <si>
    <t>Saldo al final</t>
  </si>
  <si>
    <t>Movimiento del pasivo por arrendamiento fin.</t>
  </si>
  <si>
    <t>(+) Contrato del periodo</t>
  </si>
  <si>
    <t>(-) Pagos de cuotas</t>
  </si>
  <si>
    <t>Pasivo por arrendamiento</t>
  </si>
  <si>
    <t>Pago por</t>
  </si>
  <si>
    <t>compra PPE</t>
  </si>
  <si>
    <t>INVERSIONES EN SUBSIDIARIAS, ASOCIADAS Y NEGOCIOS CONJUNTOS</t>
  </si>
  <si>
    <t>(+) Compras durante el periodo</t>
  </si>
  <si>
    <t>Movimiento de la participación patrimonial</t>
  </si>
  <si>
    <t>(-) Dividendos cobrados</t>
  </si>
  <si>
    <t>Inversiones en Subsidiarias, ….</t>
  </si>
  <si>
    <t>(+) Participación en resultados de relacionadas</t>
  </si>
  <si>
    <t>compra Inv.</t>
  </si>
  <si>
    <t>Dividendos</t>
  </si>
  <si>
    <t>Flujos:</t>
  </si>
  <si>
    <t>Pago por compra de Inversiones</t>
  </si>
  <si>
    <t xml:space="preserve">      de relacionadas</t>
  </si>
  <si>
    <t>CON  METODO DEL COSTO</t>
  </si>
  <si>
    <t>CON  PARTICIPACION  PATRIMONIAL</t>
  </si>
  <si>
    <t>Participación en resultados</t>
  </si>
  <si>
    <t>Ingreso por dividendos</t>
  </si>
  <si>
    <t>Diferencia temporaria Deducible</t>
  </si>
  <si>
    <t>Activo por IRD</t>
  </si>
  <si>
    <t>Tasa de Impuesto a la Renta</t>
  </si>
  <si>
    <t>IMPUESTO DIFERIDO</t>
  </si>
  <si>
    <t>IMPUESTO CORRIENTE</t>
  </si>
  <si>
    <t>IMPUESTO A LA RENTA</t>
  </si>
  <si>
    <t>(+) Gasto por impuesto corriente</t>
  </si>
  <si>
    <t>(-) Pagos a cuenta del año</t>
  </si>
  <si>
    <t>Pasivo por IRD</t>
  </si>
  <si>
    <t xml:space="preserve">Impuesto a la renta </t>
  </si>
  <si>
    <t>Impuesto corriente</t>
  </si>
  <si>
    <t>Deterioro de PPE</t>
  </si>
  <si>
    <t>Pérdida por deterioro</t>
  </si>
  <si>
    <t>ACTIVOS BIOLOGICOS E INVERSION INMOBILIARIA</t>
  </si>
  <si>
    <t>INVERSION INMOBILIARIA</t>
  </si>
  <si>
    <t>Valor razonable</t>
  </si>
  <si>
    <t>(+) Medición de VR</t>
  </si>
  <si>
    <t>ACTIVO BIOLOGICO</t>
  </si>
  <si>
    <t>(+) Construcciones</t>
  </si>
  <si>
    <t>Inversión inmobiliaria</t>
  </si>
  <si>
    <t>Activos biológicos</t>
  </si>
  <si>
    <t>Ganancia por medición de V.R.</t>
  </si>
  <si>
    <t>de I.I.</t>
  </si>
  <si>
    <t>de A.B.</t>
  </si>
  <si>
    <t>(-) Baja por venta</t>
  </si>
  <si>
    <t>Ganancia por venta de PPE</t>
  </si>
  <si>
    <t>Cobro en</t>
  </si>
  <si>
    <t>venta PPE</t>
  </si>
  <si>
    <t>REMUNERACIONES POR PAGAR</t>
  </si>
  <si>
    <t>(+) Gastos de personal</t>
  </si>
  <si>
    <t>Vacaciones por pagar</t>
  </si>
  <si>
    <t>Beneficios a los trabajadores por pagar</t>
  </si>
  <si>
    <t>Nota: Gasto de personal</t>
  </si>
  <si>
    <t>Remuneraciones mensuales por pagar</t>
  </si>
  <si>
    <t>INVERSIONES A VALOR RAZONABLE CON CAMBIOS EN RESULTADOS</t>
  </si>
  <si>
    <t>INVERSIONES EN ACCIONES</t>
  </si>
  <si>
    <t>Comisión pagada en la compra</t>
  </si>
  <si>
    <t>Inversión en acciones</t>
  </si>
  <si>
    <t>Dividendos recibidos durante el periodo</t>
  </si>
  <si>
    <t>Gastos de intermediación</t>
  </si>
  <si>
    <t>(-) Ventas</t>
  </si>
  <si>
    <t>Precio de venta de la acción</t>
  </si>
  <si>
    <t>Ganancia en venta de acciones</t>
  </si>
  <si>
    <t>acciones</t>
  </si>
  <si>
    <t>Venta de</t>
  </si>
  <si>
    <t>inver.</t>
  </si>
  <si>
    <t>INVERSIONES EN BONOS</t>
  </si>
  <si>
    <t>Datos</t>
  </si>
  <si>
    <t>Precio pagado</t>
  </si>
  <si>
    <t>Tasa mensual</t>
  </si>
  <si>
    <t>Valor nominal</t>
  </si>
  <si>
    <t>Tipo Bullet</t>
  </si>
  <si>
    <t>Bullet</t>
  </si>
  <si>
    <t>COBROS</t>
  </si>
  <si>
    <t>ING. FIN.</t>
  </si>
  <si>
    <t>Inversión en Bonos</t>
  </si>
  <si>
    <t>INVERSION MEDIDA AL COSTO AMORTIZADO</t>
  </si>
  <si>
    <t>INVERSIONES A VALOR RAZONABLE CON CAMBIOS EN EL ORI</t>
  </si>
  <si>
    <t>Valor Razonable</t>
  </si>
  <si>
    <t>Al 1 de enero</t>
  </si>
  <si>
    <t>Al 31 de diciembre</t>
  </si>
  <si>
    <t>Inversión en Bonos - costo</t>
  </si>
  <si>
    <t>Inversión en Bonos - VR</t>
  </si>
  <si>
    <t>Resultados:</t>
  </si>
  <si>
    <t>Otros Resultados Integrales:</t>
  </si>
  <si>
    <t>Ganancia por medición de VR</t>
  </si>
  <si>
    <t xml:space="preserve">ARRENDAMIENTOS </t>
  </si>
  <si>
    <t>ARRENDAMIENTO OPERATIVO DE VEHICULOS</t>
  </si>
  <si>
    <t>Datos del contrato</t>
  </si>
  <si>
    <t>Tasa incremental</t>
  </si>
  <si>
    <t>Cálculo</t>
  </si>
  <si>
    <t>Valor presente</t>
  </si>
  <si>
    <t>Reconocimiento inicial</t>
  </si>
  <si>
    <t>Activo por derecho de uso</t>
  </si>
  <si>
    <t>Depreciación mensual</t>
  </si>
  <si>
    <t>principal</t>
  </si>
  <si>
    <t>PRESTAMOS POR PAGAR</t>
  </si>
  <si>
    <t>Préstamo</t>
  </si>
  <si>
    <t>Costo amortizado</t>
  </si>
  <si>
    <t>Movimiento del préstamo</t>
  </si>
  <si>
    <t>(+) Costos financieros</t>
  </si>
  <si>
    <t>de Ptmo.</t>
  </si>
  <si>
    <t>TOMADO A MITAD DE AÑO</t>
  </si>
  <si>
    <t>Deterioro acumulado de Inventarios</t>
  </si>
  <si>
    <t>Deterioro acumulado de Ctas.por C.</t>
  </si>
  <si>
    <t>Diferencia temporaria Gravable</t>
  </si>
  <si>
    <t>Superavit de revaluación</t>
  </si>
  <si>
    <t>Valor razonable de Inv Inm.</t>
  </si>
  <si>
    <t>Valor razonable de Act. Bio.</t>
  </si>
  <si>
    <t>Valor razonable de Inst. Financieros</t>
  </si>
  <si>
    <t>Pasivo por arrendamiento, neto</t>
  </si>
  <si>
    <t>Total de diferencia temporaria</t>
  </si>
  <si>
    <t>Registros contables:</t>
  </si>
  <si>
    <t>(a) Impuesto diferido en Resultados</t>
  </si>
  <si>
    <t>(b) Impuesto diferido en el ORI</t>
  </si>
  <si>
    <t>Pasivo neto por IRD</t>
  </si>
  <si>
    <t>Otros resultados integrales</t>
  </si>
  <si>
    <t>Inventarios, neto</t>
  </si>
  <si>
    <t>Anticipo de clientes</t>
  </si>
  <si>
    <t>Ingresos operativos</t>
  </si>
  <si>
    <t>Pasivo por Arrend. Financiero</t>
  </si>
  <si>
    <t>Cobro Vta</t>
  </si>
  <si>
    <t>Inversiones en relacionadas</t>
  </si>
  <si>
    <t>Participación en resultados de relacionadas</t>
  </si>
  <si>
    <t>Activos biologicos</t>
  </si>
  <si>
    <t>Inversiones negociables</t>
  </si>
  <si>
    <t>Ganancia por medición de V.R.-ANF</t>
  </si>
  <si>
    <t>Ganancia por medición de V.R.-AF</t>
  </si>
  <si>
    <t>(+) Gastos financieros</t>
  </si>
  <si>
    <t>Inversiones  al costo amortizado</t>
  </si>
  <si>
    <t>Ingresos financieros - dividendos</t>
  </si>
  <si>
    <t>Ingresos financieros - intereses</t>
  </si>
  <si>
    <t>trabajad</t>
  </si>
  <si>
    <t>Consolidado:</t>
  </si>
  <si>
    <t>Gasto de admistración</t>
  </si>
  <si>
    <t>Beneficios de los trabajadores</t>
  </si>
  <si>
    <t>Pasivo por Arrend. Operativo</t>
  </si>
  <si>
    <t>Gasto financiero- A. Financiero</t>
  </si>
  <si>
    <t>Gasto financiero- A. Operativo</t>
  </si>
  <si>
    <t>Gasto por depreciación-A.Operativo</t>
  </si>
  <si>
    <t>principal AO</t>
  </si>
  <si>
    <t>interés AO</t>
  </si>
  <si>
    <t>interés AF</t>
  </si>
  <si>
    <t>principal AF</t>
  </si>
  <si>
    <t>Gasto financiero- Préstamos</t>
  </si>
  <si>
    <t>de Prest.</t>
  </si>
  <si>
    <t>Imp. Rta.</t>
  </si>
  <si>
    <t>neto</t>
  </si>
  <si>
    <t>de Capital</t>
  </si>
  <si>
    <t>de Inv. Rel.</t>
  </si>
  <si>
    <t>int. Ptmo.</t>
  </si>
  <si>
    <t xml:space="preserve"> </t>
  </si>
  <si>
    <t>Cuentas</t>
  </si>
  <si>
    <t>Descripción (glosa)</t>
  </si>
  <si>
    <t>Eliminación del deterioro de inventarios (VNR) en aplicación de NIC 2</t>
  </si>
  <si>
    <t>Eliminación del deterioro de cuentas por cobrar en aplicación de NIIF 9</t>
  </si>
  <si>
    <t>Eliminación de la transferencia de anticipos a ingresos, transacción que no</t>
  </si>
  <si>
    <t>genera flujos de efectivo</t>
  </si>
  <si>
    <t>Eliminación de ingresos registrados por estimación contable del progreso</t>
  </si>
  <si>
    <t>hacia el cumplimiento total de la obligación de desempeño (grado de avance)</t>
  </si>
  <si>
    <t>Eliminación del costo neto de enajenación de elemento de PPE.</t>
  </si>
  <si>
    <t>El activo tenía un costo de $80,000 y depreciación acumulada de $75,000</t>
  </si>
  <si>
    <t>Eliminación de la depreciación del ejercicio</t>
  </si>
  <si>
    <t>Eliminación de la pérdida por deterioro reconocida en aplicación de la NIC 36</t>
  </si>
  <si>
    <t>Eliminación del excedente de revaluación que incremento el activo fijo</t>
  </si>
  <si>
    <t>en $500,000</t>
  </si>
  <si>
    <t>Eliminación de aporte de capital en forma de activo fijo (PPE) por un valor</t>
  </si>
  <si>
    <t>de $80,000</t>
  </si>
  <si>
    <t xml:space="preserve">Durante el periodo la entidad adquirió un activo de PPE mendiante la </t>
  </si>
  <si>
    <t>suscripción de un contrato de arrendamiento financiero. Eliminamos el</t>
  </si>
  <si>
    <t>reconocimiento del activo y del pasivo.</t>
  </si>
  <si>
    <t>Eliminación del ajuste por participación patrimonial reconocida por la</t>
  </si>
  <si>
    <t>entidad en aplicación de la NIC 28.</t>
  </si>
  <si>
    <t xml:space="preserve">Eliminación del ajuste por medición de valor razonable de las inversiones </t>
  </si>
  <si>
    <t>inmobiliarias y los activos biológicos, en aplicación de NIC 40 y NIC 41.</t>
  </si>
  <si>
    <t>financieras en aplicación de NIIF 9.</t>
  </si>
  <si>
    <t>Eliminación del costo neto de enajenación de inversiones financieras</t>
  </si>
  <si>
    <t>Eliminación de los efectos de la NIIF 16 en el registro de un arrendamiento</t>
  </si>
  <si>
    <t xml:space="preserve">operativo. Se elimina el efecto del gasto por depreciación y del gasto </t>
  </si>
  <si>
    <t>financiero.</t>
  </si>
  <si>
    <t>Eliminación del impuesto a la renta corriente</t>
  </si>
  <si>
    <t>Eliminación del impuesto a la renta diferido con efecto en resultados</t>
  </si>
  <si>
    <t>del ejercicio</t>
  </si>
  <si>
    <t xml:space="preserve">Eliminación del impuesto a la renta diferido con efecto en los otros </t>
  </si>
  <si>
    <t>resultados  integrales</t>
  </si>
  <si>
    <t>Empresa 1</t>
  </si>
  <si>
    <t>Empresa 2</t>
  </si>
  <si>
    <t>Empresa 3</t>
  </si>
  <si>
    <t>Empresa 4</t>
  </si>
  <si>
    <t>Actividades de operación:</t>
  </si>
  <si>
    <t>Actividades de inversión:</t>
  </si>
  <si>
    <t>Actividades de financiamiento:</t>
  </si>
  <si>
    <t>Flujo de actividades de operación</t>
  </si>
  <si>
    <t>Flujo de actividades de inversión</t>
  </si>
  <si>
    <t>Flujo de actividades de financiamiento</t>
  </si>
  <si>
    <t>Cobro de intereses</t>
  </si>
  <si>
    <t>Otros pagos, neto</t>
  </si>
  <si>
    <t>Cobro por venta de propiedad, planta y equipo</t>
  </si>
  <si>
    <t>Pago por compra por inversiones en relacionadas</t>
  </si>
  <si>
    <t>Pago por compra por inversiones inmobiliarias</t>
  </si>
  <si>
    <t>Cobro por venta de inversiones para negociar</t>
  </si>
  <si>
    <t>Pago de principal en contratos de arrendamientos operativos</t>
  </si>
  <si>
    <t>Pago de principal en contratos de arrendamientos financieros</t>
  </si>
  <si>
    <t>Pago de principal en deudas financieras</t>
  </si>
  <si>
    <t>Cobro por aporte de capital</t>
  </si>
  <si>
    <t>Utilidad del periodo</t>
  </si>
  <si>
    <t>Ingresos por dividendos</t>
  </si>
  <si>
    <t>Depreciación de PPE</t>
  </si>
  <si>
    <t>Activos de contrato con clientes</t>
  </si>
  <si>
    <t>Resultado</t>
  </si>
  <si>
    <t>Acumulado</t>
  </si>
  <si>
    <t xml:space="preserve">Por el periodo terminado el </t>
  </si>
  <si>
    <t>31 de diciembre de 2020</t>
  </si>
  <si>
    <t>Equipos diversos, neto</t>
  </si>
  <si>
    <t>1° PASO: ORDENAR</t>
  </si>
  <si>
    <t>2° PASO: ELIMINAR</t>
  </si>
  <si>
    <t>3° PASO: DISTRIBUIR</t>
  </si>
  <si>
    <t xml:space="preserve">Otros, </t>
  </si>
  <si>
    <t>4° PASO: PRESENTAR</t>
  </si>
  <si>
    <t>Pago de IVA</t>
  </si>
  <si>
    <t>Aumento de impuesto a la renta por pagar</t>
  </si>
  <si>
    <t>Aumento de IVA por pagar</t>
  </si>
  <si>
    <t>Propiedades y equipos diversos, neto</t>
  </si>
  <si>
    <t>Amortización de intangibles</t>
  </si>
  <si>
    <t>Efectos de eliminaciones en resultados:</t>
  </si>
  <si>
    <t>Estado de Flujos de efectivo: Empresa de servicios</t>
  </si>
  <si>
    <t>Estado de Flujos de efectivo: Empresa comercial</t>
  </si>
  <si>
    <t>(-) Saldo final</t>
  </si>
  <si>
    <t>= Costo de ventas</t>
  </si>
  <si>
    <t>Compras del año</t>
  </si>
  <si>
    <t>Servicios de mantenimiento</t>
  </si>
  <si>
    <t>Publicidad</t>
  </si>
  <si>
    <t>Crédito por IVA</t>
  </si>
  <si>
    <t>(-) Recuperaciones</t>
  </si>
  <si>
    <t>Depreciación- CV</t>
  </si>
  <si>
    <t>Distribución de la depreciación</t>
  </si>
  <si>
    <t>Reclamaciones por pagar</t>
  </si>
  <si>
    <t>Decremento en crédito por IVA</t>
  </si>
  <si>
    <t>Decremento en cuenta spor pagar comerciales</t>
  </si>
  <si>
    <t>Decremento de reclamaciones de terceros</t>
  </si>
  <si>
    <t>Servicios por pagar de terceros</t>
  </si>
  <si>
    <t>PECO S.A.</t>
  </si>
  <si>
    <t>Por el año terminado el  31 de diciembre de 2020</t>
  </si>
  <si>
    <t xml:space="preserve">Estado de camnbios en el patrimonio neto </t>
  </si>
  <si>
    <t>reval.</t>
  </si>
  <si>
    <t>Composición del préstamo</t>
  </si>
  <si>
    <t>ESF1</t>
  </si>
  <si>
    <t>ESF3</t>
  </si>
  <si>
    <t>ESF4</t>
  </si>
  <si>
    <t>ESF8</t>
  </si>
  <si>
    <t>ESF6</t>
  </si>
  <si>
    <t>ESF7</t>
  </si>
  <si>
    <t>ESF5</t>
  </si>
  <si>
    <t>ESF9</t>
  </si>
  <si>
    <t>ESF2</t>
  </si>
  <si>
    <t>ESF10</t>
  </si>
  <si>
    <t>ESF11</t>
  </si>
  <si>
    <t>ESF12</t>
  </si>
  <si>
    <t>ESF13</t>
  </si>
  <si>
    <t>ESF14</t>
  </si>
  <si>
    <t>ESF15</t>
  </si>
  <si>
    <t>ESF16</t>
  </si>
  <si>
    <t>ESF17</t>
  </si>
  <si>
    <t>ESF18</t>
  </si>
  <si>
    <t>ESF19</t>
  </si>
  <si>
    <t>ESF20</t>
  </si>
  <si>
    <t>ESF21</t>
  </si>
  <si>
    <t>ESF22</t>
  </si>
  <si>
    <t>ESF23</t>
  </si>
  <si>
    <t>ESF24</t>
  </si>
  <si>
    <t>ESF25</t>
  </si>
  <si>
    <t>ESF26</t>
  </si>
  <si>
    <t>ESF27</t>
  </si>
  <si>
    <t>(+) Aporte de PPE</t>
  </si>
  <si>
    <t>(+) Aporte de efectivo</t>
  </si>
  <si>
    <t>(-) Capitalización de resultados acumulados</t>
  </si>
  <si>
    <t>(+) Utilidad del periodo</t>
  </si>
  <si>
    <t>Aporte de</t>
  </si>
  <si>
    <t>Eliminación de la capitalización de los resultados acumulados</t>
  </si>
  <si>
    <t>Sección -----------------------&gt;</t>
  </si>
  <si>
    <t>6.10</t>
  </si>
  <si>
    <t>Pago por compra de activos biológicos</t>
  </si>
  <si>
    <t>Pago por compra de inversiones para negociar</t>
  </si>
  <si>
    <t>Cobro de dividendos de subsidiarias</t>
  </si>
  <si>
    <t>Cobro de dividendos de inversiones para negociar</t>
  </si>
  <si>
    <t>Reconciliación de la utilidad del ejercicio con los flujos de operación</t>
  </si>
  <si>
    <t>Transacciones que no impactaron en los flujos de operación</t>
  </si>
  <si>
    <t>Anticipos transferidos a ingresos</t>
  </si>
  <si>
    <t>Estimaciones de ingresos</t>
  </si>
  <si>
    <t>Costo de enajenación de elementos de PPE</t>
  </si>
  <si>
    <t>Ganancia de valor razonable de activos no financieros</t>
  </si>
  <si>
    <t>Ganancia de valor razonable de activos financieros</t>
  </si>
  <si>
    <t>Costo de enajenación de activos financieros</t>
  </si>
  <si>
    <t>Gasto financiero en arrendamientos operativos</t>
  </si>
  <si>
    <t xml:space="preserve">Depreciación de activos por derechos de uso </t>
  </si>
  <si>
    <t>Variaciones en activos y pasivos operativos</t>
  </si>
  <si>
    <t xml:space="preserve">Impuesto a la renta por pagar </t>
  </si>
  <si>
    <t xml:space="preserve">Intereses por pagar </t>
  </si>
  <si>
    <t>Ganancia por venta de acciones</t>
  </si>
  <si>
    <t>Gastos por intermediación financiera</t>
  </si>
  <si>
    <t>Ingresos y gastos no asignados a actividades de operación</t>
  </si>
  <si>
    <t>Resultado acumulado sin la utilidad del 2020</t>
  </si>
  <si>
    <t xml:space="preserve">Efectivo neto generado por </t>
  </si>
  <si>
    <t xml:space="preserve">Efectivo utilizado en </t>
  </si>
  <si>
    <t xml:space="preserve">   actividades de inversión</t>
  </si>
  <si>
    <t xml:space="preserve">Efectivo neto utilizado en </t>
  </si>
  <si>
    <t xml:space="preserve">   actividades de financiamiento</t>
  </si>
  <si>
    <t>Reconociliación de la utilidad con el flujo de efectivo</t>
  </si>
  <si>
    <t>proveniente de las actividades de operación</t>
  </si>
  <si>
    <t xml:space="preserve">    actividades de operación</t>
  </si>
  <si>
    <t>Recup.</t>
  </si>
  <si>
    <t>Determinación del costo de ventas</t>
  </si>
  <si>
    <t>Distribución</t>
  </si>
  <si>
    <t>S.Inicial</t>
  </si>
  <si>
    <t>S.Final</t>
  </si>
  <si>
    <t>(+) G. Fin</t>
  </si>
  <si>
    <t>Préstamo por pagar (cifras en $ miles)</t>
  </si>
  <si>
    <t>Efectivo (neto de sobregiros)</t>
  </si>
  <si>
    <t>ELIMINAR</t>
  </si>
  <si>
    <t>NETA</t>
  </si>
  <si>
    <t>DISTRIBUIR</t>
  </si>
  <si>
    <t>Recuperaciones de IVA</t>
  </si>
  <si>
    <t>EBITDA</t>
  </si>
  <si>
    <t>Monto $(000)</t>
  </si>
  <si>
    <t>Préstamo:</t>
  </si>
  <si>
    <t>Cuadro de amortización</t>
  </si>
  <si>
    <t>Incremento en inventarios</t>
  </si>
  <si>
    <t>Materia prima y suministros</t>
  </si>
  <si>
    <t>Deterioro acumulado de inventarios</t>
  </si>
  <si>
    <t>Reclamaciones de terceros</t>
  </si>
  <si>
    <t>Otros menores</t>
  </si>
  <si>
    <t>Provisiones por garantías</t>
  </si>
  <si>
    <t>Efecto de las eliminaciones en los resultados</t>
  </si>
  <si>
    <t>Vendedor</t>
  </si>
  <si>
    <t>Juan</t>
  </si>
  <si>
    <t>Pedro</t>
  </si>
  <si>
    <t>Ventas $</t>
  </si>
  <si>
    <t>Ventas de:</t>
  </si>
  <si>
    <t>=SUMAR.SI(A2:B13,D2,B2:B13)</t>
  </si>
  <si>
    <t>=SUMAR.SI(A2:B13,D3,B2:B13)</t>
  </si>
  <si>
    <t xml:space="preserve">Efectivo utilizado en actividades </t>
  </si>
  <si>
    <t xml:space="preserve">   de inversión</t>
  </si>
  <si>
    <t xml:space="preserve">Efectivo neto utilizado en actividades </t>
  </si>
  <si>
    <t xml:space="preserve">   de financiamiento</t>
  </si>
  <si>
    <t>Flujo de operación</t>
  </si>
  <si>
    <t>Caja</t>
  </si>
  <si>
    <t>Cuentas de ahorro</t>
  </si>
  <si>
    <t>Dia 2</t>
  </si>
  <si>
    <t>Dia 1</t>
  </si>
  <si>
    <t>PRECIO S.A.</t>
  </si>
  <si>
    <t>Inversiones en T Bill</t>
  </si>
  <si>
    <t>var</t>
  </si>
  <si>
    <t>neta</t>
  </si>
  <si>
    <t>saldo inicial</t>
  </si>
  <si>
    <t>@</t>
  </si>
  <si>
    <t>(-) Pagos de préstamos</t>
  </si>
  <si>
    <t>(+) Obtención de préstamos</t>
  </si>
  <si>
    <t>(+) Pérdida por diferencia en cambio</t>
  </si>
  <si>
    <t>Préstam.</t>
  </si>
  <si>
    <t>Cuenta corriente en USD</t>
  </si>
  <si>
    <t>(+) Cobro de factura #013</t>
  </si>
  <si>
    <t>(+) Cobro de factura #017</t>
  </si>
  <si>
    <t>(-) Pago a proveedor de PPE</t>
  </si>
  <si>
    <t>(-) Pago de préstamo Bancario</t>
  </si>
  <si>
    <t>D.C.</t>
  </si>
  <si>
    <t>a</t>
  </si>
  <si>
    <t>cliente</t>
  </si>
  <si>
    <t>Prest.</t>
  </si>
  <si>
    <t>Pago por compra de PPE</t>
  </si>
  <si>
    <t>Flujo de actividad de operación</t>
  </si>
  <si>
    <t>Flujo de actividad de inversión</t>
  </si>
  <si>
    <t>Flujo de actividad de financiamiento</t>
  </si>
  <si>
    <t>Efecto de la variación en tasa de cambio</t>
  </si>
  <si>
    <t xml:space="preserve">Variación del efectivo </t>
  </si>
  <si>
    <t>[a+b+c+d]</t>
  </si>
  <si>
    <t>Pripiedad, planta y equipo, neto</t>
  </si>
  <si>
    <t>Sobregiro bancario</t>
  </si>
  <si>
    <t>Total patrimonio y pasivo</t>
  </si>
  <si>
    <t>Pasivos</t>
  </si>
  <si>
    <t>(-) Sobregiro bancario</t>
  </si>
  <si>
    <t>Saldo para el Estado de Flujos de Efectivo</t>
  </si>
  <si>
    <t>Saldo para el Estado de Situación Financiera</t>
  </si>
  <si>
    <t>10 - Efectivo y equivalente de efectivo</t>
  </si>
  <si>
    <t>Fondos fijos</t>
  </si>
  <si>
    <t>Efectivo y cheques en tránsito</t>
  </si>
  <si>
    <t>Efectivo en tránsito</t>
  </si>
  <si>
    <t>Cheques en tránsito</t>
  </si>
  <si>
    <t>Ctas Ctes Operativas</t>
  </si>
  <si>
    <t>Ctas Ctes otros fines</t>
  </si>
  <si>
    <t>Otro equivalentes de efectivo</t>
  </si>
  <si>
    <t>Depósitos en instituciones financieras</t>
  </si>
  <si>
    <t>Depósitos de ahorro</t>
  </si>
  <si>
    <t>Fondos sujetos a restricción</t>
  </si>
  <si>
    <t>Fondos en garantía</t>
  </si>
  <si>
    <t>Fondos retenidos por mandato de la autoridad</t>
  </si>
  <si>
    <t>Otros fondos sujetos a restricción</t>
  </si>
  <si>
    <t>Cuentas corrientes en instituciones financieras</t>
  </si>
  <si>
    <t>ENE</t>
  </si>
  <si>
    <t>FEB</t>
  </si>
  <si>
    <t>MAR</t>
  </si>
  <si>
    <t>DIC</t>
  </si>
  <si>
    <t>impuestos</t>
  </si>
  <si>
    <t>Divid.</t>
  </si>
  <si>
    <t>compra de</t>
  </si>
  <si>
    <t xml:space="preserve">Estado de flujos de efectivo </t>
  </si>
  <si>
    <t>Pago a trabajadores</t>
  </si>
  <si>
    <t>Por 1 Mes</t>
  </si>
  <si>
    <t>Por 2 Meses</t>
  </si>
  <si>
    <t>Por 3 Meses</t>
  </si>
  <si>
    <t>ENE-</t>
  </si>
  <si>
    <t xml:space="preserve">   de actividades de operación</t>
  </si>
  <si>
    <t xml:space="preserve">    en actividades de inversión</t>
  </si>
  <si>
    <t xml:space="preserve">    en actividades de financiamiento</t>
  </si>
  <si>
    <t>Ene</t>
  </si>
  <si>
    <t>Feb</t>
  </si>
  <si>
    <t>Mar</t>
  </si>
  <si>
    <t>3 meses</t>
  </si>
  <si>
    <t>Ene-Mar</t>
  </si>
  <si>
    <t>31.01.2021</t>
  </si>
  <si>
    <t>31.03.2021</t>
  </si>
  <si>
    <t>ENERO</t>
  </si>
  <si>
    <t>ENE-FEB</t>
  </si>
  <si>
    <t>ENE-MAR</t>
  </si>
  <si>
    <t>Cobranza a clientes</t>
  </si>
  <si>
    <t>Flujos de operación</t>
  </si>
  <si>
    <t>Compra de activo fijo</t>
  </si>
  <si>
    <t>Flujos de inversión</t>
  </si>
  <si>
    <t>Flujos de financiamiento</t>
  </si>
  <si>
    <t xml:space="preserve">Total flujos </t>
  </si>
  <si>
    <t>trabajad.</t>
  </si>
  <si>
    <t>proveed</t>
  </si>
  <si>
    <t>28.02.2021</t>
  </si>
  <si>
    <t>GOLO S.A.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</si>
  <si>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</si>
  <si>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</si>
  <si>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</si>
  <si>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</si>
  <si>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</si>
  <si>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</si>
  <si>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</si>
  <si>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</si>
  <si>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</si>
  <si>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Flujos de Efectivo Mensuales</t>
  </si>
  <si>
    <t>Flujos acumulados</t>
  </si>
  <si>
    <t>1 mes</t>
  </si>
  <si>
    <t>2 meses</t>
  </si>
  <si>
    <t>4 meses</t>
  </si>
  <si>
    <t>5 meses</t>
  </si>
  <si>
    <t>6 meses</t>
  </si>
  <si>
    <t>7 meses</t>
  </si>
  <si>
    <t>8 meses</t>
  </si>
  <si>
    <t>9 meses</t>
  </si>
  <si>
    <t>10 meses</t>
  </si>
  <si>
    <t>11 meses</t>
  </si>
  <si>
    <t>12 meses</t>
  </si>
  <si>
    <t>Transacciones que no generan flujos de efectivo</t>
  </si>
  <si>
    <t>Superavit de revaluación de PPE</t>
  </si>
  <si>
    <t>De Financiamiento:</t>
  </si>
  <si>
    <t>De Inversión:</t>
  </si>
  <si>
    <t>Por el periodo de seis meses terminado el 30 de junio</t>
  </si>
  <si>
    <t xml:space="preserve">Por el periodo terminado el 31 de diciembre </t>
  </si>
  <si>
    <t>Ene-Jun</t>
  </si>
  <si>
    <t>Por el periodo de tres y  seis meses terminados el  30 de junio</t>
  </si>
  <si>
    <t xml:space="preserve">Abr-Jun </t>
  </si>
  <si>
    <t xml:space="preserve">Efectivo y equivalentes de efectivo neto </t>
  </si>
  <si>
    <t xml:space="preserve">   provenientes de las actividades de operación</t>
  </si>
  <si>
    <t>proveniente de (utilizado en) actividades de operación</t>
  </si>
  <si>
    <t>Decremento en Inventarios</t>
  </si>
  <si>
    <t>Decremento en Cuentas por pagar comerciales</t>
  </si>
  <si>
    <t>Incremento de Impuesto a la renta por pagar</t>
  </si>
  <si>
    <t>Incremento de Cuentas por pagar diversas</t>
  </si>
  <si>
    <t>Ingresos</t>
  </si>
  <si>
    <t>Año 20XX</t>
  </si>
  <si>
    <t>Año 20XX+1</t>
  </si>
  <si>
    <t>AO1</t>
  </si>
  <si>
    <t>AO2</t>
  </si>
  <si>
    <t>AO3</t>
  </si>
  <si>
    <t>AI1</t>
  </si>
  <si>
    <t>AI2</t>
  </si>
  <si>
    <t>AI3</t>
  </si>
  <si>
    <t>AF1</t>
  </si>
  <si>
    <t>AF2</t>
  </si>
  <si>
    <t>AF3</t>
  </si>
  <si>
    <t>OPERACIÓN</t>
  </si>
  <si>
    <t>INVERSION</t>
  </si>
  <si>
    <t>FINANCIAMIENTO</t>
  </si>
  <si>
    <t>C+H-D</t>
  </si>
  <si>
    <t>XXXXX</t>
  </si>
  <si>
    <t>Variación de efectivo</t>
  </si>
  <si>
    <t>AO+AI+AF</t>
  </si>
  <si>
    <t>AO+AI+AF+SI</t>
  </si>
  <si>
    <t xml:space="preserve">Ingresos </t>
  </si>
  <si>
    <t>Conciliación entre la utilidad y los flujos de operación</t>
  </si>
  <si>
    <t xml:space="preserve">Utilidad del periodo </t>
  </si>
  <si>
    <t>(+/-) Ajustes</t>
  </si>
  <si>
    <t>Variación en activos y pasivos operativos</t>
  </si>
  <si>
    <t>Sección A</t>
  </si>
  <si>
    <t>Sección B</t>
  </si>
  <si>
    <t>Flujo de Actividades de Operación = AO</t>
  </si>
  <si>
    <t>A + B</t>
  </si>
  <si>
    <t>Aprecido(a) Colega</t>
  </si>
  <si>
    <t>Este libro guiará su aprendizaje en la preparación del</t>
  </si>
  <si>
    <t>Gracias por invertir en su auto entrenamiento.</t>
  </si>
  <si>
    <t xml:space="preserve">Estado de Flujos de Efectivo. </t>
  </si>
  <si>
    <t>El Ebook tiene 203 páginas, la mayoría de paginas</t>
  </si>
  <si>
    <t xml:space="preserve">solamente guíese del número de la página del </t>
  </si>
  <si>
    <t>Ebook y búsquelo aquí.</t>
  </si>
  <si>
    <t>Por ejemplo, la imagen del página 40 se encuentra</t>
  </si>
  <si>
    <t>en el worksheet 40 pintado de rojo.</t>
  </si>
  <si>
    <t>contiene cuadros en Excel. Para encontrar el cuadro</t>
  </si>
  <si>
    <t>Le deseo éxitos en su vida personal y profesional</t>
  </si>
  <si>
    <t>Atentamente</t>
  </si>
  <si>
    <t>Freddy Llanto</t>
  </si>
  <si>
    <t>=PAGO(D6;D7;-D5;0;0)</t>
  </si>
  <si>
    <t>-40-</t>
  </si>
  <si>
    <t>-41-</t>
  </si>
  <si>
    <t>-43-</t>
  </si>
  <si>
    <t>-44-</t>
  </si>
  <si>
    <t>ESTADO DE FLUJOS DE EFECTIVO</t>
  </si>
  <si>
    <t>fllanto@misticonsulting.pe</t>
  </si>
  <si>
    <t>Deprec</t>
  </si>
  <si>
    <t>impuestos diferidos</t>
  </si>
  <si>
    <t xml:space="preserve">FLUJOS DE EFECTIVO, </t>
  </si>
  <si>
    <t>SIN ELIMINACIONES</t>
  </si>
  <si>
    <t>Flujos de inversion</t>
  </si>
  <si>
    <t>Check</t>
  </si>
  <si>
    <t>Activo por impuesto diferido</t>
  </si>
  <si>
    <t>Activo IRD</t>
  </si>
  <si>
    <t>Check point</t>
  </si>
  <si>
    <t>2023-2024</t>
  </si>
  <si>
    <t>SI (Efectivo)</t>
  </si>
  <si>
    <t>SF (Efectivo)</t>
  </si>
  <si>
    <t>Variacion</t>
  </si>
  <si>
    <t>= AO + AI + AF</t>
  </si>
  <si>
    <t>MOVIMIENTO DE CUENTAS</t>
  </si>
  <si>
    <t>1.- PPE</t>
  </si>
  <si>
    <t>SALDO INICIAL</t>
  </si>
  <si>
    <t>SALDO FINAL</t>
  </si>
  <si>
    <t>DEPRECIACION</t>
  </si>
  <si>
    <t>APORTE DE CAPITAL</t>
  </si>
  <si>
    <t>FLUJO</t>
  </si>
  <si>
    <t>COMPRAS AL CONTADO</t>
  </si>
  <si>
    <t xml:space="preserve">Aporte </t>
  </si>
  <si>
    <t>2.- RESULTADO ACUMULADO</t>
  </si>
  <si>
    <t>UTILIDAD DEL AÑO</t>
  </si>
  <si>
    <t>CAPITALIZACION DE R.A.</t>
  </si>
  <si>
    <t>PAGO DE DIVIDENDOS</t>
  </si>
  <si>
    <t>3.-CAPITAL SOCIAL</t>
  </si>
  <si>
    <t>APORTE DE PPE</t>
  </si>
  <si>
    <t>CAPITALIZACION DE DEUDA</t>
  </si>
  <si>
    <t>4.-CUENTAS POR COBRAR COMERCIALES</t>
  </si>
  <si>
    <t>(+) VENTAS</t>
  </si>
  <si>
    <t>(-) COBROS</t>
  </si>
  <si>
    <t>(-) PERDIDA ESPERADA</t>
  </si>
  <si>
    <t>FLUJO DE EFECTIVO</t>
  </si>
  <si>
    <t>Variación de CXC</t>
  </si>
  <si>
    <t>Pérdida esperada</t>
  </si>
  <si>
    <t>5.-REMUNERACIONES X PAGAR</t>
  </si>
  <si>
    <t>(+) GASTO DE PERSONAL</t>
  </si>
  <si>
    <t>(-) PAGO PERSONAL</t>
  </si>
  <si>
    <t>VARIACION DE RXP</t>
  </si>
  <si>
    <t>GASTO DE PERSONAL</t>
  </si>
  <si>
    <t>(+) PARTICIPACION EN UTIL</t>
  </si>
  <si>
    <t>PAGO A PROVEEDORES:</t>
  </si>
  <si>
    <t>SI (FPC) + COMPRAS - PAGOS = SF (FPC)</t>
  </si>
  <si>
    <t>PAGOS = SI(FPC) - SF(FPC) + COMPRAS</t>
  </si>
  <si>
    <t>….............(B)</t>
  </si>
  <si>
    <t>SI (INV) + COMPRAS - COSTO VTA = SF (INV)</t>
  </si>
  <si>
    <t>….............(A)</t>
  </si>
  <si>
    <t>COMPRA = SF(INV)-SI(INV) + COSTO VTA</t>
  </si>
  <si>
    <t>PAGOS = SI(FPC) - SF(FPC) +  SF(INV)-SI(INV) + COSTO VTA</t>
  </si>
  <si>
    <t>PAGOS = VAR (FPC) +  VAR (INV)  + COSTO VTA</t>
  </si>
  <si>
    <t>AAAAAAAAAAAAAAAA '+51 940 299 626 BBBBBBBBBBBBBBBBBBBBBBBBBBBBB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</si>
</sst>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S/&quot;#,##0;[Red]\-&quot;S/&quot;#,##0"/>
    <numFmt numFmtId="165" formatCode="_ * #,##0.00_ ;_ * \-#,##0.00_ ;_ * &quot;-&quot;??_ ;_ @_ "/>
    <numFmt numFmtId="166" formatCode="_ * #,##0_ ;_ * \-#,##0_ ;_ * &quot;-&quot;??_ ;_ @_ "/>
    <numFmt numFmtId="167" formatCode="#,##0\ ;[Black]\(#,##0\);\-\ ;"/>
    <numFmt numFmtId="168" formatCode="#,##0\ ;[White]\(#,##0\);\-\ ;"/>
    <numFmt numFmtId="169" formatCode="0.000%"/>
    <numFmt numFmtId="170" formatCode="0.000"/>
    <numFmt numFmtId="171" formatCode="dd/mm/yyyy;@"/>
    <numFmt numFmtId="172" formatCode="0.0000%"/>
    <numFmt numFmtId="173" formatCode="0.000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Bahnschrift"/>
      <family val="2"/>
    </font>
    <font>
      <sz val="11"/>
      <color theme="0"/>
      <name val="Bahnschrift"/>
      <family val="2"/>
    </font>
    <font>
      <b/>
      <sz val="11"/>
      <color theme="1"/>
      <name val="Bahnschrift"/>
      <family val="2"/>
    </font>
    <font>
      <sz val="9"/>
      <color theme="1"/>
      <name val="Bahnschrift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Bahnschrift"/>
      <family val="2"/>
    </font>
    <font>
      <sz val="14"/>
      <color theme="0"/>
      <name val="Bahnschrift"/>
      <family val="2"/>
    </font>
    <font>
      <b/>
      <sz val="14"/>
      <color theme="1"/>
      <name val="Bahnschrift"/>
      <family val="2"/>
    </font>
    <font>
      <b/>
      <sz val="14"/>
      <color theme="0"/>
      <name val="Bahnschrift"/>
      <family val="2"/>
    </font>
    <font>
      <sz val="14"/>
      <name val="Bahnschrift"/>
      <family val="2"/>
    </font>
    <font>
      <sz val="8"/>
      <name val="Calibri"/>
      <family val="2"/>
      <scheme val="minor"/>
    </font>
    <font>
      <b/>
      <sz val="14"/>
      <name val="Bahnschrift"/>
      <family val="2"/>
    </font>
    <font>
      <b/>
      <i/>
      <sz val="14"/>
      <color rgb="FFFF0000"/>
      <name val="Bahnschrift"/>
      <family val="2"/>
    </font>
    <font>
      <b/>
      <sz val="14"/>
      <color rgb="FFFF0000"/>
      <name val="Bahnschrift"/>
      <family val="2"/>
    </font>
    <font>
      <b/>
      <sz val="12"/>
      <color theme="9" tint="-0.499984740745262"/>
      <name val="Calibri"/>
      <family val="2"/>
      <scheme val="minor"/>
    </font>
    <font>
      <sz val="14"/>
      <color theme="9" tint="-0.499984740745262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rgb="FF0070C0"/>
      <name val="Bahnschrift"/>
      <family val="2"/>
    </font>
    <font>
      <b/>
      <sz val="11"/>
      <color rgb="FFFF0000"/>
      <name val="Bahnschrift"/>
      <family val="2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72"/>
      <color theme="0" tint="-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1681">
    <xf numFmtId="0" fontId="0" fillId="0" borderId="0" xfId="0"/>
    <xf numFmtId="0" fontId="4" fillId="2" borderId="0" xfId="0" applyFont="1" applyFill="1"/>
    <xf numFmtId="0" fontId="3" fillId="0" borderId="0" xfId="0" applyFont="1"/>
    <xf numFmtId="0" fontId="0" fillId="4" borderId="0" xfId="0" applyFill="1"/>
    <xf numFmtId="3" fontId="0" fillId="4" borderId="0" xfId="0" applyNumberFormat="1" applyFill="1"/>
    <xf numFmtId="167" fontId="0" fillId="4" borderId="0" xfId="0" applyNumberFormat="1" applyFill="1" applyAlignment="1">
      <alignment horizontal="right" vertical="center" wrapText="1"/>
    </xf>
    <xf numFmtId="0" fontId="0" fillId="4" borderId="10" xfId="0" applyFill="1" applyBorder="1"/>
    <xf numFmtId="0" fontId="3" fillId="4" borderId="0" xfId="0" applyFont="1" applyFill="1" applyAlignment="1">
      <alignment horizontal="center"/>
    </xf>
    <xf numFmtId="0" fontId="0" fillId="4" borderId="14" xfId="0" applyFill="1" applyBorder="1"/>
    <xf numFmtId="0" fontId="0" fillId="4" borderId="0" xfId="0" applyFill="1" applyAlignment="1">
      <alignment horizontal="center"/>
    </xf>
    <xf numFmtId="0" fontId="0" fillId="4" borderId="11" xfId="0" applyFill="1" applyBorder="1"/>
    <xf numFmtId="0" fontId="0" fillId="4" borderId="9" xfId="0" applyFill="1" applyBorder="1"/>
    <xf numFmtId="0" fontId="0" fillId="4" borderId="12" xfId="0" applyFill="1" applyBorder="1"/>
    <xf numFmtId="167" fontId="3" fillId="3" borderId="0" xfId="0" applyNumberFormat="1" applyFont="1" applyFill="1" applyAlignment="1">
      <alignment horizontal="right" vertical="center" wrapText="1"/>
    </xf>
    <xf numFmtId="0" fontId="0" fillId="4" borderId="7" xfId="0" applyFill="1" applyBorder="1"/>
    <xf numFmtId="0" fontId="5" fillId="4" borderId="0" xfId="0" applyFont="1" applyFill="1"/>
    <xf numFmtId="0" fontId="6" fillId="3" borderId="0" xfId="0" applyFont="1" applyFill="1"/>
    <xf numFmtId="0" fontId="7" fillId="3" borderId="0" xfId="0" applyFont="1" applyFill="1"/>
    <xf numFmtId="0" fontId="6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7" fillId="4" borderId="0" xfId="0" applyFont="1" applyFill="1"/>
    <xf numFmtId="3" fontId="7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3" fontId="7" fillId="4" borderId="4" xfId="0" applyNumberFormat="1" applyFont="1" applyFill="1" applyBorder="1" applyAlignment="1">
      <alignment horizontal="right"/>
    </xf>
    <xf numFmtId="3" fontId="6" fillId="3" borderId="0" xfId="0" applyNumberFormat="1" applyFont="1" applyFill="1" applyAlignment="1">
      <alignment horizontal="right"/>
    </xf>
    <xf numFmtId="3" fontId="6" fillId="3" borderId="5" xfId="0" applyNumberFormat="1" applyFont="1" applyFill="1" applyBorder="1" applyAlignment="1">
      <alignment horizontal="right"/>
    </xf>
    <xf numFmtId="0" fontId="6" fillId="4" borderId="0" xfId="0" applyFont="1" applyFill="1"/>
    <xf numFmtId="0" fontId="7" fillId="4" borderId="0" xfId="0" applyFont="1" applyFill="1" applyAlignment="1">
      <alignment horizontal="right"/>
    </xf>
    <xf numFmtId="0" fontId="7" fillId="4" borderId="0" xfId="0" applyFont="1" applyFill="1" applyAlignment="1">
      <alignment horizontal="left" indent="1"/>
    </xf>
    <xf numFmtId="166" fontId="7" fillId="4" borderId="0" xfId="1" applyNumberFormat="1" applyFont="1" applyFill="1" applyBorder="1" applyAlignment="1">
      <alignment horizontal="right"/>
    </xf>
    <xf numFmtId="166" fontId="6" fillId="4" borderId="0" xfId="1" applyNumberFormat="1" applyFont="1" applyFill="1" applyAlignment="1">
      <alignment horizontal="right"/>
    </xf>
    <xf numFmtId="165" fontId="7" fillId="4" borderId="0" xfId="1" applyFont="1" applyFill="1" applyBorder="1" applyAlignment="1">
      <alignment horizontal="right"/>
    </xf>
    <xf numFmtId="167" fontId="7" fillId="4" borderId="4" xfId="0" applyNumberFormat="1" applyFont="1" applyFill="1" applyBorder="1" applyAlignment="1">
      <alignment horizontal="right" vertical="center" wrapText="1"/>
    </xf>
    <xf numFmtId="3" fontId="6" fillId="3" borderId="4" xfId="0" applyNumberFormat="1" applyFont="1" applyFill="1" applyBorder="1" applyAlignment="1">
      <alignment horizontal="right"/>
    </xf>
    <xf numFmtId="167" fontId="7" fillId="4" borderId="0" xfId="0" applyNumberFormat="1" applyFont="1" applyFill="1" applyAlignment="1">
      <alignment horizontal="right" vertical="center" wrapText="1"/>
    </xf>
    <xf numFmtId="0" fontId="6" fillId="4" borderId="0" xfId="0" applyFont="1" applyFill="1" applyAlignment="1">
      <alignment horizontal="center"/>
    </xf>
    <xf numFmtId="167" fontId="7" fillId="4" borderId="5" xfId="0" applyNumberFormat="1" applyFont="1" applyFill="1" applyBorder="1" applyAlignment="1">
      <alignment horizontal="right" vertical="center" wrapText="1"/>
    </xf>
    <xf numFmtId="167" fontId="6" fillId="4" borderId="0" xfId="0" applyNumberFormat="1" applyFont="1" applyFill="1" applyAlignment="1">
      <alignment horizontal="right" vertical="center" wrapText="1"/>
    </xf>
    <xf numFmtId="167" fontId="6" fillId="4" borderId="5" xfId="0" applyNumberFormat="1" applyFont="1" applyFill="1" applyBorder="1" applyAlignment="1">
      <alignment horizontal="right" vertical="center" wrapText="1"/>
    </xf>
    <xf numFmtId="0" fontId="8" fillId="4" borderId="0" xfId="0" applyFont="1" applyFill="1"/>
    <xf numFmtId="10" fontId="7" fillId="4" borderId="0" xfId="2" applyNumberFormat="1" applyFont="1" applyFill="1" applyBorder="1" applyAlignment="1">
      <alignment horizontal="right" vertical="center" wrapText="1"/>
    </xf>
    <xf numFmtId="0" fontId="7" fillId="4" borderId="0" xfId="0" applyFont="1" applyFill="1" applyAlignment="1">
      <alignment horizontal="center"/>
    </xf>
    <xf numFmtId="0" fontId="7" fillId="0" borderId="0" xfId="0" applyFont="1"/>
    <xf numFmtId="0" fontId="7" fillId="4" borderId="0" xfId="0" applyFont="1" applyFill="1" applyAlignment="1">
      <alignment horizontal="left" indent="3"/>
    </xf>
    <xf numFmtId="0" fontId="7" fillId="4" borderId="0" xfId="0" applyFont="1" applyFill="1" applyAlignment="1">
      <alignment horizontal="left" indent="5"/>
    </xf>
    <xf numFmtId="0" fontId="8" fillId="4" borderId="0" xfId="0" applyFont="1" applyFill="1" applyAlignment="1">
      <alignment horizontal="left" indent="9"/>
    </xf>
    <xf numFmtId="167" fontId="7" fillId="3" borderId="0" xfId="0" applyNumberFormat="1" applyFont="1" applyFill="1" applyAlignment="1">
      <alignment horizontal="right" vertical="center" wrapText="1"/>
    </xf>
    <xf numFmtId="167" fontId="6" fillId="4" borderId="4" xfId="0" applyNumberFormat="1" applyFont="1" applyFill="1" applyBorder="1" applyAlignment="1">
      <alignment horizontal="right" vertical="center" wrapText="1"/>
    </xf>
    <xf numFmtId="167" fontId="6" fillId="3" borderId="0" xfId="0" applyNumberFormat="1" applyFont="1" applyFill="1" applyAlignment="1">
      <alignment horizontal="right" vertical="center" wrapText="1"/>
    </xf>
    <xf numFmtId="167" fontId="6" fillId="3" borderId="5" xfId="0" applyNumberFormat="1" applyFont="1" applyFill="1" applyBorder="1" applyAlignment="1">
      <alignment horizontal="right" vertical="center" wrapText="1"/>
    </xf>
    <xf numFmtId="0" fontId="9" fillId="4" borderId="0" xfId="0" applyFont="1" applyFill="1"/>
    <xf numFmtId="0" fontId="6" fillId="3" borderId="2" xfId="0" applyFont="1" applyFill="1" applyBorder="1"/>
    <xf numFmtId="0" fontId="6" fillId="3" borderId="15" xfId="0" applyFont="1" applyFill="1" applyBorder="1"/>
    <xf numFmtId="0" fontId="7" fillId="4" borderId="15" xfId="0" applyFont="1" applyFill="1" applyBorder="1"/>
    <xf numFmtId="3" fontId="7" fillId="4" borderId="11" xfId="0" applyNumberFormat="1" applyFont="1" applyFill="1" applyBorder="1" applyAlignment="1">
      <alignment horizontal="right"/>
    </xf>
    <xf numFmtId="167" fontId="7" fillId="4" borderId="11" xfId="0" applyNumberFormat="1" applyFont="1" applyFill="1" applyBorder="1" applyAlignment="1">
      <alignment horizontal="right" vertical="center" wrapText="1"/>
    </xf>
    <xf numFmtId="0" fontId="7" fillId="4" borderId="15" xfId="0" applyFont="1" applyFill="1" applyBorder="1" applyAlignment="1">
      <alignment horizontal="left" indent="1"/>
    </xf>
    <xf numFmtId="3" fontId="6" fillId="3" borderId="1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167" fontId="7" fillId="4" borderId="15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/>
    <xf numFmtId="0" fontId="6" fillId="3" borderId="3" xfId="0" applyFont="1" applyFill="1" applyBorder="1" applyAlignment="1">
      <alignment horizontal="center"/>
    </xf>
    <xf numFmtId="167" fontId="7" fillId="4" borderId="10" xfId="0" applyNumberFormat="1" applyFont="1" applyFill="1" applyBorder="1" applyAlignment="1">
      <alignment horizontal="right" vertical="center" wrapText="1"/>
    </xf>
    <xf numFmtId="3" fontId="7" fillId="4" borderId="15" xfId="0" applyNumberFormat="1" applyFont="1" applyFill="1" applyBorder="1" applyAlignment="1">
      <alignment horizontal="right"/>
    </xf>
    <xf numFmtId="3" fontId="7" fillId="4" borderId="10" xfId="0" applyNumberFormat="1" applyFont="1" applyFill="1" applyBorder="1" applyAlignment="1">
      <alignment horizontal="right"/>
    </xf>
    <xf numFmtId="167" fontId="6" fillId="3" borderId="1" xfId="0" applyNumberFormat="1" applyFont="1" applyFill="1" applyBorder="1" applyAlignment="1">
      <alignment horizontal="right" vertical="center" wrapText="1"/>
    </xf>
    <xf numFmtId="167" fontId="6" fillId="3" borderId="13" xfId="0" applyNumberFormat="1" applyFont="1" applyFill="1" applyBorder="1" applyAlignment="1">
      <alignment horizontal="right" vertical="center" wrapText="1"/>
    </xf>
    <xf numFmtId="167" fontId="6" fillId="3" borderId="16" xfId="0" applyNumberFormat="1" applyFont="1" applyFill="1" applyBorder="1" applyAlignment="1">
      <alignment horizontal="right" vertical="center" wrapText="1"/>
    </xf>
    <xf numFmtId="167" fontId="7" fillId="4" borderId="9" xfId="0" applyNumberFormat="1" applyFont="1" applyFill="1" applyBorder="1" applyAlignment="1">
      <alignment horizontal="right" vertical="center" wrapText="1"/>
    </xf>
    <xf numFmtId="167" fontId="7" fillId="4" borderId="12" xfId="0" applyNumberFormat="1" applyFont="1" applyFill="1" applyBorder="1" applyAlignment="1">
      <alignment horizontal="right" vertical="center" wrapText="1"/>
    </xf>
    <xf numFmtId="0" fontId="7" fillId="4" borderId="3" xfId="0" applyFont="1" applyFill="1" applyBorder="1"/>
    <xf numFmtId="0" fontId="6" fillId="3" borderId="1" xfId="0" applyFont="1" applyFill="1" applyBorder="1" applyAlignment="1">
      <alignment horizontal="center"/>
    </xf>
    <xf numFmtId="0" fontId="0" fillId="7" borderId="0" xfId="0" applyFill="1"/>
    <xf numFmtId="0" fontId="7" fillId="7" borderId="0" xfId="0" applyFont="1" applyFill="1"/>
    <xf numFmtId="167" fontId="7" fillId="4" borderId="0" xfId="0" applyNumberFormat="1" applyFont="1" applyFill="1"/>
    <xf numFmtId="166" fontId="7" fillId="4" borderId="0" xfId="0" applyNumberFormat="1" applyFont="1" applyFill="1" applyAlignment="1">
      <alignment horizontal="center"/>
    </xf>
    <xf numFmtId="167" fontId="6" fillId="3" borderId="0" xfId="0" applyNumberFormat="1" applyFont="1" applyFill="1"/>
    <xf numFmtId="167" fontId="7" fillId="4" borderId="2" xfId="0" applyNumberFormat="1" applyFont="1" applyFill="1" applyBorder="1" applyAlignment="1">
      <alignment horizontal="right" vertical="center" wrapText="1"/>
    </xf>
    <xf numFmtId="167" fontId="7" fillId="4" borderId="3" xfId="0" applyNumberFormat="1" applyFont="1" applyFill="1" applyBorder="1" applyAlignment="1">
      <alignment horizontal="right" vertical="center" wrapText="1"/>
    </xf>
    <xf numFmtId="168" fontId="10" fillId="2" borderId="15" xfId="0" applyNumberFormat="1" applyFont="1" applyFill="1" applyBorder="1" applyAlignment="1">
      <alignment horizontal="right" vertical="center" wrapText="1"/>
    </xf>
    <xf numFmtId="168" fontId="10" fillId="2" borderId="3" xfId="0" applyNumberFormat="1" applyFont="1" applyFill="1" applyBorder="1" applyAlignment="1">
      <alignment horizontal="right" vertical="center" wrapText="1"/>
    </xf>
    <xf numFmtId="167" fontId="7" fillId="3" borderId="1" xfId="0" applyNumberFormat="1" applyFont="1" applyFill="1" applyBorder="1" applyAlignment="1">
      <alignment horizontal="right" vertical="center" wrapText="1"/>
    </xf>
    <xf numFmtId="167" fontId="7" fillId="3" borderId="15" xfId="0" applyNumberFormat="1" applyFont="1" applyFill="1" applyBorder="1" applyAlignment="1">
      <alignment horizontal="right" vertical="center" wrapText="1"/>
    </xf>
    <xf numFmtId="167" fontId="7" fillId="3" borderId="3" xfId="0" applyNumberFormat="1" applyFont="1" applyFill="1" applyBorder="1" applyAlignment="1">
      <alignment horizontal="right" vertical="center" wrapText="1"/>
    </xf>
    <xf numFmtId="3" fontId="6" fillId="4" borderId="16" xfId="0" applyNumberFormat="1" applyFont="1" applyFill="1" applyBorder="1"/>
    <xf numFmtId="167" fontId="6" fillId="4" borderId="13" xfId="0" applyNumberFormat="1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left"/>
    </xf>
    <xf numFmtId="0" fontId="7" fillId="4" borderId="7" xfId="0" applyFont="1" applyFill="1" applyBorder="1"/>
    <xf numFmtId="0" fontId="7" fillId="4" borderId="8" xfId="0" applyFont="1" applyFill="1" applyBorder="1"/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/>
    <xf numFmtId="0" fontId="6" fillId="4" borderId="11" xfId="0" applyFont="1" applyFill="1" applyBorder="1" applyAlignment="1">
      <alignment horizontal="center"/>
    </xf>
    <xf numFmtId="0" fontId="7" fillId="4" borderId="10" xfId="0" applyFont="1" applyFill="1" applyBorder="1"/>
    <xf numFmtId="3" fontId="7" fillId="4" borderId="0" xfId="0" applyNumberFormat="1" applyFont="1" applyFill="1"/>
    <xf numFmtId="3" fontId="7" fillId="4" borderId="11" xfId="0" applyNumberFormat="1" applyFont="1" applyFill="1" applyBorder="1"/>
    <xf numFmtId="3" fontId="7" fillId="4" borderId="4" xfId="0" applyNumberFormat="1" applyFont="1" applyFill="1" applyBorder="1"/>
    <xf numFmtId="3" fontId="7" fillId="4" borderId="12" xfId="0" applyNumberFormat="1" applyFont="1" applyFill="1" applyBorder="1"/>
    <xf numFmtId="3" fontId="6" fillId="4" borderId="0" xfId="0" applyNumberFormat="1" applyFont="1" applyFill="1"/>
    <xf numFmtId="3" fontId="6" fillId="4" borderId="11" xfId="0" applyNumberFormat="1" applyFont="1" applyFill="1" applyBorder="1"/>
    <xf numFmtId="0" fontId="7" fillId="4" borderId="4" xfId="0" applyFont="1" applyFill="1" applyBorder="1"/>
    <xf numFmtId="3" fontId="7" fillId="4" borderId="5" xfId="0" applyNumberFormat="1" applyFont="1" applyFill="1" applyBorder="1"/>
    <xf numFmtId="3" fontId="7" fillId="4" borderId="13" xfId="0" applyNumberFormat="1" applyFont="1" applyFill="1" applyBorder="1"/>
    <xf numFmtId="3" fontId="6" fillId="4" borderId="4" xfId="0" applyNumberFormat="1" applyFont="1" applyFill="1" applyBorder="1"/>
    <xf numFmtId="3" fontId="6" fillId="4" borderId="12" xfId="0" applyNumberFormat="1" applyFont="1" applyFill="1" applyBorder="1"/>
    <xf numFmtId="0" fontId="7" fillId="4" borderId="14" xfId="0" applyFont="1" applyFill="1" applyBorder="1"/>
    <xf numFmtId="0" fontId="7" fillId="0" borderId="12" xfId="0" applyFont="1" applyBorder="1"/>
    <xf numFmtId="0" fontId="10" fillId="8" borderId="0" xfId="0" applyFont="1" applyFill="1"/>
    <xf numFmtId="0" fontId="12" fillId="8" borderId="0" xfId="0" applyFont="1" applyFill="1"/>
    <xf numFmtId="0" fontId="13" fillId="8" borderId="0" xfId="0" applyFont="1" applyFill="1"/>
    <xf numFmtId="0" fontId="13" fillId="8" borderId="0" xfId="0" applyFont="1" applyFill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3" fontId="10" fillId="2" borderId="13" xfId="0" applyNumberFormat="1" applyFont="1" applyFill="1" applyBorder="1" applyAlignment="1">
      <alignment horizontal="center"/>
    </xf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0" xfId="0" applyFont="1" applyFill="1"/>
    <xf numFmtId="0" fontId="11" fillId="2" borderId="11" xfId="0" applyFont="1" applyFill="1" applyBorder="1"/>
    <xf numFmtId="0" fontId="11" fillId="2" borderId="14" xfId="0" applyFont="1" applyFill="1" applyBorder="1"/>
    <xf numFmtId="0" fontId="11" fillId="2" borderId="4" xfId="0" applyFont="1" applyFill="1" applyBorder="1"/>
    <xf numFmtId="0" fontId="11" fillId="2" borderId="12" xfId="0" applyFont="1" applyFill="1" applyBorder="1"/>
    <xf numFmtId="0" fontId="6" fillId="3" borderId="10" xfId="0" applyFont="1" applyFill="1" applyBorder="1"/>
    <xf numFmtId="0" fontId="7" fillId="4" borderId="11" xfId="0" applyFont="1" applyFill="1" applyBorder="1"/>
    <xf numFmtId="0" fontId="7" fillId="4" borderId="12" xfId="0" applyFont="1" applyFill="1" applyBorder="1"/>
    <xf numFmtId="3" fontId="6" fillId="3" borderId="0" xfId="0" applyNumberFormat="1" applyFont="1" applyFill="1" applyAlignment="1">
      <alignment horizontal="center"/>
    </xf>
    <xf numFmtId="166" fontId="7" fillId="4" borderId="0" xfId="1" applyNumberFormat="1" applyFont="1" applyFill="1" applyBorder="1"/>
    <xf numFmtId="0" fontId="14" fillId="4" borderId="8" xfId="0" applyFont="1" applyFill="1" applyBorder="1"/>
    <xf numFmtId="0" fontId="6" fillId="4" borderId="2" xfId="0" applyFont="1" applyFill="1" applyBorder="1" applyAlignment="1">
      <alignment horizontal="center"/>
    </xf>
    <xf numFmtId="0" fontId="10" fillId="2" borderId="10" xfId="0" applyFont="1" applyFill="1" applyBorder="1"/>
    <xf numFmtId="0" fontId="14" fillId="4" borderId="0" xfId="0" applyFont="1" applyFill="1"/>
    <xf numFmtId="167" fontId="14" fillId="4" borderId="0" xfId="0" applyNumberFormat="1" applyFont="1" applyFill="1" applyAlignment="1">
      <alignment horizontal="right" vertical="center" wrapText="1"/>
    </xf>
    <xf numFmtId="3" fontId="10" fillId="2" borderId="10" xfId="0" applyNumberFormat="1" applyFont="1" applyFill="1" applyBorder="1"/>
    <xf numFmtId="0" fontId="10" fillId="2" borderId="14" xfId="0" applyFont="1" applyFill="1" applyBorder="1"/>
    <xf numFmtId="0" fontId="7" fillId="0" borderId="14" xfId="0" applyFont="1" applyBorder="1"/>
    <xf numFmtId="0" fontId="10" fillId="2" borderId="13" xfId="1" applyNumberFormat="1" applyFont="1" applyFill="1" applyBorder="1" applyAlignment="1">
      <alignment horizontal="right" vertical="center" wrapText="1"/>
    </xf>
    <xf numFmtId="0" fontId="10" fillId="2" borderId="1" xfId="1" applyNumberFormat="1" applyFont="1" applyFill="1" applyBorder="1" applyAlignment="1">
      <alignment horizontal="right" vertical="center" wrapText="1"/>
    </xf>
    <xf numFmtId="0" fontId="7" fillId="3" borderId="7" xfId="0" applyFont="1" applyFill="1" applyBorder="1"/>
    <xf numFmtId="168" fontId="11" fillId="2" borderId="1" xfId="0" applyNumberFormat="1" applyFont="1" applyFill="1" applyBorder="1" applyAlignment="1">
      <alignment horizontal="right" vertical="center" wrapText="1"/>
    </xf>
    <xf numFmtId="0" fontId="7" fillId="4" borderId="0" xfId="0" applyFont="1" applyFill="1" applyAlignment="1">
      <alignment horizontal="left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168" fontId="11" fillId="2" borderId="16" xfId="0" applyNumberFormat="1" applyFont="1" applyFill="1" applyBorder="1" applyAlignment="1">
      <alignment horizontal="right" vertical="center" wrapText="1"/>
    </xf>
    <xf numFmtId="0" fontId="7" fillId="3" borderId="10" xfId="0" applyFont="1" applyFill="1" applyBorder="1"/>
    <xf numFmtId="0" fontId="10" fillId="2" borderId="7" xfId="0" applyFont="1" applyFill="1" applyBorder="1"/>
    <xf numFmtId="0" fontId="7" fillId="4" borderId="2" xfId="0" applyFont="1" applyFill="1" applyBorder="1"/>
    <xf numFmtId="166" fontId="6" fillId="4" borderId="0" xfId="1" applyNumberFormat="1" applyFont="1" applyFill="1" applyBorder="1"/>
    <xf numFmtId="166" fontId="7" fillId="4" borderId="4" xfId="1" applyNumberFormat="1" applyFont="1" applyFill="1" applyBorder="1"/>
    <xf numFmtId="166" fontId="6" fillId="4" borderId="4" xfId="1" applyNumberFormat="1" applyFont="1" applyFill="1" applyBorder="1"/>
    <xf numFmtId="166" fontId="6" fillId="4" borderId="10" xfId="1" applyNumberFormat="1" applyFont="1" applyFill="1" applyBorder="1"/>
    <xf numFmtId="166" fontId="6" fillId="4" borderId="11" xfId="1" applyNumberFormat="1" applyFont="1" applyFill="1" applyBorder="1"/>
    <xf numFmtId="3" fontId="7" fillId="4" borderId="10" xfId="0" applyNumberFormat="1" applyFont="1" applyFill="1" applyBorder="1"/>
    <xf numFmtId="166" fontId="7" fillId="4" borderId="11" xfId="1" applyNumberFormat="1" applyFont="1" applyFill="1" applyBorder="1"/>
    <xf numFmtId="167" fontId="7" fillId="4" borderId="4" xfId="0" applyNumberFormat="1" applyFont="1" applyFill="1" applyBorder="1"/>
    <xf numFmtId="166" fontId="10" fillId="2" borderId="1" xfId="1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7" fontId="7" fillId="3" borderId="10" xfId="0" applyNumberFormat="1" applyFont="1" applyFill="1" applyBorder="1" applyAlignment="1">
      <alignment horizontal="right" vertical="center" wrapText="1"/>
    </xf>
    <xf numFmtId="0" fontId="6" fillId="4" borderId="0" xfId="0" quotePrefix="1" applyFont="1" applyFill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0" fillId="2" borderId="0" xfId="0" applyFont="1" applyFill="1"/>
    <xf numFmtId="0" fontId="6" fillId="9" borderId="0" xfId="0" applyFont="1" applyFill="1"/>
    <xf numFmtId="167" fontId="6" fillId="9" borderId="0" xfId="0" applyNumberFormat="1" applyFont="1" applyFill="1"/>
    <xf numFmtId="3" fontId="6" fillId="9" borderId="0" xfId="0" applyNumberFormat="1" applyFont="1" applyFill="1"/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166" fontId="7" fillId="4" borderId="2" xfId="1" applyNumberFormat="1" applyFont="1" applyFill="1" applyBorder="1" applyAlignment="1">
      <alignment horizontal="center"/>
    </xf>
    <xf numFmtId="166" fontId="7" fillId="4" borderId="15" xfId="1" applyNumberFormat="1" applyFont="1" applyFill="1" applyBorder="1" applyAlignment="1">
      <alignment horizontal="center"/>
    </xf>
    <xf numFmtId="168" fontId="10" fillId="2" borderId="11" xfId="0" applyNumberFormat="1" applyFont="1" applyFill="1" applyBorder="1" applyAlignment="1">
      <alignment horizontal="right" vertical="center" wrapText="1"/>
    </xf>
    <xf numFmtId="0" fontId="10" fillId="2" borderId="15" xfId="0" applyFont="1" applyFill="1" applyBorder="1"/>
    <xf numFmtId="0" fontId="11" fillId="2" borderId="15" xfId="0" applyFont="1" applyFill="1" applyBorder="1" applyAlignment="1">
      <alignment horizontal="center"/>
    </xf>
    <xf numFmtId="3" fontId="14" fillId="4" borderId="0" xfId="0" applyNumberFormat="1" applyFont="1" applyFill="1"/>
    <xf numFmtId="3" fontId="10" fillId="2" borderId="15" xfId="0" applyNumberFormat="1" applyFont="1" applyFill="1" applyBorder="1"/>
    <xf numFmtId="167" fontId="7" fillId="4" borderId="1" xfId="0" applyNumberFormat="1" applyFont="1" applyFill="1" applyBorder="1" applyAlignment="1">
      <alignment horizontal="right" vertical="center" wrapText="1"/>
    </xf>
    <xf numFmtId="167" fontId="7" fillId="3" borderId="11" xfId="0" applyNumberFormat="1" applyFont="1" applyFill="1" applyBorder="1" applyAlignment="1">
      <alignment horizontal="right" vertical="center" wrapText="1"/>
    </xf>
    <xf numFmtId="167" fontId="14" fillId="4" borderId="4" xfId="0" applyNumberFormat="1" applyFont="1" applyFill="1" applyBorder="1" applyAlignment="1">
      <alignment horizontal="right" vertical="center" wrapText="1"/>
    </xf>
    <xf numFmtId="3" fontId="16" fillId="4" borderId="0" xfId="0" applyNumberFormat="1" applyFont="1" applyFill="1"/>
    <xf numFmtId="0" fontId="16" fillId="4" borderId="0" xfId="0" applyFont="1" applyFill="1"/>
    <xf numFmtId="167" fontId="6" fillId="4" borderId="1" xfId="0" applyNumberFormat="1" applyFont="1" applyFill="1" applyBorder="1" applyAlignment="1">
      <alignment horizontal="right" vertical="center" wrapText="1"/>
    </xf>
    <xf numFmtId="3" fontId="7" fillId="4" borderId="8" xfId="0" applyNumberFormat="1" applyFont="1" applyFill="1" applyBorder="1"/>
    <xf numFmtId="3" fontId="7" fillId="4" borderId="9" xfId="0" applyNumberFormat="1" applyFont="1" applyFill="1" applyBorder="1"/>
    <xf numFmtId="3" fontId="6" fillId="4" borderId="5" xfId="0" applyNumberFormat="1" applyFont="1" applyFill="1" applyBorder="1"/>
    <xf numFmtId="3" fontId="6" fillId="4" borderId="13" xfId="0" applyNumberFormat="1" applyFont="1" applyFill="1" applyBorder="1"/>
    <xf numFmtId="3" fontId="16" fillId="4" borderId="5" xfId="0" applyNumberFormat="1" applyFont="1" applyFill="1" applyBorder="1"/>
    <xf numFmtId="0" fontId="10" fillId="2" borderId="3" xfId="0" applyFont="1" applyFill="1" applyBorder="1"/>
    <xf numFmtId="3" fontId="10" fillId="2" borderId="3" xfId="0" applyNumberFormat="1" applyFont="1" applyFill="1" applyBorder="1"/>
    <xf numFmtId="0" fontId="7" fillId="3" borderId="0" xfId="0" applyFont="1" applyFill="1" applyAlignment="1">
      <alignment horizontal="center"/>
    </xf>
    <xf numFmtId="0" fontId="7" fillId="3" borderId="11" xfId="0" applyFont="1" applyFill="1" applyBorder="1"/>
    <xf numFmtId="3" fontId="14" fillId="4" borderId="7" xfId="0" applyNumberFormat="1" applyFont="1" applyFill="1" applyBorder="1"/>
    <xf numFmtId="3" fontId="14" fillId="4" borderId="8" xfId="0" applyNumberFormat="1" applyFont="1" applyFill="1" applyBorder="1"/>
    <xf numFmtId="3" fontId="14" fillId="4" borderId="9" xfId="0" applyNumberFormat="1" applyFont="1" applyFill="1" applyBorder="1"/>
    <xf numFmtId="0" fontId="14" fillId="4" borderId="10" xfId="0" applyFont="1" applyFill="1" applyBorder="1"/>
    <xf numFmtId="3" fontId="14" fillId="4" borderId="11" xfId="0" applyNumberFormat="1" applyFont="1" applyFill="1" applyBorder="1"/>
    <xf numFmtId="167" fontId="14" fillId="4" borderId="11" xfId="0" applyNumberFormat="1" applyFont="1" applyFill="1" applyBorder="1" applyAlignment="1">
      <alignment horizontal="right" vertical="center" wrapText="1"/>
    </xf>
    <xf numFmtId="3" fontId="16" fillId="4" borderId="11" xfId="0" applyNumberFormat="1" applyFont="1" applyFill="1" applyBorder="1"/>
    <xf numFmtId="0" fontId="14" fillId="4" borderId="14" xfId="0" applyFont="1" applyFill="1" applyBorder="1"/>
    <xf numFmtId="3" fontId="14" fillId="4" borderId="8" xfId="0" applyNumberFormat="1" applyFont="1" applyFill="1" applyBorder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4" borderId="10" xfId="0" applyNumberFormat="1" applyFont="1" applyFill="1" applyBorder="1"/>
    <xf numFmtId="3" fontId="6" fillId="4" borderId="11" xfId="0" applyNumberFormat="1" applyFont="1" applyFill="1" applyBorder="1" applyAlignment="1">
      <alignment horizontal="center"/>
    </xf>
    <xf numFmtId="167" fontId="16" fillId="4" borderId="5" xfId="0" applyNumberFormat="1" applyFont="1" applyFill="1" applyBorder="1" applyAlignment="1">
      <alignment horizontal="right" vertical="center" wrapText="1"/>
    </xf>
    <xf numFmtId="167" fontId="16" fillId="4" borderId="13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10" fillId="2" borderId="2" xfId="0" applyFont="1" applyFill="1" applyBorder="1"/>
    <xf numFmtId="0" fontId="10" fillId="2" borderId="12" xfId="1" applyNumberFormat="1" applyFont="1" applyFill="1" applyBorder="1" applyAlignment="1">
      <alignment horizontal="right" vertical="center" wrapText="1"/>
    </xf>
    <xf numFmtId="0" fontId="10" fillId="2" borderId="3" xfId="1" applyNumberFormat="1" applyFont="1" applyFill="1" applyBorder="1" applyAlignment="1">
      <alignment horizontal="right" vertical="center" wrapText="1"/>
    </xf>
    <xf numFmtId="0" fontId="6" fillId="4" borderId="2" xfId="0" applyFont="1" applyFill="1" applyBorder="1"/>
    <xf numFmtId="0" fontId="7" fillId="4" borderId="15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10" fillId="2" borderId="4" xfId="0" applyFont="1" applyFill="1" applyBorder="1"/>
    <xf numFmtId="0" fontId="10" fillId="2" borderId="16" xfId="0" applyFont="1" applyFill="1" applyBorder="1"/>
    <xf numFmtId="0" fontId="10" fillId="2" borderId="5" xfId="0" applyFont="1" applyFill="1" applyBorder="1"/>
    <xf numFmtId="0" fontId="10" fillId="2" borderId="13" xfId="0" applyFont="1" applyFill="1" applyBorder="1"/>
    <xf numFmtId="167" fontId="7" fillId="3" borderId="0" xfId="0" applyNumberFormat="1" applyFont="1" applyFill="1"/>
    <xf numFmtId="3" fontId="6" fillId="4" borderId="0" xfId="0" applyNumberFormat="1" applyFont="1" applyFill="1" applyAlignment="1">
      <alignment horizontal="right"/>
    </xf>
    <xf numFmtId="0" fontId="9" fillId="4" borderId="0" xfId="0" applyFont="1" applyFill="1" applyAlignment="1">
      <alignment horizontal="left"/>
    </xf>
    <xf numFmtId="0" fontId="17" fillId="4" borderId="15" xfId="0" applyFont="1" applyFill="1" applyBorder="1"/>
    <xf numFmtId="167" fontId="11" fillId="2" borderId="0" xfId="0" applyNumberFormat="1" applyFont="1" applyFill="1" applyAlignment="1">
      <alignment horizontal="right" vertical="center" wrapText="1"/>
    </xf>
    <xf numFmtId="0" fontId="6" fillId="3" borderId="7" xfId="0" applyFont="1" applyFill="1" applyBorder="1"/>
    <xf numFmtId="3" fontId="6" fillId="3" borderId="14" xfId="0" applyNumberFormat="1" applyFont="1" applyFill="1" applyBorder="1"/>
    <xf numFmtId="3" fontId="6" fillId="3" borderId="4" xfId="0" applyNumberFormat="1" applyFont="1" applyFill="1" applyBorder="1"/>
    <xf numFmtId="3" fontId="6" fillId="3" borderId="12" xfId="0" applyNumberFormat="1" applyFont="1" applyFill="1" applyBorder="1"/>
    <xf numFmtId="0" fontId="7" fillId="3" borderId="2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14" xfId="0" applyFont="1" applyFill="1" applyBorder="1"/>
    <xf numFmtId="0" fontId="7" fillId="3" borderId="3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3" fontId="7" fillId="3" borderId="1" xfId="0" applyNumberFormat="1" applyFont="1" applyFill="1" applyBorder="1"/>
    <xf numFmtId="3" fontId="7" fillId="3" borderId="13" xfId="0" applyNumberFormat="1" applyFont="1" applyFill="1" applyBorder="1"/>
    <xf numFmtId="167" fontId="6" fillId="3" borderId="2" xfId="0" applyNumberFormat="1" applyFont="1" applyFill="1" applyBorder="1" applyAlignment="1">
      <alignment horizontal="right" vertical="center" wrapText="1"/>
    </xf>
    <xf numFmtId="167" fontId="6" fillId="3" borderId="15" xfId="0" applyNumberFormat="1" applyFont="1" applyFill="1" applyBorder="1" applyAlignment="1">
      <alignment horizontal="right" vertical="center" wrapText="1"/>
    </xf>
    <xf numFmtId="167" fontId="6" fillId="3" borderId="3" xfId="0" applyNumberFormat="1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left"/>
    </xf>
    <xf numFmtId="167" fontId="7" fillId="0" borderId="0" xfId="0" applyNumberFormat="1" applyFont="1" applyAlignment="1">
      <alignment horizontal="right" vertical="center" wrapText="1"/>
    </xf>
    <xf numFmtId="0" fontId="6" fillId="0" borderId="0" xfId="0" applyFont="1"/>
    <xf numFmtId="3" fontId="6" fillId="3" borderId="3" xfId="0" applyNumberFormat="1" applyFont="1" applyFill="1" applyBorder="1"/>
    <xf numFmtId="0" fontId="7" fillId="4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left"/>
    </xf>
    <xf numFmtId="166" fontId="7" fillId="4" borderId="11" xfId="1" applyNumberFormat="1" applyFont="1" applyFill="1" applyBorder="1" applyAlignment="1">
      <alignment horizontal="center"/>
    </xf>
    <xf numFmtId="167" fontId="10" fillId="2" borderId="16" xfId="0" applyNumberFormat="1" applyFont="1" applyFill="1" applyBorder="1" applyAlignment="1">
      <alignment horizontal="center"/>
    </xf>
    <xf numFmtId="167" fontId="7" fillId="4" borderId="15" xfId="0" applyNumberFormat="1" applyFont="1" applyFill="1" applyBorder="1" applyAlignment="1">
      <alignment horizontal="right" vertical="center" wrapText="1" indent="1"/>
    </xf>
    <xf numFmtId="167" fontId="7" fillId="4" borderId="15" xfId="0" applyNumberFormat="1" applyFont="1" applyFill="1" applyBorder="1" applyAlignment="1">
      <alignment horizontal="right" vertical="center" wrapText="1" indent="2"/>
    </xf>
    <xf numFmtId="168" fontId="7" fillId="4" borderId="0" xfId="0" applyNumberFormat="1" applyFont="1" applyFill="1"/>
    <xf numFmtId="0" fontId="6" fillId="4" borderId="8" xfId="0" applyFont="1" applyFill="1" applyBorder="1" applyAlignment="1">
      <alignment horizontal="left" indent="10"/>
    </xf>
    <xf numFmtId="0" fontId="6" fillId="4" borderId="8" xfId="0" applyFont="1" applyFill="1" applyBorder="1"/>
    <xf numFmtId="0" fontId="6" fillId="4" borderId="0" xfId="0" applyFont="1" applyFill="1" applyAlignment="1">
      <alignment horizontal="left" indent="10"/>
    </xf>
    <xf numFmtId="0" fontId="7" fillId="4" borderId="0" xfId="0" applyFont="1" applyFill="1" applyAlignment="1">
      <alignment horizontal="left" indent="10"/>
    </xf>
    <xf numFmtId="0" fontId="0" fillId="4" borderId="0" xfId="0" applyFill="1" applyAlignment="1">
      <alignment horizontal="left" indent="10"/>
    </xf>
    <xf numFmtId="0" fontId="7" fillId="4" borderId="4" xfId="0" applyFont="1" applyFill="1" applyBorder="1" applyAlignment="1">
      <alignment horizontal="left" indent="10"/>
    </xf>
    <xf numFmtId="168" fontId="10" fillId="2" borderId="1" xfId="0" applyNumberFormat="1" applyFont="1" applyFill="1" applyBorder="1" applyAlignment="1">
      <alignment horizontal="right" vertical="center" wrapText="1"/>
    </xf>
    <xf numFmtId="168" fontId="10" fillId="2" borderId="16" xfId="0" applyNumberFormat="1" applyFont="1" applyFill="1" applyBorder="1" applyAlignment="1">
      <alignment horizontal="right" vertical="center" wrapText="1"/>
    </xf>
    <xf numFmtId="168" fontId="10" fillId="2" borderId="13" xfId="0" applyNumberFormat="1" applyFont="1" applyFill="1" applyBorder="1" applyAlignment="1">
      <alignment horizontal="right" vertical="center" wrapText="1"/>
    </xf>
    <xf numFmtId="166" fontId="7" fillId="4" borderId="0" xfId="0" applyNumberFormat="1" applyFont="1" applyFill="1"/>
    <xf numFmtId="0" fontId="11" fillId="2" borderId="0" xfId="0" applyFont="1" applyFill="1" applyAlignment="1">
      <alignment horizontal="center"/>
    </xf>
    <xf numFmtId="3" fontId="7" fillId="4" borderId="15" xfId="0" applyNumberFormat="1" applyFont="1" applyFill="1" applyBorder="1" applyAlignment="1">
      <alignment horizontal="right" indent="1"/>
    </xf>
    <xf numFmtId="167" fontId="7" fillId="4" borderId="11" xfId="0" applyNumberFormat="1" applyFont="1" applyFill="1" applyBorder="1" applyAlignment="1">
      <alignment horizontal="right" vertical="center" wrapText="1" indent="1"/>
    </xf>
    <xf numFmtId="3" fontId="7" fillId="4" borderId="11" xfId="0" applyNumberFormat="1" applyFont="1" applyFill="1" applyBorder="1" applyAlignment="1">
      <alignment horizontal="right" indent="1"/>
    </xf>
    <xf numFmtId="167" fontId="6" fillId="3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 applyAlignment="1">
      <alignment horizontal="left" vertical="center"/>
    </xf>
    <xf numFmtId="167" fontId="6" fillId="3" borderId="4" xfId="0" applyNumberFormat="1" applyFont="1" applyFill="1" applyBorder="1" applyAlignment="1">
      <alignment horizontal="right" vertical="center" wrapText="1"/>
    </xf>
    <xf numFmtId="0" fontId="11" fillId="8" borderId="0" xfId="0" applyFont="1" applyFill="1"/>
    <xf numFmtId="0" fontId="7" fillId="13" borderId="0" xfId="0" applyFont="1" applyFill="1"/>
    <xf numFmtId="0" fontId="4" fillId="0" borderId="0" xfId="0" applyFont="1"/>
    <xf numFmtId="0" fontId="7" fillId="4" borderId="5" xfId="0" applyFont="1" applyFill="1" applyBorder="1"/>
    <xf numFmtId="0" fontId="6" fillId="4" borderId="5" xfId="0" applyFont="1" applyFill="1" applyBorder="1" applyAlignment="1">
      <alignment horizontal="right"/>
    </xf>
    <xf numFmtId="0" fontId="7" fillId="4" borderId="13" xfId="0" applyFont="1" applyFill="1" applyBorder="1"/>
    <xf numFmtId="0" fontId="0" fillId="8" borderId="0" xfId="0" applyFill="1"/>
    <xf numFmtId="0" fontId="7" fillId="8" borderId="0" xfId="0" applyFont="1" applyFill="1"/>
    <xf numFmtId="0" fontId="7" fillId="4" borderId="16" xfId="0" applyFont="1" applyFill="1" applyBorder="1"/>
    <xf numFmtId="0" fontId="11" fillId="2" borderId="0" xfId="0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167" fontId="7" fillId="7" borderId="0" xfId="0" applyNumberFormat="1" applyFont="1" applyFill="1" applyAlignment="1">
      <alignment horizontal="right" vertical="center" wrapText="1"/>
    </xf>
    <xf numFmtId="0" fontId="6" fillId="7" borderId="0" xfId="0" applyFont="1" applyFill="1"/>
    <xf numFmtId="0" fontId="10" fillId="4" borderId="0" xfId="0" applyFont="1" applyFill="1"/>
    <xf numFmtId="0" fontId="6" fillId="3" borderId="0" xfId="0" applyFont="1" applyFill="1" applyAlignment="1">
      <alignment horizontal="left" indent="12"/>
    </xf>
    <xf numFmtId="167" fontId="7" fillId="3" borderId="0" xfId="0" applyNumberFormat="1" applyFont="1" applyFill="1" applyAlignment="1">
      <alignment horizontal="left" vertical="center" wrapText="1" indent="12"/>
    </xf>
    <xf numFmtId="0" fontId="7" fillId="4" borderId="0" xfId="0" applyFont="1" applyFill="1" applyAlignment="1">
      <alignment horizontal="left" indent="12"/>
    </xf>
    <xf numFmtId="167" fontId="7" fillId="4" borderId="0" xfId="0" applyNumberFormat="1" applyFont="1" applyFill="1" applyAlignment="1">
      <alignment horizontal="left" vertical="center" wrapText="1" indent="12"/>
    </xf>
    <xf numFmtId="0" fontId="6" fillId="4" borderId="0" xfId="0" applyFont="1" applyFill="1" applyAlignment="1">
      <alignment horizontal="left" indent="12"/>
    </xf>
    <xf numFmtId="168" fontId="10" fillId="2" borderId="1" xfId="1" applyNumberFormat="1" applyFont="1" applyFill="1" applyBorder="1" applyAlignment="1">
      <alignment horizontal="right" vertical="center" wrapText="1"/>
    </xf>
    <xf numFmtId="0" fontId="7" fillId="2" borderId="0" xfId="0" applyFont="1" applyFill="1"/>
    <xf numFmtId="0" fontId="6" fillId="2" borderId="0" xfId="0" applyFont="1" applyFill="1" applyAlignment="1">
      <alignment horizontal="right"/>
    </xf>
    <xf numFmtId="167" fontId="16" fillId="4" borderId="4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horizontal="left"/>
    </xf>
    <xf numFmtId="0" fontId="6" fillId="3" borderId="1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170" fontId="7" fillId="4" borderId="0" xfId="0" applyNumberFormat="1" applyFont="1" applyFill="1"/>
    <xf numFmtId="0" fontId="9" fillId="4" borderId="0" xfId="0" applyFont="1" applyFill="1" applyAlignment="1">
      <alignment horizontal="center"/>
    </xf>
    <xf numFmtId="0" fontId="17" fillId="11" borderId="15" xfId="0" applyFont="1" applyFill="1" applyBorder="1"/>
    <xf numFmtId="167" fontId="7" fillId="11" borderId="11" xfId="0" applyNumberFormat="1" applyFont="1" applyFill="1" applyBorder="1" applyAlignment="1">
      <alignment horizontal="right" vertical="center" wrapText="1"/>
    </xf>
    <xf numFmtId="3" fontId="7" fillId="11" borderId="15" xfId="0" applyNumberFormat="1" applyFont="1" applyFill="1" applyBorder="1" applyAlignment="1">
      <alignment horizontal="right"/>
    </xf>
    <xf numFmtId="3" fontId="7" fillId="11" borderId="11" xfId="0" applyNumberFormat="1" applyFont="1" applyFill="1" applyBorder="1" applyAlignment="1">
      <alignment horizontal="right"/>
    </xf>
    <xf numFmtId="3" fontId="7" fillId="11" borderId="0" xfId="0" applyNumberFormat="1" applyFont="1" applyFill="1" applyAlignment="1">
      <alignment horizontal="right"/>
    </xf>
    <xf numFmtId="3" fontId="7" fillId="11" borderId="10" xfId="0" applyNumberFormat="1" applyFont="1" applyFill="1" applyBorder="1" applyAlignment="1">
      <alignment horizontal="right"/>
    </xf>
    <xf numFmtId="0" fontId="7" fillId="11" borderId="0" xfId="0" applyFont="1" applyFill="1"/>
    <xf numFmtId="0" fontId="6" fillId="11" borderId="0" xfId="0" applyFont="1" applyFill="1"/>
    <xf numFmtId="167" fontId="7" fillId="11" borderId="0" xfId="0" applyNumberFormat="1" applyFont="1" applyFill="1"/>
    <xf numFmtId="0" fontId="7" fillId="11" borderId="0" xfId="0" applyFont="1" applyFill="1" applyAlignment="1">
      <alignment horizontal="left"/>
    </xf>
    <xf numFmtId="0" fontId="11" fillId="2" borderId="5" xfId="0" applyFont="1" applyFill="1" applyBorder="1" applyAlignment="1">
      <alignment horizontal="center"/>
    </xf>
    <xf numFmtId="0" fontId="6" fillId="4" borderId="4" xfId="0" applyFont="1" applyFill="1" applyBorder="1"/>
    <xf numFmtId="2" fontId="7" fillId="4" borderId="0" xfId="0" applyNumberFormat="1" applyFont="1" applyFill="1"/>
    <xf numFmtId="166" fontId="7" fillId="4" borderId="0" xfId="1" applyNumberFormat="1" applyFont="1" applyFill="1"/>
    <xf numFmtId="166" fontId="7" fillId="4" borderId="5" xfId="1" applyNumberFormat="1" applyFont="1" applyFill="1" applyBorder="1"/>
    <xf numFmtId="0" fontId="10" fillId="7" borderId="0" xfId="0" applyFont="1" applyFill="1"/>
    <xf numFmtId="0" fontId="10" fillId="14" borderId="0" xfId="0" applyFont="1" applyFill="1"/>
    <xf numFmtId="3" fontId="10" fillId="14" borderId="0" xfId="0" applyNumberFormat="1" applyFont="1" applyFill="1"/>
    <xf numFmtId="167" fontId="10" fillId="14" borderId="4" xfId="0" applyNumberFormat="1" applyFont="1" applyFill="1" applyBorder="1" applyAlignment="1">
      <alignment horizontal="right" vertical="center" wrapText="1"/>
    </xf>
    <xf numFmtId="0" fontId="7" fillId="14" borderId="15" xfId="0" applyFont="1" applyFill="1" applyBorder="1"/>
    <xf numFmtId="167" fontId="7" fillId="14" borderId="11" xfId="0" applyNumberFormat="1" applyFont="1" applyFill="1" applyBorder="1" applyAlignment="1">
      <alignment horizontal="right" vertical="center" wrapText="1"/>
    </xf>
    <xf numFmtId="167" fontId="7" fillId="14" borderId="15" xfId="0" applyNumberFormat="1" applyFont="1" applyFill="1" applyBorder="1" applyAlignment="1">
      <alignment horizontal="right" vertical="center" wrapText="1"/>
    </xf>
    <xf numFmtId="166" fontId="7" fillId="14" borderId="15" xfId="1" applyNumberFormat="1" applyFont="1" applyFill="1" applyBorder="1" applyAlignment="1">
      <alignment horizontal="center"/>
    </xf>
    <xf numFmtId="167" fontId="7" fillId="14" borderId="0" xfId="0" applyNumberFormat="1" applyFont="1" applyFill="1" applyAlignment="1">
      <alignment horizontal="right" vertical="center" wrapText="1"/>
    </xf>
    <xf numFmtId="0" fontId="7" fillId="14" borderId="0" xfId="0" applyFont="1" applyFill="1"/>
    <xf numFmtId="167" fontId="11" fillId="14" borderId="0" xfId="0" quotePrefix="1" applyNumberFormat="1" applyFont="1" applyFill="1" applyAlignment="1">
      <alignment horizontal="center" vertical="center" wrapText="1"/>
    </xf>
    <xf numFmtId="0" fontId="6" fillId="14" borderId="0" xfId="0" applyFont="1" applyFill="1"/>
    <xf numFmtId="167" fontId="6" fillId="14" borderId="0" xfId="0" applyNumberFormat="1" applyFont="1" applyFill="1" applyAlignment="1">
      <alignment horizontal="right" vertical="center" wrapText="1"/>
    </xf>
    <xf numFmtId="0" fontId="7" fillId="14" borderId="1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4" borderId="14" xfId="0" applyFont="1" applyFill="1" applyBorder="1"/>
    <xf numFmtId="0" fontId="6" fillId="4" borderId="4" xfId="0" applyFont="1" applyFill="1" applyBorder="1" applyAlignment="1">
      <alignment horizontal="center"/>
    </xf>
    <xf numFmtId="0" fontId="10" fillId="8" borderId="7" xfId="0" applyFont="1" applyFill="1" applyBorder="1"/>
    <xf numFmtId="0" fontId="10" fillId="8" borderId="8" xfId="0" applyFont="1" applyFill="1" applyBorder="1"/>
    <xf numFmtId="0" fontId="10" fillId="8" borderId="9" xfId="0" applyFont="1" applyFill="1" applyBorder="1"/>
    <xf numFmtId="0" fontId="10" fillId="8" borderId="10" xfId="0" applyFont="1" applyFill="1" applyBorder="1"/>
    <xf numFmtId="0" fontId="10" fillId="8" borderId="11" xfId="0" applyFont="1" applyFill="1" applyBorder="1"/>
    <xf numFmtId="0" fontId="11" fillId="8" borderId="0" xfId="0" applyFont="1" applyFill="1" applyAlignment="1">
      <alignment horizontal="center"/>
    </xf>
    <xf numFmtId="0" fontId="10" fillId="8" borderId="14" xfId="0" applyFont="1" applyFill="1" applyBorder="1"/>
    <xf numFmtId="0" fontId="10" fillId="8" borderId="4" xfId="0" applyFont="1" applyFill="1" applyBorder="1"/>
    <xf numFmtId="0" fontId="10" fillId="8" borderId="12" xfId="0" applyFont="1" applyFill="1" applyBorder="1"/>
    <xf numFmtId="0" fontId="11" fillId="15" borderId="10" xfId="0" applyFont="1" applyFill="1" applyBorder="1"/>
    <xf numFmtId="0" fontId="11" fillId="15" borderId="0" xfId="0" applyFont="1" applyFill="1"/>
    <xf numFmtId="0" fontId="11" fillId="15" borderId="11" xfId="0" applyFont="1" applyFill="1" applyBorder="1"/>
    <xf numFmtId="0" fontId="11" fillId="15" borderId="0" xfId="0" applyFont="1" applyFill="1" applyAlignment="1">
      <alignment horizontal="center"/>
    </xf>
    <xf numFmtId="0" fontId="11" fillId="15" borderId="14" xfId="0" applyFont="1" applyFill="1" applyBorder="1"/>
    <xf numFmtId="0" fontId="11" fillId="15" borderId="4" xfId="0" applyFont="1" applyFill="1" applyBorder="1"/>
    <xf numFmtId="0" fontId="11" fillId="15" borderId="12" xfId="0" applyFont="1" applyFill="1" applyBorder="1"/>
    <xf numFmtId="0" fontId="15" fillId="3" borderId="2" xfId="0" applyFont="1" applyFill="1" applyBorder="1" applyAlignment="1">
      <alignment horizontal="center"/>
    </xf>
    <xf numFmtId="0" fontId="15" fillId="3" borderId="15" xfId="0" applyFont="1" applyFill="1" applyBorder="1" applyAlignment="1">
      <alignment horizontal="center"/>
    </xf>
    <xf numFmtId="0" fontId="15" fillId="16" borderId="15" xfId="0" applyFont="1" applyFill="1" applyBorder="1" applyAlignment="1">
      <alignment horizontal="center"/>
    </xf>
    <xf numFmtId="0" fontId="15" fillId="16" borderId="3" xfId="0" applyFont="1" applyFill="1" applyBorder="1" applyAlignment="1">
      <alignment horizontal="center"/>
    </xf>
    <xf numFmtId="0" fontId="15" fillId="6" borderId="15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22" fillId="0" borderId="0" xfId="0" applyFont="1"/>
    <xf numFmtId="3" fontId="22" fillId="3" borderId="0" xfId="0" applyNumberFormat="1" applyFont="1" applyFill="1" applyAlignment="1">
      <alignment horizontal="center"/>
    </xf>
    <xf numFmtId="3" fontId="22" fillId="3" borderId="0" xfId="0" applyNumberFormat="1" applyFont="1" applyFill="1"/>
    <xf numFmtId="0" fontId="22" fillId="3" borderId="0" xfId="0" applyFont="1" applyFill="1"/>
    <xf numFmtId="9" fontId="22" fillId="3" borderId="0" xfId="0" applyNumberFormat="1" applyFont="1" applyFill="1"/>
    <xf numFmtId="3" fontId="22" fillId="3" borderId="0" xfId="0" applyNumberFormat="1" applyFont="1" applyFill="1" applyAlignment="1">
      <alignment horizontal="right"/>
    </xf>
    <xf numFmtId="171" fontId="22" fillId="3" borderId="0" xfId="0" applyNumberFormat="1" applyFont="1" applyFill="1" applyAlignment="1">
      <alignment horizontal="center"/>
    </xf>
    <xf numFmtId="0" fontId="22" fillId="4" borderId="0" xfId="0" applyFont="1" applyFill="1"/>
    <xf numFmtId="0" fontId="24" fillId="4" borderId="0" xfId="0" applyFont="1" applyFill="1"/>
    <xf numFmtId="0" fontId="22" fillId="2" borderId="0" xfId="0" applyFont="1" applyFill="1"/>
    <xf numFmtId="0" fontId="23" fillId="7" borderId="0" xfId="0" applyFont="1" applyFill="1"/>
    <xf numFmtId="0" fontId="23" fillId="7" borderId="0" xfId="0" applyFont="1" applyFill="1" applyAlignment="1">
      <alignment horizontal="left"/>
    </xf>
    <xf numFmtId="0" fontId="23" fillId="7" borderId="0" xfId="0" applyFont="1" applyFill="1" applyAlignment="1">
      <alignment horizontal="center"/>
    </xf>
    <xf numFmtId="0" fontId="22" fillId="2" borderId="0" xfId="0" quotePrefix="1" applyFont="1" applyFill="1"/>
    <xf numFmtId="0" fontId="23" fillId="2" borderId="0" xfId="0" quotePrefix="1" applyFont="1" applyFill="1" applyAlignment="1">
      <alignment horizontal="right"/>
    </xf>
    <xf numFmtId="0" fontId="25" fillId="3" borderId="18" xfId="0" applyFont="1" applyFill="1" applyBorder="1" applyAlignment="1">
      <alignment horizontal="center"/>
    </xf>
    <xf numFmtId="171" fontId="22" fillId="3" borderId="0" xfId="0" applyNumberFormat="1" applyFont="1" applyFill="1" applyAlignment="1">
      <alignment horizontal="left"/>
    </xf>
    <xf numFmtId="171" fontId="22" fillId="5" borderId="0" xfId="0" applyNumberFormat="1" applyFont="1" applyFill="1" applyAlignment="1">
      <alignment horizontal="left"/>
    </xf>
    <xf numFmtId="3" fontId="22" fillId="5" borderId="0" xfId="0" applyNumberFormat="1" applyFont="1" applyFill="1"/>
    <xf numFmtId="3" fontId="22" fillId="9" borderId="0" xfId="0" applyNumberFormat="1" applyFont="1" applyFill="1"/>
    <xf numFmtId="0" fontId="23" fillId="2" borderId="0" xfId="0" quotePrefix="1" applyFont="1" applyFill="1" applyAlignment="1">
      <alignment horizontal="left"/>
    </xf>
    <xf numFmtId="0" fontId="22" fillId="9" borderId="0" xfId="0" applyFont="1" applyFill="1"/>
    <xf numFmtId="0" fontId="23" fillId="17" borderId="0" xfId="0" applyFont="1" applyFill="1"/>
    <xf numFmtId="0" fontId="23" fillId="17" borderId="0" xfId="0" applyFont="1" applyFill="1" applyAlignment="1">
      <alignment horizontal="center"/>
    </xf>
    <xf numFmtId="164" fontId="23" fillId="17" borderId="0" xfId="0" quotePrefix="1" applyNumberFormat="1" applyFont="1" applyFill="1" applyAlignment="1">
      <alignment horizontal="center"/>
    </xf>
    <xf numFmtId="0" fontId="24" fillId="18" borderId="0" xfId="0" applyFont="1" applyFill="1"/>
    <xf numFmtId="0" fontId="22" fillId="18" borderId="0" xfId="0" applyFont="1" applyFill="1"/>
    <xf numFmtId="164" fontId="22" fillId="18" borderId="0" xfId="0" quotePrefix="1" applyNumberFormat="1" applyFont="1" applyFill="1" applyAlignment="1">
      <alignment horizontal="center"/>
    </xf>
    <xf numFmtId="0" fontId="22" fillId="4" borderId="16" xfId="0" applyFont="1" applyFill="1" applyBorder="1"/>
    <xf numFmtId="0" fontId="22" fillId="4" borderId="5" xfId="0" applyFont="1" applyFill="1" applyBorder="1"/>
    <xf numFmtId="167" fontId="0" fillId="4" borderId="5" xfId="0" applyNumberFormat="1" applyFill="1" applyBorder="1" applyAlignment="1">
      <alignment horizontal="right" vertical="center" wrapText="1"/>
    </xf>
    <xf numFmtId="167" fontId="0" fillId="4" borderId="13" xfId="0" applyNumberFormat="1" applyFill="1" applyBorder="1" applyAlignment="1">
      <alignment horizontal="right" vertical="center" wrapText="1"/>
    </xf>
    <xf numFmtId="0" fontId="24" fillId="3" borderId="0" xfId="0" applyFont="1" applyFill="1"/>
    <xf numFmtId="0" fontId="22" fillId="6" borderId="0" xfId="0" applyFont="1" applyFill="1"/>
    <xf numFmtId="0" fontId="23" fillId="2" borderId="10" xfId="0" applyFont="1" applyFill="1" applyBorder="1"/>
    <xf numFmtId="0" fontId="23" fillId="2" borderId="0" xfId="0" applyFont="1" applyFill="1"/>
    <xf numFmtId="0" fontId="23" fillId="2" borderId="14" xfId="0" applyFont="1" applyFill="1" applyBorder="1"/>
    <xf numFmtId="0" fontId="23" fillId="2" borderId="4" xfId="0" applyFont="1" applyFill="1" applyBorder="1"/>
    <xf numFmtId="0" fontId="23" fillId="2" borderId="19" xfId="0" applyFont="1" applyFill="1" applyBorder="1"/>
    <xf numFmtId="0" fontId="23" fillId="2" borderId="20" xfId="0" applyFont="1" applyFill="1" applyBorder="1"/>
    <xf numFmtId="0" fontId="23" fillId="2" borderId="20" xfId="0" applyFont="1" applyFill="1" applyBorder="1" applyAlignment="1">
      <alignment horizontal="center"/>
    </xf>
    <xf numFmtId="0" fontId="23" fillId="8" borderId="19" xfId="0" applyFont="1" applyFill="1" applyBorder="1"/>
    <xf numFmtId="0" fontId="23" fillId="8" borderId="20" xfId="0" applyFont="1" applyFill="1" applyBorder="1"/>
    <xf numFmtId="0" fontId="23" fillId="8" borderId="20" xfId="0" applyFont="1" applyFill="1" applyBorder="1" applyAlignment="1">
      <alignment horizontal="center"/>
    </xf>
    <xf numFmtId="0" fontId="23" fillId="8" borderId="10" xfId="0" applyFont="1" applyFill="1" applyBorder="1"/>
    <xf numFmtId="0" fontId="23" fillId="8" borderId="0" xfId="0" applyFont="1" applyFill="1"/>
    <xf numFmtId="0" fontId="23" fillId="8" borderId="14" xfId="0" applyFont="1" applyFill="1" applyBorder="1"/>
    <xf numFmtId="0" fontId="23" fillId="8" borderId="4" xfId="0" applyFont="1" applyFill="1" applyBorder="1"/>
    <xf numFmtId="3" fontId="22" fillId="19" borderId="17" xfId="0" applyNumberFormat="1" applyFont="1" applyFill="1" applyBorder="1"/>
    <xf numFmtId="0" fontId="22" fillId="3" borderId="21" xfId="0" applyFont="1" applyFill="1" applyBorder="1" applyAlignment="1">
      <alignment horizontal="center"/>
    </xf>
    <xf numFmtId="0" fontId="22" fillId="3" borderId="23" xfId="0" applyFont="1" applyFill="1" applyBorder="1" applyAlignment="1">
      <alignment horizontal="center"/>
    </xf>
    <xf numFmtId="0" fontId="22" fillId="3" borderId="24" xfId="0" applyFont="1" applyFill="1" applyBorder="1"/>
    <xf numFmtId="0" fontId="22" fillId="3" borderId="25" xfId="0" applyFont="1" applyFill="1" applyBorder="1"/>
    <xf numFmtId="0" fontId="22" fillId="3" borderId="26" xfId="0" applyFont="1" applyFill="1" applyBorder="1"/>
    <xf numFmtId="0" fontId="22" fillId="3" borderId="27" xfId="0" applyFont="1" applyFill="1" applyBorder="1"/>
    <xf numFmtId="0" fontId="22" fillId="3" borderId="28" xfId="0" applyFont="1" applyFill="1" applyBorder="1"/>
    <xf numFmtId="0" fontId="22" fillId="3" borderId="28" xfId="0" applyFont="1" applyFill="1" applyBorder="1" applyAlignment="1">
      <alignment horizontal="center"/>
    </xf>
    <xf numFmtId="0" fontId="22" fillId="3" borderId="29" xfId="0" applyFont="1" applyFill="1" applyBorder="1" applyAlignment="1">
      <alignment horizontal="center"/>
    </xf>
    <xf numFmtId="0" fontId="22" fillId="20" borderId="24" xfId="0" applyFont="1" applyFill="1" applyBorder="1"/>
    <xf numFmtId="0" fontId="22" fillId="20" borderId="25" xfId="0" applyFont="1" applyFill="1" applyBorder="1"/>
    <xf numFmtId="0" fontId="22" fillId="20" borderId="25" xfId="0" applyFont="1" applyFill="1" applyBorder="1" applyAlignment="1">
      <alignment horizontal="center"/>
    </xf>
    <xf numFmtId="0" fontId="22" fillId="20" borderId="26" xfId="0" applyFont="1" applyFill="1" applyBorder="1" applyAlignment="1">
      <alignment horizontal="center"/>
    </xf>
    <xf numFmtId="0" fontId="22" fillId="20" borderId="22" xfId="0" applyFont="1" applyFill="1" applyBorder="1" applyAlignment="1">
      <alignment horizontal="center"/>
    </xf>
    <xf numFmtId="0" fontId="22" fillId="21" borderId="30" xfId="0" applyFont="1" applyFill="1" applyBorder="1"/>
    <xf numFmtId="0" fontId="22" fillId="21" borderId="0" xfId="0" applyFont="1" applyFill="1"/>
    <xf numFmtId="0" fontId="22" fillId="21" borderId="31" xfId="0" applyFont="1" applyFill="1" applyBorder="1"/>
    <xf numFmtId="0" fontId="22" fillId="21" borderId="22" xfId="0" applyFont="1" applyFill="1" applyBorder="1"/>
    <xf numFmtId="3" fontId="22" fillId="21" borderId="0" xfId="0" applyNumberFormat="1" applyFont="1" applyFill="1"/>
    <xf numFmtId="3" fontId="22" fillId="21" borderId="31" xfId="0" applyNumberFormat="1" applyFont="1" applyFill="1" applyBorder="1"/>
    <xf numFmtId="3" fontId="22" fillId="21" borderId="22" xfId="0" applyNumberFormat="1" applyFont="1" applyFill="1" applyBorder="1"/>
    <xf numFmtId="0" fontId="22" fillId="21" borderId="27" xfId="0" applyFont="1" applyFill="1" applyBorder="1"/>
    <xf numFmtId="0" fontId="22" fillId="21" borderId="28" xfId="0" applyFont="1" applyFill="1" applyBorder="1"/>
    <xf numFmtId="0" fontId="22" fillId="21" borderId="29" xfId="0" applyFont="1" applyFill="1" applyBorder="1"/>
    <xf numFmtId="0" fontId="22" fillId="5" borderId="0" xfId="0" applyFont="1" applyFill="1"/>
    <xf numFmtId="0" fontId="22" fillId="9" borderId="10" xfId="0" applyFont="1" applyFill="1" applyBorder="1"/>
    <xf numFmtId="0" fontId="22" fillId="5" borderId="10" xfId="0" applyFont="1" applyFill="1" applyBorder="1"/>
    <xf numFmtId="0" fontId="23" fillId="22" borderId="7" xfId="0" applyFont="1" applyFill="1" applyBorder="1"/>
    <xf numFmtId="0" fontId="23" fillId="22" borderId="8" xfId="0" applyFont="1" applyFill="1" applyBorder="1"/>
    <xf numFmtId="0" fontId="22" fillId="13" borderId="7" xfId="0" applyFont="1" applyFill="1" applyBorder="1"/>
    <xf numFmtId="0" fontId="22" fillId="13" borderId="8" xfId="0" applyFont="1" applyFill="1" applyBorder="1"/>
    <xf numFmtId="0" fontId="22" fillId="13" borderId="9" xfId="0" applyFont="1" applyFill="1" applyBorder="1"/>
    <xf numFmtId="3" fontId="22" fillId="9" borderId="11" xfId="0" applyNumberFormat="1" applyFont="1" applyFill="1" applyBorder="1"/>
    <xf numFmtId="3" fontId="22" fillId="5" borderId="11" xfId="0" applyNumberFormat="1" applyFont="1" applyFill="1" applyBorder="1"/>
    <xf numFmtId="0" fontId="22" fillId="9" borderId="14" xfId="0" applyFont="1" applyFill="1" applyBorder="1"/>
    <xf numFmtId="0" fontId="22" fillId="9" borderId="4" xfId="0" applyFont="1" applyFill="1" applyBorder="1"/>
    <xf numFmtId="3" fontId="22" fillId="9" borderId="4" xfId="0" applyNumberFormat="1" applyFont="1" applyFill="1" applyBorder="1"/>
    <xf numFmtId="3" fontId="22" fillId="9" borderId="12" xfId="0" applyNumberFormat="1" applyFont="1" applyFill="1" applyBorder="1"/>
    <xf numFmtId="0" fontId="24" fillId="9" borderId="0" xfId="0" applyFont="1" applyFill="1"/>
    <xf numFmtId="0" fontId="7" fillId="21" borderId="7" xfId="0" applyFont="1" applyFill="1" applyBorder="1"/>
    <xf numFmtId="0" fontId="7" fillId="21" borderId="8" xfId="0" applyFont="1" applyFill="1" applyBorder="1"/>
    <xf numFmtId="0" fontId="6" fillId="21" borderId="8" xfId="0" applyFont="1" applyFill="1" applyBorder="1" applyAlignment="1">
      <alignment horizontal="center"/>
    </xf>
    <xf numFmtId="0" fontId="6" fillId="21" borderId="9" xfId="0" applyFont="1" applyFill="1" applyBorder="1" applyAlignment="1">
      <alignment horizontal="center"/>
    </xf>
    <xf numFmtId="0" fontId="7" fillId="21" borderId="10" xfId="0" applyFont="1" applyFill="1" applyBorder="1"/>
    <xf numFmtId="0" fontId="7" fillId="21" borderId="0" xfId="0" applyFont="1" applyFill="1"/>
    <xf numFmtId="0" fontId="6" fillId="21" borderId="0" xfId="0" applyFont="1" applyFill="1" applyAlignment="1">
      <alignment horizontal="center"/>
    </xf>
    <xf numFmtId="0" fontId="6" fillId="21" borderId="11" xfId="0" applyFont="1" applyFill="1" applyBorder="1" applyAlignment="1">
      <alignment horizontal="center"/>
    </xf>
    <xf numFmtId="0" fontId="6" fillId="21" borderId="10" xfId="0" applyFont="1" applyFill="1" applyBorder="1"/>
    <xf numFmtId="0" fontId="6" fillId="21" borderId="0" xfId="0" applyFont="1" applyFill="1"/>
    <xf numFmtId="3" fontId="7" fillId="21" borderId="0" xfId="0" applyNumberFormat="1" applyFont="1" applyFill="1"/>
    <xf numFmtId="3" fontId="7" fillId="21" borderId="11" xfId="0" applyNumberFormat="1" applyFont="1" applyFill="1" applyBorder="1"/>
    <xf numFmtId="3" fontId="7" fillId="21" borderId="4" xfId="0" applyNumberFormat="1" applyFont="1" applyFill="1" applyBorder="1"/>
    <xf numFmtId="3" fontId="7" fillId="21" borderId="12" xfId="0" applyNumberFormat="1" applyFont="1" applyFill="1" applyBorder="1"/>
    <xf numFmtId="3" fontId="6" fillId="21" borderId="8" xfId="0" applyNumberFormat="1" applyFont="1" applyFill="1" applyBorder="1"/>
    <xf numFmtId="3" fontId="6" fillId="21" borderId="11" xfId="0" applyNumberFormat="1" applyFont="1" applyFill="1" applyBorder="1"/>
    <xf numFmtId="3" fontId="6" fillId="21" borderId="0" xfId="0" applyNumberFormat="1" applyFont="1" applyFill="1"/>
    <xf numFmtId="0" fontId="7" fillId="21" borderId="4" xfId="0" applyFont="1" applyFill="1" applyBorder="1"/>
    <xf numFmtId="3" fontId="7" fillId="21" borderId="5" xfId="0" applyNumberFormat="1" applyFont="1" applyFill="1" applyBorder="1"/>
    <xf numFmtId="3" fontId="7" fillId="21" borderId="13" xfId="0" applyNumberFormat="1" applyFont="1" applyFill="1" applyBorder="1"/>
    <xf numFmtId="0" fontId="6" fillId="3" borderId="14" xfId="0" applyFont="1" applyFill="1" applyBorder="1"/>
    <xf numFmtId="0" fontId="6" fillId="3" borderId="4" xfId="0" applyFont="1" applyFill="1" applyBorder="1"/>
    <xf numFmtId="0" fontId="0" fillId="21" borderId="0" xfId="0" applyFill="1"/>
    <xf numFmtId="0" fontId="7" fillId="21" borderId="0" xfId="0" applyFont="1" applyFill="1" applyAlignment="1">
      <alignment horizontal="left"/>
    </xf>
    <xf numFmtId="0" fontId="7" fillId="21" borderId="0" xfId="0" applyFont="1" applyFill="1" applyAlignment="1">
      <alignment horizontal="left" indent="1"/>
    </xf>
    <xf numFmtId="167" fontId="7" fillId="21" borderId="0" xfId="0" applyNumberFormat="1" applyFont="1" applyFill="1" applyAlignment="1">
      <alignment horizontal="right" vertical="center" wrapText="1"/>
    </xf>
    <xf numFmtId="167" fontId="7" fillId="21" borderId="4" xfId="0" applyNumberFormat="1" applyFont="1" applyFill="1" applyBorder="1" applyAlignment="1">
      <alignment horizontal="right" vertical="center" wrapText="1"/>
    </xf>
    <xf numFmtId="0" fontId="6" fillId="21" borderId="0" xfId="0" applyFont="1" applyFill="1" applyAlignment="1">
      <alignment horizontal="left"/>
    </xf>
    <xf numFmtId="0" fontId="0" fillId="21" borderId="4" xfId="0" applyFill="1" applyBorder="1"/>
    <xf numFmtId="0" fontId="6" fillId="21" borderId="4" xfId="0" applyFont="1" applyFill="1" applyBorder="1" applyAlignment="1">
      <alignment horizontal="left"/>
    </xf>
    <xf numFmtId="166" fontId="6" fillId="21" borderId="10" xfId="1" applyNumberFormat="1" applyFont="1" applyFill="1" applyBorder="1"/>
    <xf numFmtId="166" fontId="6" fillId="21" borderId="0" xfId="1" applyNumberFormat="1" applyFont="1" applyFill="1" applyBorder="1"/>
    <xf numFmtId="166" fontId="6" fillId="21" borderId="0" xfId="1" applyNumberFormat="1" applyFont="1" applyFill="1" applyBorder="1" applyAlignment="1">
      <alignment horizontal="center"/>
    </xf>
    <xf numFmtId="166" fontId="6" fillId="21" borderId="11" xfId="1" applyNumberFormat="1" applyFont="1" applyFill="1" applyBorder="1"/>
    <xf numFmtId="166" fontId="6" fillId="21" borderId="11" xfId="1" applyNumberFormat="1" applyFont="1" applyFill="1" applyBorder="1" applyAlignment="1">
      <alignment horizontal="center"/>
    </xf>
    <xf numFmtId="3" fontId="7" fillId="21" borderId="10" xfId="0" applyNumberFormat="1" applyFont="1" applyFill="1" applyBorder="1"/>
    <xf numFmtId="166" fontId="7" fillId="21" borderId="0" xfId="1" applyNumberFormat="1" applyFont="1" applyFill="1" applyBorder="1"/>
    <xf numFmtId="166" fontId="7" fillId="21" borderId="11" xfId="1" applyNumberFormat="1" applyFont="1" applyFill="1" applyBorder="1"/>
    <xf numFmtId="166" fontId="7" fillId="21" borderId="4" xfId="1" applyNumberFormat="1" applyFont="1" applyFill="1" applyBorder="1"/>
    <xf numFmtId="167" fontId="7" fillId="21" borderId="12" xfId="0" applyNumberFormat="1" applyFont="1" applyFill="1" applyBorder="1" applyAlignment="1">
      <alignment horizontal="right" vertical="center" wrapText="1"/>
    </xf>
    <xf numFmtId="166" fontId="6" fillId="21" borderId="4" xfId="1" applyNumberFormat="1" applyFont="1" applyFill="1" applyBorder="1"/>
    <xf numFmtId="166" fontId="6" fillId="21" borderId="12" xfId="1" applyNumberFormat="1" applyFont="1" applyFill="1" applyBorder="1"/>
    <xf numFmtId="166" fontId="6" fillId="21" borderId="14" xfId="1" applyNumberFormat="1" applyFont="1" applyFill="1" applyBorder="1"/>
    <xf numFmtId="0" fontId="6" fillId="21" borderId="10" xfId="0" applyFont="1" applyFill="1" applyBorder="1" applyAlignment="1">
      <alignment horizontal="left"/>
    </xf>
    <xf numFmtId="0" fontId="7" fillId="21" borderId="10" xfId="0" applyFont="1" applyFill="1" applyBorder="1" applyAlignment="1">
      <alignment horizontal="left"/>
    </xf>
    <xf numFmtId="0" fontId="7" fillId="21" borderId="10" xfId="0" applyFont="1" applyFill="1" applyBorder="1" applyAlignment="1">
      <alignment horizontal="left" indent="1"/>
    </xf>
    <xf numFmtId="167" fontId="7" fillId="21" borderId="11" xfId="0" applyNumberFormat="1" applyFont="1" applyFill="1" applyBorder="1" applyAlignment="1">
      <alignment horizontal="right" vertical="center" wrapText="1"/>
    </xf>
    <xf numFmtId="3" fontId="6" fillId="21" borderId="13" xfId="0" applyNumberFormat="1" applyFont="1" applyFill="1" applyBorder="1"/>
    <xf numFmtId="167" fontId="7" fillId="21" borderId="13" xfId="0" applyNumberFormat="1" applyFont="1" applyFill="1" applyBorder="1" applyAlignment="1">
      <alignment horizontal="right" vertical="center" wrapText="1"/>
    </xf>
    <xf numFmtId="0" fontId="6" fillId="21" borderId="14" xfId="0" applyFont="1" applyFill="1" applyBorder="1" applyAlignment="1">
      <alignment horizontal="left"/>
    </xf>
    <xf numFmtId="3" fontId="6" fillId="21" borderId="12" xfId="0" applyNumberFormat="1" applyFont="1" applyFill="1" applyBorder="1"/>
    <xf numFmtId="0" fontId="7" fillId="2" borderId="7" xfId="0" applyFont="1" applyFill="1" applyBorder="1"/>
    <xf numFmtId="0" fontId="0" fillId="2" borderId="8" xfId="0" applyFill="1" applyBorder="1"/>
    <xf numFmtId="0" fontId="0" fillId="23" borderId="8" xfId="0" applyFill="1" applyBorder="1"/>
    <xf numFmtId="0" fontId="0" fillId="23" borderId="9" xfId="0" applyFill="1" applyBorder="1"/>
    <xf numFmtId="0" fontId="14" fillId="23" borderId="0" xfId="0" applyFont="1" applyFill="1"/>
    <xf numFmtId="0" fontId="0" fillId="23" borderId="11" xfId="0" applyFill="1" applyBorder="1"/>
    <xf numFmtId="0" fontId="16" fillId="23" borderId="0" xfId="0" applyFont="1" applyFill="1"/>
    <xf numFmtId="167" fontId="14" fillId="23" borderId="0" xfId="0" applyNumberFormat="1" applyFont="1" applyFill="1" applyAlignment="1">
      <alignment horizontal="right" vertical="center" wrapText="1"/>
    </xf>
    <xf numFmtId="0" fontId="14" fillId="23" borderId="0" xfId="0" applyFont="1" applyFill="1" applyAlignment="1">
      <alignment horizontal="left" indent="2"/>
    </xf>
    <xf numFmtId="0" fontId="7" fillId="23" borderId="4" xfId="0" applyFont="1" applyFill="1" applyBorder="1"/>
    <xf numFmtId="0" fontId="14" fillId="23" borderId="4" xfId="0" applyFont="1" applyFill="1" applyBorder="1"/>
    <xf numFmtId="0" fontId="0" fillId="23" borderId="12" xfId="0" applyFill="1" applyBorder="1"/>
    <xf numFmtId="0" fontId="7" fillId="2" borderId="14" xfId="0" applyFont="1" applyFill="1" applyBorder="1"/>
    <xf numFmtId="0" fontId="7" fillId="23" borderId="10" xfId="0" applyFont="1" applyFill="1" applyBorder="1"/>
    <xf numFmtId="167" fontId="7" fillId="23" borderId="15" xfId="0" applyNumberFormat="1" applyFont="1" applyFill="1" applyBorder="1" applyAlignment="1">
      <alignment horizontal="right" vertical="center" wrapText="1"/>
    </xf>
    <xf numFmtId="167" fontId="7" fillId="23" borderId="11" xfId="0" applyNumberFormat="1" applyFont="1" applyFill="1" applyBorder="1" applyAlignment="1">
      <alignment horizontal="right" vertical="center" wrapText="1"/>
    </xf>
    <xf numFmtId="0" fontId="7" fillId="23" borderId="7" xfId="0" applyFont="1" applyFill="1" applyBorder="1"/>
    <xf numFmtId="0" fontId="6" fillId="23" borderId="2" xfId="0" applyFont="1" applyFill="1" applyBorder="1" applyAlignment="1">
      <alignment horizontal="center"/>
    </xf>
    <xf numFmtId="0" fontId="6" fillId="23" borderId="9" xfId="0" applyFont="1" applyFill="1" applyBorder="1" applyAlignment="1">
      <alignment horizontal="center"/>
    </xf>
    <xf numFmtId="0" fontId="6" fillId="23" borderId="15" xfId="0" applyFont="1" applyFill="1" applyBorder="1" applyAlignment="1">
      <alignment horizontal="center"/>
    </xf>
    <xf numFmtId="0" fontId="6" fillId="23" borderId="11" xfId="0" applyFont="1" applyFill="1" applyBorder="1" applyAlignment="1">
      <alignment horizontal="center"/>
    </xf>
    <xf numFmtId="0" fontId="11" fillId="2" borderId="16" xfId="0" applyFont="1" applyFill="1" applyBorder="1"/>
    <xf numFmtId="0" fontId="10" fillId="2" borderId="8" xfId="0" applyFont="1" applyFill="1" applyBorder="1"/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167" fontId="14" fillId="23" borderId="15" xfId="0" applyNumberFormat="1" applyFont="1" applyFill="1" applyBorder="1" applyAlignment="1">
      <alignment horizontal="right" vertical="center" wrapText="1"/>
    </xf>
    <xf numFmtId="0" fontId="14" fillId="24" borderId="1" xfId="1" applyNumberFormat="1" applyFont="1" applyFill="1" applyBorder="1" applyAlignment="1">
      <alignment horizontal="right" vertical="center" wrapText="1"/>
    </xf>
    <xf numFmtId="0" fontId="14" fillId="24" borderId="13" xfId="1" applyNumberFormat="1" applyFont="1" applyFill="1" applyBorder="1" applyAlignment="1">
      <alignment horizontal="right" vertical="center" wrapText="1"/>
    </xf>
    <xf numFmtId="166" fontId="14" fillId="24" borderId="1" xfId="1" applyNumberFormat="1" applyFont="1" applyFill="1" applyBorder="1" applyAlignment="1">
      <alignment horizontal="right" vertical="center" wrapText="1"/>
    </xf>
    <xf numFmtId="0" fontId="0" fillId="2" borderId="10" xfId="0" applyFill="1" applyBorder="1"/>
    <xf numFmtId="0" fontId="0" fillId="2" borderId="0" xfId="0" applyFill="1"/>
    <xf numFmtId="0" fontId="0" fillId="2" borderId="11" xfId="0" applyFill="1" applyBorder="1"/>
    <xf numFmtId="0" fontId="0" fillId="2" borderId="14" xfId="0" applyFill="1" applyBorder="1"/>
    <xf numFmtId="0" fontId="0" fillId="2" borderId="4" xfId="0" applyFill="1" applyBorder="1"/>
    <xf numFmtId="0" fontId="0" fillId="2" borderId="12" xfId="0" applyFill="1" applyBorder="1"/>
    <xf numFmtId="167" fontId="7" fillId="23" borderId="10" xfId="0" applyNumberFormat="1" applyFont="1" applyFill="1" applyBorder="1" applyAlignment="1">
      <alignment horizontal="right" vertical="center" wrapText="1"/>
    </xf>
    <xf numFmtId="0" fontId="11" fillId="25" borderId="2" xfId="0" applyFont="1" applyFill="1" applyBorder="1" applyAlignment="1">
      <alignment horizontal="center"/>
    </xf>
    <xf numFmtId="0" fontId="11" fillId="25" borderId="7" xfId="0" applyFont="1" applyFill="1" applyBorder="1" applyAlignment="1">
      <alignment horizontal="center"/>
    </xf>
    <xf numFmtId="0" fontId="11" fillId="25" borderId="15" xfId="0" applyFont="1" applyFill="1" applyBorder="1" applyAlignment="1">
      <alignment horizontal="center"/>
    </xf>
    <xf numFmtId="0" fontId="11" fillId="25" borderId="14" xfId="0" applyFont="1" applyFill="1" applyBorder="1" applyAlignment="1">
      <alignment horizontal="center"/>
    </xf>
    <xf numFmtId="0" fontId="11" fillId="25" borderId="3" xfId="0" applyFont="1" applyFill="1" applyBorder="1" applyAlignment="1">
      <alignment horizontal="center"/>
    </xf>
    <xf numFmtId="0" fontId="7" fillId="25" borderId="7" xfId="0" applyFont="1" applyFill="1" applyBorder="1"/>
    <xf numFmtId="0" fontId="14" fillId="25" borderId="9" xfId="0" applyFont="1" applyFill="1" applyBorder="1"/>
    <xf numFmtId="0" fontId="7" fillId="25" borderId="10" xfId="0" applyFont="1" applyFill="1" applyBorder="1"/>
    <xf numFmtId="0" fontId="14" fillId="25" borderId="11" xfId="0" applyFont="1" applyFill="1" applyBorder="1"/>
    <xf numFmtId="0" fontId="7" fillId="25" borderId="14" xfId="0" applyFont="1" applyFill="1" applyBorder="1"/>
    <xf numFmtId="0" fontId="7" fillId="26" borderId="15" xfId="0" applyFont="1" applyFill="1" applyBorder="1"/>
    <xf numFmtId="167" fontId="7" fillId="26" borderId="15" xfId="0" applyNumberFormat="1" applyFont="1" applyFill="1" applyBorder="1"/>
    <xf numFmtId="0" fontId="7" fillId="27" borderId="15" xfId="0" applyFont="1" applyFill="1" applyBorder="1"/>
    <xf numFmtId="167" fontId="7" fillId="27" borderId="15" xfId="0" applyNumberFormat="1" applyFont="1" applyFill="1" applyBorder="1"/>
    <xf numFmtId="0" fontId="11" fillId="25" borderId="8" xfId="0" applyFont="1" applyFill="1" applyBorder="1" applyAlignment="1">
      <alignment horizontal="center"/>
    </xf>
    <xf numFmtId="0" fontId="11" fillId="25" borderId="9" xfId="0" applyFont="1" applyFill="1" applyBorder="1" applyAlignment="1">
      <alignment horizontal="center"/>
    </xf>
    <xf numFmtId="167" fontId="10" fillId="14" borderId="10" xfId="0" applyNumberFormat="1" applyFont="1" applyFill="1" applyBorder="1" applyAlignment="1">
      <alignment horizontal="right" vertical="center" wrapText="1"/>
    </xf>
    <xf numFmtId="168" fontId="10" fillId="14" borderId="10" xfId="0" applyNumberFormat="1" applyFont="1" applyFill="1" applyBorder="1" applyAlignment="1">
      <alignment horizontal="right" vertical="center" wrapText="1"/>
    </xf>
    <xf numFmtId="0" fontId="11" fillId="28" borderId="7" xfId="0" applyFont="1" applyFill="1" applyBorder="1" applyAlignment="1">
      <alignment horizontal="center"/>
    </xf>
    <xf numFmtId="0" fontId="11" fillId="28" borderId="1" xfId="0" applyFont="1" applyFill="1" applyBorder="1" applyAlignment="1">
      <alignment horizontal="center"/>
    </xf>
    <xf numFmtId="0" fontId="11" fillId="28" borderId="2" xfId="0" applyFont="1" applyFill="1" applyBorder="1" applyAlignment="1">
      <alignment horizontal="center"/>
    </xf>
    <xf numFmtId="0" fontId="7" fillId="3" borderId="15" xfId="0" applyFont="1" applyFill="1" applyBorder="1"/>
    <xf numFmtId="0" fontId="7" fillId="3" borderId="3" xfId="0" applyFont="1" applyFill="1" applyBorder="1"/>
    <xf numFmtId="167" fontId="10" fillId="4" borderId="2" xfId="0" applyNumberFormat="1" applyFont="1" applyFill="1" applyBorder="1" applyAlignment="1">
      <alignment horizontal="right" vertical="center" wrapText="1"/>
    </xf>
    <xf numFmtId="0" fontId="10" fillId="2" borderId="9" xfId="0" applyFont="1" applyFill="1" applyBorder="1"/>
    <xf numFmtId="0" fontId="10" fillId="15" borderId="15" xfId="0" applyFont="1" applyFill="1" applyBorder="1"/>
    <xf numFmtId="0" fontId="10" fillId="15" borderId="3" xfId="0" applyFont="1" applyFill="1" applyBorder="1"/>
    <xf numFmtId="3" fontId="7" fillId="3" borderId="0" xfId="0" applyNumberFormat="1" applyFont="1" applyFill="1"/>
    <xf numFmtId="3" fontId="6" fillId="3" borderId="0" xfId="0" applyNumberFormat="1" applyFont="1" applyFill="1"/>
    <xf numFmtId="167" fontId="7" fillId="3" borderId="14" xfId="0" applyNumberFormat="1" applyFont="1" applyFill="1" applyBorder="1" applyAlignment="1">
      <alignment horizontal="right" vertical="center" wrapText="1"/>
    </xf>
    <xf numFmtId="167" fontId="7" fillId="10" borderId="10" xfId="0" applyNumberFormat="1" applyFont="1" applyFill="1" applyBorder="1" applyAlignment="1">
      <alignment horizontal="right" vertical="center" wrapText="1"/>
    </xf>
    <xf numFmtId="167" fontId="7" fillId="10" borderId="15" xfId="0" applyNumberFormat="1" applyFont="1" applyFill="1" applyBorder="1" applyAlignment="1">
      <alignment horizontal="right" vertical="center" wrapText="1"/>
    </xf>
    <xf numFmtId="167" fontId="7" fillId="10" borderId="14" xfId="0" applyNumberFormat="1" applyFont="1" applyFill="1" applyBorder="1" applyAlignment="1">
      <alignment horizontal="right" vertical="center" wrapText="1"/>
    </xf>
    <xf numFmtId="167" fontId="7" fillId="10" borderId="3" xfId="0" applyNumberFormat="1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167" fontId="7" fillId="10" borderId="7" xfId="0" applyNumberFormat="1" applyFont="1" applyFill="1" applyBorder="1" applyAlignment="1">
      <alignment horizontal="right" vertical="center" wrapText="1"/>
    </xf>
    <xf numFmtId="167" fontId="7" fillId="10" borderId="2" xfId="0" applyNumberFormat="1" applyFont="1" applyFill="1" applyBorder="1" applyAlignment="1">
      <alignment horizontal="right" vertical="center" wrapText="1"/>
    </xf>
    <xf numFmtId="0" fontId="14" fillId="29" borderId="8" xfId="0" applyFont="1" applyFill="1" applyBorder="1"/>
    <xf numFmtId="0" fontId="14" fillId="29" borderId="9" xfId="0" applyFont="1" applyFill="1" applyBorder="1"/>
    <xf numFmtId="0" fontId="14" fillId="29" borderId="0" xfId="0" applyFont="1" applyFill="1"/>
    <xf numFmtId="0" fontId="14" fillId="29" borderId="11" xfId="0" applyFont="1" applyFill="1" applyBorder="1"/>
    <xf numFmtId="0" fontId="16" fillId="29" borderId="11" xfId="0" applyFont="1" applyFill="1" applyBorder="1" applyAlignment="1">
      <alignment horizontal="center"/>
    </xf>
    <xf numFmtId="0" fontId="14" fillId="29" borderId="4" xfId="0" applyFont="1" applyFill="1" applyBorder="1"/>
    <xf numFmtId="168" fontId="16" fillId="29" borderId="1" xfId="0" applyNumberFormat="1" applyFont="1" applyFill="1" applyBorder="1" applyAlignment="1">
      <alignment horizontal="right" vertical="center" wrapText="1"/>
    </xf>
    <xf numFmtId="0" fontId="7" fillId="29" borderId="15" xfId="0" applyFont="1" applyFill="1" applyBorder="1"/>
    <xf numFmtId="167" fontId="7" fillId="29" borderId="15" xfId="0" applyNumberFormat="1" applyFont="1" applyFill="1" applyBorder="1" applyAlignment="1">
      <alignment horizontal="right" vertical="center" wrapText="1"/>
    </xf>
    <xf numFmtId="0" fontId="7" fillId="29" borderId="3" xfId="0" applyFont="1" applyFill="1" applyBorder="1"/>
    <xf numFmtId="167" fontId="7" fillId="29" borderId="3" xfId="0" applyNumberFormat="1" applyFont="1" applyFill="1" applyBorder="1" applyAlignment="1">
      <alignment horizontal="right" vertical="center" wrapText="1"/>
    </xf>
    <xf numFmtId="0" fontId="7" fillId="29" borderId="2" xfId="0" applyFont="1" applyFill="1" applyBorder="1"/>
    <xf numFmtId="167" fontId="16" fillId="3" borderId="11" xfId="0" applyNumberFormat="1" applyFont="1" applyFill="1" applyBorder="1"/>
    <xf numFmtId="167" fontId="16" fillId="10" borderId="11" xfId="0" applyNumberFormat="1" applyFont="1" applyFill="1" applyBorder="1"/>
    <xf numFmtId="0" fontId="9" fillId="13" borderId="0" xfId="0" applyFont="1" applyFill="1"/>
    <xf numFmtId="3" fontId="6" fillId="13" borderId="0" xfId="0" applyNumberFormat="1" applyFont="1" applyFill="1"/>
    <xf numFmtId="167" fontId="7" fillId="13" borderId="0" xfId="0" applyNumberFormat="1" applyFont="1" applyFill="1"/>
    <xf numFmtId="0" fontId="7" fillId="13" borderId="0" xfId="0" applyFont="1" applyFill="1" applyAlignment="1">
      <alignment horizontal="left" indent="4"/>
    </xf>
    <xf numFmtId="167" fontId="6" fillId="13" borderId="0" xfId="0" applyNumberFormat="1" applyFont="1" applyFill="1"/>
    <xf numFmtId="0" fontId="6" fillId="13" borderId="0" xfId="0" applyFont="1" applyFill="1" applyAlignment="1">
      <alignment horizontal="center"/>
    </xf>
    <xf numFmtId="0" fontId="11" fillId="8" borderId="9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11" fillId="8" borderId="12" xfId="0" applyFont="1" applyFill="1" applyBorder="1" applyAlignment="1">
      <alignment horizontal="center"/>
    </xf>
    <xf numFmtId="0" fontId="10" fillId="22" borderId="7" xfId="0" applyFont="1" applyFill="1" applyBorder="1"/>
    <xf numFmtId="0" fontId="10" fillId="22" borderId="8" xfId="0" applyFont="1" applyFill="1" applyBorder="1"/>
    <xf numFmtId="0" fontId="11" fillId="22" borderId="8" xfId="0" applyFont="1" applyFill="1" applyBorder="1" applyAlignment="1">
      <alignment horizontal="center"/>
    </xf>
    <xf numFmtId="0" fontId="11" fillId="22" borderId="9" xfId="0" applyFont="1" applyFill="1" applyBorder="1" applyAlignment="1">
      <alignment horizontal="center"/>
    </xf>
    <xf numFmtId="0" fontId="10" fillId="22" borderId="14" xfId="0" applyFont="1" applyFill="1" applyBorder="1"/>
    <xf numFmtId="0" fontId="10" fillId="22" borderId="4" xfId="0" applyFont="1" applyFill="1" applyBorder="1"/>
    <xf numFmtId="0" fontId="10" fillId="22" borderId="4" xfId="0" applyFont="1" applyFill="1" applyBorder="1" applyAlignment="1">
      <alignment horizontal="center"/>
    </xf>
    <xf numFmtId="0" fontId="11" fillId="22" borderId="4" xfId="0" applyFont="1" applyFill="1" applyBorder="1"/>
    <xf numFmtId="0" fontId="10" fillId="22" borderId="12" xfId="0" applyFont="1" applyFill="1" applyBorder="1" applyAlignment="1">
      <alignment horizontal="center"/>
    </xf>
    <xf numFmtId="0" fontId="14" fillId="6" borderId="10" xfId="0" applyFont="1" applyFill="1" applyBorder="1"/>
    <xf numFmtId="0" fontId="14" fillId="6" borderId="0" xfId="0" applyFont="1" applyFill="1"/>
    <xf numFmtId="0" fontId="16" fillId="6" borderId="0" xfId="0" applyFont="1" applyFill="1"/>
    <xf numFmtId="0" fontId="16" fillId="6" borderId="10" xfId="0" applyFont="1" applyFill="1" applyBorder="1"/>
    <xf numFmtId="3" fontId="14" fillId="6" borderId="0" xfId="0" applyNumberFormat="1" applyFont="1" applyFill="1"/>
    <xf numFmtId="3" fontId="14" fillId="6" borderId="11" xfId="0" applyNumberFormat="1" applyFont="1" applyFill="1" applyBorder="1"/>
    <xf numFmtId="3" fontId="14" fillId="6" borderId="4" xfId="0" applyNumberFormat="1" applyFont="1" applyFill="1" applyBorder="1"/>
    <xf numFmtId="3" fontId="16" fillId="6" borderId="0" xfId="0" applyNumberFormat="1" applyFont="1" applyFill="1"/>
    <xf numFmtId="3" fontId="14" fillId="6" borderId="9" xfId="0" applyNumberFormat="1" applyFont="1" applyFill="1" applyBorder="1"/>
    <xf numFmtId="3" fontId="16" fillId="6" borderId="12" xfId="0" applyNumberFormat="1" applyFont="1" applyFill="1" applyBorder="1"/>
    <xf numFmtId="0" fontId="16" fillId="6" borderId="14" xfId="0" applyFont="1" applyFill="1" applyBorder="1"/>
    <xf numFmtId="0" fontId="16" fillId="6" borderId="4" xfId="0" applyFont="1" applyFill="1" applyBorder="1"/>
    <xf numFmtId="3" fontId="10" fillId="22" borderId="7" xfId="0" applyNumberFormat="1" applyFont="1" applyFill="1" applyBorder="1"/>
    <xf numFmtId="3" fontId="10" fillId="22" borderId="8" xfId="0" applyNumberFormat="1" applyFont="1" applyFill="1" applyBorder="1"/>
    <xf numFmtId="3" fontId="10" fillId="22" borderId="9" xfId="0" applyNumberFormat="1" applyFont="1" applyFill="1" applyBorder="1"/>
    <xf numFmtId="3" fontId="14" fillId="4" borderId="4" xfId="0" applyNumberFormat="1" applyFont="1" applyFill="1" applyBorder="1"/>
    <xf numFmtId="3" fontId="10" fillId="2" borderId="0" xfId="0" applyNumberFormat="1" applyFont="1" applyFill="1"/>
    <xf numFmtId="3" fontId="16" fillId="6" borderId="11" xfId="0" applyNumberFormat="1" applyFont="1" applyFill="1" applyBorder="1"/>
    <xf numFmtId="0" fontId="14" fillId="6" borderId="4" xfId="0" applyFont="1" applyFill="1" applyBorder="1"/>
    <xf numFmtId="167" fontId="14" fillId="6" borderId="11" xfId="0" applyNumberFormat="1" applyFont="1" applyFill="1" applyBorder="1" applyAlignment="1">
      <alignment horizontal="right" vertical="center" wrapText="1"/>
    </xf>
    <xf numFmtId="3" fontId="11" fillId="22" borderId="10" xfId="0" applyNumberFormat="1" applyFont="1" applyFill="1" applyBorder="1"/>
    <xf numFmtId="0" fontId="10" fillId="22" borderId="0" xfId="0" applyFont="1" applyFill="1"/>
    <xf numFmtId="3" fontId="11" fillId="22" borderId="0" xfId="0" applyNumberFormat="1" applyFont="1" applyFill="1" applyAlignment="1">
      <alignment horizontal="center"/>
    </xf>
    <xf numFmtId="3" fontId="11" fillId="22" borderId="11" xfId="0" applyNumberFormat="1" applyFont="1" applyFill="1" applyBorder="1" applyAlignment="1">
      <alignment horizontal="center"/>
    </xf>
    <xf numFmtId="3" fontId="10" fillId="2" borderId="11" xfId="0" applyNumberFormat="1" applyFont="1" applyFill="1" applyBorder="1"/>
    <xf numFmtId="0" fontId="7" fillId="6" borderId="0" xfId="0" applyFont="1" applyFill="1"/>
    <xf numFmtId="166" fontId="6" fillId="6" borderId="10" xfId="1" applyNumberFormat="1" applyFont="1" applyFill="1" applyBorder="1"/>
    <xf numFmtId="166" fontId="6" fillId="6" borderId="0" xfId="1" applyNumberFormat="1" applyFont="1" applyFill="1" applyBorder="1"/>
    <xf numFmtId="166" fontId="6" fillId="6" borderId="11" xfId="1" applyNumberFormat="1" applyFont="1" applyFill="1" applyBorder="1"/>
    <xf numFmtId="3" fontId="7" fillId="6" borderId="10" xfId="0" applyNumberFormat="1" applyFont="1" applyFill="1" applyBorder="1"/>
    <xf numFmtId="3" fontId="7" fillId="6" borderId="0" xfId="0" applyNumberFormat="1" applyFont="1" applyFill="1"/>
    <xf numFmtId="166" fontId="7" fillId="6" borderId="0" xfId="1" applyNumberFormat="1" applyFont="1" applyFill="1" applyBorder="1"/>
    <xf numFmtId="166" fontId="7" fillId="6" borderId="11" xfId="1" applyNumberFormat="1" applyFont="1" applyFill="1" applyBorder="1"/>
    <xf numFmtId="3" fontId="6" fillId="6" borderId="0" xfId="0" applyNumberFormat="1" applyFont="1" applyFill="1"/>
    <xf numFmtId="167" fontId="7" fillId="6" borderId="0" xfId="0" applyNumberFormat="1" applyFont="1" applyFill="1" applyAlignment="1">
      <alignment horizontal="right" vertical="center" wrapText="1"/>
    </xf>
    <xf numFmtId="166" fontId="7" fillId="6" borderId="4" xfId="1" applyNumberFormat="1" applyFont="1" applyFill="1" applyBorder="1"/>
    <xf numFmtId="167" fontId="7" fillId="6" borderId="4" xfId="0" applyNumberFormat="1" applyFont="1" applyFill="1" applyBorder="1" applyAlignment="1">
      <alignment horizontal="right" vertical="center" wrapText="1"/>
    </xf>
    <xf numFmtId="167" fontId="7" fillId="6" borderId="12" xfId="0" applyNumberFormat="1" applyFont="1" applyFill="1" applyBorder="1" applyAlignment="1">
      <alignment horizontal="right" vertical="center" wrapText="1"/>
    </xf>
    <xf numFmtId="167" fontId="16" fillId="6" borderId="5" xfId="0" applyNumberFormat="1" applyFont="1" applyFill="1" applyBorder="1" applyAlignment="1">
      <alignment horizontal="right" vertical="center" wrapText="1"/>
    </xf>
    <xf numFmtId="167" fontId="16" fillId="6" borderId="13" xfId="0" applyNumberFormat="1" applyFont="1" applyFill="1" applyBorder="1" applyAlignment="1">
      <alignment horizontal="right" vertical="center" wrapText="1"/>
    </xf>
    <xf numFmtId="0" fontId="7" fillId="6" borderId="10" xfId="0" applyFont="1" applyFill="1" applyBorder="1"/>
    <xf numFmtId="3" fontId="7" fillId="6" borderId="11" xfId="0" applyNumberFormat="1" applyFont="1" applyFill="1" applyBorder="1"/>
    <xf numFmtId="3" fontId="10" fillId="2" borderId="14" xfId="0" applyNumberFormat="1" applyFont="1" applyFill="1" applyBorder="1"/>
    <xf numFmtId="3" fontId="6" fillId="6" borderId="7" xfId="0" applyNumberFormat="1" applyFont="1" applyFill="1" applyBorder="1"/>
    <xf numFmtId="0" fontId="7" fillId="6" borderId="8" xfId="0" applyFont="1" applyFill="1" applyBorder="1"/>
    <xf numFmtId="3" fontId="6" fillId="6" borderId="8" xfId="0" applyNumberFormat="1" applyFont="1" applyFill="1" applyBorder="1" applyAlignment="1">
      <alignment horizontal="center"/>
    </xf>
    <xf numFmtId="3" fontId="6" fillId="6" borderId="9" xfId="0" applyNumberFormat="1" applyFont="1" applyFill="1" applyBorder="1" applyAlignment="1">
      <alignment horizontal="center"/>
    </xf>
    <xf numFmtId="0" fontId="7" fillId="6" borderId="11" xfId="0" applyFont="1" applyFill="1" applyBorder="1"/>
    <xf numFmtId="0" fontId="7" fillId="6" borderId="14" xfId="0" applyFont="1" applyFill="1" applyBorder="1"/>
    <xf numFmtId="0" fontId="7" fillId="6" borderId="4" xfId="0" applyFont="1" applyFill="1" applyBorder="1"/>
    <xf numFmtId="0" fontId="7" fillId="6" borderId="12" xfId="0" applyFont="1" applyFill="1" applyBorder="1"/>
    <xf numFmtId="0" fontId="7" fillId="2" borderId="13" xfId="0" applyFont="1" applyFill="1" applyBorder="1"/>
    <xf numFmtId="0" fontId="6" fillId="6" borderId="9" xfId="0" applyFont="1" applyFill="1" applyBorder="1" applyAlignment="1">
      <alignment horizontal="center"/>
    </xf>
    <xf numFmtId="167" fontId="7" fillId="6" borderId="15" xfId="0" applyNumberFormat="1" applyFont="1" applyFill="1" applyBorder="1" applyAlignment="1">
      <alignment horizontal="right" vertical="center" wrapText="1"/>
    </xf>
    <xf numFmtId="167" fontId="7" fillId="6" borderId="11" xfId="0" applyNumberFormat="1" applyFont="1" applyFill="1" applyBorder="1" applyAlignment="1">
      <alignment horizontal="right" vertical="center" wrapText="1"/>
    </xf>
    <xf numFmtId="0" fontId="20" fillId="2" borderId="8" xfId="0" applyFont="1" applyFill="1" applyBorder="1"/>
    <xf numFmtId="0" fontId="20" fillId="2" borderId="15" xfId="0" applyFont="1" applyFill="1" applyBorder="1"/>
    <xf numFmtId="0" fontId="20" fillId="2" borderId="11" xfId="0" applyFont="1" applyFill="1" applyBorder="1"/>
    <xf numFmtId="3" fontId="20" fillId="2" borderId="11" xfId="0" applyNumberFormat="1" applyFont="1" applyFill="1" applyBorder="1"/>
    <xf numFmtId="0" fontId="26" fillId="2" borderId="9" xfId="0" applyFont="1" applyFill="1" applyBorder="1" applyAlignment="1">
      <alignment horizontal="center"/>
    </xf>
    <xf numFmtId="0" fontId="26" fillId="2" borderId="11" xfId="0" applyFont="1" applyFill="1" applyBorder="1" applyAlignment="1">
      <alignment horizontal="center"/>
    </xf>
    <xf numFmtId="3" fontId="20" fillId="2" borderId="3" xfId="0" applyNumberFormat="1" applyFont="1" applyFill="1" applyBorder="1"/>
    <xf numFmtId="0" fontId="19" fillId="4" borderId="0" xfId="0" applyFont="1" applyFill="1"/>
    <xf numFmtId="0" fontId="21" fillId="4" borderId="0" xfId="0" applyFont="1" applyFill="1" applyAlignment="1">
      <alignment horizontal="center"/>
    </xf>
    <xf numFmtId="0" fontId="19" fillId="0" borderId="0" xfId="0" applyFont="1"/>
    <xf numFmtId="0" fontId="20" fillId="2" borderId="7" xfId="0" applyFont="1" applyFill="1" applyBorder="1"/>
    <xf numFmtId="0" fontId="20" fillId="2" borderId="10" xfId="0" applyFont="1" applyFill="1" applyBorder="1"/>
    <xf numFmtId="0" fontId="20" fillId="2" borderId="14" xfId="0" applyFont="1" applyFill="1" applyBorder="1"/>
    <xf numFmtId="0" fontId="14" fillId="2" borderId="8" xfId="0" applyFont="1" applyFill="1" applyBorder="1"/>
    <xf numFmtId="167" fontId="10" fillId="2" borderId="0" xfId="0" applyNumberFormat="1" applyFont="1" applyFill="1" applyAlignment="1">
      <alignment horizontal="right" vertical="center" wrapText="1"/>
    </xf>
    <xf numFmtId="0" fontId="21" fillId="2" borderId="16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14" fillId="6" borderId="15" xfId="0" applyFont="1" applyFill="1" applyBorder="1"/>
    <xf numFmtId="0" fontId="14" fillId="6" borderId="15" xfId="0" applyFont="1" applyFill="1" applyBorder="1" applyAlignment="1">
      <alignment horizontal="left" indent="1"/>
    </xf>
    <xf numFmtId="0" fontId="14" fillId="6" borderId="3" xfId="0" applyFont="1" applyFill="1" applyBorder="1"/>
    <xf numFmtId="0" fontId="11" fillId="2" borderId="5" xfId="0" applyFont="1" applyFill="1" applyBorder="1"/>
    <xf numFmtId="0" fontId="6" fillId="6" borderId="0" xfId="0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 applyAlignment="1">
      <alignment horizontal="left"/>
    </xf>
    <xf numFmtId="0" fontId="10" fillId="2" borderId="12" xfId="0" applyFont="1" applyFill="1" applyBorder="1"/>
    <xf numFmtId="0" fontId="7" fillId="6" borderId="4" xfId="0" applyFont="1" applyFill="1" applyBorder="1" applyAlignment="1">
      <alignment horizontal="left"/>
    </xf>
    <xf numFmtId="167" fontId="11" fillId="2" borderId="16" xfId="0" applyNumberFormat="1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166" fontId="7" fillId="3" borderId="15" xfId="1" applyNumberFormat="1" applyFont="1" applyFill="1" applyBorder="1" applyAlignment="1">
      <alignment horizontal="center"/>
    </xf>
    <xf numFmtId="167" fontId="10" fillId="8" borderId="1" xfId="0" applyNumberFormat="1" applyFont="1" applyFill="1" applyBorder="1" applyAlignment="1">
      <alignment horizontal="right" vertical="center" wrapText="1"/>
    </xf>
    <xf numFmtId="168" fontId="10" fillId="8" borderId="1" xfId="0" applyNumberFormat="1" applyFont="1" applyFill="1" applyBorder="1" applyAlignment="1">
      <alignment horizontal="right" vertical="center" wrapText="1"/>
    </xf>
    <xf numFmtId="0" fontId="6" fillId="6" borderId="10" xfId="0" applyFont="1" applyFill="1" applyBorder="1"/>
    <xf numFmtId="167" fontId="6" fillId="3" borderId="11" xfId="0" applyNumberFormat="1" applyFont="1" applyFill="1" applyBorder="1" applyAlignment="1">
      <alignment horizontal="right" vertical="center" wrapText="1"/>
    </xf>
    <xf numFmtId="167" fontId="11" fillId="2" borderId="13" xfId="0" applyNumberFormat="1" applyFont="1" applyFill="1" applyBorder="1" applyAlignment="1">
      <alignment horizontal="right" vertical="center" wrapText="1"/>
    </xf>
    <xf numFmtId="0" fontId="11" fillId="8" borderId="7" xfId="0" applyFont="1" applyFill="1" applyBorder="1"/>
    <xf numFmtId="0" fontId="11" fillId="8" borderId="10" xfId="0" applyFont="1" applyFill="1" applyBorder="1"/>
    <xf numFmtId="167" fontId="6" fillId="3" borderId="12" xfId="0" applyNumberFormat="1" applyFont="1" applyFill="1" applyBorder="1"/>
    <xf numFmtId="0" fontId="6" fillId="6" borderId="7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left"/>
    </xf>
    <xf numFmtId="167" fontId="6" fillId="6" borderId="11" xfId="0" applyNumberFormat="1" applyFont="1" applyFill="1" applyBorder="1"/>
    <xf numFmtId="0" fontId="7" fillId="6" borderId="10" xfId="0" applyFont="1" applyFill="1" applyBorder="1" applyAlignment="1">
      <alignment horizontal="left" indent="6"/>
    </xf>
    <xf numFmtId="167" fontId="7" fillId="6" borderId="11" xfId="0" applyNumberFormat="1" applyFont="1" applyFill="1" applyBorder="1"/>
    <xf numFmtId="0" fontId="7" fillId="6" borderId="10" xfId="0" applyFont="1" applyFill="1" applyBorder="1" applyAlignment="1">
      <alignment horizontal="left" indent="4"/>
    </xf>
    <xf numFmtId="0" fontId="10" fillId="2" borderId="2" xfId="0" applyFont="1" applyFill="1" applyBorder="1" applyAlignment="1">
      <alignment horizontal="center"/>
    </xf>
    <xf numFmtId="168" fontId="10" fillId="30" borderId="1" xfId="0" applyNumberFormat="1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167" fontId="7" fillId="6" borderId="0" xfId="0" applyNumberFormat="1" applyFont="1" applyFill="1"/>
    <xf numFmtId="0" fontId="14" fillId="6" borderId="7" xfId="0" applyFont="1" applyFill="1" applyBorder="1"/>
    <xf numFmtId="0" fontId="11" fillId="31" borderId="0" xfId="0" applyFont="1" applyFill="1"/>
    <xf numFmtId="0" fontId="10" fillId="31" borderId="0" xfId="0" applyFont="1" applyFill="1"/>
    <xf numFmtId="166" fontId="6" fillId="6" borderId="14" xfId="1" applyNumberFormat="1" applyFont="1" applyFill="1" applyBorder="1"/>
    <xf numFmtId="0" fontId="11" fillId="22" borderId="7" xfId="0" applyFont="1" applyFill="1" applyBorder="1"/>
    <xf numFmtId="3" fontId="7" fillId="6" borderId="4" xfId="0" applyNumberFormat="1" applyFont="1" applyFill="1" applyBorder="1"/>
    <xf numFmtId="0" fontId="10" fillId="8" borderId="14" xfId="0" applyFont="1" applyFill="1" applyBorder="1" applyAlignment="1">
      <alignment horizontal="left"/>
    </xf>
    <xf numFmtId="0" fontId="10" fillId="8" borderId="4" xfId="0" applyFont="1" applyFill="1" applyBorder="1" applyAlignment="1">
      <alignment horizontal="left"/>
    </xf>
    <xf numFmtId="0" fontId="10" fillId="8" borderId="12" xfId="0" applyFont="1" applyFill="1" applyBorder="1" applyAlignment="1">
      <alignment horizontal="left"/>
    </xf>
    <xf numFmtId="0" fontId="11" fillId="8" borderId="7" xfId="0" applyFont="1" applyFill="1" applyBorder="1" applyAlignment="1">
      <alignment horizontal="left"/>
    </xf>
    <xf numFmtId="0" fontId="11" fillId="8" borderId="9" xfId="0" applyFont="1" applyFill="1" applyBorder="1" applyAlignment="1">
      <alignment horizontal="left"/>
    </xf>
    <xf numFmtId="0" fontId="11" fillId="8" borderId="10" xfId="0" applyFont="1" applyFill="1" applyBorder="1" applyAlignment="1">
      <alignment horizontal="left"/>
    </xf>
    <xf numFmtId="0" fontId="11" fillId="8" borderId="11" xfId="0" applyFont="1" applyFill="1" applyBorder="1" applyAlignment="1">
      <alignment horizontal="left"/>
    </xf>
    <xf numFmtId="3" fontId="10" fillId="22" borderId="9" xfId="0" applyNumberFormat="1" applyFont="1" applyFill="1" applyBorder="1" applyAlignment="1">
      <alignment horizontal="center"/>
    </xf>
    <xf numFmtId="0" fontId="14" fillId="6" borderId="14" xfId="0" applyFont="1" applyFill="1" applyBorder="1"/>
    <xf numFmtId="167" fontId="14" fillId="6" borderId="12" xfId="0" applyNumberFormat="1" applyFont="1" applyFill="1" applyBorder="1" applyAlignment="1">
      <alignment horizontal="right" vertical="center" wrapText="1"/>
    </xf>
    <xf numFmtId="3" fontId="20" fillId="2" borderId="4" xfId="0" applyNumberFormat="1" applyFont="1" applyFill="1" applyBorder="1"/>
    <xf numFmtId="3" fontId="10" fillId="2" borderId="4" xfId="0" applyNumberFormat="1" applyFont="1" applyFill="1" applyBorder="1"/>
    <xf numFmtId="3" fontId="10" fillId="22" borderId="4" xfId="0" applyNumberFormat="1" applyFont="1" applyFill="1" applyBorder="1"/>
    <xf numFmtId="3" fontId="10" fillId="22" borderId="12" xfId="0" applyNumberFormat="1" applyFont="1" applyFill="1" applyBorder="1"/>
    <xf numFmtId="0" fontId="26" fillId="2" borderId="0" xfId="0" applyFont="1" applyFill="1" applyAlignment="1">
      <alignment horizontal="center"/>
    </xf>
    <xf numFmtId="3" fontId="20" fillId="2" borderId="0" xfId="0" applyNumberFormat="1" applyFont="1" applyFill="1"/>
    <xf numFmtId="0" fontId="20" fillId="2" borderId="0" xfId="0" applyFont="1" applyFill="1"/>
    <xf numFmtId="0" fontId="10" fillId="22" borderId="9" xfId="0" applyFont="1" applyFill="1" applyBorder="1"/>
    <xf numFmtId="0" fontId="11" fillId="31" borderId="10" xfId="0" applyFont="1" applyFill="1" applyBorder="1"/>
    <xf numFmtId="0" fontId="18" fillId="2" borderId="0" xfId="0" applyFont="1" applyFill="1" applyAlignment="1">
      <alignment horizontal="center"/>
    </xf>
    <xf numFmtId="0" fontId="14" fillId="4" borderId="7" xfId="0" applyFont="1" applyFill="1" applyBorder="1"/>
    <xf numFmtId="0" fontId="14" fillId="4" borderId="8" xfId="0" applyFont="1" applyFill="1" applyBorder="1" applyAlignment="1">
      <alignment horizontal="center"/>
    </xf>
    <xf numFmtId="0" fontId="16" fillId="4" borderId="8" xfId="0" applyFont="1" applyFill="1" applyBorder="1"/>
    <xf numFmtId="0" fontId="14" fillId="4" borderId="9" xfId="0" applyFont="1" applyFill="1" applyBorder="1" applyAlignment="1">
      <alignment horizontal="center"/>
    </xf>
    <xf numFmtId="0" fontId="16" fillId="4" borderId="10" xfId="0" applyFont="1" applyFill="1" applyBorder="1"/>
    <xf numFmtId="0" fontId="16" fillId="4" borderId="0" xfId="0" applyFont="1" applyFill="1" applyAlignment="1">
      <alignment horizontal="center"/>
    </xf>
    <xf numFmtId="0" fontId="16" fillId="4" borderId="11" xfId="0" applyFont="1" applyFill="1" applyBorder="1" applyAlignment="1">
      <alignment horizontal="center"/>
    </xf>
    <xf numFmtId="3" fontId="14" fillId="4" borderId="12" xfId="0" applyNumberFormat="1" applyFont="1" applyFill="1" applyBorder="1"/>
    <xf numFmtId="3" fontId="16" fillId="4" borderId="8" xfId="0" applyNumberFormat="1" applyFont="1" applyFill="1" applyBorder="1"/>
    <xf numFmtId="3" fontId="16" fillId="4" borderId="9" xfId="0" applyNumberFormat="1" applyFont="1" applyFill="1" applyBorder="1"/>
    <xf numFmtId="0" fontId="14" fillId="4" borderId="11" xfId="0" applyFont="1" applyFill="1" applyBorder="1"/>
    <xf numFmtId="3" fontId="16" fillId="4" borderId="13" xfId="0" applyNumberFormat="1" applyFont="1" applyFill="1" applyBorder="1"/>
    <xf numFmtId="3" fontId="16" fillId="4" borderId="4" xfId="0" applyNumberFormat="1" applyFont="1" applyFill="1" applyBorder="1"/>
    <xf numFmtId="3" fontId="16" fillId="4" borderId="12" xfId="0" applyNumberFormat="1" applyFont="1" applyFill="1" applyBorder="1"/>
    <xf numFmtId="0" fontId="16" fillId="4" borderId="14" xfId="0" applyFont="1" applyFill="1" applyBorder="1"/>
    <xf numFmtId="0" fontId="16" fillId="4" borderId="4" xfId="0" applyFont="1" applyFill="1" applyBorder="1"/>
    <xf numFmtId="0" fontId="16" fillId="4" borderId="12" xfId="0" applyFont="1" applyFill="1" applyBorder="1"/>
    <xf numFmtId="3" fontId="10" fillId="2" borderId="16" xfId="0" applyNumberFormat="1" applyFont="1" applyFill="1" applyBorder="1"/>
    <xf numFmtId="3" fontId="10" fillId="2" borderId="13" xfId="0" applyNumberFormat="1" applyFont="1" applyFill="1" applyBorder="1"/>
    <xf numFmtId="0" fontId="2" fillId="2" borderId="0" xfId="0" applyFont="1" applyFill="1" applyAlignment="1">
      <alignment horizontal="center"/>
    </xf>
    <xf numFmtId="0" fontId="27" fillId="2" borderId="7" xfId="0" applyFont="1" applyFill="1" applyBorder="1"/>
    <xf numFmtId="0" fontId="28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8" fillId="2" borderId="1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3" fontId="10" fillId="22" borderId="14" xfId="0" applyNumberFormat="1" applyFont="1" applyFill="1" applyBorder="1"/>
    <xf numFmtId="3" fontId="10" fillId="22" borderId="12" xfId="0" applyNumberFormat="1" applyFont="1" applyFill="1" applyBorder="1" applyAlignment="1">
      <alignment horizontal="center"/>
    </xf>
    <xf numFmtId="0" fontId="19" fillId="2" borderId="7" xfId="0" applyFont="1" applyFill="1" applyBorder="1"/>
    <xf numFmtId="0" fontId="7" fillId="2" borderId="8" xfId="0" applyFont="1" applyFill="1" applyBorder="1"/>
    <xf numFmtId="0" fontId="21" fillId="2" borderId="8" xfId="0" applyFont="1" applyFill="1" applyBorder="1" applyAlignment="1">
      <alignment horizontal="right"/>
    </xf>
    <xf numFmtId="0" fontId="11" fillId="2" borderId="9" xfId="0" applyFont="1" applyFill="1" applyBorder="1" applyAlignment="1">
      <alignment horizontal="right"/>
    </xf>
    <xf numFmtId="167" fontId="7" fillId="11" borderId="15" xfId="0" applyNumberFormat="1" applyFont="1" applyFill="1" applyBorder="1" applyAlignment="1">
      <alignment horizontal="right" vertical="center" wrapText="1"/>
    </xf>
    <xf numFmtId="168" fontId="10" fillId="22" borderId="1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0" fontId="7" fillId="2" borderId="4" xfId="0" applyFont="1" applyFill="1" applyBorder="1"/>
    <xf numFmtId="166" fontId="7" fillId="2" borderId="4" xfId="0" applyNumberFormat="1" applyFont="1" applyFill="1" applyBorder="1"/>
    <xf numFmtId="167" fontId="7" fillId="2" borderId="4" xfId="0" applyNumberFormat="1" applyFont="1" applyFill="1" applyBorder="1"/>
    <xf numFmtId="0" fontId="7" fillId="2" borderId="12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49" fontId="10" fillId="2" borderId="11" xfId="0" applyNumberFormat="1" applyFont="1" applyFill="1" applyBorder="1" applyAlignment="1">
      <alignment horizontal="right" vertical="center" wrapText="1"/>
    </xf>
    <xf numFmtId="0" fontId="7" fillId="16" borderId="9" xfId="0" applyFont="1" applyFill="1" applyBorder="1" applyAlignment="1">
      <alignment horizontal="center" vertical="center" wrapText="1"/>
    </xf>
    <xf numFmtId="0" fontId="7" fillId="16" borderId="11" xfId="0" applyFont="1" applyFill="1" applyBorder="1" applyAlignment="1">
      <alignment horizontal="center" vertical="center" wrapText="1"/>
    </xf>
    <xf numFmtId="0" fontId="7" fillId="16" borderId="12" xfId="0" applyFont="1" applyFill="1" applyBorder="1" applyAlignment="1">
      <alignment horizontal="center" vertical="center" wrapText="1"/>
    </xf>
    <xf numFmtId="168" fontId="10" fillId="15" borderId="13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1" fillId="8" borderId="8" xfId="0" applyFont="1" applyFill="1" applyBorder="1"/>
    <xf numFmtId="0" fontId="6" fillId="6" borderId="0" xfId="0" applyFont="1" applyFill="1" applyAlignment="1">
      <alignment horizontal="left"/>
    </xf>
    <xf numFmtId="0" fontId="7" fillId="6" borderId="0" xfId="0" applyFont="1" applyFill="1" applyAlignment="1">
      <alignment horizontal="left" indent="6"/>
    </xf>
    <xf numFmtId="0" fontId="7" fillId="6" borderId="0" xfId="0" applyFont="1" applyFill="1" applyAlignment="1">
      <alignment horizontal="left" indent="4"/>
    </xf>
    <xf numFmtId="0" fontId="10" fillId="2" borderId="12" xfId="0" applyFont="1" applyFill="1" applyBorder="1" applyAlignment="1">
      <alignment horizontal="center"/>
    </xf>
    <xf numFmtId="168" fontId="10" fillId="30" borderId="13" xfId="0" applyNumberFormat="1" applyFont="1" applyFill="1" applyBorder="1" applyAlignment="1">
      <alignment horizontal="right" vertical="center" wrapText="1"/>
    </xf>
    <xf numFmtId="168" fontId="10" fillId="8" borderId="13" xfId="0" applyNumberFormat="1" applyFont="1" applyFill="1" applyBorder="1" applyAlignment="1">
      <alignment horizontal="right" vertical="center" wrapText="1"/>
    </xf>
    <xf numFmtId="168" fontId="10" fillId="8" borderId="3" xfId="0" applyNumberFormat="1" applyFont="1" applyFill="1" applyBorder="1" applyAlignment="1">
      <alignment horizontal="right" vertical="center" wrapText="1"/>
    </xf>
    <xf numFmtId="167" fontId="11" fillId="2" borderId="12" xfId="0" applyNumberFormat="1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166" fontId="10" fillId="2" borderId="4" xfId="1" applyNumberFormat="1" applyFont="1" applyFill="1" applyBorder="1" applyAlignment="1">
      <alignment horizontal="right" vertical="center" wrapText="1"/>
    </xf>
    <xf numFmtId="0" fontId="7" fillId="3" borderId="4" xfId="0" applyFont="1" applyFill="1" applyBorder="1"/>
    <xf numFmtId="167" fontId="6" fillId="3" borderId="12" xfId="0" applyNumberFormat="1" applyFont="1" applyFill="1" applyBorder="1" applyAlignment="1">
      <alignment horizontal="right" vertical="center" wrapText="1"/>
    </xf>
    <xf numFmtId="0" fontId="26" fillId="2" borderId="8" xfId="0" applyFont="1" applyFill="1" applyBorder="1" applyAlignment="1">
      <alignment horizontal="left"/>
    </xf>
    <xf numFmtId="0" fontId="26" fillId="2" borderId="0" xfId="0" applyFont="1" applyFill="1" applyAlignment="1">
      <alignment horizontal="left"/>
    </xf>
    <xf numFmtId="0" fontId="20" fillId="2" borderId="4" xfId="0" applyFont="1" applyFill="1" applyBorder="1"/>
    <xf numFmtId="0" fontId="11" fillId="8" borderId="14" xfId="0" applyFont="1" applyFill="1" applyBorder="1"/>
    <xf numFmtId="0" fontId="11" fillId="8" borderId="4" xfId="0" applyFont="1" applyFill="1" applyBorder="1"/>
    <xf numFmtId="0" fontId="14" fillId="6" borderId="32" xfId="0" applyFont="1" applyFill="1" applyBorder="1"/>
    <xf numFmtId="167" fontId="7" fillId="6" borderId="32" xfId="0" applyNumberFormat="1" applyFont="1" applyFill="1" applyBorder="1" applyAlignment="1">
      <alignment horizontal="right" vertical="center" wrapText="1"/>
    </xf>
    <xf numFmtId="167" fontId="7" fillId="16" borderId="15" xfId="0" applyNumberFormat="1" applyFont="1" applyFill="1" applyBorder="1" applyAlignment="1">
      <alignment horizontal="right" vertical="center" wrapText="1"/>
    </xf>
    <xf numFmtId="167" fontId="7" fillId="32" borderId="15" xfId="0" applyNumberFormat="1" applyFont="1" applyFill="1" applyBorder="1" applyAlignment="1">
      <alignment horizontal="right" vertical="center" wrapText="1"/>
    </xf>
    <xf numFmtId="167" fontId="7" fillId="32" borderId="32" xfId="0" applyNumberFormat="1" applyFont="1" applyFill="1" applyBorder="1" applyAlignment="1">
      <alignment horizontal="right" vertical="center" wrapText="1"/>
    </xf>
    <xf numFmtId="166" fontId="7" fillId="6" borderId="15" xfId="1" applyNumberFormat="1" applyFont="1" applyFill="1" applyBorder="1" applyAlignment="1">
      <alignment horizontal="center"/>
    </xf>
    <xf numFmtId="166" fontId="7" fillId="6" borderId="32" xfId="1" applyNumberFormat="1" applyFont="1" applyFill="1" applyBorder="1" applyAlignment="1">
      <alignment horizontal="center"/>
    </xf>
    <xf numFmtId="0" fontId="29" fillId="0" borderId="0" xfId="0" applyFont="1"/>
    <xf numFmtId="3" fontId="29" fillId="0" borderId="0" xfId="0" applyNumberFormat="1" applyFont="1"/>
    <xf numFmtId="0" fontId="29" fillId="3" borderId="24" xfId="0" applyFont="1" applyFill="1" applyBorder="1"/>
    <xf numFmtId="0" fontId="29" fillId="3" borderId="25" xfId="0" applyFont="1" applyFill="1" applyBorder="1"/>
    <xf numFmtId="0" fontId="29" fillId="3" borderId="27" xfId="0" applyFont="1" applyFill="1" applyBorder="1"/>
    <xf numFmtId="0" fontId="29" fillId="3" borderId="28" xfId="0" applyFont="1" applyFill="1" applyBorder="1"/>
    <xf numFmtId="0" fontId="29" fillId="3" borderId="29" xfId="0" applyFont="1" applyFill="1" applyBorder="1" applyAlignment="1">
      <alignment horizontal="center"/>
    </xf>
    <xf numFmtId="0" fontId="29" fillId="3" borderId="23" xfId="0" applyFont="1" applyFill="1" applyBorder="1" applyAlignment="1">
      <alignment horizontal="center"/>
    </xf>
    <xf numFmtId="0" fontId="29" fillId="20" borderId="24" xfId="0" applyFont="1" applyFill="1" applyBorder="1"/>
    <xf numFmtId="0" fontId="29" fillId="20" borderId="25" xfId="0" applyFont="1" applyFill="1" applyBorder="1"/>
    <xf numFmtId="0" fontId="29" fillId="20" borderId="22" xfId="0" applyFont="1" applyFill="1" applyBorder="1" applyAlignment="1">
      <alignment horizontal="center"/>
    </xf>
    <xf numFmtId="0" fontId="29" fillId="21" borderId="30" xfId="0" applyFont="1" applyFill="1" applyBorder="1"/>
    <xf numFmtId="0" fontId="29" fillId="21" borderId="0" xfId="0" applyFont="1" applyFill="1"/>
    <xf numFmtId="3" fontId="29" fillId="21" borderId="0" xfId="0" applyNumberFormat="1" applyFont="1" applyFill="1"/>
    <xf numFmtId="0" fontId="29" fillId="21" borderId="27" xfId="0" applyFont="1" applyFill="1" applyBorder="1"/>
    <xf numFmtId="0" fontId="29" fillId="21" borderId="28" xfId="0" applyFont="1" applyFill="1" applyBorder="1"/>
    <xf numFmtId="0" fontId="29" fillId="3" borderId="27" xfId="0" applyFont="1" applyFill="1" applyBorder="1" applyAlignment="1">
      <alignment horizontal="center"/>
    </xf>
    <xf numFmtId="0" fontId="29" fillId="20" borderId="24" xfId="0" applyFont="1" applyFill="1" applyBorder="1" applyAlignment="1">
      <alignment horizontal="center"/>
    </xf>
    <xf numFmtId="3" fontId="29" fillId="21" borderId="30" xfId="0" applyNumberFormat="1" applyFont="1" applyFill="1" applyBorder="1"/>
    <xf numFmtId="0" fontId="29" fillId="21" borderId="0" xfId="0" applyFont="1" applyFill="1" applyAlignment="1">
      <alignment horizontal="left" indent="1"/>
    </xf>
    <xf numFmtId="0" fontId="30" fillId="35" borderId="0" xfId="0" applyFont="1" applyFill="1"/>
    <xf numFmtId="0" fontId="31" fillId="0" borderId="0" xfId="0" applyFont="1"/>
    <xf numFmtId="0" fontId="29" fillId="36" borderId="22" xfId="0" applyFont="1" applyFill="1" applyBorder="1"/>
    <xf numFmtId="3" fontId="29" fillId="36" borderId="22" xfId="0" applyNumberFormat="1" applyFont="1" applyFill="1" applyBorder="1"/>
    <xf numFmtId="3" fontId="29" fillId="36" borderId="23" xfId="0" applyNumberFormat="1" applyFont="1" applyFill="1" applyBorder="1"/>
    <xf numFmtId="0" fontId="30" fillId="2" borderId="0" xfId="0" applyFont="1" applyFill="1"/>
    <xf numFmtId="0" fontId="29" fillId="3" borderId="26" xfId="0" applyFont="1" applyFill="1" applyBorder="1" applyAlignment="1">
      <alignment horizontal="center"/>
    </xf>
    <xf numFmtId="0" fontId="29" fillId="20" borderId="31" xfId="0" applyFont="1" applyFill="1" applyBorder="1" applyAlignment="1">
      <alignment horizontal="center"/>
    </xf>
    <xf numFmtId="0" fontId="32" fillId="2" borderId="7" xfId="0" applyFont="1" applyFill="1" applyBorder="1"/>
    <xf numFmtId="0" fontId="30" fillId="2" borderId="8" xfId="0" applyFont="1" applyFill="1" applyBorder="1"/>
    <xf numFmtId="0" fontId="30" fillId="2" borderId="9" xfId="0" applyFont="1" applyFill="1" applyBorder="1"/>
    <xf numFmtId="0" fontId="30" fillId="34" borderId="10" xfId="0" applyFont="1" applyFill="1" applyBorder="1"/>
    <xf numFmtId="0" fontId="30" fillId="34" borderId="0" xfId="0" applyFont="1" applyFill="1"/>
    <xf numFmtId="3" fontId="30" fillId="34" borderId="0" xfId="0" applyNumberFormat="1" applyFont="1" applyFill="1"/>
    <xf numFmtId="0" fontId="29" fillId="3" borderId="34" xfId="0" applyFont="1" applyFill="1" applyBorder="1"/>
    <xf numFmtId="0" fontId="29" fillId="0" borderId="10" xfId="0" applyFont="1" applyBorder="1"/>
    <xf numFmtId="0" fontId="29" fillId="3" borderId="35" xfId="0" applyFont="1" applyFill="1" applyBorder="1" applyAlignment="1">
      <alignment horizontal="center"/>
    </xf>
    <xf numFmtId="0" fontId="29" fillId="20" borderId="34" xfId="0" applyFont="1" applyFill="1" applyBorder="1" applyAlignment="1">
      <alignment horizontal="center"/>
    </xf>
    <xf numFmtId="3" fontId="29" fillId="21" borderId="11" xfId="0" applyNumberFormat="1" applyFont="1" applyFill="1" applyBorder="1"/>
    <xf numFmtId="0" fontId="31" fillId="0" borderId="10" xfId="0" applyFont="1" applyBorder="1"/>
    <xf numFmtId="0" fontId="29" fillId="21" borderId="11" xfId="0" applyFont="1" applyFill="1" applyBorder="1"/>
    <xf numFmtId="0" fontId="29" fillId="0" borderId="10" xfId="0" applyFont="1" applyBorder="1" applyAlignment="1">
      <alignment horizontal="left" indent="3"/>
    </xf>
    <xf numFmtId="0" fontId="29" fillId="21" borderId="35" xfId="0" applyFont="1" applyFill="1" applyBorder="1"/>
    <xf numFmtId="0" fontId="30" fillId="2" borderId="11" xfId="0" applyFont="1" applyFill="1" applyBorder="1"/>
    <xf numFmtId="0" fontId="31" fillId="0" borderId="10" xfId="0" applyFont="1" applyBorder="1" applyAlignment="1">
      <alignment horizontal="left" indent="3"/>
    </xf>
    <xf numFmtId="0" fontId="30" fillId="2" borderId="14" xfId="0" applyFont="1" applyFill="1" applyBorder="1"/>
    <xf numFmtId="0" fontId="30" fillId="2" borderId="4" xfId="0" applyFont="1" applyFill="1" applyBorder="1"/>
    <xf numFmtId="0" fontId="30" fillId="2" borderId="12" xfId="0" applyFont="1" applyFill="1" applyBorder="1"/>
    <xf numFmtId="3" fontId="30" fillId="2" borderId="0" xfId="0" applyNumberFormat="1" applyFont="1" applyFill="1"/>
    <xf numFmtId="0" fontId="29" fillId="21" borderId="0" xfId="0" applyFont="1" applyFill="1" applyAlignment="1">
      <alignment horizontal="left" indent="3"/>
    </xf>
    <xf numFmtId="0" fontId="30" fillId="2" borderId="0" xfId="0" applyFont="1" applyFill="1" applyAlignment="1">
      <alignment horizontal="center"/>
    </xf>
    <xf numFmtId="0" fontId="32" fillId="34" borderId="10" xfId="0" applyFont="1" applyFill="1" applyBorder="1"/>
    <xf numFmtId="0" fontId="29" fillId="21" borderId="30" xfId="0" applyFont="1" applyFill="1" applyBorder="1" applyAlignment="1">
      <alignment horizontal="left" indent="1"/>
    </xf>
    <xf numFmtId="0" fontId="29" fillId="21" borderId="30" xfId="0" applyFont="1" applyFill="1" applyBorder="1" applyAlignment="1">
      <alignment horizontal="left" indent="2"/>
    </xf>
    <xf numFmtId="0" fontId="30" fillId="0" borderId="0" xfId="0" applyFont="1"/>
    <xf numFmtId="0" fontId="30" fillId="0" borderId="11" xfId="0" applyFont="1" applyBorder="1"/>
    <xf numFmtId="0" fontId="30" fillId="0" borderId="4" xfId="0" applyFont="1" applyBorder="1"/>
    <xf numFmtId="0" fontId="30" fillId="0" borderId="12" xfId="0" applyFont="1" applyBorder="1"/>
    <xf numFmtId="3" fontId="30" fillId="15" borderId="22" xfId="0" applyNumberFormat="1" applyFont="1" applyFill="1" applyBorder="1"/>
    <xf numFmtId="0" fontId="30" fillId="0" borderId="25" xfId="0" applyFont="1" applyBorder="1"/>
    <xf numFmtId="0" fontId="29" fillId="36" borderId="31" xfId="0" applyFont="1" applyFill="1" applyBorder="1"/>
    <xf numFmtId="3" fontId="29" fillId="36" borderId="31" xfId="0" applyNumberFormat="1" applyFont="1" applyFill="1" applyBorder="1"/>
    <xf numFmtId="3" fontId="29" fillId="36" borderId="29" xfId="0" applyNumberFormat="1" applyFont="1" applyFill="1" applyBorder="1"/>
    <xf numFmtId="0" fontId="30" fillId="2" borderId="7" xfId="0" applyFont="1" applyFill="1" applyBorder="1"/>
    <xf numFmtId="0" fontId="30" fillId="2" borderId="9" xfId="0" applyFont="1" applyFill="1" applyBorder="1" applyAlignment="1">
      <alignment horizontal="center"/>
    </xf>
    <xf numFmtId="0" fontId="29" fillId="3" borderId="34" xfId="0" applyFont="1" applyFill="1" applyBorder="1" applyAlignment="1">
      <alignment horizontal="center"/>
    </xf>
    <xf numFmtId="0" fontId="29" fillId="20" borderId="11" xfId="0" applyFont="1" applyFill="1" applyBorder="1" applyAlignment="1">
      <alignment horizontal="center"/>
    </xf>
    <xf numFmtId="3" fontId="29" fillId="21" borderId="35" xfId="0" applyNumberFormat="1" applyFont="1" applyFill="1" applyBorder="1"/>
    <xf numFmtId="0" fontId="30" fillId="34" borderId="14" xfId="0" applyFont="1" applyFill="1" applyBorder="1"/>
    <xf numFmtId="0" fontId="30" fillId="34" borderId="4" xfId="0" applyFont="1" applyFill="1" applyBorder="1"/>
    <xf numFmtId="3" fontId="30" fillId="34" borderId="4" xfId="0" applyNumberFormat="1" applyFont="1" applyFill="1" applyBorder="1"/>
    <xf numFmtId="0" fontId="29" fillId="16" borderId="31" xfId="0" applyFont="1" applyFill="1" applyBorder="1"/>
    <xf numFmtId="3" fontId="29" fillId="16" borderId="31" xfId="0" applyNumberFormat="1" applyFont="1" applyFill="1" applyBorder="1"/>
    <xf numFmtId="3" fontId="29" fillId="16" borderId="29" xfId="0" applyNumberFormat="1" applyFont="1" applyFill="1" applyBorder="1"/>
    <xf numFmtId="0" fontId="31" fillId="0" borderId="7" xfId="0" applyFont="1" applyBorder="1"/>
    <xf numFmtId="0" fontId="29" fillId="0" borderId="8" xfId="0" applyFont="1" applyBorder="1"/>
    <xf numFmtId="0" fontId="30" fillId="0" borderId="8" xfId="0" applyFont="1" applyBorder="1"/>
    <xf numFmtId="0" fontId="29" fillId="3" borderId="37" xfId="0" applyFont="1" applyFill="1" applyBorder="1"/>
    <xf numFmtId="0" fontId="29" fillId="3" borderId="8" xfId="0" applyFont="1" applyFill="1" applyBorder="1"/>
    <xf numFmtId="0" fontId="29" fillId="3" borderId="9" xfId="0" applyFont="1" applyFill="1" applyBorder="1"/>
    <xf numFmtId="0" fontId="29" fillId="3" borderId="9" xfId="0" applyFont="1" applyFill="1" applyBorder="1" applyAlignment="1">
      <alignment horizontal="center"/>
    </xf>
    <xf numFmtId="0" fontId="29" fillId="3" borderId="39" xfId="0" applyFont="1" applyFill="1" applyBorder="1" applyAlignment="1">
      <alignment horizontal="center"/>
    </xf>
    <xf numFmtId="0" fontId="29" fillId="3" borderId="40" xfId="0" applyFont="1" applyFill="1" applyBorder="1" applyAlignment="1">
      <alignment horizontal="center"/>
    </xf>
    <xf numFmtId="0" fontId="29" fillId="20" borderId="41" xfId="0" applyFont="1" applyFill="1" applyBorder="1" applyAlignment="1">
      <alignment horizontal="center"/>
    </xf>
    <xf numFmtId="0" fontId="29" fillId="21" borderId="41" xfId="0" applyFont="1" applyFill="1" applyBorder="1"/>
    <xf numFmtId="3" fontId="29" fillId="21" borderId="41" xfId="0" applyNumberFormat="1" applyFont="1" applyFill="1" applyBorder="1"/>
    <xf numFmtId="3" fontId="29" fillId="21" borderId="40" xfId="0" applyNumberFormat="1" applyFont="1" applyFill="1" applyBorder="1"/>
    <xf numFmtId="0" fontId="30" fillId="2" borderId="8" xfId="0" applyFont="1" applyFill="1" applyBorder="1" applyAlignment="1">
      <alignment horizontal="center"/>
    </xf>
    <xf numFmtId="0" fontId="29" fillId="0" borderId="9" xfId="0" applyFont="1" applyBorder="1"/>
    <xf numFmtId="3" fontId="30" fillId="34" borderId="11" xfId="0" applyNumberFormat="1" applyFont="1" applyFill="1" applyBorder="1"/>
    <xf numFmtId="3" fontId="29" fillId="0" borderId="11" xfId="0" applyNumberFormat="1" applyFont="1" applyBorder="1"/>
    <xf numFmtId="0" fontId="29" fillId="0" borderId="11" xfId="0" applyFont="1" applyBorder="1"/>
    <xf numFmtId="3" fontId="30" fillId="34" borderId="12" xfId="0" applyNumberFormat="1" applyFont="1" applyFill="1" applyBorder="1"/>
    <xf numFmtId="0" fontId="29" fillId="3" borderId="42" xfId="0" applyFont="1" applyFill="1" applyBorder="1"/>
    <xf numFmtId="0" fontId="29" fillId="3" borderId="43" xfId="0" applyFont="1" applyFill="1" applyBorder="1" applyAlignment="1">
      <alignment horizontal="center"/>
    </xf>
    <xf numFmtId="0" fontId="29" fillId="3" borderId="44" xfId="0" applyFont="1" applyFill="1" applyBorder="1"/>
    <xf numFmtId="0" fontId="29" fillId="20" borderId="42" xfId="0" applyFont="1" applyFill="1" applyBorder="1"/>
    <xf numFmtId="0" fontId="29" fillId="21" borderId="10" xfId="0" applyFont="1" applyFill="1" applyBorder="1"/>
    <xf numFmtId="0" fontId="29" fillId="21" borderId="14" xfId="0" applyFont="1" applyFill="1" applyBorder="1"/>
    <xf numFmtId="0" fontId="29" fillId="21" borderId="4" xfId="0" applyFont="1" applyFill="1" applyBorder="1"/>
    <xf numFmtId="0" fontId="29" fillId="21" borderId="45" xfId="0" applyFont="1" applyFill="1" applyBorder="1"/>
    <xf numFmtId="0" fontId="29" fillId="21" borderId="12" xfId="0" applyFont="1" applyFill="1" applyBorder="1"/>
    <xf numFmtId="3" fontId="29" fillId="21" borderId="12" xfId="0" applyNumberFormat="1" applyFont="1" applyFill="1" applyBorder="1"/>
    <xf numFmtId="3" fontId="29" fillId="36" borderId="46" xfId="0" applyNumberFormat="1" applyFont="1" applyFill="1" applyBorder="1"/>
    <xf numFmtId="3" fontId="29" fillId="36" borderId="47" xfId="0" applyNumberFormat="1" applyFont="1" applyFill="1" applyBorder="1"/>
    <xf numFmtId="3" fontId="29" fillId="21" borderId="48" xfId="0" applyNumberFormat="1" applyFont="1" applyFill="1" applyBorder="1"/>
    <xf numFmtId="0" fontId="29" fillId="16" borderId="11" xfId="0" applyFont="1" applyFill="1" applyBorder="1"/>
    <xf numFmtId="3" fontId="29" fillId="16" borderId="11" xfId="0" applyNumberFormat="1" applyFont="1" applyFill="1" applyBorder="1"/>
    <xf numFmtId="3" fontId="29" fillId="16" borderId="35" xfId="0" applyNumberFormat="1" applyFont="1" applyFill="1" applyBorder="1"/>
    <xf numFmtId="3" fontId="30" fillId="15" borderId="11" xfId="0" applyNumberFormat="1" applyFont="1" applyFill="1" applyBorder="1"/>
    <xf numFmtId="0" fontId="29" fillId="0" borderId="12" xfId="0" applyFont="1" applyBorder="1"/>
    <xf numFmtId="0" fontId="30" fillId="0" borderId="10" xfId="0" applyFont="1" applyBorder="1"/>
    <xf numFmtId="3" fontId="30" fillId="0" borderId="11" xfId="0" applyNumberFormat="1" applyFont="1" applyBorder="1"/>
    <xf numFmtId="3" fontId="30" fillId="0" borderId="0" xfId="0" applyNumberFormat="1" applyFont="1"/>
    <xf numFmtId="0" fontId="29" fillId="20" borderId="0" xfId="0" applyFont="1" applyFill="1"/>
    <xf numFmtId="0" fontId="29" fillId="3" borderId="7" xfId="0" applyFont="1" applyFill="1" applyBorder="1"/>
    <xf numFmtId="0" fontId="29" fillId="3" borderId="14" xfId="0" applyFont="1" applyFill="1" applyBorder="1"/>
    <xf numFmtId="0" fontId="29" fillId="3" borderId="4" xfId="0" applyFont="1" applyFill="1" applyBorder="1"/>
    <xf numFmtId="0" fontId="29" fillId="3" borderId="45" xfId="0" applyFont="1" applyFill="1" applyBorder="1" applyAlignment="1">
      <alignment horizontal="center"/>
    </xf>
    <xf numFmtId="0" fontId="29" fillId="3" borderId="12" xfId="0" applyFont="1" applyFill="1" applyBorder="1" applyAlignment="1">
      <alignment horizontal="center"/>
    </xf>
    <xf numFmtId="0" fontId="29" fillId="3" borderId="4" xfId="0" applyFont="1" applyFill="1" applyBorder="1" applyAlignment="1">
      <alignment horizontal="center"/>
    </xf>
    <xf numFmtId="0" fontId="29" fillId="20" borderId="0" xfId="0" applyFont="1" applyFill="1" applyAlignment="1">
      <alignment horizontal="center"/>
    </xf>
    <xf numFmtId="0" fontId="29" fillId="3" borderId="12" xfId="0" applyFont="1" applyFill="1" applyBorder="1"/>
    <xf numFmtId="0" fontId="29" fillId="20" borderId="10" xfId="0" applyFont="1" applyFill="1" applyBorder="1"/>
    <xf numFmtId="0" fontId="29" fillId="20" borderId="11" xfId="0" applyFont="1" applyFill="1" applyBorder="1"/>
    <xf numFmtId="0" fontId="29" fillId="21" borderId="10" xfId="0" applyFont="1" applyFill="1" applyBorder="1" applyAlignment="1">
      <alignment horizontal="left" indent="2"/>
    </xf>
    <xf numFmtId="0" fontId="29" fillId="3" borderId="1" xfId="0" applyFont="1" applyFill="1" applyBorder="1" applyAlignment="1">
      <alignment horizontal="center"/>
    </xf>
    <xf numFmtId="0" fontId="29" fillId="20" borderId="15" xfId="0" applyFont="1" applyFill="1" applyBorder="1" applyAlignment="1">
      <alignment horizontal="center"/>
    </xf>
    <xf numFmtId="0" fontId="29" fillId="36" borderId="15" xfId="0" applyFont="1" applyFill="1" applyBorder="1"/>
    <xf numFmtId="3" fontId="29" fillId="36" borderId="15" xfId="0" applyNumberFormat="1" applyFont="1" applyFill="1" applyBorder="1"/>
    <xf numFmtId="3" fontId="29" fillId="36" borderId="3" xfId="0" applyNumberFormat="1" applyFont="1" applyFill="1" applyBorder="1"/>
    <xf numFmtId="0" fontId="29" fillId="3" borderId="16" xfId="0" applyFont="1" applyFill="1" applyBorder="1" applyAlignment="1">
      <alignment horizontal="center"/>
    </xf>
    <xf numFmtId="0" fontId="29" fillId="20" borderId="10" xfId="0" applyFont="1" applyFill="1" applyBorder="1" applyAlignment="1">
      <alignment horizontal="center"/>
    </xf>
    <xf numFmtId="0" fontId="29" fillId="36" borderId="10" xfId="0" applyFont="1" applyFill="1" applyBorder="1"/>
    <xf numFmtId="3" fontId="29" fillId="36" borderId="10" xfId="0" applyNumberFormat="1" applyFont="1" applyFill="1" applyBorder="1"/>
    <xf numFmtId="3" fontId="29" fillId="36" borderId="14" xfId="0" applyNumberFormat="1" applyFont="1" applyFill="1" applyBorder="1"/>
    <xf numFmtId="0" fontId="29" fillId="3" borderId="2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0" fontId="29" fillId="21" borderId="15" xfId="0" applyFont="1" applyFill="1" applyBorder="1"/>
    <xf numFmtId="3" fontId="29" fillId="21" borderId="15" xfId="0" applyNumberFormat="1" applyFont="1" applyFill="1" applyBorder="1"/>
    <xf numFmtId="3" fontId="29" fillId="21" borderId="3" xfId="0" applyNumberFormat="1" applyFont="1" applyFill="1" applyBorder="1"/>
    <xf numFmtId="0" fontId="29" fillId="20" borderId="7" xfId="0" applyFont="1" applyFill="1" applyBorder="1" applyAlignment="1">
      <alignment horizontal="center"/>
    </xf>
    <xf numFmtId="0" fontId="29" fillId="20" borderId="9" xfId="0" applyFont="1" applyFill="1" applyBorder="1" applyAlignment="1">
      <alignment horizontal="center"/>
    </xf>
    <xf numFmtId="3" fontId="29" fillId="21" borderId="10" xfId="0" applyNumberFormat="1" applyFont="1" applyFill="1" applyBorder="1"/>
    <xf numFmtId="3" fontId="29" fillId="21" borderId="14" xfId="0" applyNumberFormat="1" applyFont="1" applyFill="1" applyBorder="1"/>
    <xf numFmtId="0" fontId="29" fillId="3" borderId="14" xfId="0" applyFont="1" applyFill="1" applyBorder="1" applyAlignment="1">
      <alignment horizontal="center"/>
    </xf>
    <xf numFmtId="3" fontId="30" fillId="15" borderId="1" xfId="0" applyNumberFormat="1" applyFont="1" applyFill="1" applyBorder="1"/>
    <xf numFmtId="3" fontId="29" fillId="36" borderId="16" xfId="0" applyNumberFormat="1" applyFont="1" applyFill="1" applyBorder="1"/>
    <xf numFmtId="3" fontId="29" fillId="36" borderId="1" xfId="0" applyNumberFormat="1" applyFont="1" applyFill="1" applyBorder="1"/>
    <xf numFmtId="0" fontId="29" fillId="0" borderId="14" xfId="0" applyFont="1" applyBorder="1"/>
    <xf numFmtId="0" fontId="29" fillId="0" borderId="4" xfId="0" applyFont="1" applyBorder="1"/>
    <xf numFmtId="3" fontId="29" fillId="0" borderId="12" xfId="0" applyNumberFormat="1" applyFont="1" applyBorder="1"/>
    <xf numFmtId="3" fontId="30" fillId="15" borderId="3" xfId="0" applyNumberFormat="1" applyFont="1" applyFill="1" applyBorder="1"/>
    <xf numFmtId="3" fontId="29" fillId="16" borderId="12" xfId="0" applyNumberFormat="1" applyFont="1" applyFill="1" applyBorder="1"/>
    <xf numFmtId="0" fontId="30" fillId="34" borderId="0" xfId="0" applyFont="1" applyFill="1" applyAlignment="1">
      <alignment horizontal="center"/>
    </xf>
    <xf numFmtId="0" fontId="29" fillId="2" borderId="0" xfId="0" applyFont="1" applyFill="1"/>
    <xf numFmtId="9" fontId="31" fillId="2" borderId="11" xfId="0" applyNumberFormat="1" applyFont="1" applyFill="1" applyBorder="1" applyAlignment="1">
      <alignment horizontal="center"/>
    </xf>
    <xf numFmtId="0" fontId="30" fillId="34" borderId="11" xfId="0" applyFont="1" applyFill="1" applyBorder="1" applyAlignment="1">
      <alignment horizontal="center"/>
    </xf>
    <xf numFmtId="0" fontId="32" fillId="2" borderId="10" xfId="0" applyFont="1" applyFill="1" applyBorder="1"/>
    <xf numFmtId="0" fontId="29" fillId="21" borderId="10" xfId="0" applyFont="1" applyFill="1" applyBorder="1" applyAlignment="1">
      <alignment horizontal="left" indent="1"/>
    </xf>
    <xf numFmtId="0" fontId="29" fillId="21" borderId="10" xfId="0" applyFont="1" applyFill="1" applyBorder="1" applyAlignment="1">
      <alignment horizontal="left" indent="3"/>
    </xf>
    <xf numFmtId="3" fontId="31" fillId="0" borderId="11" xfId="0" applyNumberFormat="1" applyFont="1" applyBorder="1"/>
    <xf numFmtId="0" fontId="29" fillId="9" borderId="10" xfId="0" applyFont="1" applyFill="1" applyBorder="1"/>
    <xf numFmtId="0" fontId="29" fillId="9" borderId="0" xfId="0" applyFont="1" applyFill="1"/>
    <xf numFmtId="3" fontId="29" fillId="9" borderId="0" xfId="0" applyNumberFormat="1" applyFont="1" applyFill="1"/>
    <xf numFmtId="3" fontId="29" fillId="9" borderId="11" xfId="0" applyNumberFormat="1" applyFont="1" applyFill="1" applyBorder="1"/>
    <xf numFmtId="0" fontId="29" fillId="2" borderId="8" xfId="0" applyFont="1" applyFill="1" applyBorder="1"/>
    <xf numFmtId="9" fontId="31" fillId="2" borderId="9" xfId="0" applyNumberFormat="1" applyFont="1" applyFill="1" applyBorder="1" applyAlignment="1">
      <alignment horizontal="center"/>
    </xf>
    <xf numFmtId="0" fontId="29" fillId="9" borderId="14" xfId="0" applyFont="1" applyFill="1" applyBorder="1"/>
    <xf numFmtId="0" fontId="29" fillId="9" borderId="4" xfId="0" applyFont="1" applyFill="1" applyBorder="1"/>
    <xf numFmtId="3" fontId="29" fillId="9" borderId="4" xfId="0" applyNumberFormat="1" applyFont="1" applyFill="1" applyBorder="1"/>
    <xf numFmtId="3" fontId="29" fillId="9" borderId="12" xfId="0" applyNumberFormat="1" applyFont="1" applyFill="1" applyBorder="1"/>
    <xf numFmtId="0" fontId="29" fillId="16" borderId="0" xfId="0" applyFont="1" applyFill="1"/>
    <xf numFmtId="0" fontId="29" fillId="16" borderId="15" xfId="0" applyFont="1" applyFill="1" applyBorder="1"/>
    <xf numFmtId="3" fontId="29" fillId="16" borderId="15" xfId="0" applyNumberFormat="1" applyFont="1" applyFill="1" applyBorder="1"/>
    <xf numFmtId="0" fontId="30" fillId="2" borderId="4" xfId="0" applyFont="1" applyFill="1" applyBorder="1" applyAlignment="1">
      <alignment horizontal="left" indent="1"/>
    </xf>
    <xf numFmtId="3" fontId="30" fillId="2" borderId="4" xfId="0" applyNumberFormat="1" applyFont="1" applyFill="1" applyBorder="1"/>
    <xf numFmtId="0" fontId="30" fillId="2" borderId="0" xfId="0" applyFont="1" applyFill="1" applyAlignment="1">
      <alignment horizontal="left" indent="1"/>
    </xf>
    <xf numFmtId="0" fontId="33" fillId="9" borderId="16" xfId="0" applyFont="1" applyFill="1" applyBorder="1" applyAlignment="1">
      <alignment horizontal="left" indent="1"/>
    </xf>
    <xf numFmtId="0" fontId="33" fillId="9" borderId="5" xfId="0" applyFont="1" applyFill="1" applyBorder="1"/>
    <xf numFmtId="3" fontId="33" fillId="9" borderId="13" xfId="0" applyNumberFormat="1" applyFont="1" applyFill="1" applyBorder="1"/>
    <xf numFmtId="0" fontId="30" fillId="2" borderId="4" xfId="0" applyFont="1" applyFill="1" applyBorder="1" applyAlignment="1">
      <alignment horizontal="center"/>
    </xf>
    <xf numFmtId="3" fontId="30" fillId="15" borderId="40" xfId="0" applyNumberFormat="1" applyFont="1" applyFill="1" applyBorder="1"/>
    <xf numFmtId="0" fontId="29" fillId="3" borderId="11" xfId="0" applyFont="1" applyFill="1" applyBorder="1" applyAlignment="1">
      <alignment horizontal="center"/>
    </xf>
    <xf numFmtId="0" fontId="29" fillId="20" borderId="8" xfId="0" applyFont="1" applyFill="1" applyBorder="1" applyAlignment="1">
      <alignment horizontal="center"/>
    </xf>
    <xf numFmtId="3" fontId="29" fillId="21" borderId="4" xfId="0" applyNumberFormat="1" applyFont="1" applyFill="1" applyBorder="1"/>
    <xf numFmtId="0" fontId="29" fillId="20" borderId="2" xfId="0" applyFont="1" applyFill="1" applyBorder="1" applyAlignment="1">
      <alignment horizontal="center"/>
    </xf>
    <xf numFmtId="0" fontId="29" fillId="3" borderId="8" xfId="0" applyFont="1" applyFill="1" applyBorder="1" applyAlignment="1">
      <alignment horizontal="center"/>
    </xf>
    <xf numFmtId="166" fontId="29" fillId="0" borderId="12" xfId="1" applyNumberFormat="1" applyFont="1" applyBorder="1"/>
    <xf numFmtId="10" fontId="29" fillId="0" borderId="11" xfId="2" applyNumberFormat="1" applyFont="1" applyBorder="1"/>
    <xf numFmtId="10" fontId="29" fillId="0" borderId="11" xfId="2" applyNumberFormat="1" applyFont="1" applyBorder="1" applyAlignment="1">
      <alignment horizontal="right"/>
    </xf>
    <xf numFmtId="3" fontId="29" fillId="0" borderId="4" xfId="0" applyNumberFormat="1" applyFont="1" applyBorder="1"/>
    <xf numFmtId="0" fontId="29" fillId="3" borderId="10" xfId="0" applyFont="1" applyFill="1" applyBorder="1"/>
    <xf numFmtId="0" fontId="29" fillId="3" borderId="0" xfId="0" applyFont="1" applyFill="1"/>
    <xf numFmtId="0" fontId="29" fillId="3" borderId="11" xfId="0" applyFont="1" applyFill="1" applyBorder="1"/>
    <xf numFmtId="0" fontId="29" fillId="3" borderId="15" xfId="0" applyFont="1" applyFill="1" applyBorder="1" applyAlignment="1">
      <alignment horizontal="center"/>
    </xf>
    <xf numFmtId="0" fontId="32" fillId="2" borderId="16" xfId="0" applyFont="1" applyFill="1" applyBorder="1"/>
    <xf numFmtId="0" fontId="29" fillId="2" borderId="5" xfId="0" applyFont="1" applyFill="1" applyBorder="1"/>
    <xf numFmtId="9" fontId="31" fillId="2" borderId="13" xfId="0" applyNumberFormat="1" applyFont="1" applyFill="1" applyBorder="1" applyAlignment="1">
      <alignment horizontal="center"/>
    </xf>
    <xf numFmtId="0" fontId="30" fillId="2" borderId="5" xfId="0" applyFont="1" applyFill="1" applyBorder="1"/>
    <xf numFmtId="0" fontId="30" fillId="2" borderId="13" xfId="0" applyFont="1" applyFill="1" applyBorder="1"/>
    <xf numFmtId="0" fontId="30" fillId="2" borderId="13" xfId="0" applyFont="1" applyFill="1" applyBorder="1" applyAlignment="1">
      <alignment horizontal="center"/>
    </xf>
    <xf numFmtId="0" fontId="30" fillId="2" borderId="5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/>
    </xf>
    <xf numFmtId="0" fontId="29" fillId="23" borderId="7" xfId="0" applyFont="1" applyFill="1" applyBorder="1"/>
    <xf numFmtId="0" fontId="29" fillId="23" borderId="8" xfId="0" applyFont="1" applyFill="1" applyBorder="1"/>
    <xf numFmtId="3" fontId="29" fillId="23" borderId="8" xfId="0" applyNumberFormat="1" applyFont="1" applyFill="1" applyBorder="1"/>
    <xf numFmtId="3" fontId="29" fillId="23" borderId="9" xfId="0" applyNumberFormat="1" applyFont="1" applyFill="1" applyBorder="1"/>
    <xf numFmtId="0" fontId="29" fillId="23" borderId="10" xfId="0" applyFont="1" applyFill="1" applyBorder="1"/>
    <xf numFmtId="0" fontId="29" fillId="23" borderId="0" xfId="0" applyFont="1" applyFill="1"/>
    <xf numFmtId="3" fontId="29" fillId="23" borderId="0" xfId="0" applyNumberFormat="1" applyFont="1" applyFill="1"/>
    <xf numFmtId="3" fontId="29" fillId="23" borderId="11" xfId="0" applyNumberFormat="1" applyFont="1" applyFill="1" applyBorder="1"/>
    <xf numFmtId="0" fontId="29" fillId="23" borderId="14" xfId="0" applyFont="1" applyFill="1" applyBorder="1"/>
    <xf numFmtId="0" fontId="29" fillId="23" borderId="4" xfId="0" applyFont="1" applyFill="1" applyBorder="1"/>
    <xf numFmtId="3" fontId="29" fillId="23" borderId="4" xfId="0" applyNumberFormat="1" applyFont="1" applyFill="1" applyBorder="1"/>
    <xf numFmtId="3" fontId="29" fillId="23" borderId="12" xfId="0" applyNumberFormat="1" applyFont="1" applyFill="1" applyBorder="1"/>
    <xf numFmtId="172" fontId="29" fillId="9" borderId="1" xfId="0" applyNumberFormat="1" applyFont="1" applyFill="1" applyBorder="1"/>
    <xf numFmtId="0" fontId="29" fillId="21" borderId="14" xfId="0" applyFont="1" applyFill="1" applyBorder="1" applyAlignment="1">
      <alignment horizontal="left" indent="1"/>
    </xf>
    <xf numFmtId="0" fontId="29" fillId="0" borderId="0" xfId="0" applyFont="1" applyAlignment="1">
      <alignment horizontal="center"/>
    </xf>
    <xf numFmtId="3" fontId="29" fillId="0" borderId="0" xfId="0" applyNumberFormat="1" applyFont="1" applyAlignment="1">
      <alignment horizontal="center"/>
    </xf>
    <xf numFmtId="3" fontId="29" fillId="0" borderId="11" xfId="0" applyNumberFormat="1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3" fontId="30" fillId="2" borderId="0" xfId="0" applyNumberFormat="1" applyFont="1" applyFill="1" applyAlignment="1">
      <alignment horizontal="center"/>
    </xf>
    <xf numFmtId="10" fontId="29" fillId="0" borderId="11" xfId="0" applyNumberFormat="1" applyFont="1" applyBorder="1"/>
    <xf numFmtId="0" fontId="0" fillId="0" borderId="7" xfId="0" applyBorder="1"/>
    <xf numFmtId="3" fontId="30" fillId="2" borderId="8" xfId="0" applyNumberFormat="1" applyFont="1" applyFill="1" applyBorder="1" applyAlignment="1">
      <alignment horizontal="center"/>
    </xf>
    <xf numFmtId="3" fontId="30" fillId="2" borderId="9" xfId="0" applyNumberFormat="1" applyFont="1" applyFill="1" applyBorder="1" applyAlignment="1">
      <alignment horizontal="center"/>
    </xf>
    <xf numFmtId="3" fontId="30" fillId="8" borderId="0" xfId="0" applyNumberFormat="1" applyFont="1" applyFill="1"/>
    <xf numFmtId="3" fontId="30" fillId="14" borderId="12" xfId="0" applyNumberFormat="1" applyFont="1" applyFill="1" applyBorder="1"/>
    <xf numFmtId="166" fontId="29" fillId="0" borderId="11" xfId="1" applyNumberFormat="1" applyFont="1" applyBorder="1"/>
    <xf numFmtId="169" fontId="29" fillId="0" borderId="11" xfId="0" applyNumberFormat="1" applyFont="1" applyBorder="1"/>
    <xf numFmtId="3" fontId="30" fillId="14" borderId="11" xfId="0" applyNumberFormat="1" applyFont="1" applyFill="1" applyBorder="1"/>
    <xf numFmtId="0" fontId="29" fillId="9" borderId="0" xfId="0" applyFont="1" applyFill="1" applyAlignment="1">
      <alignment horizontal="left" indent="1"/>
    </xf>
    <xf numFmtId="9" fontId="31" fillId="0" borderId="9" xfId="0" applyNumberFormat="1" applyFont="1" applyBorder="1" applyAlignment="1">
      <alignment horizontal="right"/>
    </xf>
    <xf numFmtId="0" fontId="30" fillId="2" borderId="16" xfId="0" applyFont="1" applyFill="1" applyBorder="1"/>
    <xf numFmtId="0" fontId="29" fillId="3" borderId="30" xfId="0" applyFont="1" applyFill="1" applyBorder="1"/>
    <xf numFmtId="0" fontId="29" fillId="20" borderId="7" xfId="0" applyFont="1" applyFill="1" applyBorder="1"/>
    <xf numFmtId="0" fontId="29" fillId="20" borderId="8" xfId="0" applyFont="1" applyFill="1" applyBorder="1"/>
    <xf numFmtId="0" fontId="29" fillId="3" borderId="10" xfId="0" applyFont="1" applyFill="1" applyBorder="1" applyAlignment="1">
      <alignment horizontal="center"/>
    </xf>
    <xf numFmtId="0" fontId="29" fillId="3" borderId="7" xfId="0" applyFont="1" applyFill="1" applyBorder="1" applyAlignment="1">
      <alignment horizontal="center"/>
    </xf>
    <xf numFmtId="3" fontId="29" fillId="16" borderId="3" xfId="0" applyNumberFormat="1" applyFont="1" applyFill="1" applyBorder="1"/>
    <xf numFmtId="0" fontId="29" fillId="36" borderId="11" xfId="0" applyFont="1" applyFill="1" applyBorder="1"/>
    <xf numFmtId="3" fontId="29" fillId="36" borderId="11" xfId="0" applyNumberFormat="1" applyFont="1" applyFill="1" applyBorder="1"/>
    <xf numFmtId="3" fontId="29" fillId="36" borderId="12" xfId="0" applyNumberFormat="1" applyFont="1" applyFill="1" applyBorder="1"/>
    <xf numFmtId="0" fontId="29" fillId="26" borderId="0" xfId="0" applyFont="1" applyFill="1"/>
    <xf numFmtId="0" fontId="29" fillId="26" borderId="11" xfId="0" applyFont="1" applyFill="1" applyBorder="1"/>
    <xf numFmtId="3" fontId="29" fillId="26" borderId="11" xfId="0" applyNumberFormat="1" applyFont="1" applyFill="1" applyBorder="1"/>
    <xf numFmtId="0" fontId="29" fillId="26" borderId="15" xfId="0" applyFont="1" applyFill="1" applyBorder="1"/>
    <xf numFmtId="0" fontId="29" fillId="26" borderId="10" xfId="0" applyFont="1" applyFill="1" applyBorder="1"/>
    <xf numFmtId="3" fontId="29" fillId="26" borderId="15" xfId="0" applyNumberFormat="1" applyFont="1" applyFill="1" applyBorder="1"/>
    <xf numFmtId="0" fontId="29" fillId="33" borderId="15" xfId="0" applyFont="1" applyFill="1" applyBorder="1"/>
    <xf numFmtId="0" fontId="29" fillId="33" borderId="10" xfId="0" applyFont="1" applyFill="1" applyBorder="1"/>
    <xf numFmtId="3" fontId="29" fillId="33" borderId="15" xfId="0" applyNumberFormat="1" applyFont="1" applyFill="1" applyBorder="1"/>
    <xf numFmtId="3" fontId="29" fillId="33" borderId="10" xfId="0" applyNumberFormat="1" applyFont="1" applyFill="1" applyBorder="1"/>
    <xf numFmtId="0" fontId="29" fillId="16" borderId="10" xfId="0" applyFont="1" applyFill="1" applyBorder="1"/>
    <xf numFmtId="0" fontId="29" fillId="37" borderId="0" xfId="0" applyFont="1" applyFill="1"/>
    <xf numFmtId="0" fontId="29" fillId="37" borderId="11" xfId="0" applyFont="1" applyFill="1" applyBorder="1"/>
    <xf numFmtId="3" fontId="29" fillId="37" borderId="11" xfId="0" applyNumberFormat="1" applyFont="1" applyFill="1" applyBorder="1"/>
    <xf numFmtId="3" fontId="29" fillId="37" borderId="15" xfId="0" applyNumberFormat="1" applyFont="1" applyFill="1" applyBorder="1"/>
    <xf numFmtId="0" fontId="29" fillId="37" borderId="10" xfId="0" applyFont="1" applyFill="1" applyBorder="1"/>
    <xf numFmtId="3" fontId="29" fillId="33" borderId="3" xfId="0" applyNumberFormat="1" applyFont="1" applyFill="1" applyBorder="1"/>
    <xf numFmtId="3" fontId="29" fillId="33" borderId="14" xfId="0" applyNumberFormat="1" applyFont="1" applyFill="1" applyBorder="1"/>
    <xf numFmtId="0" fontId="29" fillId="26" borderId="7" xfId="0" applyFont="1" applyFill="1" applyBorder="1"/>
    <xf numFmtId="0" fontId="29" fillId="26" borderId="8" xfId="0" applyFont="1" applyFill="1" applyBorder="1"/>
    <xf numFmtId="0" fontId="29" fillId="26" borderId="9" xfId="0" applyFont="1" applyFill="1" applyBorder="1"/>
    <xf numFmtId="3" fontId="29" fillId="26" borderId="2" xfId="0" applyNumberFormat="1" applyFont="1" applyFill="1" applyBorder="1"/>
    <xf numFmtId="3" fontId="29" fillId="26" borderId="9" xfId="0" applyNumberFormat="1" applyFont="1" applyFill="1" applyBorder="1"/>
    <xf numFmtId="3" fontId="29" fillId="36" borderId="0" xfId="0" applyNumberFormat="1" applyFont="1" applyFill="1"/>
    <xf numFmtId="0" fontId="29" fillId="37" borderId="15" xfId="0" applyFont="1" applyFill="1" applyBorder="1"/>
    <xf numFmtId="0" fontId="30" fillId="38" borderId="9" xfId="0" applyFont="1" applyFill="1" applyBorder="1" applyAlignment="1">
      <alignment horizontal="center"/>
    </xf>
    <xf numFmtId="0" fontId="30" fillId="38" borderId="2" xfId="0" applyFont="1" applyFill="1" applyBorder="1" applyAlignment="1">
      <alignment horizontal="center"/>
    </xf>
    <xf numFmtId="0" fontId="30" fillId="38" borderId="12" xfId="0" applyFont="1" applyFill="1" applyBorder="1" applyAlignment="1">
      <alignment horizontal="center"/>
    </xf>
    <xf numFmtId="0" fontId="30" fillId="38" borderId="3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30" fillId="2" borderId="12" xfId="0" applyFont="1" applyFill="1" applyBorder="1" applyAlignment="1">
      <alignment horizontal="center"/>
    </xf>
    <xf numFmtId="0" fontId="29" fillId="21" borderId="3" xfId="0" applyFont="1" applyFill="1" applyBorder="1"/>
    <xf numFmtId="0" fontId="29" fillId="36" borderId="0" xfId="0" applyFont="1" applyFill="1"/>
    <xf numFmtId="0" fontId="3" fillId="0" borderId="0" xfId="0" applyFont="1" applyAlignment="1">
      <alignment horizontal="center"/>
    </xf>
    <xf numFmtId="0" fontId="0" fillId="36" borderId="0" xfId="0" applyFill="1"/>
    <xf numFmtId="0" fontId="3" fillId="36" borderId="0" xfId="0" applyFont="1" applyFill="1"/>
    <xf numFmtId="164" fontId="3" fillId="0" borderId="0" xfId="0" quotePrefix="1" applyNumberFormat="1" applyFont="1" applyAlignment="1">
      <alignment horizontal="center"/>
    </xf>
    <xf numFmtId="0" fontId="32" fillId="8" borderId="7" xfId="0" applyFont="1" applyFill="1" applyBorder="1"/>
    <xf numFmtId="0" fontId="30" fillId="8" borderId="8" xfId="0" applyFont="1" applyFill="1" applyBorder="1"/>
    <xf numFmtId="0" fontId="30" fillId="8" borderId="9" xfId="0" applyFont="1" applyFill="1" applyBorder="1"/>
    <xf numFmtId="0" fontId="32" fillId="8" borderId="10" xfId="0" applyFont="1" applyFill="1" applyBorder="1"/>
    <xf numFmtId="0" fontId="30" fillId="8" borderId="0" xfId="0" applyFont="1" applyFill="1"/>
    <xf numFmtId="0" fontId="30" fillId="8" borderId="11" xfId="0" applyFont="1" applyFill="1" applyBorder="1"/>
    <xf numFmtId="0" fontId="30" fillId="8" borderId="14" xfId="0" applyFont="1" applyFill="1" applyBorder="1"/>
    <xf numFmtId="0" fontId="30" fillId="8" borderId="4" xfId="0" applyFont="1" applyFill="1" applyBorder="1"/>
    <xf numFmtId="0" fontId="30" fillId="8" borderId="12" xfId="0" applyFont="1" applyFill="1" applyBorder="1"/>
    <xf numFmtId="0" fontId="29" fillId="6" borderId="10" xfId="0" applyFont="1" applyFill="1" applyBorder="1"/>
    <xf numFmtId="0" fontId="29" fillId="6" borderId="0" xfId="0" applyFont="1" applyFill="1"/>
    <xf numFmtId="0" fontId="31" fillId="6" borderId="11" xfId="0" applyFont="1" applyFill="1" applyBorder="1" applyAlignment="1">
      <alignment horizontal="center"/>
    </xf>
    <xf numFmtId="0" fontId="31" fillId="6" borderId="10" xfId="0" applyFont="1" applyFill="1" applyBorder="1"/>
    <xf numFmtId="0" fontId="29" fillId="6" borderId="11" xfId="0" applyFont="1" applyFill="1" applyBorder="1"/>
    <xf numFmtId="167" fontId="29" fillId="6" borderId="11" xfId="0" applyNumberFormat="1" applyFont="1" applyFill="1" applyBorder="1" applyAlignment="1">
      <alignment horizontal="right" vertical="center" wrapText="1"/>
    </xf>
    <xf numFmtId="0" fontId="31" fillId="3" borderId="10" xfId="0" applyFont="1" applyFill="1" applyBorder="1"/>
    <xf numFmtId="167" fontId="31" fillId="3" borderId="11" xfId="0" applyNumberFormat="1" applyFont="1" applyFill="1" applyBorder="1" applyAlignment="1">
      <alignment horizontal="right" vertical="center" wrapText="1"/>
    </xf>
    <xf numFmtId="0" fontId="31" fillId="3" borderId="14" xfId="0" applyFont="1" applyFill="1" applyBorder="1"/>
    <xf numFmtId="167" fontId="31" fillId="3" borderId="12" xfId="0" applyNumberFormat="1" applyFont="1" applyFill="1" applyBorder="1" applyAlignment="1">
      <alignment horizontal="right" vertical="center" wrapText="1"/>
    </xf>
    <xf numFmtId="0" fontId="32" fillId="2" borderId="14" xfId="0" applyFont="1" applyFill="1" applyBorder="1"/>
    <xf numFmtId="167" fontId="32" fillId="2" borderId="12" xfId="0" applyNumberFormat="1" applyFont="1" applyFill="1" applyBorder="1" applyAlignment="1">
      <alignment horizontal="right" vertical="center" wrapText="1"/>
    </xf>
    <xf numFmtId="167" fontId="32" fillId="2" borderId="13" xfId="0" applyNumberFormat="1" applyFont="1" applyFill="1" applyBorder="1" applyAlignment="1">
      <alignment horizontal="right" vertical="center" wrapText="1"/>
    </xf>
    <xf numFmtId="167" fontId="6" fillId="4" borderId="0" xfId="0" applyNumberFormat="1" applyFont="1" applyFill="1" applyAlignment="1">
      <alignment horizontal="center"/>
    </xf>
    <xf numFmtId="0" fontId="6" fillId="24" borderId="0" xfId="0" applyFont="1" applyFill="1"/>
    <xf numFmtId="167" fontId="7" fillId="24" borderId="0" xfId="0" applyNumberFormat="1" applyFont="1" applyFill="1" applyAlignment="1">
      <alignment horizontal="right" vertical="center" wrapText="1"/>
    </xf>
    <xf numFmtId="0" fontId="6" fillId="24" borderId="0" xfId="0" applyFont="1" applyFill="1" applyAlignment="1">
      <alignment horizontal="center"/>
    </xf>
    <xf numFmtId="0" fontId="11" fillId="4" borderId="0" xfId="0" applyFont="1" applyFill="1" applyAlignment="1">
      <alignment horizontal="left"/>
    </xf>
    <xf numFmtId="3" fontId="7" fillId="23" borderId="8" xfId="0" applyNumberFormat="1" applyFont="1" applyFill="1" applyBorder="1" applyAlignment="1">
      <alignment horizontal="right"/>
    </xf>
    <xf numFmtId="3" fontId="7" fillId="23" borderId="2" xfId="0" applyNumberFormat="1" applyFont="1" applyFill="1" applyBorder="1" applyAlignment="1">
      <alignment horizontal="right"/>
    </xf>
    <xf numFmtId="3" fontId="7" fillId="23" borderId="0" xfId="0" applyNumberFormat="1" applyFont="1" applyFill="1" applyAlignment="1">
      <alignment horizontal="right"/>
    </xf>
    <xf numFmtId="3" fontId="7" fillId="23" borderId="15" xfId="0" applyNumberFormat="1" applyFont="1" applyFill="1" applyBorder="1" applyAlignment="1">
      <alignment horizontal="right"/>
    </xf>
    <xf numFmtId="167" fontId="7" fillId="23" borderId="0" xfId="0" applyNumberFormat="1" applyFont="1" applyFill="1" applyAlignment="1">
      <alignment horizontal="right" vertical="center" wrapText="1"/>
    </xf>
    <xf numFmtId="167" fontId="7" fillId="23" borderId="4" xfId="0" applyNumberFormat="1" applyFont="1" applyFill="1" applyBorder="1" applyAlignment="1">
      <alignment horizontal="right" vertical="center" wrapText="1"/>
    </xf>
    <xf numFmtId="167" fontId="7" fillId="23" borderId="3" xfId="0" applyNumberFormat="1" applyFont="1" applyFill="1" applyBorder="1" applyAlignment="1">
      <alignment horizontal="right" vertical="center" wrapText="1"/>
    </xf>
    <xf numFmtId="167" fontId="7" fillId="23" borderId="9" xfId="0" applyNumberFormat="1" applyFont="1" applyFill="1" applyBorder="1" applyAlignment="1">
      <alignment horizontal="right" vertical="center" wrapText="1"/>
    </xf>
    <xf numFmtId="167" fontId="7" fillId="23" borderId="12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15" xfId="0" applyFont="1" applyFill="1" applyBorder="1" applyAlignment="1">
      <alignment horizontal="right" vertical="center" wrapText="1"/>
    </xf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13" fillId="2" borderId="2" xfId="0" applyFont="1" applyFill="1" applyBorder="1"/>
    <xf numFmtId="0" fontId="13" fillId="2" borderId="15" xfId="0" applyFont="1" applyFill="1" applyBorder="1"/>
    <xf numFmtId="0" fontId="13" fillId="2" borderId="3" xfId="0" applyFont="1" applyFill="1" applyBorder="1"/>
    <xf numFmtId="0" fontId="10" fillId="40" borderId="0" xfId="0" applyFont="1" applyFill="1" applyAlignment="1">
      <alignment horizontal="center"/>
    </xf>
    <xf numFmtId="0" fontId="11" fillId="4" borderId="0" xfId="0" applyFont="1" applyFill="1" applyAlignment="1">
      <alignment horizontal="right"/>
    </xf>
    <xf numFmtId="167" fontId="7" fillId="2" borderId="0" xfId="0" applyNumberFormat="1" applyFont="1" applyFill="1" applyAlignment="1">
      <alignment horizontal="right" vertical="center" wrapText="1"/>
    </xf>
    <xf numFmtId="0" fontId="10" fillId="2" borderId="0" xfId="0" applyFont="1" applyFill="1" applyAlignment="1">
      <alignment horizontal="left" indent="1"/>
    </xf>
    <xf numFmtId="167" fontId="7" fillId="18" borderId="0" xfId="0" applyNumberFormat="1" applyFont="1" applyFill="1" applyAlignment="1">
      <alignment horizontal="right" vertical="center" wrapText="1"/>
    </xf>
    <xf numFmtId="167" fontId="11" fillId="2" borderId="11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left" indent="1"/>
    </xf>
    <xf numFmtId="167" fontId="10" fillId="2" borderId="11" xfId="0" applyNumberFormat="1" applyFont="1" applyFill="1" applyBorder="1" applyAlignment="1">
      <alignment horizontal="right" vertical="center" wrapText="1"/>
    </xf>
    <xf numFmtId="0" fontId="6" fillId="18" borderId="0" xfId="0" applyFont="1" applyFill="1"/>
    <xf numFmtId="0" fontId="7" fillId="18" borderId="10" xfId="0" applyFont="1" applyFill="1" applyBorder="1"/>
    <xf numFmtId="0" fontId="7" fillId="18" borderId="0" xfId="0" applyFont="1" applyFill="1"/>
    <xf numFmtId="0" fontId="6" fillId="3" borderId="8" xfId="0" applyFont="1" applyFill="1" applyBorder="1"/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0" xfId="0" applyFont="1" applyFill="1" applyAlignment="1">
      <alignment horizontal="right" vertical="center" wrapText="1"/>
    </xf>
    <xf numFmtId="167" fontId="7" fillId="3" borderId="5" xfId="0" applyNumberFormat="1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right"/>
    </xf>
    <xf numFmtId="0" fontId="11" fillId="2" borderId="16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6" fillId="3" borderId="9" xfId="0" applyFont="1" applyFill="1" applyBorder="1"/>
    <xf numFmtId="0" fontId="6" fillId="3" borderId="11" xfId="0" applyFont="1" applyFill="1" applyBorder="1"/>
    <xf numFmtId="0" fontId="6" fillId="3" borderId="12" xfId="0" applyFont="1" applyFill="1" applyBorder="1"/>
    <xf numFmtId="0" fontId="8" fillId="4" borderId="11" xfId="0" applyFont="1" applyFill="1" applyBorder="1" applyAlignment="1">
      <alignment horizontal="left" indent="1"/>
    </xf>
    <xf numFmtId="0" fontId="8" fillId="4" borderId="10" xfId="0" applyFont="1" applyFill="1" applyBorder="1" applyAlignment="1">
      <alignment horizontal="left" indent="1"/>
    </xf>
    <xf numFmtId="3" fontId="6" fillId="3" borderId="16" xfId="0" applyNumberFormat="1" applyFont="1" applyFill="1" applyBorder="1"/>
    <xf numFmtId="3" fontId="6" fillId="3" borderId="13" xfId="0" applyNumberFormat="1" applyFont="1" applyFill="1" applyBorder="1"/>
    <xf numFmtId="0" fontId="8" fillId="4" borderId="0" xfId="0" applyFont="1" applyFill="1" applyAlignment="1">
      <alignment horizontal="left" indent="1"/>
    </xf>
    <xf numFmtId="3" fontId="6" fillId="3" borderId="5" xfId="0" applyNumberFormat="1" applyFont="1" applyFill="1" applyBorder="1"/>
    <xf numFmtId="167" fontId="7" fillId="0" borderId="0" xfId="0" applyNumberFormat="1" applyFont="1"/>
    <xf numFmtId="167" fontId="7" fillId="39" borderId="0" xfId="0" applyNumberFormat="1" applyFont="1" applyFill="1"/>
    <xf numFmtId="0" fontId="19" fillId="3" borderId="0" xfId="0" applyFont="1" applyFill="1"/>
    <xf numFmtId="0" fontId="0" fillId="3" borderId="0" xfId="0" applyFill="1"/>
    <xf numFmtId="0" fontId="29" fillId="3" borderId="13" xfId="0" applyFont="1" applyFill="1" applyBorder="1" applyAlignment="1">
      <alignment horizontal="center"/>
    </xf>
    <xf numFmtId="3" fontId="29" fillId="3" borderId="0" xfId="0" applyNumberFormat="1" applyFont="1" applyFill="1"/>
    <xf numFmtId="3" fontId="29" fillId="3" borderId="11" xfId="0" applyNumberFormat="1" applyFont="1" applyFill="1" applyBorder="1"/>
    <xf numFmtId="3" fontId="29" fillId="3" borderId="4" xfId="0" applyNumberFormat="1" applyFont="1" applyFill="1" applyBorder="1"/>
    <xf numFmtId="3" fontId="29" fillId="3" borderId="12" xfId="0" applyNumberFormat="1" applyFont="1" applyFill="1" applyBorder="1"/>
    <xf numFmtId="0" fontId="36" fillId="0" borderId="0" xfId="0" applyFont="1"/>
    <xf numFmtId="0" fontId="32" fillId="0" borderId="0" xfId="0" applyFont="1"/>
    <xf numFmtId="0" fontId="35" fillId="0" borderId="0" xfId="0" applyFont="1"/>
    <xf numFmtId="0" fontId="37" fillId="0" borderId="0" xfId="0" applyFont="1" applyAlignment="1">
      <alignment horizontal="center"/>
    </xf>
    <xf numFmtId="0" fontId="31" fillId="21" borderId="0" xfId="0" applyFont="1" applyFill="1"/>
    <xf numFmtId="0" fontId="31" fillId="36" borderId="0" xfId="0" applyFont="1" applyFill="1"/>
    <xf numFmtId="0" fontId="37" fillId="0" borderId="0" xfId="0" quotePrefix="1" applyFont="1" applyAlignment="1">
      <alignment horizontal="center"/>
    </xf>
    <xf numFmtId="3" fontId="29" fillId="6" borderId="11" xfId="0" applyNumberFormat="1" applyFont="1" applyFill="1" applyBorder="1"/>
    <xf numFmtId="167" fontId="29" fillId="0" borderId="0" xfId="0" applyNumberFormat="1" applyFont="1"/>
    <xf numFmtId="167" fontId="30" fillId="7" borderId="0" xfId="0" applyNumberFormat="1" applyFont="1" applyFill="1" applyAlignment="1">
      <alignment horizontal="center"/>
    </xf>
    <xf numFmtId="167" fontId="30" fillId="14" borderId="0" xfId="0" applyNumberFormat="1" applyFont="1" applyFill="1" applyAlignment="1">
      <alignment horizontal="center"/>
    </xf>
    <xf numFmtId="3" fontId="7" fillId="18" borderId="0" xfId="0" applyNumberFormat="1" applyFont="1" applyFill="1" applyAlignment="1">
      <alignment horizontal="right"/>
    </xf>
    <xf numFmtId="3" fontId="7" fillId="18" borderId="4" xfId="0" applyNumberFormat="1" applyFont="1" applyFill="1" applyBorder="1" applyAlignment="1">
      <alignment horizontal="right"/>
    </xf>
    <xf numFmtId="3" fontId="6" fillId="18" borderId="0" xfId="0" applyNumberFormat="1" applyFont="1" applyFill="1" applyAlignment="1">
      <alignment horizontal="right"/>
    </xf>
    <xf numFmtId="3" fontId="6" fillId="18" borderId="5" xfId="0" applyNumberFormat="1" applyFont="1" applyFill="1" applyBorder="1" applyAlignment="1">
      <alignment horizontal="right"/>
    </xf>
    <xf numFmtId="0" fontId="7" fillId="18" borderId="0" xfId="0" applyFont="1" applyFill="1" applyAlignment="1">
      <alignment horizontal="right"/>
    </xf>
    <xf numFmtId="167" fontId="7" fillId="18" borderId="4" xfId="0" applyNumberFormat="1" applyFont="1" applyFill="1" applyBorder="1" applyAlignment="1">
      <alignment horizontal="right" vertical="center" wrapText="1"/>
    </xf>
    <xf numFmtId="3" fontId="6" fillId="18" borderId="4" xfId="0" applyNumberFormat="1" applyFont="1" applyFill="1" applyBorder="1" applyAlignment="1">
      <alignment horizontal="right"/>
    </xf>
    <xf numFmtId="0" fontId="7" fillId="18" borderId="0" xfId="0" applyFont="1" applyFill="1" applyAlignment="1">
      <alignment horizontal="left" indent="1"/>
    </xf>
    <xf numFmtId="0" fontId="7" fillId="18" borderId="0" xfId="0" applyFont="1" applyFill="1" applyAlignment="1">
      <alignment horizontal="left"/>
    </xf>
    <xf numFmtId="167" fontId="7" fillId="18" borderId="5" xfId="0" applyNumberFormat="1" applyFont="1" applyFill="1" applyBorder="1" applyAlignment="1">
      <alignment horizontal="right" vertical="center" wrapText="1"/>
    </xf>
    <xf numFmtId="0" fontId="6" fillId="18" borderId="0" xfId="0" applyFont="1" applyFill="1" applyAlignment="1">
      <alignment horizontal="center"/>
    </xf>
    <xf numFmtId="167" fontId="7" fillId="18" borderId="0" xfId="0" applyNumberFormat="1" applyFont="1" applyFill="1"/>
    <xf numFmtId="0" fontId="6" fillId="18" borderId="0" xfId="0" applyFont="1" applyFill="1" applyAlignment="1">
      <alignment horizontal="right"/>
    </xf>
    <xf numFmtId="0" fontId="7" fillId="18" borderId="7" xfId="0" applyFont="1" applyFill="1" applyBorder="1"/>
    <xf numFmtId="3" fontId="7" fillId="18" borderId="2" xfId="0" applyNumberFormat="1" applyFont="1" applyFill="1" applyBorder="1" applyAlignment="1">
      <alignment horizontal="right"/>
    </xf>
    <xf numFmtId="3" fontId="7" fillId="18" borderId="8" xfId="0" applyNumberFormat="1" applyFont="1" applyFill="1" applyBorder="1" applyAlignment="1">
      <alignment horizontal="right"/>
    </xf>
    <xf numFmtId="167" fontId="7" fillId="18" borderId="2" xfId="0" applyNumberFormat="1" applyFont="1" applyFill="1" applyBorder="1" applyAlignment="1">
      <alignment horizontal="right" vertical="center" wrapText="1"/>
    </xf>
    <xf numFmtId="3" fontId="7" fillId="18" borderId="15" xfId="0" applyNumberFormat="1" applyFont="1" applyFill="1" applyBorder="1" applyAlignment="1">
      <alignment horizontal="right"/>
    </xf>
    <xf numFmtId="167" fontId="7" fillId="18" borderId="15" xfId="0" applyNumberFormat="1" applyFont="1" applyFill="1" applyBorder="1" applyAlignment="1">
      <alignment horizontal="right" vertical="center" wrapText="1"/>
    </xf>
    <xf numFmtId="0" fontId="7" fillId="18" borderId="10" xfId="0" applyFont="1" applyFill="1" applyBorder="1" applyAlignment="1">
      <alignment horizontal="left" indent="1"/>
    </xf>
    <xf numFmtId="0" fontId="7" fillId="18" borderId="10" xfId="0" applyFont="1" applyFill="1" applyBorder="1" applyAlignment="1">
      <alignment horizontal="left"/>
    </xf>
    <xf numFmtId="0" fontId="7" fillId="18" borderId="14" xfId="0" applyFont="1" applyFill="1" applyBorder="1"/>
    <xf numFmtId="167" fontId="7" fillId="18" borderId="3" xfId="0" applyNumberFormat="1" applyFont="1" applyFill="1" applyBorder="1" applyAlignment="1">
      <alignment horizontal="right" vertical="center" wrapText="1"/>
    </xf>
    <xf numFmtId="167" fontId="7" fillId="41" borderId="2" xfId="0" applyNumberFormat="1" applyFont="1" applyFill="1" applyBorder="1" applyAlignment="1">
      <alignment horizontal="right" vertical="center" wrapText="1"/>
    </xf>
    <xf numFmtId="167" fontId="7" fillId="41" borderId="11" xfId="0" applyNumberFormat="1" applyFont="1" applyFill="1" applyBorder="1" applyAlignment="1">
      <alignment horizontal="right" vertical="center" wrapText="1"/>
    </xf>
    <xf numFmtId="167" fontId="7" fillId="41" borderId="15" xfId="0" applyNumberFormat="1" applyFont="1" applyFill="1" applyBorder="1" applyAlignment="1">
      <alignment horizontal="right" vertical="center" wrapText="1"/>
    </xf>
    <xf numFmtId="167" fontId="7" fillId="41" borderId="0" xfId="0" applyNumberFormat="1" applyFont="1" applyFill="1" applyAlignment="1">
      <alignment horizontal="right" vertical="center" wrapText="1"/>
    </xf>
    <xf numFmtId="167" fontId="7" fillId="41" borderId="10" xfId="0" applyNumberFormat="1" applyFont="1" applyFill="1" applyBorder="1" applyAlignment="1">
      <alignment horizontal="right" vertical="center" wrapText="1"/>
    </xf>
    <xf numFmtId="0" fontId="6" fillId="13" borderId="0" xfId="0" applyFont="1" applyFill="1"/>
    <xf numFmtId="167" fontId="7" fillId="13" borderId="0" xfId="0" applyNumberFormat="1" applyFont="1" applyFill="1" applyAlignment="1">
      <alignment horizontal="right" vertical="center" wrapText="1"/>
    </xf>
    <xf numFmtId="167" fontId="6" fillId="13" borderId="0" xfId="0" applyNumberFormat="1" applyFont="1" applyFill="1" applyAlignment="1">
      <alignment horizontal="right" vertical="center" wrapText="1"/>
    </xf>
    <xf numFmtId="0" fontId="7" fillId="13" borderId="7" xfId="0" applyFont="1" applyFill="1" applyBorder="1"/>
    <xf numFmtId="167" fontId="7" fillId="13" borderId="2" xfId="0" applyNumberFormat="1" applyFont="1" applyFill="1" applyBorder="1" applyAlignment="1">
      <alignment horizontal="right" vertical="center" wrapText="1"/>
    </xf>
    <xf numFmtId="0" fontId="7" fillId="13" borderId="10" xfId="0" applyFont="1" applyFill="1" applyBorder="1"/>
    <xf numFmtId="167" fontId="7" fillId="13" borderId="15" xfId="0" applyNumberFormat="1" applyFont="1" applyFill="1" applyBorder="1" applyAlignment="1">
      <alignment horizontal="right" vertical="center" wrapText="1"/>
    </xf>
    <xf numFmtId="0" fontId="7" fillId="13" borderId="10" xfId="0" applyFont="1" applyFill="1" applyBorder="1" applyAlignment="1">
      <alignment horizontal="left" indent="1"/>
    </xf>
    <xf numFmtId="0" fontId="7" fillId="13" borderId="14" xfId="0" applyFont="1" applyFill="1" applyBorder="1"/>
    <xf numFmtId="167" fontId="7" fillId="13" borderId="3" xfId="0" applyNumberFormat="1" applyFont="1" applyFill="1" applyBorder="1" applyAlignment="1">
      <alignment horizontal="right" vertical="center" wrapText="1"/>
    </xf>
    <xf numFmtId="167" fontId="6" fillId="18" borderId="4" xfId="0" applyNumberFormat="1" applyFont="1" applyFill="1" applyBorder="1" applyAlignment="1">
      <alignment horizontal="right" vertical="center" wrapText="1"/>
    </xf>
    <xf numFmtId="167" fontId="6" fillId="18" borderId="0" xfId="0" applyNumberFormat="1" applyFont="1" applyFill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167" fontId="7" fillId="16" borderId="11" xfId="0" applyNumberFormat="1" applyFont="1" applyFill="1" applyBorder="1" applyAlignment="1">
      <alignment horizontal="right" vertical="center" wrapText="1"/>
    </xf>
    <xf numFmtId="0" fontId="19" fillId="16" borderId="1" xfId="0" applyFont="1" applyFill="1" applyBorder="1" applyAlignment="1">
      <alignment horizontal="center" vertical="center" wrapText="1"/>
    </xf>
    <xf numFmtId="0" fontId="6" fillId="16" borderId="10" xfId="0" applyFont="1" applyFill="1" applyBorder="1"/>
    <xf numFmtId="0" fontId="6" fillId="16" borderId="0" xfId="0" applyFont="1" applyFill="1"/>
    <xf numFmtId="167" fontId="7" fillId="16" borderId="0" xfId="0" applyNumberFormat="1" applyFont="1" applyFill="1" applyAlignment="1">
      <alignment horizontal="right" vertical="center" wrapText="1"/>
    </xf>
    <xf numFmtId="0" fontId="7" fillId="16" borderId="10" xfId="0" applyFont="1" applyFill="1" applyBorder="1"/>
    <xf numFmtId="0" fontId="7" fillId="16" borderId="0" xfId="0" applyFont="1" applyFill="1"/>
    <xf numFmtId="0" fontId="10" fillId="8" borderId="0" xfId="0" applyFont="1" applyFill="1" applyAlignment="1">
      <alignment horizontal="center"/>
    </xf>
    <xf numFmtId="0" fontId="7" fillId="9" borderId="2" xfId="0" applyFont="1" applyFill="1" applyBorder="1" applyAlignment="1">
      <alignment horizontal="center"/>
    </xf>
    <xf numFmtId="167" fontId="7" fillId="9" borderId="15" xfId="0" applyNumberFormat="1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13" xfId="0" applyFont="1" applyFill="1" applyBorder="1" applyAlignment="1">
      <alignment horizontal="center"/>
    </xf>
    <xf numFmtId="167" fontId="7" fillId="9" borderId="3" xfId="0" applyNumberFormat="1" applyFont="1" applyFill="1" applyBorder="1" applyAlignment="1">
      <alignment horizontal="center" vertical="center" wrapText="1"/>
    </xf>
    <xf numFmtId="167" fontId="10" fillId="15" borderId="11" xfId="0" applyNumberFormat="1" applyFont="1" applyFill="1" applyBorder="1" applyAlignment="1">
      <alignment horizontal="right" vertical="center" wrapText="1"/>
    </xf>
    <xf numFmtId="167" fontId="10" fillId="15" borderId="10" xfId="0" applyNumberFormat="1" applyFont="1" applyFill="1" applyBorder="1" applyAlignment="1">
      <alignment horizontal="right" vertical="center" wrapText="1"/>
    </xf>
    <xf numFmtId="10" fontId="6" fillId="4" borderId="0" xfId="2" applyNumberFormat="1" applyFont="1" applyFill="1" applyBorder="1" applyAlignment="1">
      <alignment horizontal="right" vertical="center" wrapText="1"/>
    </xf>
    <xf numFmtId="167" fontId="7" fillId="6" borderId="10" xfId="0" applyNumberFormat="1" applyFont="1" applyFill="1" applyBorder="1" applyAlignment="1">
      <alignment horizontal="right" vertical="center" wrapText="1"/>
    </xf>
    <xf numFmtId="167" fontId="7" fillId="6" borderId="14" xfId="0" applyNumberFormat="1" applyFont="1" applyFill="1" applyBorder="1" applyAlignment="1">
      <alignment horizontal="right" vertical="center" wrapText="1"/>
    </xf>
    <xf numFmtId="167" fontId="7" fillId="6" borderId="7" xfId="0" applyNumberFormat="1" applyFont="1" applyFill="1" applyBorder="1" applyAlignment="1">
      <alignment horizontal="right" vertical="center" wrapText="1"/>
    </xf>
    <xf numFmtId="167" fontId="7" fillId="6" borderId="8" xfId="0" applyNumberFormat="1" applyFont="1" applyFill="1" applyBorder="1" applyAlignment="1">
      <alignment horizontal="right" vertical="center" wrapText="1"/>
    </xf>
    <xf numFmtId="167" fontId="7" fillId="6" borderId="9" xfId="0" applyNumberFormat="1" applyFont="1" applyFill="1" applyBorder="1" applyAlignment="1">
      <alignment horizontal="right" vertical="center" wrapText="1"/>
    </xf>
    <xf numFmtId="49" fontId="14" fillId="3" borderId="0" xfId="0" quotePrefix="1" applyNumberFormat="1" applyFont="1" applyFill="1" applyAlignment="1">
      <alignment horizontal="left" vertical="center"/>
    </xf>
    <xf numFmtId="0" fontId="11" fillId="2" borderId="13" xfId="0" applyFont="1" applyFill="1" applyBorder="1" applyAlignment="1">
      <alignment horizontal="right"/>
    </xf>
    <xf numFmtId="167" fontId="7" fillId="4" borderId="3" xfId="0" applyNumberFormat="1" applyFont="1" applyFill="1" applyBorder="1" applyAlignment="1">
      <alignment horizontal="right" vertical="center" wrapText="1" indent="1"/>
    </xf>
    <xf numFmtId="3" fontId="7" fillId="4" borderId="12" xfId="0" applyNumberFormat="1" applyFont="1" applyFill="1" applyBorder="1" applyAlignment="1">
      <alignment horizontal="right" indent="1"/>
    </xf>
    <xf numFmtId="167" fontId="7" fillId="4" borderId="12" xfId="0" applyNumberFormat="1" applyFont="1" applyFill="1" applyBorder="1" applyAlignment="1">
      <alignment horizontal="right" vertical="center" wrapText="1" indent="1"/>
    </xf>
    <xf numFmtId="0" fontId="11" fillId="40" borderId="2" xfId="0" applyFont="1" applyFill="1" applyBorder="1" applyAlignment="1">
      <alignment horizontal="center"/>
    </xf>
    <xf numFmtId="0" fontId="11" fillId="40" borderId="3" xfId="0" applyFont="1" applyFill="1" applyBorder="1" applyAlignment="1">
      <alignment horizontal="center"/>
    </xf>
    <xf numFmtId="167" fontId="7" fillId="12" borderId="7" xfId="0" applyNumberFormat="1" applyFont="1" applyFill="1" applyBorder="1"/>
    <xf numFmtId="167" fontId="7" fillId="12" borderId="9" xfId="0" applyNumberFormat="1" applyFont="1" applyFill="1" applyBorder="1"/>
    <xf numFmtId="0" fontId="7" fillId="12" borderId="14" xfId="0" applyFont="1" applyFill="1" applyBorder="1"/>
    <xf numFmtId="167" fontId="7" fillId="12" borderId="12" xfId="0" applyNumberFormat="1" applyFont="1" applyFill="1" applyBorder="1"/>
    <xf numFmtId="167" fontId="7" fillId="21" borderId="15" xfId="0" applyNumberFormat="1" applyFont="1" applyFill="1" applyBorder="1" applyAlignment="1">
      <alignment horizontal="right" vertical="center" wrapText="1"/>
    </xf>
    <xf numFmtId="3" fontId="7" fillId="21" borderId="15" xfId="0" applyNumberFormat="1" applyFont="1" applyFill="1" applyBorder="1" applyAlignment="1">
      <alignment horizontal="right"/>
    </xf>
    <xf numFmtId="3" fontId="7" fillId="21" borderId="11" xfId="0" applyNumberFormat="1" applyFont="1" applyFill="1" applyBorder="1" applyAlignment="1">
      <alignment horizontal="right"/>
    </xf>
    <xf numFmtId="167" fontId="7" fillId="21" borderId="3" xfId="0" applyNumberFormat="1" applyFont="1" applyFill="1" applyBorder="1" applyAlignment="1">
      <alignment horizontal="right" vertical="center" wrapText="1"/>
    </xf>
    <xf numFmtId="167" fontId="7" fillId="18" borderId="11" xfId="0" applyNumberFormat="1" applyFont="1" applyFill="1" applyBorder="1" applyAlignment="1">
      <alignment horizontal="right" vertical="center" wrapText="1"/>
    </xf>
    <xf numFmtId="3" fontId="7" fillId="18" borderId="11" xfId="0" applyNumberFormat="1" applyFont="1" applyFill="1" applyBorder="1" applyAlignment="1">
      <alignment horizontal="right"/>
    </xf>
    <xf numFmtId="167" fontId="7" fillId="29" borderId="11" xfId="0" applyNumberFormat="1" applyFont="1" applyFill="1" applyBorder="1" applyAlignment="1">
      <alignment horizontal="right" vertical="center" wrapText="1"/>
    </xf>
    <xf numFmtId="167" fontId="7" fillId="29" borderId="0" xfId="0" applyNumberFormat="1" applyFont="1" applyFill="1" applyAlignment="1">
      <alignment horizontal="right" vertical="center" wrapText="1"/>
    </xf>
    <xf numFmtId="167" fontId="7" fillId="29" borderId="10" xfId="0" applyNumberFormat="1" applyFont="1" applyFill="1" applyBorder="1" applyAlignment="1">
      <alignment horizontal="right" vertical="center" wrapText="1"/>
    </xf>
    <xf numFmtId="3" fontId="7" fillId="29" borderId="11" xfId="0" applyNumberFormat="1" applyFont="1" applyFill="1" applyBorder="1" applyAlignment="1">
      <alignment horizontal="right"/>
    </xf>
    <xf numFmtId="3" fontId="7" fillId="29" borderId="0" xfId="0" applyNumberFormat="1" applyFont="1" applyFill="1" applyAlignment="1">
      <alignment horizontal="right"/>
    </xf>
    <xf numFmtId="3" fontId="7" fillId="29" borderId="10" xfId="0" applyNumberFormat="1" applyFont="1" applyFill="1" applyBorder="1" applyAlignment="1">
      <alignment horizontal="right"/>
    </xf>
    <xf numFmtId="3" fontId="7" fillId="29" borderId="15" xfId="0" applyNumberFormat="1" applyFont="1" applyFill="1" applyBorder="1" applyAlignment="1">
      <alignment horizontal="right"/>
    </xf>
    <xf numFmtId="167" fontId="7" fillId="26" borderId="15" xfId="0" applyNumberFormat="1" applyFont="1" applyFill="1" applyBorder="1" applyAlignment="1">
      <alignment horizontal="right" vertical="center" wrapText="1"/>
    </xf>
    <xf numFmtId="167" fontId="7" fillId="26" borderId="11" xfId="0" applyNumberFormat="1" applyFont="1" applyFill="1" applyBorder="1" applyAlignment="1">
      <alignment horizontal="right" vertical="center" wrapText="1"/>
    </xf>
    <xf numFmtId="167" fontId="7" fillId="26" borderId="2" xfId="0" applyNumberFormat="1" applyFont="1" applyFill="1" applyBorder="1" applyAlignment="1">
      <alignment horizontal="right" vertical="center" wrapText="1"/>
    </xf>
    <xf numFmtId="3" fontId="7" fillId="26" borderId="15" xfId="0" applyNumberFormat="1" applyFont="1" applyFill="1" applyBorder="1" applyAlignment="1">
      <alignment horizontal="right"/>
    </xf>
    <xf numFmtId="3" fontId="7" fillId="26" borderId="11" xfId="0" applyNumberFormat="1" applyFont="1" applyFill="1" applyBorder="1" applyAlignment="1">
      <alignment horizontal="right"/>
    </xf>
    <xf numFmtId="0" fontId="7" fillId="26" borderId="0" xfId="0" applyFont="1" applyFill="1"/>
    <xf numFmtId="167" fontId="7" fillId="26" borderId="0" xfId="0" applyNumberFormat="1" applyFont="1" applyFill="1" applyAlignment="1">
      <alignment horizontal="right" vertical="center" wrapText="1"/>
    </xf>
    <xf numFmtId="0" fontId="6" fillId="26" borderId="0" xfId="0" applyFont="1" applyFill="1"/>
    <xf numFmtId="0" fontId="7" fillId="26" borderId="0" xfId="0" applyFont="1" applyFill="1" applyAlignment="1">
      <alignment horizontal="left" indent="3"/>
    </xf>
    <xf numFmtId="0" fontId="7" fillId="21" borderId="0" xfId="0" applyFont="1" applyFill="1" applyAlignment="1">
      <alignment horizontal="left" indent="3"/>
    </xf>
    <xf numFmtId="167" fontId="6" fillId="21" borderId="0" xfId="0" applyNumberFormat="1" applyFont="1" applyFill="1" applyAlignment="1">
      <alignment horizontal="right" vertical="center" wrapText="1"/>
    </xf>
    <xf numFmtId="0" fontId="7" fillId="21" borderId="0" xfId="0" applyFont="1" applyFill="1" applyAlignment="1">
      <alignment horizontal="left" indent="2"/>
    </xf>
    <xf numFmtId="167" fontId="7" fillId="21" borderId="0" xfId="0" applyNumberFormat="1" applyFont="1" applyFill="1" applyAlignment="1">
      <alignment horizontal="left" vertical="center" wrapText="1" indent="2"/>
    </xf>
    <xf numFmtId="0" fontId="20" fillId="2" borderId="2" xfId="0" applyFont="1" applyFill="1" applyBorder="1"/>
    <xf numFmtId="0" fontId="20" fillId="2" borderId="3" xfId="0" applyFont="1" applyFill="1" applyBorder="1"/>
    <xf numFmtId="167" fontId="10" fillId="2" borderId="7" xfId="0" applyNumberFormat="1" applyFont="1" applyFill="1" applyBorder="1" applyAlignment="1">
      <alignment horizontal="right" vertical="center" wrapText="1"/>
    </xf>
    <xf numFmtId="167" fontId="10" fillId="2" borderId="10" xfId="0" applyNumberFormat="1" applyFont="1" applyFill="1" applyBorder="1" applyAlignment="1">
      <alignment horizontal="right" vertical="center" wrapText="1"/>
    </xf>
    <xf numFmtId="167" fontId="10" fillId="2" borderId="14" xfId="0" applyNumberFormat="1" applyFont="1" applyFill="1" applyBorder="1" applyAlignment="1">
      <alignment horizontal="right" vertical="center" wrapText="1"/>
    </xf>
    <xf numFmtId="0" fontId="0" fillId="20" borderId="0" xfId="0" applyFill="1"/>
    <xf numFmtId="0" fontId="6" fillId="20" borderId="0" xfId="0" applyFont="1" applyFill="1"/>
    <xf numFmtId="0" fontId="3" fillId="20" borderId="0" xfId="0" applyFont="1" applyFill="1"/>
    <xf numFmtId="167" fontId="6" fillId="20" borderId="0" xfId="0" applyNumberFormat="1" applyFont="1" applyFill="1"/>
    <xf numFmtId="0" fontId="0" fillId="20" borderId="0" xfId="0" applyFill="1" applyAlignment="1">
      <alignment horizontal="center"/>
    </xf>
    <xf numFmtId="0" fontId="0" fillId="20" borderId="0" xfId="0" applyFill="1" applyAlignment="1">
      <alignment horizontal="left"/>
    </xf>
    <xf numFmtId="0" fontId="3" fillId="20" borderId="0" xfId="0" applyFont="1" applyFill="1" applyAlignment="1">
      <alignment horizontal="center"/>
    </xf>
    <xf numFmtId="0" fontId="6" fillId="20" borderId="0" xfId="0" applyFont="1" applyFill="1" applyAlignment="1">
      <alignment horizontal="left"/>
    </xf>
    <xf numFmtId="166" fontId="0" fillId="4" borderId="0" xfId="1" applyNumberFormat="1" applyFont="1" applyFill="1"/>
    <xf numFmtId="0" fontId="0" fillId="4" borderId="0" xfId="0" applyFill="1" applyAlignment="1">
      <alignment horizontal="left" indent="1"/>
    </xf>
    <xf numFmtId="166" fontId="0" fillId="0" borderId="0" xfId="1" applyNumberFormat="1" applyFont="1" applyFill="1"/>
    <xf numFmtId="0" fontId="3" fillId="3" borderId="0" xfId="0" applyFont="1" applyFill="1"/>
    <xf numFmtId="166" fontId="3" fillId="3" borderId="0" xfId="0" applyNumberFormat="1" applyFont="1" applyFill="1"/>
    <xf numFmtId="166" fontId="3" fillId="3" borderId="0" xfId="1" applyNumberFormat="1" applyFont="1" applyFill="1"/>
    <xf numFmtId="0" fontId="0" fillId="0" borderId="0" xfId="0" quotePrefix="1"/>
    <xf numFmtId="167" fontId="11" fillId="2" borderId="8" xfId="0" applyNumberFormat="1" applyFont="1" applyFill="1" applyBorder="1" applyAlignment="1">
      <alignment horizontal="right" vertical="center" wrapText="1"/>
    </xf>
    <xf numFmtId="167" fontId="11" fillId="2" borderId="9" xfId="0" applyNumberFormat="1" applyFont="1" applyFill="1" applyBorder="1" applyAlignment="1">
      <alignment horizontal="right" vertical="center" wrapText="1"/>
    </xf>
    <xf numFmtId="167" fontId="11" fillId="2" borderId="4" xfId="0" applyNumberFormat="1" applyFont="1" applyFill="1" applyBorder="1" applyAlignment="1">
      <alignment horizontal="right" vertical="center" wrapText="1"/>
    </xf>
    <xf numFmtId="3" fontId="7" fillId="0" borderId="0" xfId="0" applyNumberFormat="1" applyFont="1"/>
    <xf numFmtId="0" fontId="0" fillId="9" borderId="0" xfId="0" applyFill="1"/>
    <xf numFmtId="3" fontId="7" fillId="9" borderId="0" xfId="0" applyNumberFormat="1" applyFont="1" applyFill="1"/>
    <xf numFmtId="3" fontId="7" fillId="9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3" borderId="0" xfId="0" applyNumberFormat="1" applyFont="1" applyFill="1" applyAlignment="1">
      <alignment horizontal="right"/>
    </xf>
    <xf numFmtId="3" fontId="6" fillId="9" borderId="0" xfId="0" applyNumberFormat="1" applyFont="1" applyFill="1" applyAlignment="1">
      <alignment horizontal="right"/>
    </xf>
    <xf numFmtId="4" fontId="6" fillId="9" borderId="0" xfId="0" applyNumberFormat="1" applyFont="1" applyFill="1" applyAlignment="1">
      <alignment horizontal="right"/>
    </xf>
    <xf numFmtId="3" fontId="10" fillId="14" borderId="4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7" fillId="37" borderId="0" xfId="0" applyFont="1" applyFill="1"/>
    <xf numFmtId="0" fontId="0" fillId="37" borderId="0" xfId="0" applyFill="1"/>
    <xf numFmtId="3" fontId="7" fillId="37" borderId="0" xfId="0" applyNumberFormat="1" applyFont="1" applyFill="1"/>
    <xf numFmtId="0" fontId="7" fillId="31" borderId="0" xfId="0" applyFont="1" applyFill="1"/>
    <xf numFmtId="3" fontId="7" fillId="31" borderId="0" xfId="0" applyNumberFormat="1" applyFont="1" applyFill="1"/>
    <xf numFmtId="0" fontId="10" fillId="2" borderId="0" xfId="0" applyFont="1" applyFill="1" applyAlignment="1">
      <alignment horizontal="center"/>
    </xf>
    <xf numFmtId="0" fontId="9" fillId="0" borderId="0" xfId="0" applyFont="1"/>
    <xf numFmtId="3" fontId="10" fillId="22" borderId="0" xfId="0" applyNumberFormat="1" applyFont="1" applyFill="1"/>
    <xf numFmtId="0" fontId="11" fillId="22" borderId="0" xfId="0" applyFont="1" applyFill="1" applyAlignment="1">
      <alignment horizontal="center"/>
    </xf>
    <xf numFmtId="0" fontId="11" fillId="8" borderId="0" xfId="0" applyFont="1" applyFill="1" applyAlignment="1">
      <alignment horizontal="left"/>
    </xf>
    <xf numFmtId="0" fontId="10" fillId="22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6" fillId="3" borderId="0" xfId="0" applyFont="1" applyFill="1"/>
    <xf numFmtId="3" fontId="16" fillId="3" borderId="0" xfId="0" applyNumberFormat="1" applyFont="1" applyFill="1"/>
    <xf numFmtId="3" fontId="14" fillId="3" borderId="0" xfId="0" applyNumberFormat="1" applyFont="1" applyFill="1"/>
    <xf numFmtId="0" fontId="7" fillId="30" borderId="2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/>
    </xf>
    <xf numFmtId="0" fontId="11" fillId="22" borderId="2" xfId="0" applyFont="1" applyFill="1" applyBorder="1" applyAlignment="1">
      <alignment horizontal="center"/>
    </xf>
    <xf numFmtId="0" fontId="11" fillId="22" borderId="15" xfId="0" applyFont="1" applyFill="1" applyBorder="1" applyAlignment="1">
      <alignment horizontal="center"/>
    </xf>
    <xf numFmtId="167" fontId="11" fillId="2" borderId="5" xfId="0" applyNumberFormat="1" applyFont="1" applyFill="1" applyBorder="1" applyAlignment="1">
      <alignment horizontal="right" vertical="center" wrapText="1"/>
    </xf>
    <xf numFmtId="0" fontId="7" fillId="24" borderId="5" xfId="0" applyFont="1" applyFill="1" applyBorder="1"/>
    <xf numFmtId="167" fontId="6" fillId="24" borderId="5" xfId="0" applyNumberFormat="1" applyFont="1" applyFill="1" applyBorder="1" applyAlignment="1">
      <alignment horizontal="right" vertical="center" wrapText="1"/>
    </xf>
    <xf numFmtId="0" fontId="6" fillId="24" borderId="5" xfId="0" applyFont="1" applyFill="1" applyBorder="1"/>
    <xf numFmtId="167" fontId="7" fillId="24" borderId="5" xfId="0" applyNumberFormat="1" applyFont="1" applyFill="1" applyBorder="1" applyAlignment="1">
      <alignment horizontal="right" vertical="center" wrapText="1"/>
    </xf>
    <xf numFmtId="0" fontId="10" fillId="2" borderId="22" xfId="0" applyFont="1" applyFill="1" applyBorder="1" applyAlignment="1">
      <alignment horizontal="center"/>
    </xf>
    <xf numFmtId="0" fontId="7" fillId="6" borderId="22" xfId="0" applyFont="1" applyFill="1" applyBorder="1"/>
    <xf numFmtId="167" fontId="7" fillId="6" borderId="22" xfId="0" applyNumberFormat="1" applyFont="1" applyFill="1" applyBorder="1" applyAlignment="1">
      <alignment horizontal="right" vertical="center" wrapText="1"/>
    </xf>
    <xf numFmtId="167" fontId="6" fillId="3" borderId="22" xfId="0" applyNumberFormat="1" applyFont="1" applyFill="1" applyBorder="1" applyAlignment="1">
      <alignment horizontal="right" vertical="center" wrapText="1"/>
    </xf>
    <xf numFmtId="167" fontId="11" fillId="2" borderId="49" xfId="0" applyNumberFormat="1" applyFont="1" applyFill="1" applyBorder="1" applyAlignment="1">
      <alignment horizontal="right" vertical="center" wrapText="1"/>
    </xf>
    <xf numFmtId="167" fontId="7" fillId="24" borderId="49" xfId="0" applyNumberFormat="1" applyFont="1" applyFill="1" applyBorder="1" applyAlignment="1">
      <alignment horizontal="right" vertical="center" wrapText="1"/>
    </xf>
    <xf numFmtId="167" fontId="6" fillId="24" borderId="50" xfId="0" applyNumberFormat="1" applyFont="1" applyFill="1" applyBorder="1" applyAlignment="1">
      <alignment horizontal="right" vertical="center" wrapText="1"/>
    </xf>
    <xf numFmtId="0" fontId="26" fillId="15" borderId="0" xfId="0" applyFont="1" applyFill="1" applyAlignment="1">
      <alignment horizontal="center"/>
    </xf>
    <xf numFmtId="0" fontId="10" fillId="15" borderId="0" xfId="0" applyFont="1" applyFill="1" applyAlignment="1">
      <alignment horizontal="center"/>
    </xf>
    <xf numFmtId="0" fontId="26" fillId="42" borderId="0" xfId="0" applyFont="1" applyFill="1" applyAlignment="1">
      <alignment horizontal="center"/>
    </xf>
    <xf numFmtId="0" fontId="10" fillId="42" borderId="0" xfId="0" applyFont="1" applyFill="1" applyAlignment="1">
      <alignment horizontal="center"/>
    </xf>
    <xf numFmtId="0" fontId="38" fillId="16" borderId="0" xfId="0" applyFont="1" applyFill="1" applyAlignment="1">
      <alignment horizontal="center"/>
    </xf>
    <xf numFmtId="0" fontId="39" fillId="16" borderId="0" xfId="0" applyFont="1" applyFill="1" applyAlignment="1">
      <alignment horizontal="center"/>
    </xf>
    <xf numFmtId="3" fontId="10" fillId="43" borderId="0" xfId="0" applyNumberFormat="1" applyFont="1" applyFill="1"/>
    <xf numFmtId="167" fontId="14" fillId="4" borderId="22" xfId="0" applyNumberFormat="1" applyFont="1" applyFill="1" applyBorder="1" applyAlignment="1">
      <alignment horizontal="right" vertical="center" wrapText="1"/>
    </xf>
    <xf numFmtId="3" fontId="16" fillId="3" borderId="22" xfId="0" applyNumberFormat="1" applyFont="1" applyFill="1" applyBorder="1"/>
    <xf numFmtId="3" fontId="16" fillId="3" borderId="23" xfId="0" applyNumberFormat="1" applyFont="1" applyFill="1" applyBorder="1"/>
    <xf numFmtId="0" fontId="26" fillId="17" borderId="21" xfId="0" applyFont="1" applyFill="1" applyBorder="1" applyAlignment="1">
      <alignment horizontal="center"/>
    </xf>
    <xf numFmtId="0" fontId="10" fillId="17" borderId="22" xfId="0" applyFont="1" applyFill="1" applyBorder="1" applyAlignment="1">
      <alignment horizontal="center"/>
    </xf>
    <xf numFmtId="167" fontId="16" fillId="41" borderId="0" xfId="0" applyNumberFormat="1" applyFont="1" applyFill="1" applyAlignment="1">
      <alignment horizontal="right" vertical="center" wrapText="1"/>
    </xf>
    <xf numFmtId="167" fontId="16" fillId="41" borderId="22" xfId="0" applyNumberFormat="1" applyFont="1" applyFill="1" applyBorder="1" applyAlignment="1">
      <alignment horizontal="right" vertical="center" wrapText="1"/>
    </xf>
    <xf numFmtId="167" fontId="16" fillId="41" borderId="23" xfId="0" applyNumberFormat="1" applyFont="1" applyFill="1" applyBorder="1" applyAlignment="1">
      <alignment horizontal="right" vertical="center" wrapText="1"/>
    </xf>
    <xf numFmtId="0" fontId="0" fillId="41" borderId="0" xfId="0" applyFill="1"/>
    <xf numFmtId="168" fontId="10" fillId="22" borderId="0" xfId="0" applyNumberFormat="1" applyFont="1" applyFill="1" applyAlignment="1">
      <alignment horizontal="right" vertical="center" wrapText="1"/>
    </xf>
    <xf numFmtId="0" fontId="10" fillId="2" borderId="16" xfId="1" applyNumberFormat="1" applyFont="1" applyFill="1" applyBorder="1" applyAlignment="1">
      <alignment horizontal="right" vertical="center" wrapText="1"/>
    </xf>
    <xf numFmtId="168" fontId="11" fillId="2" borderId="5" xfId="0" applyNumberFormat="1" applyFont="1" applyFill="1" applyBorder="1" applyAlignment="1">
      <alignment horizontal="right" vertical="center" wrapText="1"/>
    </xf>
    <xf numFmtId="0" fontId="10" fillId="8" borderId="21" xfId="0" applyFont="1" applyFill="1" applyBorder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0" fillId="44" borderId="22" xfId="0" applyFont="1" applyFill="1" applyBorder="1"/>
    <xf numFmtId="167" fontId="10" fillId="44" borderId="22" xfId="0" applyNumberFormat="1" applyFont="1" applyFill="1" applyBorder="1" applyAlignment="1">
      <alignment horizontal="right" vertical="center" wrapText="1"/>
    </xf>
    <xf numFmtId="168" fontId="10" fillId="44" borderId="22" xfId="0" applyNumberFormat="1" applyFont="1" applyFill="1" applyBorder="1" applyAlignment="1">
      <alignment horizontal="right" vertical="center" wrapText="1"/>
    </xf>
    <xf numFmtId="167" fontId="11" fillId="2" borderId="22" xfId="0" applyNumberFormat="1" applyFont="1" applyFill="1" applyBorder="1" applyAlignment="1">
      <alignment horizontal="right" vertical="center" wrapText="1"/>
    </xf>
    <xf numFmtId="168" fontId="11" fillId="2" borderId="22" xfId="0" applyNumberFormat="1" applyFont="1" applyFill="1" applyBorder="1" applyAlignment="1">
      <alignment horizontal="right" vertical="center" wrapText="1"/>
    </xf>
    <xf numFmtId="167" fontId="7" fillId="24" borderId="8" xfId="0" applyNumberFormat="1" applyFont="1" applyFill="1" applyBorder="1" applyAlignment="1">
      <alignment horizontal="right" vertical="center" wrapText="1"/>
    </xf>
    <xf numFmtId="167" fontId="6" fillId="24" borderId="17" xfId="0" applyNumberFormat="1" applyFont="1" applyFill="1" applyBorder="1" applyAlignment="1">
      <alignment horizontal="right" vertical="center" wrapText="1"/>
    </xf>
    <xf numFmtId="167" fontId="6" fillId="24" borderId="23" xfId="0" applyNumberFormat="1" applyFont="1" applyFill="1" applyBorder="1" applyAlignment="1">
      <alignment horizontal="right" vertical="center" wrapText="1"/>
    </xf>
    <xf numFmtId="167" fontId="6" fillId="24" borderId="4" xfId="0" applyNumberFormat="1" applyFont="1" applyFill="1" applyBorder="1" applyAlignment="1">
      <alignment horizontal="right" vertical="center" wrapText="1"/>
    </xf>
    <xf numFmtId="167" fontId="7" fillId="24" borderId="17" xfId="0" applyNumberFormat="1" applyFont="1" applyFill="1" applyBorder="1" applyAlignment="1">
      <alignment horizontal="right" vertical="center" wrapText="1"/>
    </xf>
    <xf numFmtId="168" fontId="11" fillId="17" borderId="51" xfId="0" applyNumberFormat="1" applyFont="1" applyFill="1" applyBorder="1" applyAlignment="1">
      <alignment horizontal="right" vertical="center" wrapText="1"/>
    </xf>
    <xf numFmtId="167" fontId="7" fillId="24" borderId="52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indent="1"/>
    </xf>
    <xf numFmtId="0" fontId="7" fillId="0" borderId="4" xfId="0" applyFont="1" applyBorder="1" applyAlignment="1">
      <alignment horizontal="left" indent="1"/>
    </xf>
    <xf numFmtId="0" fontId="14" fillId="24" borderId="0" xfId="0" applyFont="1" applyFill="1"/>
    <xf numFmtId="0" fontId="14" fillId="24" borderId="0" xfId="0" applyFont="1" applyFill="1" applyAlignment="1">
      <alignment horizontal="center"/>
    </xf>
    <xf numFmtId="0" fontId="0" fillId="45" borderId="0" xfId="0" applyFill="1"/>
    <xf numFmtId="0" fontId="0" fillId="13" borderId="0" xfId="0" applyFill="1"/>
    <xf numFmtId="0" fontId="0" fillId="14" borderId="0" xfId="0" applyFill="1"/>
    <xf numFmtId="0" fontId="0" fillId="46" borderId="0" xfId="0" applyFill="1"/>
    <xf numFmtId="0" fontId="0" fillId="42" borderId="0" xfId="0" applyFill="1"/>
    <xf numFmtId="0" fontId="18" fillId="41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14" borderId="4" xfId="0" applyFill="1" applyBorder="1"/>
    <xf numFmtId="0" fontId="0" fillId="46" borderId="4" xfId="0" applyFill="1" applyBorder="1"/>
    <xf numFmtId="0" fontId="0" fillId="45" borderId="4" xfId="0" applyFill="1" applyBorder="1"/>
    <xf numFmtId="0" fontId="0" fillId="13" borderId="4" xfId="0" applyFill="1" applyBorder="1"/>
    <xf numFmtId="173" fontId="2" fillId="8" borderId="0" xfId="0" applyNumberFormat="1" applyFont="1" applyFill="1" applyAlignment="1">
      <alignment horizontal="center"/>
    </xf>
    <xf numFmtId="0" fontId="0" fillId="47" borderId="0" xfId="0" applyFill="1"/>
    <xf numFmtId="0" fontId="40" fillId="20" borderId="0" xfId="0" applyFont="1" applyFill="1"/>
    <xf numFmtId="0" fontId="40" fillId="20" borderId="0" xfId="0" applyFont="1" applyFill="1" applyAlignment="1">
      <alignment horizontal="left"/>
    </xf>
    <xf numFmtId="0" fontId="3" fillId="20" borderId="17" xfId="0" applyFont="1" applyFill="1" applyBorder="1" applyAlignment="1">
      <alignment horizontal="center"/>
    </xf>
    <xf numFmtId="0" fontId="0" fillId="47" borderId="4" xfId="0" applyFill="1" applyBorder="1"/>
    <xf numFmtId="0" fontId="4" fillId="38" borderId="0" xfId="0" applyFont="1" applyFill="1"/>
    <xf numFmtId="0" fontId="0" fillId="11" borderId="21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4" fillId="44" borderId="17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  <xf numFmtId="3" fontId="14" fillId="0" borderId="0" xfId="0" applyNumberFormat="1" applyFont="1"/>
    <xf numFmtId="0" fontId="10" fillId="0" borderId="0" xfId="0" applyFont="1"/>
    <xf numFmtId="3" fontId="10" fillId="0" borderId="0" xfId="0" applyNumberFormat="1" applyFont="1"/>
    <xf numFmtId="3" fontId="6" fillId="0" borderId="0" xfId="0" applyNumberFormat="1" applyFont="1"/>
    <xf numFmtId="0" fontId="13" fillId="0" borderId="0" xfId="0" applyFont="1"/>
    <xf numFmtId="0" fontId="4" fillId="15" borderId="0" xfId="0" applyFont="1" applyFill="1"/>
    <xf numFmtId="0" fontId="41" fillId="4" borderId="0" xfId="0" applyFont="1" applyFill="1"/>
    <xf numFmtId="0" fontId="42" fillId="4" borderId="0" xfId="0" quotePrefix="1" applyFont="1" applyFill="1" applyAlignment="1">
      <alignment horizontal="center"/>
    </xf>
    <xf numFmtId="167" fontId="10" fillId="15" borderId="2" xfId="0" applyNumberFormat="1" applyFont="1" applyFill="1" applyBorder="1"/>
    <xf numFmtId="0" fontId="7" fillId="25" borderId="16" xfId="0" applyFont="1" applyFill="1" applyBorder="1"/>
    <xf numFmtId="0" fontId="7" fillId="25" borderId="5" xfId="0" applyFont="1" applyFill="1" applyBorder="1"/>
    <xf numFmtId="0" fontId="10" fillId="25" borderId="5" xfId="0" applyFont="1" applyFill="1" applyBorder="1"/>
    <xf numFmtId="0" fontId="11" fillId="2" borderId="24" xfId="0" applyFont="1" applyFill="1" applyBorder="1"/>
    <xf numFmtId="0" fontId="10" fillId="2" borderId="25" xfId="0" applyFont="1" applyFill="1" applyBorder="1"/>
    <xf numFmtId="0" fontId="10" fillId="2" borderId="26" xfId="0" applyFont="1" applyFill="1" applyBorder="1"/>
    <xf numFmtId="0" fontId="6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left"/>
    </xf>
    <xf numFmtId="0" fontId="6" fillId="4" borderId="31" xfId="0" applyFont="1" applyFill="1" applyBorder="1"/>
    <xf numFmtId="0" fontId="7" fillId="4" borderId="30" xfId="0" applyFont="1" applyFill="1" applyBorder="1" applyAlignment="1">
      <alignment horizontal="left"/>
    </xf>
    <xf numFmtId="3" fontId="7" fillId="4" borderId="31" xfId="0" applyNumberFormat="1" applyFont="1" applyFill="1" applyBorder="1"/>
    <xf numFmtId="167" fontId="7" fillId="4" borderId="31" xfId="0" applyNumberFormat="1" applyFont="1" applyFill="1" applyBorder="1"/>
    <xf numFmtId="167" fontId="7" fillId="4" borderId="46" xfId="0" applyNumberFormat="1" applyFont="1" applyFill="1" applyBorder="1"/>
    <xf numFmtId="0" fontId="6" fillId="3" borderId="30" xfId="0" applyFont="1" applyFill="1" applyBorder="1" applyAlignment="1">
      <alignment horizontal="left"/>
    </xf>
    <xf numFmtId="3" fontId="6" fillId="3" borderId="31" xfId="0" applyNumberFormat="1" applyFont="1" applyFill="1" applyBorder="1"/>
    <xf numFmtId="167" fontId="6" fillId="3" borderId="31" xfId="0" applyNumberFormat="1" applyFont="1" applyFill="1" applyBorder="1"/>
    <xf numFmtId="0" fontId="0" fillId="4" borderId="30" xfId="0" applyFill="1" applyBorder="1"/>
    <xf numFmtId="0" fontId="0" fillId="4" borderId="31" xfId="0" applyFill="1" applyBorder="1"/>
    <xf numFmtId="3" fontId="6" fillId="4" borderId="46" xfId="0" applyNumberFormat="1" applyFont="1" applyFill="1" applyBorder="1"/>
    <xf numFmtId="0" fontId="6" fillId="3" borderId="27" xfId="0" applyFont="1" applyFill="1" applyBorder="1" applyAlignment="1">
      <alignment horizontal="left"/>
    </xf>
    <xf numFmtId="3" fontId="7" fillId="3" borderId="28" xfId="0" applyNumberFormat="1" applyFont="1" applyFill="1" applyBorder="1"/>
    <xf numFmtId="0" fontId="6" fillId="3" borderId="28" xfId="0" applyFont="1" applyFill="1" applyBorder="1"/>
    <xf numFmtId="3" fontId="6" fillId="3" borderId="29" xfId="0" applyNumberFormat="1" applyFont="1" applyFill="1" applyBorder="1"/>
    <xf numFmtId="0" fontId="6" fillId="23" borderId="30" xfId="0" applyFont="1" applyFill="1" applyBorder="1" applyAlignment="1">
      <alignment horizontal="center"/>
    </xf>
    <xf numFmtId="0" fontId="6" fillId="23" borderId="0" xfId="0" applyFont="1" applyFill="1" applyAlignment="1">
      <alignment horizontal="center"/>
    </xf>
    <xf numFmtId="0" fontId="7" fillId="23" borderId="0" xfId="0" applyFont="1" applyFill="1"/>
    <xf numFmtId="0" fontId="6" fillId="23" borderId="31" xfId="0" applyFont="1" applyFill="1" applyBorder="1" applyAlignment="1">
      <alignment horizontal="center"/>
    </xf>
    <xf numFmtId="0" fontId="6" fillId="23" borderId="30" xfId="0" applyFont="1" applyFill="1" applyBorder="1" applyAlignment="1">
      <alignment horizontal="left"/>
    </xf>
    <xf numFmtId="0" fontId="6" fillId="23" borderId="0" xfId="0" applyFont="1" applyFill="1"/>
    <xf numFmtId="0" fontId="6" fillId="23" borderId="31" xfId="0" applyFont="1" applyFill="1" applyBorder="1"/>
    <xf numFmtId="0" fontId="7" fillId="23" borderId="30" xfId="0" applyFont="1" applyFill="1" applyBorder="1" applyAlignment="1">
      <alignment horizontal="left"/>
    </xf>
    <xf numFmtId="3" fontId="7" fillId="23" borderId="0" xfId="0" applyNumberFormat="1" applyFont="1" applyFill="1"/>
    <xf numFmtId="3" fontId="7" fillId="23" borderId="31" xfId="0" applyNumberFormat="1" applyFont="1" applyFill="1" applyBorder="1"/>
    <xf numFmtId="0" fontId="44" fillId="15" borderId="0" xfId="3" quotePrefix="1" applyFont="1" applyFill="1"/>
    <xf numFmtId="167" fontId="6" fillId="6" borderId="0" xfId="0" applyNumberFormat="1" applyFont="1" applyFill="1"/>
    <xf numFmtId="0" fontId="7" fillId="0" borderId="7" xfId="0" applyFont="1" applyBorder="1"/>
    <xf numFmtId="167" fontId="7" fillId="0" borderId="9" xfId="0" applyNumberFormat="1" applyFont="1" applyBorder="1"/>
    <xf numFmtId="0" fontId="7" fillId="0" borderId="10" xfId="0" applyFont="1" applyBorder="1"/>
    <xf numFmtId="167" fontId="7" fillId="0" borderId="11" xfId="0" applyNumberFormat="1" applyFont="1" applyBorder="1"/>
    <xf numFmtId="167" fontId="7" fillId="0" borderId="12" xfId="0" applyNumberFormat="1" applyFont="1" applyBorder="1"/>
    <xf numFmtId="0" fontId="45" fillId="44" borderId="0" xfId="0" applyFont="1" applyFill="1"/>
    <xf numFmtId="0" fontId="46" fillId="44" borderId="0" xfId="0" applyFont="1" applyFill="1"/>
    <xf numFmtId="3" fontId="7" fillId="2" borderId="0" xfId="0" applyNumberFormat="1" applyFont="1" applyFill="1"/>
    <xf numFmtId="0" fontId="3" fillId="2" borderId="0" xfId="0" applyFont="1" applyFill="1" applyAlignment="1">
      <alignment horizontal="center"/>
    </xf>
    <xf numFmtId="167" fontId="7" fillId="32" borderId="11" xfId="0" applyNumberFormat="1" applyFont="1" applyFill="1" applyBorder="1" applyAlignment="1">
      <alignment horizontal="right" vertical="center" wrapText="1"/>
    </xf>
    <xf numFmtId="0" fontId="7" fillId="48" borderId="9" xfId="0" applyFont="1" applyFill="1" applyBorder="1" applyAlignment="1">
      <alignment horizontal="center" vertical="center" wrapText="1"/>
    </xf>
    <xf numFmtId="0" fontId="7" fillId="48" borderId="11" xfId="0" applyFont="1" applyFill="1" applyBorder="1" applyAlignment="1">
      <alignment horizontal="center" vertical="center" wrapText="1"/>
    </xf>
    <xf numFmtId="0" fontId="7" fillId="48" borderId="12" xfId="0" applyFont="1" applyFill="1" applyBorder="1" applyAlignment="1">
      <alignment horizontal="center" vertical="center" wrapText="1"/>
    </xf>
    <xf numFmtId="0" fontId="14" fillId="48" borderId="10" xfId="0" applyFont="1" applyFill="1" applyBorder="1"/>
    <xf numFmtId="0" fontId="14" fillId="48" borderId="0" xfId="0" applyFont="1" applyFill="1"/>
    <xf numFmtId="3" fontId="14" fillId="48" borderId="0" xfId="0" applyNumberFormat="1" applyFont="1" applyFill="1"/>
    <xf numFmtId="3" fontId="16" fillId="4" borderId="0" xfId="0" applyNumberFormat="1" applyFont="1" applyFill="1" applyAlignment="1">
      <alignment horizontal="center"/>
    </xf>
    <xf numFmtId="168" fontId="10" fillId="44" borderId="13" xfId="0" applyNumberFormat="1" applyFont="1" applyFill="1" applyBorder="1" applyAlignment="1">
      <alignment horizontal="right" vertical="center" wrapText="1"/>
    </xf>
    <xf numFmtId="168" fontId="10" fillId="7" borderId="1" xfId="0" applyNumberFormat="1" applyFont="1" applyFill="1" applyBorder="1" applyAlignment="1">
      <alignment horizontal="right" vertical="center" wrapText="1"/>
    </xf>
    <xf numFmtId="168" fontId="10" fillId="8" borderId="16" xfId="0" applyNumberFormat="1" applyFont="1" applyFill="1" applyBorder="1" applyAlignment="1">
      <alignment horizontal="right" vertical="center" wrapText="1"/>
    </xf>
    <xf numFmtId="168" fontId="10" fillId="44" borderId="5" xfId="0" applyNumberFormat="1" applyFont="1" applyFill="1" applyBorder="1" applyAlignment="1">
      <alignment horizontal="right" vertical="center" wrapText="1"/>
    </xf>
    <xf numFmtId="168" fontId="10" fillId="7" borderId="16" xfId="0" applyNumberFormat="1" applyFont="1" applyFill="1" applyBorder="1" applyAlignment="1">
      <alignment horizontal="right" vertical="center" wrapText="1"/>
    </xf>
    <xf numFmtId="0" fontId="7" fillId="0" borderId="16" xfId="0" applyFont="1" applyBorder="1"/>
    <xf numFmtId="0" fontId="7" fillId="0" borderId="5" xfId="0" applyFont="1" applyBorder="1"/>
    <xf numFmtId="167" fontId="7" fillId="0" borderId="13" xfId="0" applyNumberFormat="1" applyFont="1" applyBorder="1"/>
    <xf numFmtId="0" fontId="6" fillId="32" borderId="10" xfId="0" applyFont="1" applyFill="1" applyBorder="1" applyAlignment="1">
      <alignment horizontal="left"/>
    </xf>
    <xf numFmtId="0" fontId="6" fillId="32" borderId="0" xfId="0" applyFont="1" applyFill="1" applyAlignment="1">
      <alignment horizontal="left"/>
    </xf>
    <xf numFmtId="167" fontId="6" fillId="32" borderId="11" xfId="0" applyNumberFormat="1" applyFont="1" applyFill="1" applyBorder="1"/>
    <xf numFmtId="166" fontId="6" fillId="21" borderId="8" xfId="1" applyNumberFormat="1" applyFont="1" applyFill="1" applyBorder="1" applyAlignment="1">
      <alignment horizontal="center"/>
    </xf>
    <xf numFmtId="166" fontId="6" fillId="21" borderId="0" xfId="1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11" fillId="28" borderId="16" xfId="0" applyFont="1" applyFill="1" applyBorder="1" applyAlignment="1">
      <alignment horizontal="center"/>
    </xf>
    <xf numFmtId="0" fontId="11" fillId="28" borderId="13" xfId="0" applyFont="1" applyFill="1" applyBorder="1" applyAlignment="1">
      <alignment horizontal="center"/>
    </xf>
    <xf numFmtId="0" fontId="6" fillId="3" borderId="45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6" fillId="3" borderId="53" xfId="0" applyFont="1" applyFill="1" applyBorder="1" applyAlignment="1">
      <alignment horizontal="center"/>
    </xf>
    <xf numFmtId="0" fontId="6" fillId="30" borderId="16" xfId="0" applyFont="1" applyFill="1" applyBorder="1" applyAlignment="1">
      <alignment horizontal="center"/>
    </xf>
    <xf numFmtId="0" fontId="6" fillId="30" borderId="13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11" fillId="8" borderId="0" xfId="0" applyFont="1" applyFill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0" xfId="0" applyFont="1" applyFill="1" applyAlignment="1">
      <alignment horizontal="center"/>
    </xf>
    <xf numFmtId="0" fontId="10" fillId="8" borderId="11" xfId="0" applyFont="1" applyFill="1" applyBorder="1" applyAlignment="1">
      <alignment horizontal="center"/>
    </xf>
    <xf numFmtId="3" fontId="10" fillId="8" borderId="14" xfId="0" applyNumberFormat="1" applyFont="1" applyFill="1" applyBorder="1" applyAlignment="1">
      <alignment horizontal="center"/>
    </xf>
    <xf numFmtId="3" fontId="10" fillId="8" borderId="4" xfId="0" applyNumberFormat="1" applyFont="1" applyFill="1" applyBorder="1" applyAlignment="1">
      <alignment horizontal="center"/>
    </xf>
    <xf numFmtId="3" fontId="10" fillId="8" borderId="12" xfId="0" applyNumberFormat="1" applyFont="1" applyFill="1" applyBorder="1" applyAlignment="1">
      <alignment horizontal="center"/>
    </xf>
    <xf numFmtId="3" fontId="11" fillId="8" borderId="10" xfId="0" applyNumberFormat="1" applyFont="1" applyFill="1" applyBorder="1" applyAlignment="1">
      <alignment horizontal="center"/>
    </xf>
    <xf numFmtId="3" fontId="11" fillId="8" borderId="0" xfId="0" applyNumberFormat="1" applyFont="1" applyFill="1" applyAlignment="1">
      <alignment horizontal="center"/>
    </xf>
    <xf numFmtId="3" fontId="11" fillId="8" borderId="11" xfId="0" applyNumberFormat="1" applyFont="1" applyFill="1" applyBorder="1" applyAlignment="1">
      <alignment horizontal="center"/>
    </xf>
    <xf numFmtId="3" fontId="11" fillId="8" borderId="7" xfId="0" applyNumberFormat="1" applyFont="1" applyFill="1" applyBorder="1" applyAlignment="1">
      <alignment horizontal="center"/>
    </xf>
    <xf numFmtId="3" fontId="11" fillId="8" borderId="8" xfId="0" applyNumberFormat="1" applyFont="1" applyFill="1" applyBorder="1" applyAlignment="1">
      <alignment horizontal="center"/>
    </xf>
    <xf numFmtId="3" fontId="11" fillId="8" borderId="9" xfId="0" applyNumberFormat="1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0" fontId="11" fillId="8" borderId="9" xfId="0" applyFont="1" applyFill="1" applyBorder="1" applyAlignment="1">
      <alignment horizontal="center"/>
    </xf>
    <xf numFmtId="0" fontId="29" fillId="3" borderId="25" xfId="0" applyFont="1" applyFill="1" applyBorder="1" applyAlignment="1">
      <alignment horizontal="center"/>
    </xf>
    <xf numFmtId="0" fontId="29" fillId="3" borderId="6" xfId="0" applyFont="1" applyFill="1" applyBorder="1" applyAlignment="1">
      <alignment horizontal="center"/>
    </xf>
    <xf numFmtId="0" fontId="29" fillId="3" borderId="38" xfId="0" applyFont="1" applyFill="1" applyBorder="1" applyAlignment="1">
      <alignment horizontal="center"/>
    </xf>
    <xf numFmtId="0" fontId="29" fillId="3" borderId="36" xfId="0" applyFont="1" applyFill="1" applyBorder="1" applyAlignment="1">
      <alignment horizontal="center"/>
    </xf>
    <xf numFmtId="0" fontId="29" fillId="3" borderId="33" xfId="0" applyFont="1" applyFill="1" applyBorder="1" applyAlignment="1">
      <alignment horizontal="center"/>
    </xf>
    <xf numFmtId="0" fontId="29" fillId="3" borderId="8" xfId="0" applyFont="1" applyFill="1" applyBorder="1" applyAlignment="1">
      <alignment horizontal="center"/>
    </xf>
    <xf numFmtId="0" fontId="29" fillId="3" borderId="0" xfId="0" applyFont="1" applyFill="1" applyAlignment="1">
      <alignment horizontal="center"/>
    </xf>
    <xf numFmtId="0" fontId="29" fillId="3" borderId="7" xfId="0" applyFont="1" applyFill="1" applyBorder="1" applyAlignment="1">
      <alignment horizontal="center"/>
    </xf>
    <xf numFmtId="0" fontId="29" fillId="3" borderId="9" xfId="0" applyFont="1" applyFill="1" applyBorder="1" applyAlignment="1">
      <alignment horizontal="center"/>
    </xf>
    <xf numFmtId="167" fontId="10" fillId="2" borderId="0" xfId="0" applyNumberFormat="1" applyFont="1" applyFill="1" applyAlignment="1">
      <alignment horizontal="center" vertical="center" wrapText="1"/>
    </xf>
    <xf numFmtId="0" fontId="16" fillId="23" borderId="16" xfId="0" applyFont="1" applyFill="1" applyBorder="1" applyAlignment="1">
      <alignment horizontal="center"/>
    </xf>
    <xf numFmtId="0" fontId="16" fillId="23" borderId="5" xfId="0" applyFont="1" applyFill="1" applyBorder="1" applyAlignment="1">
      <alignment horizontal="center"/>
    </xf>
    <xf numFmtId="0" fontId="16" fillId="23" borderId="13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10" fillId="40" borderId="10" xfId="0" applyFont="1" applyFill="1" applyBorder="1" applyAlignment="1">
      <alignment horizontal="center"/>
    </xf>
    <xf numFmtId="0" fontId="10" fillId="40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0" fillId="17" borderId="16" xfId="0" applyFont="1" applyFill="1" applyBorder="1" applyAlignment="1">
      <alignment horizontal="center"/>
    </xf>
    <xf numFmtId="0" fontId="10" fillId="17" borderId="13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0" fillId="35" borderId="16" xfId="0" applyFont="1" applyFill="1" applyBorder="1" applyAlignment="1">
      <alignment horizontal="center"/>
    </xf>
    <xf numFmtId="0" fontId="10" fillId="35" borderId="5" xfId="0" applyFont="1" applyFill="1" applyBorder="1" applyAlignment="1">
      <alignment horizontal="center"/>
    </xf>
    <xf numFmtId="0" fontId="10" fillId="8" borderId="16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0" fillId="8" borderId="13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11" fillId="8" borderId="4" xfId="0" applyFont="1" applyFill="1" applyBorder="1" applyAlignment="1">
      <alignment horizontal="center"/>
    </xf>
    <xf numFmtId="0" fontId="11" fillId="8" borderId="12" xfId="0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49" fontId="14" fillId="4" borderId="0" xfId="0" applyNumberFormat="1" applyFont="1" applyFill="1" applyAlignment="1">
      <alignment horizontal="center" vertical="center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14" fillId="24" borderId="4" xfId="0" applyFont="1" applyFill="1" applyBorder="1" applyAlignment="1">
      <alignment horizontal="center"/>
    </xf>
    <xf numFmtId="0" fontId="4" fillId="38" borderId="0" xfId="0" applyFont="1" applyFill="1" applyAlignment="1">
      <alignment horizontal="left"/>
    </xf>
    <xf numFmtId="0" fontId="18" fillId="24" borderId="0" xfId="0" applyFont="1" applyFill="1" applyAlignment="1">
      <alignment horizontal="center"/>
    </xf>
    <xf numFmtId="0" fontId="0" fillId="19" borderId="0" xfId="0" applyFill="1" applyAlignment="1">
      <alignment horizontal="center"/>
    </xf>
    <xf numFmtId="0" fontId="4" fillId="17" borderId="0" xfId="0" applyFont="1" applyFill="1" applyAlignment="1">
      <alignment horizontal="center"/>
    </xf>
    <xf numFmtId="0" fontId="4" fillId="38" borderId="0" xfId="0" applyFont="1" applyFill="1" applyAlignment="1">
      <alignment horizontal="center"/>
    </xf>
    <xf numFmtId="0" fontId="0" fillId="19" borderId="0" xfId="0" applyFill="1" applyAlignment="1">
      <alignment horizontal="left"/>
    </xf>
    <xf numFmtId="0" fontId="4" fillId="17" borderId="0" xfId="0" applyFont="1" applyFill="1" applyAlignment="1">
      <alignment horizontal="left"/>
    </xf>
    <xf numFmtId="0" fontId="11" fillId="2" borderId="1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11" xfId="0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3" fontId="7" fillId="3" borderId="12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3" fontId="6" fillId="3" borderId="7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center"/>
    </xf>
    <xf numFmtId="3" fontId="6" fillId="3" borderId="9" xfId="0" applyNumberFormat="1" applyFont="1" applyFill="1" applyBorder="1" applyAlignment="1">
      <alignment horizontal="center"/>
    </xf>
    <xf numFmtId="3" fontId="6" fillId="3" borderId="10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3" fontId="6" fillId="3" borderId="11" xfId="0" applyNumberFormat="1" applyFont="1" applyFill="1" applyBorder="1" applyAlignment="1">
      <alignment horizontal="center"/>
    </xf>
    <xf numFmtId="0" fontId="11" fillId="22" borderId="21" xfId="0" applyFont="1" applyFill="1" applyBorder="1" applyAlignment="1">
      <alignment horizontal="center"/>
    </xf>
    <xf numFmtId="0" fontId="10" fillId="22" borderId="22" xfId="0" applyFont="1" applyFill="1" applyBorder="1" applyAlignment="1">
      <alignment horizontal="center"/>
    </xf>
    <xf numFmtId="0" fontId="16" fillId="4" borderId="22" xfId="0" applyFont="1" applyFill="1" applyBorder="1" applyAlignment="1">
      <alignment horizontal="center"/>
    </xf>
    <xf numFmtId="3" fontId="14" fillId="4" borderId="22" xfId="0" applyNumberFormat="1" applyFont="1" applyFill="1" applyBorder="1"/>
    <xf numFmtId="0" fontId="16" fillId="4" borderId="22" xfId="0" applyFont="1" applyFill="1" applyBorder="1"/>
    <xf numFmtId="0" fontId="14" fillId="4" borderId="22" xfId="0" applyFont="1" applyFill="1" applyBorder="1"/>
    <xf numFmtId="0" fontId="11" fillId="22" borderId="22" xfId="0" applyFont="1" applyFill="1" applyBorder="1" applyAlignment="1">
      <alignment horizontal="center"/>
    </xf>
    <xf numFmtId="3" fontId="16" fillId="4" borderId="22" xfId="0" applyNumberFormat="1" applyFont="1" applyFill="1" applyBorder="1"/>
    <xf numFmtId="0" fontId="14" fillId="5" borderId="15" xfId="0" applyFont="1" applyFill="1" applyBorder="1"/>
    <xf numFmtId="167" fontId="7" fillId="5" borderId="15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horizontal="center"/>
    </xf>
    <xf numFmtId="3" fontId="14" fillId="46" borderId="22" xfId="0" applyNumberFormat="1" applyFont="1" applyFill="1" applyBorder="1"/>
    <xf numFmtId="167" fontId="7" fillId="49" borderId="15" xfId="0" applyNumberFormat="1" applyFont="1" applyFill="1" applyBorder="1" applyAlignment="1">
      <alignment horizontal="right" vertical="center" wrapText="1"/>
    </xf>
    <xf numFmtId="0" fontId="6" fillId="6" borderId="24" xfId="0" applyFont="1" applyFill="1" applyBorder="1"/>
    <xf numFmtId="167" fontId="6" fillId="6" borderId="25" xfId="0" applyNumberFormat="1" applyFont="1" applyFill="1" applyBorder="1"/>
    <xf numFmtId="0" fontId="6" fillId="6" borderId="25" xfId="0" applyFont="1" applyFill="1" applyBorder="1"/>
    <xf numFmtId="0" fontId="6" fillId="6" borderId="25" xfId="0" quotePrefix="1" applyFont="1" applyFill="1" applyBorder="1"/>
    <xf numFmtId="0" fontId="21" fillId="6" borderId="26" xfId="0" applyFont="1" applyFill="1" applyBorder="1"/>
    <xf numFmtId="0" fontId="6" fillId="6" borderId="27" xfId="0" applyFont="1" applyFill="1" applyBorder="1"/>
    <xf numFmtId="167" fontId="6" fillId="6" borderId="28" xfId="0" applyNumberFormat="1" applyFont="1" applyFill="1" applyBorder="1"/>
    <xf numFmtId="0" fontId="3" fillId="6" borderId="28" xfId="0" applyFont="1" applyFill="1" applyBorder="1" applyAlignment="1">
      <alignment horizontal="center"/>
    </xf>
    <xf numFmtId="0" fontId="11" fillId="6" borderId="28" xfId="0" applyFont="1" applyFill="1" applyBorder="1" applyAlignment="1">
      <alignment horizontal="left"/>
    </xf>
    <xf numFmtId="0" fontId="6" fillId="6" borderId="28" xfId="0" applyFont="1" applyFill="1" applyBorder="1"/>
    <xf numFmtId="0" fontId="6" fillId="6" borderId="29" xfId="0" applyFont="1" applyFill="1" applyBorder="1"/>
    <xf numFmtId="167" fontId="7" fillId="19" borderId="15" xfId="0" applyNumberFormat="1" applyFont="1" applyFill="1" applyBorder="1" applyAlignment="1">
      <alignment horizontal="right" vertical="center" wrapText="1"/>
    </xf>
    <xf numFmtId="167" fontId="7" fillId="33" borderId="15" xfId="0" applyNumberFormat="1" applyFont="1" applyFill="1" applyBorder="1" applyAlignment="1">
      <alignment horizontal="right" vertical="center" wrapText="1"/>
    </xf>
    <xf numFmtId="167" fontId="7" fillId="39" borderId="11" xfId="0" applyNumberFormat="1" applyFont="1" applyFill="1" applyBorder="1" applyAlignment="1">
      <alignment horizontal="right" vertical="center" wrapText="1"/>
    </xf>
    <xf numFmtId="167" fontId="6" fillId="46" borderId="15" xfId="0" applyNumberFormat="1" applyFont="1" applyFill="1" applyBorder="1" applyAlignment="1">
      <alignment horizontal="right" vertical="center" wrapText="1"/>
    </xf>
    <xf numFmtId="168" fontId="50" fillId="15" borderId="1" xfId="0" applyNumberFormat="1" applyFont="1" applyFill="1" applyBorder="1" applyAlignment="1">
      <alignment horizontal="right" vertical="center" wrapText="1"/>
    </xf>
    <xf numFmtId="167" fontId="10" fillId="15" borderId="1" xfId="0" applyNumberFormat="1" applyFont="1" applyFill="1" applyBorder="1" applyAlignment="1">
      <alignment horizontal="right" vertical="center" wrapText="1"/>
    </xf>
    <xf numFmtId="0" fontId="14" fillId="5" borderId="10" xfId="0" applyFont="1" applyFill="1" applyBorder="1"/>
    <xf numFmtId="167" fontId="7" fillId="11" borderId="54" xfId="0" applyNumberFormat="1" applyFont="1" applyFill="1" applyBorder="1" applyAlignment="1">
      <alignment horizontal="right" vertical="center" wrapText="1"/>
    </xf>
    <xf numFmtId="167" fontId="7" fillId="11" borderId="55" xfId="0" applyNumberFormat="1" applyFont="1" applyFill="1" applyBorder="1" applyAlignment="1">
      <alignment horizontal="right" vertical="center" wrapText="1"/>
    </xf>
    <xf numFmtId="167" fontId="6" fillId="11" borderId="56" xfId="0" applyNumberFormat="1" applyFont="1" applyFill="1" applyBorder="1" applyAlignment="1">
      <alignment horizontal="right" vertical="center" wrapText="1"/>
    </xf>
    <xf numFmtId="0" fontId="0" fillId="11" borderId="0" xfId="0" applyFill="1"/>
    <xf numFmtId="166" fontId="0" fillId="0" borderId="0" xfId="1" applyNumberFormat="1" applyFont="1"/>
    <xf numFmtId="166" fontId="0" fillId="11" borderId="0" xfId="1" applyNumberFormat="1" applyFont="1" applyFill="1"/>
    <xf numFmtId="166" fontId="0" fillId="0" borderId="0" xfId="0" applyNumberFormat="1"/>
    <xf numFmtId="0" fontId="0" fillId="12" borderId="0" xfId="0" applyFill="1"/>
    <xf numFmtId="166" fontId="0" fillId="12" borderId="0" xfId="1" applyNumberFormat="1" applyFont="1" applyFill="1"/>
    <xf numFmtId="0" fontId="6" fillId="24" borderId="5" xfId="0" applyNumberFormat="1" applyFont="1" applyFill="1" applyBorder="1" applyAlignment="1">
      <alignment horizontal="right" vertical="center" wrapText="1"/>
    </xf>
    <xf numFmtId="0" fontId="47" fillId="12" borderId="0" xfId="0" applyFont="1" applyFill="1"/>
    <xf numFmtId="166" fontId="47" fillId="12" borderId="0" xfId="1" applyNumberFormat="1" applyFont="1" applyFill="1"/>
    <xf numFmtId="167" fontId="7" fillId="49" borderId="11" xfId="0" applyNumberFormat="1" applyFont="1" applyFill="1" applyBorder="1" applyAlignment="1">
      <alignment horizontal="right" vertical="center" wrapText="1"/>
    </xf>
    <xf numFmtId="167" fontId="6" fillId="49" borderId="15" xfId="0" applyNumberFormat="1" applyFont="1" applyFill="1" applyBorder="1" applyAlignment="1">
      <alignment horizontal="right" vertical="center" wrapText="1"/>
    </xf>
    <xf numFmtId="0" fontId="0" fillId="49" borderId="0" xfId="0" applyFill="1"/>
    <xf numFmtId="0" fontId="0" fillId="49" borderId="57" xfId="0" applyFill="1" applyBorder="1"/>
    <xf numFmtId="0" fontId="0" fillId="49" borderId="36" xfId="0" applyFill="1" applyBorder="1"/>
    <xf numFmtId="166" fontId="0" fillId="49" borderId="33" xfId="1" applyNumberFormat="1" applyFont="1" applyFill="1" applyBorder="1"/>
    <xf numFmtId="166" fontId="3" fillId="0" borderId="0" xfId="0" applyNumberFormat="1" applyFont="1"/>
    <xf numFmtId="166" fontId="3" fillId="0" borderId="0" xfId="1" applyNumberFormat="1" applyFont="1"/>
    <xf numFmtId="167" fontId="6" fillId="11" borderId="15" xfId="0" applyNumberFormat="1" applyFont="1" applyFill="1" applyBorder="1" applyAlignment="1">
      <alignment horizontal="right" vertical="center" wrapText="1"/>
    </xf>
    <xf numFmtId="166" fontId="3" fillId="11" borderId="0" xfId="1" applyNumberFormat="1" applyFont="1" applyFill="1"/>
    <xf numFmtId="0" fontId="51" fillId="12" borderId="0" xfId="0" applyFont="1" applyFill="1"/>
    <xf numFmtId="166" fontId="51" fillId="12" borderId="0" xfId="1" applyNumberFormat="1" applyFont="1" applyFill="1"/>
    <xf numFmtId="0" fontId="3" fillId="49" borderId="0" xfId="0" applyFont="1" applyFill="1"/>
    <xf numFmtId="166" fontId="3" fillId="49" borderId="0" xfId="1" applyNumberFormat="1" applyFont="1" applyFill="1"/>
    <xf numFmtId="0" fontId="3" fillId="0" borderId="57" xfId="0" applyFont="1" applyBorder="1"/>
    <xf numFmtId="0" fontId="0" fillId="0" borderId="36" xfId="0" applyBorder="1"/>
    <xf numFmtId="166" fontId="0" fillId="0" borderId="33" xfId="1" applyNumberFormat="1" applyFont="1" applyBorder="1"/>
    <xf numFmtId="0" fontId="3" fillId="0" borderId="36" xfId="0" applyFont="1" applyBorder="1"/>
    <xf numFmtId="166" fontId="3" fillId="0" borderId="33" xfId="1" applyNumberFormat="1" applyFont="1" applyBorder="1"/>
    <xf numFmtId="0" fontId="48" fillId="0" borderId="0" xfId="0" applyFont="1"/>
    <xf numFmtId="0" fontId="3" fillId="11" borderId="57" xfId="0" applyFont="1" applyFill="1" applyBorder="1"/>
    <xf numFmtId="0" fontId="0" fillId="11" borderId="36" xfId="0" applyFill="1" applyBorder="1"/>
    <xf numFmtId="166" fontId="0" fillId="11" borderId="33" xfId="1" applyNumberFormat="1" applyFont="1" applyFill="1" applyBorder="1"/>
    <xf numFmtId="0" fontId="3" fillId="11" borderId="36" xfId="0" applyFont="1" applyFill="1" applyBorder="1"/>
    <xf numFmtId="166" fontId="3" fillId="11" borderId="33" xfId="1" applyNumberFormat="1" applyFont="1" applyFill="1" applyBorder="1"/>
    <xf numFmtId="0" fontId="16" fillId="11" borderId="0" xfId="0" applyFont="1" applyFill="1"/>
    <xf numFmtId="0" fontId="16" fillId="11" borderId="0" xfId="0" applyFont="1" applyFill="1" applyAlignment="1">
      <alignment horizontal="center"/>
    </xf>
    <xf numFmtId="0" fontId="16" fillId="11" borderId="22" xfId="0" applyFont="1" applyFill="1" applyBorder="1" applyAlignment="1">
      <alignment horizontal="center"/>
    </xf>
    <xf numFmtId="0" fontId="3" fillId="11" borderId="0" xfId="0" applyFont="1" applyFill="1" applyAlignment="1">
      <alignment horizontal="center"/>
    </xf>
    <xf numFmtId="0" fontId="14" fillId="11" borderId="15" xfId="0" applyFont="1" applyFill="1" applyBorder="1"/>
    <xf numFmtId="0" fontId="14" fillId="11" borderId="0" xfId="0" applyFont="1" applyFill="1"/>
    <xf numFmtId="3" fontId="14" fillId="11" borderId="0" xfId="0" applyNumberFormat="1" applyFont="1" applyFill="1"/>
    <xf numFmtId="3" fontId="14" fillId="11" borderId="22" xfId="0" applyNumberFormat="1" applyFont="1" applyFill="1" applyBorder="1"/>
    <xf numFmtId="167" fontId="7" fillId="11" borderId="0" xfId="0" applyNumberFormat="1" applyFont="1" applyFill="1" applyAlignment="1">
      <alignment horizontal="right" vertical="center" wrapText="1"/>
    </xf>
    <xf numFmtId="0" fontId="14" fillId="11" borderId="0" xfId="0" applyFont="1" applyFill="1" applyAlignment="1">
      <alignment horizontal="center"/>
    </xf>
    <xf numFmtId="0" fontId="14" fillId="11" borderId="22" xfId="0" applyFont="1" applyFill="1" applyBorder="1" applyAlignment="1">
      <alignment horizontal="center"/>
    </xf>
    <xf numFmtId="0" fontId="52" fillId="0" borderId="0" xfId="0" quotePrefix="1" applyFont="1"/>
    <xf numFmtId="0" fontId="0" fillId="0" borderId="0" xfId="0" applyFill="1"/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0</xdr:row>
      <xdr:rowOff>0</xdr:rowOff>
    </xdr:from>
    <xdr:to>
      <xdr:col>15</xdr:col>
      <xdr:colOff>219075</xdr:colOff>
      <xdr:row>26</xdr:row>
      <xdr:rowOff>2737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5BB36D-156E-4465-AAA2-955A52506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0500"/>
          <a:ext cx="7839075" cy="4955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1012032</xdr:colOff>
      <xdr:row>116</xdr:row>
      <xdr:rowOff>163693</xdr:rowOff>
    </xdr:from>
    <xdr:to>
      <xdr:col>15</xdr:col>
      <xdr:colOff>684610</xdr:colOff>
      <xdr:row>137</xdr:row>
      <xdr:rowOff>65215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227" y="27071818"/>
          <a:ext cx="11340703" cy="4902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833438</xdr:colOff>
      <xdr:row>137</xdr:row>
      <xdr:rowOff>133946</xdr:rowOff>
    </xdr:from>
    <xdr:to>
      <xdr:col>15</xdr:col>
      <xdr:colOff>654844</xdr:colOff>
      <xdr:row>153</xdr:row>
      <xdr:rowOff>208359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633" y="32042696"/>
          <a:ext cx="11489531" cy="3884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1071562</xdr:colOff>
      <xdr:row>154</xdr:row>
      <xdr:rowOff>59529</xdr:rowOff>
    </xdr:from>
    <xdr:to>
      <xdr:col>15</xdr:col>
      <xdr:colOff>773907</xdr:colOff>
      <xdr:row>171</xdr:row>
      <xdr:rowOff>61007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1757" y="36016404"/>
          <a:ext cx="11370470" cy="404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759024</xdr:colOff>
      <xdr:row>165</xdr:row>
      <xdr:rowOff>104180</xdr:rowOff>
    </xdr:from>
    <xdr:to>
      <xdr:col>2</xdr:col>
      <xdr:colOff>1041797</xdr:colOff>
      <xdr:row>166</xdr:row>
      <xdr:rowOff>119063</xdr:rowOff>
    </xdr:to>
    <xdr:sp macro="" textlink="">
      <xdr:nvSpPr>
        <xdr:cNvPr id="8" name="Flecha a la derecha con muesca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1369219" y="38680430"/>
          <a:ext cx="282773" cy="253008"/>
        </a:xfrm>
        <a:prstGeom prst="notchedRigh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55493</xdr:rowOff>
    </xdr:from>
    <xdr:to>
      <xdr:col>6</xdr:col>
      <xdr:colOff>366192</xdr:colOff>
      <xdr:row>106</xdr:row>
      <xdr:rowOff>113688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C0ED1E-5315-F204-E08B-C0A211F67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876893"/>
          <a:ext cx="5252517" cy="7487695"/>
        </a:xfrm>
        <a:prstGeom prst="rect">
          <a:avLst/>
        </a:prstGeom>
      </xdr:spPr>
    </xdr:pic>
    <xdr:clientData/>
  </xdr:twoCellAnchor>
  <xdr:twoCellAnchor editAs="oneCell">
    <xdr:from>
      <xdr:col>6</xdr:col>
      <xdr:colOff>623608</xdr:colOff>
      <xdr:row>67</xdr:row>
      <xdr:rowOff>47065</xdr:rowOff>
    </xdr:from>
    <xdr:to>
      <xdr:col>13</xdr:col>
      <xdr:colOff>552108</xdr:colOff>
      <xdr:row>106</xdr:row>
      <xdr:rowOff>112059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7281A7-B961-9B6F-9E32-427CA0C75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9373" y="18895359"/>
          <a:ext cx="5262500" cy="7494494"/>
        </a:xfrm>
        <a:prstGeom prst="rect">
          <a:avLst/>
        </a:prstGeom>
      </xdr:spPr>
    </xdr:pic>
    <xdr:clientData/>
  </xdr:twoCellAnchor>
  <xdr:twoCellAnchor editAs="oneCell">
    <xdr:from>
      <xdr:col>13</xdr:col>
      <xdr:colOff>728382</xdr:colOff>
      <xdr:row>67</xdr:row>
      <xdr:rowOff>11206</xdr:rowOff>
    </xdr:from>
    <xdr:to>
      <xdr:col>20</xdr:col>
      <xdr:colOff>652916</xdr:colOff>
      <xdr:row>106</xdr:row>
      <xdr:rowOff>21769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15F7C2-4B30-F682-B1F0-2CEDCFEA0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48147" y="18859500"/>
          <a:ext cx="5258534" cy="7440063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156882</xdr:colOff>
      <xdr:row>141</xdr:row>
      <xdr:rowOff>179294</xdr:rowOff>
    </xdr:from>
    <xdr:to>
      <xdr:col>10</xdr:col>
      <xdr:colOff>537882</xdr:colOff>
      <xdr:row>170</xdr:row>
      <xdr:rowOff>64400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177A3E8-ACBE-35CF-0811-7C83E055A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6882" y="33124588"/>
          <a:ext cx="8314765" cy="5409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11906</xdr:colOff>
      <xdr:row>8</xdr:row>
      <xdr:rowOff>35719</xdr:rowOff>
    </xdr:from>
    <xdr:to>
      <xdr:col>22</xdr:col>
      <xdr:colOff>231321</xdr:colOff>
      <xdr:row>25</xdr:row>
      <xdr:rowOff>0</xdr:rowOff>
    </xdr:to>
    <xdr:sp macro="" textlink="">
      <xdr:nvSpPr>
        <xdr:cNvPr id="2" name="Cerrar llav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9635906" y="1586933"/>
          <a:ext cx="219415" cy="4590710"/>
        </a:xfrm>
        <a:prstGeom prst="righ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71</xdr:col>
      <xdr:colOff>68036</xdr:colOff>
      <xdr:row>8</xdr:row>
      <xdr:rowOff>0</xdr:rowOff>
    </xdr:from>
    <xdr:to>
      <xdr:col>71</xdr:col>
      <xdr:colOff>285750</xdr:colOff>
      <xdr:row>16</xdr:row>
      <xdr:rowOff>258536</xdr:rowOff>
    </xdr:to>
    <xdr:sp macro="" textlink="">
      <xdr:nvSpPr>
        <xdr:cNvPr id="4" name="Cerrar llav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3617143" y="1850571"/>
          <a:ext cx="217714" cy="243567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70758</xdr:colOff>
      <xdr:row>17</xdr:row>
      <xdr:rowOff>43542</xdr:rowOff>
    </xdr:from>
    <xdr:to>
      <xdr:col>71</xdr:col>
      <xdr:colOff>258536</xdr:colOff>
      <xdr:row>25</xdr:row>
      <xdr:rowOff>0</xdr:rowOff>
    </xdr:to>
    <xdr:sp macro="" textlink="">
      <xdr:nvSpPr>
        <xdr:cNvPr id="5" name="Cerrar llav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3619865" y="4343399"/>
          <a:ext cx="187778" cy="21336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79</xdr:col>
      <xdr:colOff>13615</xdr:colOff>
      <xdr:row>5</xdr:row>
      <xdr:rowOff>254000</xdr:rowOff>
    </xdr:from>
    <xdr:to>
      <xdr:col>80</xdr:col>
      <xdr:colOff>15875</xdr:colOff>
      <xdr:row>9</xdr:row>
      <xdr:rowOff>254001</xdr:rowOff>
    </xdr:to>
    <xdr:sp macro="" textlink="">
      <xdr:nvSpPr>
        <xdr:cNvPr id="9" name="Cerrar llav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5274490" y="1476375"/>
          <a:ext cx="145135" cy="11112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78</xdr:col>
      <xdr:colOff>730250</xdr:colOff>
      <xdr:row>11</xdr:row>
      <xdr:rowOff>47625</xdr:rowOff>
    </xdr:from>
    <xdr:to>
      <xdr:col>79</xdr:col>
      <xdr:colOff>127000</xdr:colOff>
      <xdr:row>16</xdr:row>
      <xdr:rowOff>244928</xdr:rowOff>
    </xdr:to>
    <xdr:sp macro="" textlink="">
      <xdr:nvSpPr>
        <xdr:cNvPr id="10" name="Cerrar llav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5213250" y="2921000"/>
          <a:ext cx="174625" cy="1546678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13609</xdr:colOff>
      <xdr:row>26</xdr:row>
      <xdr:rowOff>141880</xdr:rowOff>
    </xdr:from>
    <xdr:to>
      <xdr:col>33</xdr:col>
      <xdr:colOff>27217</xdr:colOff>
      <xdr:row>27</xdr:row>
      <xdr:rowOff>197552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5050984" y="7539630"/>
          <a:ext cx="1061358" cy="325547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1400"/>
            <a:t>Suma: 200</a:t>
          </a:r>
        </a:p>
      </xdr:txBody>
    </xdr:sp>
    <xdr:clientData/>
  </xdr:twoCellAnchor>
  <xdr:twoCellAnchor>
    <xdr:from>
      <xdr:col>34</xdr:col>
      <xdr:colOff>598716</xdr:colOff>
      <xdr:row>26</xdr:row>
      <xdr:rowOff>117394</xdr:rowOff>
    </xdr:from>
    <xdr:to>
      <xdr:col>35</xdr:col>
      <xdr:colOff>1050473</xdr:colOff>
      <xdr:row>27</xdr:row>
      <xdr:rowOff>197558</xdr:rowOff>
    </xdr:to>
    <xdr:sp macro="" textlink="">
      <xdr:nvSpPr>
        <xdr:cNvPr id="8" name="Rectángulo redondead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7398216" y="7515144"/>
          <a:ext cx="1340757" cy="350039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1400"/>
            <a:t>Suma: 200</a:t>
          </a:r>
        </a:p>
      </xdr:txBody>
    </xdr:sp>
    <xdr:clientData/>
  </xdr:twoCellAnchor>
  <xdr:twoCellAnchor>
    <xdr:from>
      <xdr:col>35</xdr:col>
      <xdr:colOff>122464</xdr:colOff>
      <xdr:row>8</xdr:row>
      <xdr:rowOff>54428</xdr:rowOff>
    </xdr:from>
    <xdr:to>
      <xdr:col>35</xdr:col>
      <xdr:colOff>925286</xdr:colOff>
      <xdr:row>24</xdr:row>
      <xdr:rowOff>250371</xdr:rowOff>
    </xdr:to>
    <xdr:sp macro="" textlink="">
      <xdr:nvSpPr>
        <xdr:cNvPr id="6" name="Rectángulo redondead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8359785" y="2122714"/>
          <a:ext cx="802822" cy="4577443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32</xdr:col>
      <xdr:colOff>166008</xdr:colOff>
      <xdr:row>8</xdr:row>
      <xdr:rowOff>68036</xdr:rowOff>
    </xdr:from>
    <xdr:to>
      <xdr:col>32</xdr:col>
      <xdr:colOff>968830</xdr:colOff>
      <xdr:row>24</xdr:row>
      <xdr:rowOff>238126</xdr:rowOff>
    </xdr:to>
    <xdr:sp macro="" textlink="">
      <xdr:nvSpPr>
        <xdr:cNvPr id="12" name="Rectángulo redondead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5913222" y="2136322"/>
          <a:ext cx="802822" cy="455159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34</xdr:col>
      <xdr:colOff>598715</xdr:colOff>
      <xdr:row>14</xdr:row>
      <xdr:rowOff>200028</xdr:rowOff>
    </xdr:from>
    <xdr:to>
      <xdr:col>35</xdr:col>
      <xdr:colOff>106588</xdr:colOff>
      <xdr:row>27</xdr:row>
      <xdr:rowOff>22540</xdr:rowOff>
    </xdr:to>
    <xdr:cxnSp macro="">
      <xdr:nvCxnSpPr>
        <xdr:cNvPr id="28" name="Conector angular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>
          <a:stCxn id="8" idx="1"/>
        </xdr:cNvCxnSpPr>
      </xdr:nvCxnSpPr>
      <xdr:spPr>
        <a:xfrm rot="10800000" flipH="1">
          <a:off x="47398215" y="4359278"/>
          <a:ext cx="396873" cy="3330887"/>
        </a:xfrm>
        <a:prstGeom prst="bentConnector4">
          <a:avLst>
            <a:gd name="adj1" fmla="val -57600"/>
            <a:gd name="adj2" fmla="val 100287"/>
          </a:avLst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968830</xdr:colOff>
      <xdr:row>16</xdr:row>
      <xdr:rowOff>137206</xdr:rowOff>
    </xdr:from>
    <xdr:to>
      <xdr:col>33</xdr:col>
      <xdr:colOff>27217</xdr:colOff>
      <xdr:row>27</xdr:row>
      <xdr:rowOff>34779</xdr:rowOff>
    </xdr:to>
    <xdr:cxnSp macro="">
      <xdr:nvCxnSpPr>
        <xdr:cNvPr id="30" name="Conector angular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>
          <a:stCxn id="3" idx="3"/>
          <a:endCxn id="12" idx="3"/>
        </xdr:cNvCxnSpPr>
      </xdr:nvCxnSpPr>
      <xdr:spPr>
        <a:xfrm flipH="1" flipV="1">
          <a:off x="46006205" y="4836206"/>
          <a:ext cx="106137" cy="2866198"/>
        </a:xfrm>
        <a:prstGeom prst="bentConnector3">
          <a:avLst>
            <a:gd name="adj1" fmla="val -215382"/>
          </a:avLst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26459</xdr:colOff>
      <xdr:row>8</xdr:row>
      <xdr:rowOff>52918</xdr:rowOff>
    </xdr:from>
    <xdr:to>
      <xdr:col>42</xdr:col>
      <xdr:colOff>198438</xdr:colOff>
      <xdr:row>8</xdr:row>
      <xdr:rowOff>264584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CECE6C5C-898B-4896-94B3-3885C0CB1E5D}"/>
            </a:ext>
          </a:extLst>
        </xdr:cNvPr>
        <xdr:cNvSpPr/>
      </xdr:nvSpPr>
      <xdr:spPr>
        <a:xfrm>
          <a:off x="28244272" y="2063751"/>
          <a:ext cx="171979" cy="2116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42</xdr:col>
      <xdr:colOff>26459</xdr:colOff>
      <xdr:row>9</xdr:row>
      <xdr:rowOff>52918</xdr:rowOff>
    </xdr:from>
    <xdr:to>
      <xdr:col>42</xdr:col>
      <xdr:colOff>198438</xdr:colOff>
      <xdr:row>9</xdr:row>
      <xdr:rowOff>264584</xdr:rowOff>
    </xdr:to>
    <xdr:sp macro="" textlink="">
      <xdr:nvSpPr>
        <xdr:cNvPr id="14" name="Flecha: a la derecha 13">
          <a:extLst>
            <a:ext uri="{FF2B5EF4-FFF2-40B4-BE49-F238E27FC236}">
              <a16:creationId xmlns:a16="http://schemas.microsoft.com/office/drawing/2014/main" id="{8C18627B-B889-4F50-948D-0B2BEE9DC5C3}"/>
            </a:ext>
          </a:extLst>
        </xdr:cNvPr>
        <xdr:cNvSpPr/>
      </xdr:nvSpPr>
      <xdr:spPr>
        <a:xfrm>
          <a:off x="28244272" y="2063751"/>
          <a:ext cx="171979" cy="2116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42</xdr:col>
      <xdr:colOff>26459</xdr:colOff>
      <xdr:row>10</xdr:row>
      <xdr:rowOff>52918</xdr:rowOff>
    </xdr:from>
    <xdr:to>
      <xdr:col>42</xdr:col>
      <xdr:colOff>198438</xdr:colOff>
      <xdr:row>10</xdr:row>
      <xdr:rowOff>264584</xdr:rowOff>
    </xdr:to>
    <xdr:sp macro="" textlink="">
      <xdr:nvSpPr>
        <xdr:cNvPr id="15" name="Flecha: a la derecha 14">
          <a:extLst>
            <a:ext uri="{FF2B5EF4-FFF2-40B4-BE49-F238E27FC236}">
              <a16:creationId xmlns:a16="http://schemas.microsoft.com/office/drawing/2014/main" id="{8CC1541A-40B3-47C8-B5C7-8D8B4EDF85A8}"/>
            </a:ext>
          </a:extLst>
        </xdr:cNvPr>
        <xdr:cNvSpPr/>
      </xdr:nvSpPr>
      <xdr:spPr>
        <a:xfrm>
          <a:off x="28244272" y="2368022"/>
          <a:ext cx="171979" cy="2116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42</xdr:col>
      <xdr:colOff>26459</xdr:colOff>
      <xdr:row>11</xdr:row>
      <xdr:rowOff>52918</xdr:rowOff>
    </xdr:from>
    <xdr:to>
      <xdr:col>42</xdr:col>
      <xdr:colOff>198438</xdr:colOff>
      <xdr:row>11</xdr:row>
      <xdr:rowOff>264584</xdr:rowOff>
    </xdr:to>
    <xdr:sp macro="" textlink="">
      <xdr:nvSpPr>
        <xdr:cNvPr id="16" name="Flecha: a la derecha 15">
          <a:extLst>
            <a:ext uri="{FF2B5EF4-FFF2-40B4-BE49-F238E27FC236}">
              <a16:creationId xmlns:a16="http://schemas.microsoft.com/office/drawing/2014/main" id="{D98D1275-E454-45D0-BE46-38A11BE97530}"/>
            </a:ext>
          </a:extLst>
        </xdr:cNvPr>
        <xdr:cNvSpPr/>
      </xdr:nvSpPr>
      <xdr:spPr>
        <a:xfrm>
          <a:off x="28244272" y="2368022"/>
          <a:ext cx="171979" cy="2116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42</xdr:col>
      <xdr:colOff>26459</xdr:colOff>
      <xdr:row>12</xdr:row>
      <xdr:rowOff>52918</xdr:rowOff>
    </xdr:from>
    <xdr:to>
      <xdr:col>42</xdr:col>
      <xdr:colOff>198438</xdr:colOff>
      <xdr:row>12</xdr:row>
      <xdr:rowOff>264584</xdr:rowOff>
    </xdr:to>
    <xdr:sp macro="" textlink="">
      <xdr:nvSpPr>
        <xdr:cNvPr id="17" name="Flecha: a la derecha 16">
          <a:extLst>
            <a:ext uri="{FF2B5EF4-FFF2-40B4-BE49-F238E27FC236}">
              <a16:creationId xmlns:a16="http://schemas.microsoft.com/office/drawing/2014/main" id="{C0AF60CD-73EF-47A6-AB34-1F09D4D98252}"/>
            </a:ext>
          </a:extLst>
        </xdr:cNvPr>
        <xdr:cNvSpPr/>
      </xdr:nvSpPr>
      <xdr:spPr>
        <a:xfrm>
          <a:off x="28244272" y="2368022"/>
          <a:ext cx="171979" cy="2116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42</xdr:col>
      <xdr:colOff>26459</xdr:colOff>
      <xdr:row>13</xdr:row>
      <xdr:rowOff>52918</xdr:rowOff>
    </xdr:from>
    <xdr:to>
      <xdr:col>42</xdr:col>
      <xdr:colOff>198438</xdr:colOff>
      <xdr:row>13</xdr:row>
      <xdr:rowOff>264584</xdr:rowOff>
    </xdr:to>
    <xdr:sp macro="" textlink="">
      <xdr:nvSpPr>
        <xdr:cNvPr id="18" name="Flecha: a la derecha 17">
          <a:extLst>
            <a:ext uri="{FF2B5EF4-FFF2-40B4-BE49-F238E27FC236}">
              <a16:creationId xmlns:a16="http://schemas.microsoft.com/office/drawing/2014/main" id="{2B4692D5-3349-4811-A6D8-50DCE912A43A}"/>
            </a:ext>
          </a:extLst>
        </xdr:cNvPr>
        <xdr:cNvSpPr/>
      </xdr:nvSpPr>
      <xdr:spPr>
        <a:xfrm>
          <a:off x="28244272" y="2368022"/>
          <a:ext cx="171979" cy="2116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42</xdr:col>
      <xdr:colOff>26459</xdr:colOff>
      <xdr:row>14</xdr:row>
      <xdr:rowOff>52918</xdr:rowOff>
    </xdr:from>
    <xdr:to>
      <xdr:col>42</xdr:col>
      <xdr:colOff>198438</xdr:colOff>
      <xdr:row>14</xdr:row>
      <xdr:rowOff>264584</xdr:rowOff>
    </xdr:to>
    <xdr:sp macro="" textlink="">
      <xdr:nvSpPr>
        <xdr:cNvPr id="19" name="Flecha: a la derecha 18">
          <a:extLst>
            <a:ext uri="{FF2B5EF4-FFF2-40B4-BE49-F238E27FC236}">
              <a16:creationId xmlns:a16="http://schemas.microsoft.com/office/drawing/2014/main" id="{6574D6D4-5421-4492-A803-A877F802084E}"/>
            </a:ext>
          </a:extLst>
        </xdr:cNvPr>
        <xdr:cNvSpPr/>
      </xdr:nvSpPr>
      <xdr:spPr>
        <a:xfrm>
          <a:off x="28244272" y="2368022"/>
          <a:ext cx="171979" cy="2116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42</xdr:col>
      <xdr:colOff>26459</xdr:colOff>
      <xdr:row>15</xdr:row>
      <xdr:rowOff>52918</xdr:rowOff>
    </xdr:from>
    <xdr:to>
      <xdr:col>42</xdr:col>
      <xdr:colOff>198438</xdr:colOff>
      <xdr:row>15</xdr:row>
      <xdr:rowOff>264584</xdr:rowOff>
    </xdr:to>
    <xdr:sp macro="" textlink="">
      <xdr:nvSpPr>
        <xdr:cNvPr id="20" name="Flecha: a la derecha 19">
          <a:extLst>
            <a:ext uri="{FF2B5EF4-FFF2-40B4-BE49-F238E27FC236}">
              <a16:creationId xmlns:a16="http://schemas.microsoft.com/office/drawing/2014/main" id="{1E69C5A4-4908-4B5D-B04E-0BCDB30AD1C9}"/>
            </a:ext>
          </a:extLst>
        </xdr:cNvPr>
        <xdr:cNvSpPr/>
      </xdr:nvSpPr>
      <xdr:spPr>
        <a:xfrm>
          <a:off x="28244272" y="2368022"/>
          <a:ext cx="171979" cy="2116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42</xdr:col>
      <xdr:colOff>26459</xdr:colOff>
      <xdr:row>16</xdr:row>
      <xdr:rowOff>52918</xdr:rowOff>
    </xdr:from>
    <xdr:to>
      <xdr:col>42</xdr:col>
      <xdr:colOff>198438</xdr:colOff>
      <xdr:row>16</xdr:row>
      <xdr:rowOff>264584</xdr:rowOff>
    </xdr:to>
    <xdr:sp macro="" textlink="">
      <xdr:nvSpPr>
        <xdr:cNvPr id="21" name="Flecha: a la derecha 20">
          <a:extLst>
            <a:ext uri="{FF2B5EF4-FFF2-40B4-BE49-F238E27FC236}">
              <a16:creationId xmlns:a16="http://schemas.microsoft.com/office/drawing/2014/main" id="{0823D06B-04AF-4BF5-AF02-71C9B096F5A6}"/>
            </a:ext>
          </a:extLst>
        </xdr:cNvPr>
        <xdr:cNvSpPr/>
      </xdr:nvSpPr>
      <xdr:spPr>
        <a:xfrm>
          <a:off x="28244272" y="2368022"/>
          <a:ext cx="171979" cy="2116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42</xdr:col>
      <xdr:colOff>20109</xdr:colOff>
      <xdr:row>17</xdr:row>
      <xdr:rowOff>33339</xdr:rowOff>
    </xdr:from>
    <xdr:to>
      <xdr:col>42</xdr:col>
      <xdr:colOff>192088</xdr:colOff>
      <xdr:row>17</xdr:row>
      <xdr:rowOff>245005</xdr:rowOff>
    </xdr:to>
    <xdr:sp macro="" textlink="">
      <xdr:nvSpPr>
        <xdr:cNvPr id="22" name="Flecha: a la derecha 21">
          <a:extLst>
            <a:ext uri="{FF2B5EF4-FFF2-40B4-BE49-F238E27FC236}">
              <a16:creationId xmlns:a16="http://schemas.microsoft.com/office/drawing/2014/main" id="{0A1714A3-7942-4BA7-9F88-9B20BA2FD6BB}"/>
            </a:ext>
          </a:extLst>
        </xdr:cNvPr>
        <xdr:cNvSpPr/>
      </xdr:nvSpPr>
      <xdr:spPr>
        <a:xfrm>
          <a:off x="28237922" y="4465110"/>
          <a:ext cx="171979" cy="2116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42</xdr:col>
      <xdr:colOff>26459</xdr:colOff>
      <xdr:row>18</xdr:row>
      <xdr:rowOff>52918</xdr:rowOff>
    </xdr:from>
    <xdr:to>
      <xdr:col>42</xdr:col>
      <xdr:colOff>198438</xdr:colOff>
      <xdr:row>18</xdr:row>
      <xdr:rowOff>264584</xdr:rowOff>
    </xdr:to>
    <xdr:sp macro="" textlink="">
      <xdr:nvSpPr>
        <xdr:cNvPr id="23" name="Flecha: a la derecha 22">
          <a:extLst>
            <a:ext uri="{FF2B5EF4-FFF2-40B4-BE49-F238E27FC236}">
              <a16:creationId xmlns:a16="http://schemas.microsoft.com/office/drawing/2014/main" id="{0A19C361-DCFF-4932-BA6A-932751619160}"/>
            </a:ext>
          </a:extLst>
        </xdr:cNvPr>
        <xdr:cNvSpPr/>
      </xdr:nvSpPr>
      <xdr:spPr>
        <a:xfrm>
          <a:off x="28244272" y="4220106"/>
          <a:ext cx="171979" cy="2116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42</xdr:col>
      <xdr:colOff>26459</xdr:colOff>
      <xdr:row>19</xdr:row>
      <xdr:rowOff>52918</xdr:rowOff>
    </xdr:from>
    <xdr:to>
      <xdr:col>42</xdr:col>
      <xdr:colOff>198438</xdr:colOff>
      <xdr:row>19</xdr:row>
      <xdr:rowOff>264584</xdr:rowOff>
    </xdr:to>
    <xdr:sp macro="" textlink="">
      <xdr:nvSpPr>
        <xdr:cNvPr id="24" name="Flecha: a la derecha 23">
          <a:extLst>
            <a:ext uri="{FF2B5EF4-FFF2-40B4-BE49-F238E27FC236}">
              <a16:creationId xmlns:a16="http://schemas.microsoft.com/office/drawing/2014/main" id="{DFB052DC-3FAF-44A1-BB2F-A9B3C80EF029}"/>
            </a:ext>
          </a:extLst>
        </xdr:cNvPr>
        <xdr:cNvSpPr/>
      </xdr:nvSpPr>
      <xdr:spPr>
        <a:xfrm>
          <a:off x="28244272" y="4220106"/>
          <a:ext cx="171979" cy="2116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42</xdr:col>
      <xdr:colOff>26459</xdr:colOff>
      <xdr:row>20</xdr:row>
      <xdr:rowOff>52918</xdr:rowOff>
    </xdr:from>
    <xdr:to>
      <xdr:col>42</xdr:col>
      <xdr:colOff>198438</xdr:colOff>
      <xdr:row>20</xdr:row>
      <xdr:rowOff>264584</xdr:rowOff>
    </xdr:to>
    <xdr:sp macro="" textlink="">
      <xdr:nvSpPr>
        <xdr:cNvPr id="25" name="Flecha: a la derecha 24">
          <a:extLst>
            <a:ext uri="{FF2B5EF4-FFF2-40B4-BE49-F238E27FC236}">
              <a16:creationId xmlns:a16="http://schemas.microsoft.com/office/drawing/2014/main" id="{1FD73898-5E0E-47FC-AC87-03C7ED173723}"/>
            </a:ext>
          </a:extLst>
        </xdr:cNvPr>
        <xdr:cNvSpPr/>
      </xdr:nvSpPr>
      <xdr:spPr>
        <a:xfrm>
          <a:off x="28244272" y="4220106"/>
          <a:ext cx="171979" cy="2116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42</xdr:col>
      <xdr:colOff>26459</xdr:colOff>
      <xdr:row>23</xdr:row>
      <xdr:rowOff>52918</xdr:rowOff>
    </xdr:from>
    <xdr:to>
      <xdr:col>42</xdr:col>
      <xdr:colOff>198438</xdr:colOff>
      <xdr:row>23</xdr:row>
      <xdr:rowOff>264584</xdr:rowOff>
    </xdr:to>
    <xdr:sp macro="" textlink="">
      <xdr:nvSpPr>
        <xdr:cNvPr id="27" name="Flecha: a la derecha 26">
          <a:extLst>
            <a:ext uri="{FF2B5EF4-FFF2-40B4-BE49-F238E27FC236}">
              <a16:creationId xmlns:a16="http://schemas.microsoft.com/office/drawing/2014/main" id="{6DDB6D9C-BBC8-48BB-B1D0-12761E4D5FD9}"/>
            </a:ext>
          </a:extLst>
        </xdr:cNvPr>
        <xdr:cNvSpPr/>
      </xdr:nvSpPr>
      <xdr:spPr>
        <a:xfrm>
          <a:off x="28244272" y="4220106"/>
          <a:ext cx="171979" cy="2116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42</xdr:col>
      <xdr:colOff>26459</xdr:colOff>
      <xdr:row>22</xdr:row>
      <xdr:rowOff>52918</xdr:rowOff>
    </xdr:from>
    <xdr:to>
      <xdr:col>42</xdr:col>
      <xdr:colOff>198438</xdr:colOff>
      <xdr:row>22</xdr:row>
      <xdr:rowOff>264584</xdr:rowOff>
    </xdr:to>
    <xdr:sp macro="" textlink="">
      <xdr:nvSpPr>
        <xdr:cNvPr id="29" name="Flecha: a la derecha 28">
          <a:extLst>
            <a:ext uri="{FF2B5EF4-FFF2-40B4-BE49-F238E27FC236}">
              <a16:creationId xmlns:a16="http://schemas.microsoft.com/office/drawing/2014/main" id="{5DB16370-3CE9-468B-B476-9938FABBDBEF}"/>
            </a:ext>
          </a:extLst>
        </xdr:cNvPr>
        <xdr:cNvSpPr/>
      </xdr:nvSpPr>
      <xdr:spPr>
        <a:xfrm>
          <a:off x="28244272" y="4220106"/>
          <a:ext cx="171979" cy="2116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42</xdr:col>
      <xdr:colOff>26459</xdr:colOff>
      <xdr:row>24</xdr:row>
      <xdr:rowOff>52918</xdr:rowOff>
    </xdr:from>
    <xdr:to>
      <xdr:col>42</xdr:col>
      <xdr:colOff>198438</xdr:colOff>
      <xdr:row>24</xdr:row>
      <xdr:rowOff>264584</xdr:rowOff>
    </xdr:to>
    <xdr:sp macro="" textlink="">
      <xdr:nvSpPr>
        <xdr:cNvPr id="31" name="Flecha: a la derecha 30">
          <a:extLst>
            <a:ext uri="{FF2B5EF4-FFF2-40B4-BE49-F238E27FC236}">
              <a16:creationId xmlns:a16="http://schemas.microsoft.com/office/drawing/2014/main" id="{F3FA0123-D9AA-4684-A375-E92844A3A85E}"/>
            </a:ext>
          </a:extLst>
        </xdr:cNvPr>
        <xdr:cNvSpPr/>
      </xdr:nvSpPr>
      <xdr:spPr>
        <a:xfrm>
          <a:off x="28244272" y="4220106"/>
          <a:ext cx="171979" cy="2116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9</xdr:col>
      <xdr:colOff>829235</xdr:colOff>
      <xdr:row>48</xdr:row>
      <xdr:rowOff>1</xdr:rowOff>
    </xdr:from>
    <xdr:to>
      <xdr:col>11</xdr:col>
      <xdr:colOff>145675</xdr:colOff>
      <xdr:row>49</xdr:row>
      <xdr:rowOff>11206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9967EFB7-B1D0-794F-AC9C-41E7E8445FAB}"/>
            </a:ext>
          </a:extLst>
        </xdr:cNvPr>
        <xdr:cNvSpPr/>
      </xdr:nvSpPr>
      <xdr:spPr>
        <a:xfrm>
          <a:off x="6813176" y="12819530"/>
          <a:ext cx="885264" cy="28014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17930</xdr:colOff>
      <xdr:row>38</xdr:row>
      <xdr:rowOff>6724</xdr:rowOff>
    </xdr:from>
    <xdr:to>
      <xdr:col>9</xdr:col>
      <xdr:colOff>51547</xdr:colOff>
      <xdr:row>39</xdr:row>
      <xdr:rowOff>17930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511A3DA-6108-43E4-9A76-0E9E6489FA63}"/>
            </a:ext>
          </a:extLst>
        </xdr:cNvPr>
        <xdr:cNvSpPr/>
      </xdr:nvSpPr>
      <xdr:spPr>
        <a:xfrm>
          <a:off x="5150224" y="10136842"/>
          <a:ext cx="885264" cy="28014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9</xdr:col>
      <xdr:colOff>51547</xdr:colOff>
      <xdr:row>38</xdr:row>
      <xdr:rowOff>146798</xdr:rowOff>
    </xdr:from>
    <xdr:to>
      <xdr:col>11</xdr:col>
      <xdr:colOff>145675</xdr:colOff>
      <xdr:row>48</xdr:row>
      <xdr:rowOff>140075</xdr:rowOff>
    </xdr:to>
    <xdr:cxnSp macro="">
      <xdr:nvCxnSpPr>
        <xdr:cNvPr id="32" name="Conector: curvado 31">
          <a:extLst>
            <a:ext uri="{FF2B5EF4-FFF2-40B4-BE49-F238E27FC236}">
              <a16:creationId xmlns:a16="http://schemas.microsoft.com/office/drawing/2014/main" id="{67C377BB-6022-C642-AB39-0D8ACA081DEC}"/>
            </a:ext>
          </a:extLst>
        </xdr:cNvPr>
        <xdr:cNvCxnSpPr>
          <a:stCxn id="13" idx="3"/>
          <a:endCxn id="11" idx="3"/>
        </xdr:cNvCxnSpPr>
      </xdr:nvCxnSpPr>
      <xdr:spPr>
        <a:xfrm>
          <a:off x="6035488" y="10276916"/>
          <a:ext cx="1662952" cy="2682688"/>
        </a:xfrm>
        <a:prstGeom prst="curvedConnector3">
          <a:avLst>
            <a:gd name="adj1" fmla="val 113747"/>
          </a:avLst>
        </a:prstGeom>
        <a:ln w="381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835958</xdr:colOff>
      <xdr:row>18</xdr:row>
      <xdr:rowOff>264460</xdr:rowOff>
    </xdr:from>
    <xdr:to>
      <xdr:col>10</xdr:col>
      <xdr:colOff>29134</xdr:colOff>
      <xdr:row>20</xdr:row>
      <xdr:rowOff>6724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4BA17A6A-9DED-4AE2-AF83-9B9AF482AA72}"/>
            </a:ext>
          </a:extLst>
        </xdr:cNvPr>
        <xdr:cNvSpPr/>
      </xdr:nvSpPr>
      <xdr:spPr>
        <a:xfrm>
          <a:off x="5968252" y="5004548"/>
          <a:ext cx="885264" cy="280147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9</xdr:col>
      <xdr:colOff>831475</xdr:colOff>
      <xdr:row>51</xdr:row>
      <xdr:rowOff>259978</xdr:rowOff>
    </xdr:from>
    <xdr:to>
      <xdr:col>11</xdr:col>
      <xdr:colOff>147915</xdr:colOff>
      <xdr:row>53</xdr:row>
      <xdr:rowOff>2243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8E5B31D8-C83A-47FF-979A-4199BB91067D}"/>
            </a:ext>
          </a:extLst>
        </xdr:cNvPr>
        <xdr:cNvSpPr/>
      </xdr:nvSpPr>
      <xdr:spPr>
        <a:xfrm>
          <a:off x="6815416" y="13886331"/>
          <a:ext cx="885264" cy="280147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10</xdr:col>
      <xdr:colOff>29134</xdr:colOff>
      <xdr:row>19</xdr:row>
      <xdr:rowOff>135593</xdr:rowOff>
    </xdr:from>
    <xdr:to>
      <xdr:col>11</xdr:col>
      <xdr:colOff>147915</xdr:colOff>
      <xdr:row>52</xdr:row>
      <xdr:rowOff>131111</xdr:rowOff>
    </xdr:to>
    <xdr:cxnSp macro="">
      <xdr:nvCxnSpPr>
        <xdr:cNvPr id="36" name="Conector: curvado 35">
          <a:extLst>
            <a:ext uri="{FF2B5EF4-FFF2-40B4-BE49-F238E27FC236}">
              <a16:creationId xmlns:a16="http://schemas.microsoft.com/office/drawing/2014/main" id="{453FAB75-E230-4F65-91F1-B42AF815A919}"/>
            </a:ext>
          </a:extLst>
        </xdr:cNvPr>
        <xdr:cNvCxnSpPr>
          <a:stCxn id="34" idx="3"/>
          <a:endCxn id="35" idx="3"/>
        </xdr:cNvCxnSpPr>
      </xdr:nvCxnSpPr>
      <xdr:spPr>
        <a:xfrm>
          <a:off x="6853516" y="5144622"/>
          <a:ext cx="847164" cy="8881783"/>
        </a:xfrm>
        <a:prstGeom prst="curvedConnector3">
          <a:avLst>
            <a:gd name="adj1" fmla="val 228836"/>
          </a:avLst>
        </a:prstGeom>
        <a:ln w="38100">
          <a:solidFill>
            <a:srgbClr val="00B05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11845</xdr:colOff>
      <xdr:row>75</xdr:row>
      <xdr:rowOff>7045</xdr:rowOff>
    </xdr:from>
    <xdr:to>
      <xdr:col>9</xdr:col>
      <xdr:colOff>49463</xdr:colOff>
      <xdr:row>76</xdr:row>
      <xdr:rowOff>48668</xdr:rowOff>
    </xdr:to>
    <xdr:sp macro="" textlink="">
      <xdr:nvSpPr>
        <xdr:cNvPr id="44" name="Rectángulo 43">
          <a:extLst>
            <a:ext uri="{FF2B5EF4-FFF2-40B4-BE49-F238E27FC236}">
              <a16:creationId xmlns:a16="http://schemas.microsoft.com/office/drawing/2014/main" id="{D2FB0AB2-8EB7-451C-9843-546ACA542B93}"/>
            </a:ext>
          </a:extLst>
        </xdr:cNvPr>
        <xdr:cNvSpPr/>
      </xdr:nvSpPr>
      <xdr:spPr>
        <a:xfrm>
          <a:off x="5168952" y="19111474"/>
          <a:ext cx="881261" cy="286551"/>
        </a:xfrm>
        <a:prstGeom prst="rect">
          <a:avLst/>
        </a:prstGeom>
        <a:noFill/>
        <a:ln w="5715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557893</xdr:colOff>
      <xdr:row>11</xdr:row>
      <xdr:rowOff>27214</xdr:rowOff>
    </xdr:from>
    <xdr:to>
      <xdr:col>5</xdr:col>
      <xdr:colOff>37618</xdr:colOff>
      <xdr:row>12</xdr:row>
      <xdr:rowOff>41622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FA2890F1-CF8F-48ED-A7B8-80E6F9EDE13B}"/>
            </a:ext>
          </a:extLst>
        </xdr:cNvPr>
        <xdr:cNvSpPr/>
      </xdr:nvSpPr>
      <xdr:spPr>
        <a:xfrm>
          <a:off x="2354036" y="2122714"/>
          <a:ext cx="881261" cy="286551"/>
        </a:xfrm>
        <a:prstGeom prst="rect">
          <a:avLst/>
        </a:prstGeom>
        <a:noFill/>
        <a:ln w="5715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621444</xdr:colOff>
      <xdr:row>11</xdr:row>
      <xdr:rowOff>164408</xdr:rowOff>
    </xdr:from>
    <xdr:to>
      <xdr:col>8</xdr:col>
      <xdr:colOff>11845</xdr:colOff>
      <xdr:row>75</xdr:row>
      <xdr:rowOff>150321</xdr:rowOff>
    </xdr:to>
    <xdr:cxnSp macro="">
      <xdr:nvCxnSpPr>
        <xdr:cNvPr id="46" name="Conector: curvado 45">
          <a:extLst>
            <a:ext uri="{FF2B5EF4-FFF2-40B4-BE49-F238E27FC236}">
              <a16:creationId xmlns:a16="http://schemas.microsoft.com/office/drawing/2014/main" id="{D349D3F2-D9F5-4C03-B822-452A10845568}"/>
            </a:ext>
          </a:extLst>
        </xdr:cNvPr>
        <xdr:cNvCxnSpPr>
          <a:endCxn id="44" idx="1"/>
        </xdr:cNvCxnSpPr>
      </xdr:nvCxnSpPr>
      <xdr:spPr>
        <a:xfrm rot="16200000" flipH="1">
          <a:off x="-4329955" y="9755843"/>
          <a:ext cx="16994842" cy="2002972"/>
        </a:xfrm>
        <a:prstGeom prst="curvedConnector2">
          <a:avLst/>
        </a:prstGeom>
        <a:ln w="38100">
          <a:solidFill>
            <a:srgbClr val="7030A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59531</xdr:colOff>
      <xdr:row>5</xdr:row>
      <xdr:rowOff>0</xdr:rowOff>
    </xdr:from>
    <xdr:to>
      <xdr:col>36</xdr:col>
      <xdr:colOff>-1</xdr:colOff>
      <xdr:row>27</xdr:row>
      <xdr:rowOff>207818</xdr:rowOff>
    </xdr:to>
    <xdr:sp macro="" textlink="">
      <xdr:nvSpPr>
        <xdr:cNvPr id="2" name="Cerrar llav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6920031" y="1454727"/>
          <a:ext cx="182923" cy="5541818"/>
        </a:xfrm>
        <a:prstGeom prst="rightBrace">
          <a:avLst>
            <a:gd name="adj1" fmla="val 8333"/>
            <a:gd name="adj2" fmla="val 52479"/>
          </a:avLst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59531</xdr:colOff>
      <xdr:row>5</xdr:row>
      <xdr:rowOff>0</xdr:rowOff>
    </xdr:from>
    <xdr:to>
      <xdr:col>36</xdr:col>
      <xdr:colOff>-1</xdr:colOff>
      <xdr:row>27</xdr:row>
      <xdr:rowOff>207818</xdr:rowOff>
    </xdr:to>
    <xdr:sp macro="" textlink="">
      <xdr:nvSpPr>
        <xdr:cNvPr id="2" name="Cerrar llave 1">
          <a:extLst>
            <a:ext uri="{FF2B5EF4-FFF2-40B4-BE49-F238E27FC236}">
              <a16:creationId xmlns:a16="http://schemas.microsoft.com/office/drawing/2014/main" id="{19EC5F8E-BAED-404D-9E90-132939B9858A}"/>
            </a:ext>
          </a:extLst>
        </xdr:cNvPr>
        <xdr:cNvSpPr/>
      </xdr:nvSpPr>
      <xdr:spPr>
        <a:xfrm>
          <a:off x="15061406" y="1190625"/>
          <a:ext cx="188118" cy="5446568"/>
        </a:xfrm>
        <a:prstGeom prst="rightBrace">
          <a:avLst>
            <a:gd name="adj1" fmla="val 8333"/>
            <a:gd name="adj2" fmla="val 52479"/>
          </a:avLst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59531</xdr:colOff>
      <xdr:row>5</xdr:row>
      <xdr:rowOff>0</xdr:rowOff>
    </xdr:from>
    <xdr:to>
      <xdr:col>36</xdr:col>
      <xdr:colOff>-1</xdr:colOff>
      <xdr:row>27</xdr:row>
      <xdr:rowOff>207818</xdr:rowOff>
    </xdr:to>
    <xdr:sp macro="" textlink="">
      <xdr:nvSpPr>
        <xdr:cNvPr id="2" name="Cerrar llave 1">
          <a:extLst>
            <a:ext uri="{FF2B5EF4-FFF2-40B4-BE49-F238E27FC236}">
              <a16:creationId xmlns:a16="http://schemas.microsoft.com/office/drawing/2014/main" id="{08B6C10B-1BC2-4448-AD9B-ACBD7C7DB39F}"/>
            </a:ext>
          </a:extLst>
        </xdr:cNvPr>
        <xdr:cNvSpPr/>
      </xdr:nvSpPr>
      <xdr:spPr>
        <a:xfrm>
          <a:off x="15061406" y="1190625"/>
          <a:ext cx="188118" cy="5446568"/>
        </a:xfrm>
        <a:prstGeom prst="rightBrace">
          <a:avLst>
            <a:gd name="adj1" fmla="val 8333"/>
            <a:gd name="adj2" fmla="val 52479"/>
          </a:avLst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123265</xdr:colOff>
      <xdr:row>5</xdr:row>
      <xdr:rowOff>0</xdr:rowOff>
    </xdr:from>
    <xdr:to>
      <xdr:col>62</xdr:col>
      <xdr:colOff>201706</xdr:colOff>
      <xdr:row>28</xdr:row>
      <xdr:rowOff>190500</xdr:rowOff>
    </xdr:to>
    <xdr:sp macro="" textlink="">
      <xdr:nvSpPr>
        <xdr:cNvPr id="2" name="Cerrar llave 1">
          <a:extLst>
            <a:ext uri="{FF2B5EF4-FFF2-40B4-BE49-F238E27FC236}">
              <a16:creationId xmlns:a16="http://schemas.microsoft.com/office/drawing/2014/main" id="{22FC5FEC-3247-475B-A4F2-8CCABF721BFA}"/>
            </a:ext>
          </a:extLst>
        </xdr:cNvPr>
        <xdr:cNvSpPr/>
      </xdr:nvSpPr>
      <xdr:spPr>
        <a:xfrm>
          <a:off x="50908324" y="1120588"/>
          <a:ext cx="78441" cy="5345206"/>
        </a:xfrm>
        <a:prstGeom prst="rightBrac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62</xdr:col>
      <xdr:colOff>44824</xdr:colOff>
      <xdr:row>31</xdr:row>
      <xdr:rowOff>57978</xdr:rowOff>
    </xdr:from>
    <xdr:to>
      <xdr:col>62</xdr:col>
      <xdr:colOff>248478</xdr:colOff>
      <xdr:row>39</xdr:row>
      <xdr:rowOff>33131</xdr:rowOff>
    </xdr:to>
    <xdr:sp macro="" textlink="">
      <xdr:nvSpPr>
        <xdr:cNvPr id="3" name="Cerrar llave 2">
          <a:extLst>
            <a:ext uri="{FF2B5EF4-FFF2-40B4-BE49-F238E27FC236}">
              <a16:creationId xmlns:a16="http://schemas.microsoft.com/office/drawing/2014/main" id="{482B4145-F98C-49A4-A8E6-C4A6767F6DD1}"/>
            </a:ext>
          </a:extLst>
        </xdr:cNvPr>
        <xdr:cNvSpPr/>
      </xdr:nvSpPr>
      <xdr:spPr>
        <a:xfrm>
          <a:off x="50808933" y="7247282"/>
          <a:ext cx="203654" cy="1830458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149412</xdr:colOff>
      <xdr:row>6</xdr:row>
      <xdr:rowOff>18676</xdr:rowOff>
    </xdr:from>
    <xdr:to>
      <xdr:col>87</xdr:col>
      <xdr:colOff>242795</xdr:colOff>
      <xdr:row>13</xdr:row>
      <xdr:rowOff>130736</xdr:rowOff>
    </xdr:to>
    <xdr:sp macro="" textlink="">
      <xdr:nvSpPr>
        <xdr:cNvPr id="2" name="Cerrar llave 1">
          <a:extLst>
            <a:ext uri="{FF2B5EF4-FFF2-40B4-BE49-F238E27FC236}">
              <a16:creationId xmlns:a16="http://schemas.microsoft.com/office/drawing/2014/main" id="{9D9EB27C-643C-40FC-8808-56252E8FC3B4}"/>
            </a:ext>
          </a:extLst>
        </xdr:cNvPr>
        <xdr:cNvSpPr/>
      </xdr:nvSpPr>
      <xdr:spPr>
        <a:xfrm>
          <a:off x="66880441" y="1232647"/>
          <a:ext cx="93383" cy="1568824"/>
        </a:xfrm>
        <a:prstGeom prst="rightBrace">
          <a:avLst>
            <a:gd name="adj1" fmla="val 8333"/>
            <a:gd name="adj2" fmla="val 48889"/>
          </a:avLst>
        </a:prstGeom>
        <a:noFill/>
        <a:ln w="28575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87</xdr:col>
      <xdr:colOff>133724</xdr:colOff>
      <xdr:row>14</xdr:row>
      <xdr:rowOff>40340</xdr:rowOff>
    </xdr:from>
    <xdr:to>
      <xdr:col>87</xdr:col>
      <xdr:colOff>179443</xdr:colOff>
      <xdr:row>21</xdr:row>
      <xdr:rowOff>18676</xdr:rowOff>
    </xdr:to>
    <xdr:sp macro="" textlink="">
      <xdr:nvSpPr>
        <xdr:cNvPr id="3" name="Cerrar llave 2">
          <a:extLst>
            <a:ext uri="{FF2B5EF4-FFF2-40B4-BE49-F238E27FC236}">
              <a16:creationId xmlns:a16="http://schemas.microsoft.com/office/drawing/2014/main" id="{DAD6E514-4671-4403-81B5-B80BA7F3A519}"/>
            </a:ext>
          </a:extLst>
        </xdr:cNvPr>
        <xdr:cNvSpPr/>
      </xdr:nvSpPr>
      <xdr:spPr>
        <a:xfrm>
          <a:off x="66864753" y="2953869"/>
          <a:ext cx="45719" cy="1677895"/>
        </a:xfrm>
        <a:prstGeom prst="rightBrace">
          <a:avLst>
            <a:gd name="adj1" fmla="val 8333"/>
            <a:gd name="adj2" fmla="val 48889"/>
          </a:avLst>
        </a:prstGeom>
        <a:noFill/>
        <a:ln w="28575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911677</xdr:colOff>
      <xdr:row>18</xdr:row>
      <xdr:rowOff>13606</xdr:rowOff>
    </xdr:from>
    <xdr:to>
      <xdr:col>35</xdr:col>
      <xdr:colOff>258535</xdr:colOff>
      <xdr:row>18</xdr:row>
      <xdr:rowOff>244927</xdr:rowOff>
    </xdr:to>
    <xdr:sp macro="" textlink="">
      <xdr:nvSpPr>
        <xdr:cNvPr id="2" name="Flecha derecha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 flipH="1">
          <a:off x="31515502" y="20254231"/>
          <a:ext cx="261258" cy="22179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34</xdr:col>
      <xdr:colOff>911677</xdr:colOff>
      <xdr:row>33</xdr:row>
      <xdr:rowOff>13606</xdr:rowOff>
    </xdr:from>
    <xdr:to>
      <xdr:col>35</xdr:col>
      <xdr:colOff>258535</xdr:colOff>
      <xdr:row>33</xdr:row>
      <xdr:rowOff>244927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 flipH="1">
          <a:off x="31515502" y="23826106"/>
          <a:ext cx="261258" cy="22179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101</xdr:col>
      <xdr:colOff>435428</xdr:colOff>
      <xdr:row>10</xdr:row>
      <xdr:rowOff>68036</xdr:rowOff>
    </xdr:from>
    <xdr:to>
      <xdr:col>101</xdr:col>
      <xdr:colOff>762000</xdr:colOff>
      <xdr:row>11</xdr:row>
      <xdr:rowOff>81642</xdr:rowOff>
    </xdr:to>
    <xdr:sp macro="" textlink="">
      <xdr:nvSpPr>
        <xdr:cNvPr id="4" name="Flecha arriba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88894103" y="2449286"/>
          <a:ext cx="326572" cy="25173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98</xdr:col>
      <xdr:colOff>54429</xdr:colOff>
      <xdr:row>32</xdr:row>
      <xdr:rowOff>13606</xdr:rowOff>
    </xdr:from>
    <xdr:to>
      <xdr:col>98</xdr:col>
      <xdr:colOff>326572</xdr:colOff>
      <xdr:row>33</xdr:row>
      <xdr:rowOff>13607</xdr:rowOff>
    </xdr:to>
    <xdr:sp macro="" textlink="">
      <xdr:nvSpPr>
        <xdr:cNvPr id="5" name="Flecha izquierda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85569879" y="7633606"/>
          <a:ext cx="272143" cy="23812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33</xdr:col>
      <xdr:colOff>519338</xdr:colOff>
      <xdr:row>12</xdr:row>
      <xdr:rowOff>20410</xdr:rowOff>
    </xdr:from>
    <xdr:to>
      <xdr:col>33</xdr:col>
      <xdr:colOff>857249</xdr:colOff>
      <xdr:row>13</xdr:row>
      <xdr:rowOff>15875</xdr:rowOff>
    </xdr:to>
    <xdr:sp macro="" textlink="">
      <xdr:nvSpPr>
        <xdr:cNvPr id="7" name="Flecha derecha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30208763" y="18832285"/>
          <a:ext cx="337911" cy="2335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33</xdr:col>
      <xdr:colOff>497113</xdr:colOff>
      <xdr:row>26</xdr:row>
      <xdr:rowOff>236310</xdr:rowOff>
    </xdr:from>
    <xdr:to>
      <xdr:col>33</xdr:col>
      <xdr:colOff>835024</xdr:colOff>
      <xdr:row>27</xdr:row>
      <xdr:rowOff>231775</xdr:rowOff>
    </xdr:to>
    <xdr:sp macro="" textlink="">
      <xdr:nvSpPr>
        <xdr:cNvPr id="8" name="Flecha derecha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30186538" y="22381935"/>
          <a:ext cx="337911" cy="2335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llanto@misticonsulting.p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8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8E90F-24DA-45F7-AB9A-3E0CA8236FFF}">
  <dimension ref="A1:D57"/>
  <sheetViews>
    <sheetView showGridLines="0" topLeftCell="A31" workbookViewId="0">
      <selection activeCell="D44" sqref="D44"/>
    </sheetView>
  </sheetViews>
  <sheetFormatPr baseColWidth="10" defaultRowHeight="15" x14ac:dyDescent="0.25"/>
  <cols>
    <col min="2" max="2" width="12.7109375" customWidth="1"/>
    <col min="3" max="3" width="12.5703125" customWidth="1"/>
    <col min="5" max="5" width="4.140625" customWidth="1"/>
  </cols>
  <sheetData>
    <row r="1" spans="1:4" x14ac:dyDescent="0.25">
      <c r="A1" s="1419" t="s">
        <v>1295</v>
      </c>
      <c r="B1" s="1419"/>
      <c r="C1" s="1419"/>
      <c r="D1" s="1419"/>
    </row>
    <row r="2" spans="1:4" x14ac:dyDescent="0.25">
      <c r="A2" s="1419"/>
      <c r="B2" s="1419"/>
      <c r="C2" s="1419"/>
      <c r="D2" s="1419"/>
    </row>
    <row r="3" spans="1:4" x14ac:dyDescent="0.25">
      <c r="A3" s="1419"/>
      <c r="B3" s="1419"/>
      <c r="C3" s="1419"/>
      <c r="D3" s="1419"/>
    </row>
    <row r="4" spans="1:4" x14ac:dyDescent="0.25">
      <c r="A4" s="1419" t="s">
        <v>1297</v>
      </c>
      <c r="B4" s="1419"/>
      <c r="C4" s="1419"/>
      <c r="D4" s="1419"/>
    </row>
    <row r="5" spans="1:4" x14ac:dyDescent="0.25">
      <c r="A5" s="1419" t="s">
        <v>1296</v>
      </c>
      <c r="B5" s="1419"/>
      <c r="C5" s="1419"/>
      <c r="D5" s="1419"/>
    </row>
    <row r="6" spans="1:4" x14ac:dyDescent="0.25">
      <c r="A6" s="1419" t="s">
        <v>1298</v>
      </c>
      <c r="B6" s="1419"/>
      <c r="C6" s="1419"/>
      <c r="D6" s="1419"/>
    </row>
    <row r="7" spans="1:4" x14ac:dyDescent="0.25">
      <c r="A7" s="1419"/>
      <c r="B7" s="1419"/>
      <c r="C7" s="1419"/>
      <c r="D7" s="1419"/>
    </row>
    <row r="8" spans="1:4" x14ac:dyDescent="0.25">
      <c r="A8" s="1419" t="s">
        <v>1299</v>
      </c>
      <c r="B8" s="1419"/>
      <c r="C8" s="1419"/>
      <c r="D8" s="1419"/>
    </row>
    <row r="9" spans="1:4" x14ac:dyDescent="0.25">
      <c r="A9" s="1419" t="s">
        <v>1304</v>
      </c>
      <c r="B9" s="1419"/>
      <c r="C9" s="1419"/>
      <c r="D9" s="1419"/>
    </row>
    <row r="10" spans="1:4" x14ac:dyDescent="0.25">
      <c r="A10" s="1419" t="s">
        <v>1300</v>
      </c>
      <c r="B10" s="1419"/>
      <c r="C10" s="1419"/>
      <c r="D10" s="1419"/>
    </row>
    <row r="11" spans="1:4" x14ac:dyDescent="0.25">
      <c r="A11" s="1419" t="s">
        <v>1301</v>
      </c>
      <c r="B11" s="1419"/>
      <c r="C11" s="1419"/>
      <c r="D11" s="1419"/>
    </row>
    <row r="12" spans="1:4" x14ac:dyDescent="0.25">
      <c r="A12" s="1419"/>
      <c r="B12" s="1419"/>
      <c r="C12" s="1419"/>
      <c r="D12" s="1419"/>
    </row>
    <row r="13" spans="1:4" x14ac:dyDescent="0.25">
      <c r="A13" s="1419" t="s">
        <v>1302</v>
      </c>
      <c r="B13" s="1419"/>
      <c r="C13" s="1419"/>
      <c r="D13" s="1419"/>
    </row>
    <row r="14" spans="1:4" x14ac:dyDescent="0.25">
      <c r="A14" s="1419" t="s">
        <v>1303</v>
      </c>
      <c r="B14" s="1419"/>
      <c r="C14" s="1419"/>
      <c r="D14" s="1419"/>
    </row>
    <row r="15" spans="1:4" x14ac:dyDescent="0.25">
      <c r="A15" s="1419"/>
      <c r="B15" s="1419"/>
      <c r="C15" s="1419"/>
      <c r="D15" s="1419"/>
    </row>
    <row r="16" spans="1:4" x14ac:dyDescent="0.25">
      <c r="A16" s="1419" t="s">
        <v>1305</v>
      </c>
      <c r="B16" s="1419"/>
      <c r="C16" s="1419"/>
      <c r="D16" s="1419"/>
    </row>
    <row r="17" spans="1:4" x14ac:dyDescent="0.25">
      <c r="A17" s="1419"/>
      <c r="B17" s="1419"/>
      <c r="C17" s="1419"/>
      <c r="D17" s="1419"/>
    </row>
    <row r="18" spans="1:4" x14ac:dyDescent="0.25">
      <c r="A18" s="1419"/>
      <c r="B18" s="1419"/>
      <c r="C18" s="1419"/>
      <c r="D18" s="1419"/>
    </row>
    <row r="19" spans="1:4" x14ac:dyDescent="0.25">
      <c r="A19" s="1419"/>
      <c r="B19" s="1419"/>
      <c r="C19" s="1419"/>
      <c r="D19" s="1419"/>
    </row>
    <row r="20" spans="1:4" x14ac:dyDescent="0.25">
      <c r="A20" s="1419"/>
      <c r="B20" s="1419"/>
      <c r="C20" s="1419"/>
      <c r="D20" s="1419"/>
    </row>
    <row r="21" spans="1:4" x14ac:dyDescent="0.25">
      <c r="A21" s="1419"/>
      <c r="B21" s="1419"/>
      <c r="C21" s="1419"/>
      <c r="D21" s="1419"/>
    </row>
    <row r="22" spans="1:4" x14ac:dyDescent="0.25">
      <c r="A22" s="1419" t="s">
        <v>1306</v>
      </c>
      <c r="B22" s="1419"/>
      <c r="C22" s="1419"/>
      <c r="D22" s="1419"/>
    </row>
    <row r="23" spans="1:4" x14ac:dyDescent="0.25">
      <c r="A23" s="1419" t="s">
        <v>1307</v>
      </c>
      <c r="B23" s="1419"/>
      <c r="C23" s="1419"/>
      <c r="D23" s="1419"/>
    </row>
    <row r="24" spans="1:4" x14ac:dyDescent="0.25">
      <c r="A24" s="1457" t="s">
        <v>1314</v>
      </c>
      <c r="B24" s="1419"/>
      <c r="C24" s="1419"/>
      <c r="D24" s="1419"/>
    </row>
    <row r="25" spans="1:4" x14ac:dyDescent="0.25">
      <c r="A25" s="1419"/>
      <c r="B25" s="1419"/>
      <c r="C25" s="1419"/>
      <c r="D25" s="1419"/>
    </row>
    <row r="26" spans="1:4" x14ac:dyDescent="0.25">
      <c r="A26" s="1419"/>
      <c r="B26" s="1419"/>
      <c r="C26" s="1419"/>
      <c r="D26" s="1419"/>
    </row>
    <row r="31" spans="1:4" s="1464" customFormat="1" x14ac:dyDescent="0.25"/>
    <row r="32" spans="1:4" s="1464" customFormat="1" x14ac:dyDescent="0.25"/>
    <row r="33" spans="1:1" s="1464" customFormat="1" x14ac:dyDescent="0.25"/>
    <row r="34" spans="1:1" s="1464" customFormat="1" x14ac:dyDescent="0.25"/>
    <row r="35" spans="1:1" s="1464" customFormat="1" x14ac:dyDescent="0.25"/>
    <row r="36" spans="1:1" s="1464" customFormat="1" x14ac:dyDescent="0.25"/>
    <row r="37" spans="1:1" s="1464" customFormat="1" x14ac:dyDescent="0.25"/>
    <row r="38" spans="1:1" s="1464" customFormat="1" x14ac:dyDescent="0.25"/>
    <row r="39" spans="1:1" s="1464" customFormat="1" x14ac:dyDescent="0.25"/>
    <row r="40" spans="1:1" s="1464" customFormat="1" ht="92.25" x14ac:dyDescent="1.35">
      <c r="A40" s="1465" t="s">
        <v>1317</v>
      </c>
    </row>
    <row r="41" spans="1:1" s="1464" customFormat="1" ht="92.25" x14ac:dyDescent="1.35">
      <c r="A41" s="1465" t="s">
        <v>1318</v>
      </c>
    </row>
    <row r="42" spans="1:1" s="1464" customFormat="1" x14ac:dyDescent="0.25"/>
    <row r="43" spans="1:1" s="1464" customFormat="1" x14ac:dyDescent="0.25"/>
    <row r="44" spans="1:1" s="1464" customFormat="1" x14ac:dyDescent="0.25"/>
    <row r="45" spans="1:1" s="1464" customFormat="1" x14ac:dyDescent="0.25"/>
    <row r="46" spans="1:1" s="1464" customFormat="1" x14ac:dyDescent="0.25"/>
    <row r="47" spans="1:1" s="1464" customFormat="1" x14ac:dyDescent="0.25"/>
    <row r="48" spans="1:1" s="1464" customFormat="1" x14ac:dyDescent="0.25"/>
    <row r="49" s="1464" customFormat="1" x14ac:dyDescent="0.25"/>
    <row r="50" s="1464" customFormat="1" x14ac:dyDescent="0.25"/>
    <row r="51" s="1464" customFormat="1" x14ac:dyDescent="0.25"/>
    <row r="52" s="1464" customFormat="1" x14ac:dyDescent="0.25"/>
    <row r="53" s="1464" customFormat="1" x14ac:dyDescent="0.25"/>
    <row r="54" s="1464" customFormat="1" x14ac:dyDescent="0.25"/>
    <row r="55" s="1464" customFormat="1" x14ac:dyDescent="0.25"/>
    <row r="56" s="1464" customFormat="1" x14ac:dyDescent="0.25"/>
    <row r="57" s="1464" customFormat="1" x14ac:dyDescent="0.25"/>
  </sheetData>
  <hyperlinks>
    <hyperlink ref="A24" r:id="rId1" xr:uid="{7E2AD1CF-1FF2-4609-939D-E613EBA180A2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444EB-BDBC-4526-8A02-E518B3727B36}">
  <sheetPr>
    <tabColor theme="1"/>
  </sheetPr>
  <dimension ref="A1:L31"/>
  <sheetViews>
    <sheetView zoomScale="115" zoomScaleNormal="115" workbookViewId="0">
      <selection activeCell="J10" sqref="J10"/>
    </sheetView>
  </sheetViews>
  <sheetFormatPr baseColWidth="10" defaultColWidth="0" defaultRowHeight="14.25" zeroHeight="1" x14ac:dyDescent="0.2"/>
  <cols>
    <col min="1" max="1" width="4.140625" style="362" customWidth="1"/>
    <col min="2" max="2" width="12.85546875" style="362" customWidth="1"/>
    <col min="3" max="7" width="12.7109375" style="362" customWidth="1"/>
    <col min="8" max="12" width="13.7109375" style="362" customWidth="1"/>
    <col min="13" max="16384" width="11.42578125" style="362" hidden="1"/>
  </cols>
  <sheetData>
    <row r="1" spans="1:12" x14ac:dyDescent="0.2">
      <c r="A1" s="370" t="s">
        <v>696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</row>
    <row r="2" spans="1:12" x14ac:dyDescent="0.2">
      <c r="A2" s="370"/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</row>
    <row r="3" spans="1:12" x14ac:dyDescent="0.2">
      <c r="A3" s="370"/>
      <c r="B3" s="369"/>
      <c r="C3" s="400" t="s">
        <v>697</v>
      </c>
      <c r="D3" s="401"/>
      <c r="E3" s="401"/>
      <c r="F3" s="401"/>
      <c r="G3" s="401"/>
      <c r="H3" s="401"/>
      <c r="I3" s="402"/>
      <c r="J3" s="369"/>
      <c r="K3" s="369"/>
      <c r="L3" s="369"/>
    </row>
    <row r="4" spans="1:12" x14ac:dyDescent="0.2">
      <c r="A4" s="370"/>
      <c r="B4" s="369"/>
      <c r="C4" s="396" t="s">
        <v>679</v>
      </c>
      <c r="D4" s="397"/>
      <c r="E4" s="397"/>
      <c r="F4" s="397"/>
      <c r="G4" s="397"/>
      <c r="H4" s="397"/>
      <c r="I4" s="397"/>
      <c r="J4" s="369"/>
      <c r="K4" s="369"/>
      <c r="L4" s="369"/>
    </row>
    <row r="5" spans="1:12" x14ac:dyDescent="0.2">
      <c r="A5" s="370"/>
      <c r="B5" s="369"/>
      <c r="C5" s="398" t="s">
        <v>680</v>
      </c>
      <c r="D5" s="399"/>
      <c r="E5" s="399"/>
      <c r="F5" s="399"/>
      <c r="G5" s="399"/>
      <c r="H5" s="399"/>
      <c r="I5" s="399"/>
      <c r="J5" s="369"/>
      <c r="K5" s="369"/>
      <c r="L5" s="369"/>
    </row>
    <row r="6" spans="1:12" x14ac:dyDescent="0.2">
      <c r="A6" s="370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</row>
    <row r="7" spans="1:12" x14ac:dyDescent="0.2">
      <c r="A7" s="369"/>
      <c r="B7" s="369"/>
      <c r="C7" s="440" t="s">
        <v>699</v>
      </c>
      <c r="D7" s="441"/>
      <c r="E7" s="441"/>
      <c r="F7" s="442"/>
      <c r="G7" s="369"/>
      <c r="H7" s="369"/>
      <c r="I7" s="369"/>
      <c r="J7" s="369"/>
      <c r="K7" s="369"/>
      <c r="L7" s="369"/>
    </row>
    <row r="8" spans="1:12" x14ac:dyDescent="0.2">
      <c r="A8" s="369"/>
      <c r="B8" s="369"/>
      <c r="C8" s="437" t="s">
        <v>698</v>
      </c>
      <c r="D8" s="435"/>
      <c r="E8" s="435"/>
      <c r="F8" s="444">
        <v>12000</v>
      </c>
      <c r="G8" s="369"/>
      <c r="H8" s="369"/>
      <c r="I8" s="369"/>
      <c r="J8" s="369"/>
      <c r="K8" s="369"/>
      <c r="L8" s="369"/>
    </row>
    <row r="9" spans="1:12" x14ac:dyDescent="0.2">
      <c r="A9" s="369"/>
      <c r="B9" s="369"/>
      <c r="C9" s="437" t="s">
        <v>700</v>
      </c>
      <c r="D9" s="435"/>
      <c r="E9" s="435"/>
      <c r="F9" s="444">
        <v>-15000</v>
      </c>
      <c r="G9" s="369"/>
      <c r="H9" s="369"/>
      <c r="I9" s="369"/>
      <c r="J9" s="369"/>
      <c r="K9" s="369"/>
      <c r="L9" s="369"/>
    </row>
    <row r="10" spans="1:12" x14ac:dyDescent="0.2">
      <c r="A10" s="369"/>
      <c r="B10" s="369"/>
      <c r="C10" s="437" t="s">
        <v>701</v>
      </c>
      <c r="D10" s="435"/>
      <c r="E10" s="435"/>
      <c r="F10" s="444">
        <v>130000</v>
      </c>
      <c r="G10" s="369"/>
      <c r="H10" s="369"/>
      <c r="I10" s="369"/>
      <c r="J10" s="369"/>
      <c r="K10" s="369"/>
      <c r="L10" s="369"/>
    </row>
    <row r="11" spans="1:12" x14ac:dyDescent="0.2">
      <c r="A11" s="369"/>
      <c r="B11" s="369"/>
      <c r="C11" s="445" t="s">
        <v>137</v>
      </c>
      <c r="D11" s="446"/>
      <c r="E11" s="446"/>
      <c r="F11" s="448">
        <f>SUM(F8:F10)</f>
        <v>127000</v>
      </c>
      <c r="G11" s="369"/>
      <c r="H11" s="369"/>
      <c r="I11" s="369"/>
      <c r="J11" s="369"/>
      <c r="K11" s="369"/>
      <c r="L11" s="369"/>
    </row>
    <row r="12" spans="1:12" ht="15" thickBot="1" x14ac:dyDescent="0.25">
      <c r="A12" s="369"/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</row>
    <row r="13" spans="1:12" x14ac:dyDescent="0.2">
      <c r="A13" s="369"/>
      <c r="B13" s="369"/>
      <c r="C13" s="413"/>
      <c r="D13" s="414"/>
      <c r="E13" s="414"/>
      <c r="F13" s="414"/>
      <c r="G13" s="415"/>
      <c r="H13" s="411" t="s">
        <v>525</v>
      </c>
      <c r="I13" s="411" t="s">
        <v>21</v>
      </c>
      <c r="J13" s="411" t="s">
        <v>21</v>
      </c>
      <c r="K13" s="411" t="s">
        <v>22</v>
      </c>
      <c r="L13" s="369"/>
    </row>
    <row r="14" spans="1:12" ht="15" thickBot="1" x14ac:dyDescent="0.25">
      <c r="A14" s="369"/>
      <c r="B14" s="369"/>
      <c r="C14" s="416"/>
      <c r="D14" s="417"/>
      <c r="E14" s="417"/>
      <c r="F14" s="418">
        <v>2020</v>
      </c>
      <c r="G14" s="419">
        <v>2019</v>
      </c>
      <c r="H14" s="412" t="s">
        <v>121</v>
      </c>
      <c r="I14" s="412" t="s">
        <v>130</v>
      </c>
      <c r="J14" s="412" t="s">
        <v>695</v>
      </c>
      <c r="K14" s="412" t="s">
        <v>704</v>
      </c>
      <c r="L14" s="369"/>
    </row>
    <row r="15" spans="1:12" x14ac:dyDescent="0.2">
      <c r="A15" s="369"/>
      <c r="B15" s="369"/>
      <c r="C15" s="420" t="s">
        <v>685</v>
      </c>
      <c r="D15" s="421"/>
      <c r="E15" s="421"/>
      <c r="F15" s="422" t="s">
        <v>3</v>
      </c>
      <c r="G15" s="423" t="s">
        <v>3</v>
      </c>
      <c r="H15" s="424" t="s">
        <v>3</v>
      </c>
      <c r="I15" s="424" t="s">
        <v>3</v>
      </c>
      <c r="J15" s="424" t="s">
        <v>3</v>
      </c>
      <c r="K15" s="424" t="s">
        <v>3</v>
      </c>
      <c r="L15" s="369"/>
    </row>
    <row r="16" spans="1:12" x14ac:dyDescent="0.2">
      <c r="A16" s="369"/>
      <c r="B16" s="369"/>
      <c r="C16" s="425" t="s">
        <v>1</v>
      </c>
      <c r="D16" s="426"/>
      <c r="E16" s="426"/>
      <c r="F16" s="429">
        <f>+'40'!J14</f>
        <v>10000</v>
      </c>
      <c r="G16" s="429">
        <f>+'40'!K14</f>
        <v>15000</v>
      </c>
      <c r="H16" s="428"/>
      <c r="I16" s="428"/>
      <c r="J16" s="428"/>
      <c r="K16" s="428"/>
      <c r="L16" s="369"/>
    </row>
    <row r="17" spans="1:12" x14ac:dyDescent="0.2">
      <c r="A17" s="369"/>
      <c r="B17" s="369"/>
      <c r="C17" s="425" t="s">
        <v>252</v>
      </c>
      <c r="D17" s="426"/>
      <c r="E17" s="426"/>
      <c r="F17" s="429">
        <f>+'40'!J15</f>
        <v>242000</v>
      </c>
      <c r="G17" s="429">
        <f>+'40'!K15</f>
        <v>100000</v>
      </c>
      <c r="H17" s="431">
        <f>+G17-F17</f>
        <v>-142000</v>
      </c>
      <c r="I17" s="428"/>
      <c r="J17" s="428"/>
      <c r="K17" s="428"/>
      <c r="L17" s="369"/>
    </row>
    <row r="18" spans="1:12" x14ac:dyDescent="0.2">
      <c r="A18" s="369"/>
      <c r="B18" s="369"/>
      <c r="C18" s="425" t="s">
        <v>674</v>
      </c>
      <c r="D18" s="426"/>
      <c r="E18" s="426"/>
      <c r="F18" s="429">
        <f>+'40'!J16</f>
        <v>45000</v>
      </c>
      <c r="G18" s="429">
        <f>+'40'!K16</f>
        <v>60000</v>
      </c>
      <c r="H18" s="428"/>
      <c r="I18" s="431">
        <f>+(G18-F18)*(1+18%)</f>
        <v>17700</v>
      </c>
      <c r="J18" s="428"/>
      <c r="K18" s="428"/>
      <c r="L18" s="369"/>
    </row>
    <row r="19" spans="1:12" x14ac:dyDescent="0.2">
      <c r="A19" s="369"/>
      <c r="B19" s="369"/>
      <c r="C19" s="425" t="s">
        <v>635</v>
      </c>
      <c r="D19" s="426"/>
      <c r="E19" s="426"/>
      <c r="F19" s="426"/>
      <c r="G19" s="427"/>
      <c r="H19" s="428"/>
      <c r="I19" s="428"/>
      <c r="J19" s="428"/>
      <c r="K19" s="428"/>
      <c r="L19" s="369"/>
    </row>
    <row r="20" spans="1:12" x14ac:dyDescent="0.2">
      <c r="A20" s="369"/>
      <c r="B20" s="369"/>
      <c r="C20" s="425" t="s">
        <v>4</v>
      </c>
      <c r="D20" s="426"/>
      <c r="E20" s="426"/>
      <c r="F20" s="429">
        <f>+'43'!F20</f>
        <v>-62000</v>
      </c>
      <c r="G20" s="429">
        <f>+'43'!G20</f>
        <v>-80000</v>
      </c>
      <c r="H20" s="428"/>
      <c r="I20" s="431">
        <f>+(G20-F20)</f>
        <v>-18000</v>
      </c>
      <c r="J20" s="428"/>
      <c r="K20" s="428"/>
      <c r="L20" s="369"/>
    </row>
    <row r="21" spans="1:12" x14ac:dyDescent="0.2">
      <c r="A21" s="369"/>
      <c r="B21" s="369"/>
      <c r="C21" s="425" t="s">
        <v>5</v>
      </c>
      <c r="D21" s="426"/>
      <c r="E21" s="426"/>
      <c r="F21" s="429">
        <f>+'43'!F21</f>
        <v>-63000</v>
      </c>
      <c r="G21" s="429">
        <f>+'43'!G21</f>
        <v>-56000</v>
      </c>
      <c r="H21" s="428"/>
      <c r="I21" s="428"/>
      <c r="J21" s="431">
        <f>+G21-F21</f>
        <v>7000</v>
      </c>
      <c r="K21" s="428"/>
      <c r="L21" s="369"/>
    </row>
    <row r="22" spans="1:12" x14ac:dyDescent="0.2">
      <c r="A22" s="369"/>
      <c r="B22" s="369"/>
      <c r="C22" s="425" t="s">
        <v>23</v>
      </c>
      <c r="D22" s="426"/>
      <c r="E22" s="426"/>
      <c r="F22" s="429">
        <f>+'44'!F22</f>
        <v>-15000</v>
      </c>
      <c r="G22" s="429">
        <f>+'44'!G22</f>
        <v>-12000</v>
      </c>
      <c r="H22" s="431"/>
      <c r="I22" s="431"/>
      <c r="J22" s="431"/>
      <c r="K22" s="431">
        <f>+G22-F22</f>
        <v>3000</v>
      </c>
      <c r="L22" s="369"/>
    </row>
    <row r="23" spans="1:12" x14ac:dyDescent="0.2">
      <c r="A23" s="369"/>
      <c r="B23" s="369"/>
      <c r="C23" s="425" t="s">
        <v>635</v>
      </c>
      <c r="D23" s="426"/>
      <c r="E23" s="426"/>
      <c r="F23" s="426"/>
      <c r="G23" s="427"/>
      <c r="H23" s="428"/>
      <c r="I23" s="428"/>
      <c r="J23" s="428"/>
      <c r="K23" s="428"/>
      <c r="L23" s="369"/>
    </row>
    <row r="24" spans="1:12" x14ac:dyDescent="0.2">
      <c r="A24" s="369"/>
      <c r="B24" s="369"/>
      <c r="C24" s="425" t="s">
        <v>9</v>
      </c>
      <c r="D24" s="426"/>
      <c r="E24" s="426"/>
      <c r="F24" s="429">
        <f>+'44'!F24</f>
        <v>-900000</v>
      </c>
      <c r="G24" s="427"/>
      <c r="H24" s="431">
        <f>+(G24-F24)*(1+18%)</f>
        <v>1062000</v>
      </c>
      <c r="I24" s="428"/>
      <c r="J24" s="428"/>
      <c r="K24" s="428"/>
      <c r="L24" s="369"/>
    </row>
    <row r="25" spans="1:12" x14ac:dyDescent="0.2">
      <c r="A25" s="369"/>
      <c r="B25" s="369"/>
      <c r="C25" s="425" t="s">
        <v>10</v>
      </c>
      <c r="D25" s="426"/>
      <c r="E25" s="426"/>
      <c r="F25" s="429">
        <f>+'44'!F25</f>
        <v>400000</v>
      </c>
      <c r="G25" s="427"/>
      <c r="H25" s="431"/>
      <c r="I25" s="431">
        <f>+(G25-F25)*(1+18%)</f>
        <v>-472000</v>
      </c>
      <c r="J25" s="428"/>
      <c r="K25" s="428"/>
      <c r="L25" s="369"/>
    </row>
    <row r="26" spans="1:12" x14ac:dyDescent="0.2">
      <c r="A26" s="369"/>
      <c r="B26" s="369"/>
      <c r="C26" s="425" t="s">
        <v>44</v>
      </c>
      <c r="D26" s="426"/>
      <c r="E26" s="426"/>
      <c r="F26" s="429">
        <f>+'44'!F26</f>
        <v>560000</v>
      </c>
      <c r="G26" s="427"/>
      <c r="H26" s="431"/>
      <c r="I26" s="428"/>
      <c r="J26" s="431">
        <f>+G26-F26</f>
        <v>-560000</v>
      </c>
      <c r="K26" s="428"/>
      <c r="L26" s="369"/>
    </row>
    <row r="27" spans="1:12" x14ac:dyDescent="0.2">
      <c r="A27" s="369"/>
      <c r="B27" s="369"/>
      <c r="C27" s="425" t="s">
        <v>702</v>
      </c>
      <c r="D27" s="426"/>
      <c r="E27" s="426"/>
      <c r="F27" s="429">
        <f>+'44'!F27</f>
        <v>130000</v>
      </c>
      <c r="G27" s="427"/>
      <c r="H27" s="431"/>
      <c r="I27" s="428"/>
      <c r="J27" s="428"/>
      <c r="K27" s="431">
        <f>+G27-F27</f>
        <v>-130000</v>
      </c>
      <c r="L27" s="369"/>
    </row>
    <row r="28" spans="1:12" ht="15" thickBot="1" x14ac:dyDescent="0.25">
      <c r="A28" s="369"/>
      <c r="B28" s="369"/>
      <c r="C28" s="425"/>
      <c r="D28" s="426"/>
      <c r="E28" s="426"/>
      <c r="F28" s="429"/>
      <c r="G28" s="427"/>
      <c r="H28" s="431"/>
      <c r="I28" s="431"/>
      <c r="J28" s="431"/>
      <c r="K28" s="431"/>
      <c r="L28" s="369"/>
    </row>
    <row r="29" spans="1:12" ht="15" thickBot="1" x14ac:dyDescent="0.25">
      <c r="A29" s="369"/>
      <c r="B29" s="369"/>
      <c r="C29" s="432"/>
      <c r="D29" s="433"/>
      <c r="E29" s="433"/>
      <c r="F29" s="433"/>
      <c r="G29" s="434"/>
      <c r="H29" s="410">
        <f>SUM(H17:H28)</f>
        <v>920000</v>
      </c>
      <c r="I29" s="410">
        <f t="shared" ref="I29:K29" si="0">SUM(I17:I28)</f>
        <v>-472300</v>
      </c>
      <c r="J29" s="410">
        <f t="shared" si="0"/>
        <v>-553000</v>
      </c>
      <c r="K29" s="410">
        <f t="shared" si="0"/>
        <v>-127000</v>
      </c>
      <c r="L29" s="369"/>
    </row>
    <row r="30" spans="1:12" x14ac:dyDescent="0.2">
      <c r="A30" s="369"/>
      <c r="B30" s="369"/>
      <c r="C30" s="369"/>
      <c r="D30" s="369"/>
      <c r="E30" s="369"/>
      <c r="F30" s="369"/>
      <c r="G30" s="369"/>
      <c r="H30" s="1421" t="s">
        <v>1309</v>
      </c>
      <c r="I30" s="1421" t="s">
        <v>1310</v>
      </c>
      <c r="J30" s="1421" t="s">
        <v>1311</v>
      </c>
      <c r="K30" s="1421" t="s">
        <v>1312</v>
      </c>
      <c r="L30" s="369"/>
    </row>
    <row r="31" spans="1:12" x14ac:dyDescent="0.2">
      <c r="A31" s="369"/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CF76"/>
  <sheetViews>
    <sheetView topLeftCell="BV1" zoomScale="70" zoomScaleNormal="70" workbookViewId="0">
      <selection activeCell="DD20" sqref="DD20"/>
    </sheetView>
  </sheetViews>
  <sheetFormatPr baseColWidth="10" defaultColWidth="11.42578125" defaultRowHeight="18.75" x14ac:dyDescent="0.3"/>
  <cols>
    <col min="1" max="1" width="4.42578125" customWidth="1"/>
    <col min="2" max="4" width="11.140625" customWidth="1"/>
    <col min="5" max="5" width="9.7109375" customWidth="1"/>
    <col min="6" max="6" width="10.85546875" customWidth="1"/>
    <col min="7" max="7" width="10.28515625" customWidth="1"/>
    <col min="8" max="8" width="8.42578125" customWidth="1"/>
    <col min="9" max="9" width="12.7109375" customWidth="1"/>
    <col min="10" max="10" width="12.5703125" customWidth="1"/>
    <col min="11" max="11" width="10.85546875" customWidth="1"/>
    <col min="12" max="13" width="4.42578125" customWidth="1"/>
    <col min="14" max="14" width="4.7109375" customWidth="1"/>
    <col min="15" max="16" width="10.28515625" customWidth="1"/>
    <col min="17" max="18" width="12.7109375" customWidth="1"/>
    <col min="19" max="19" width="36.7109375" bestFit="1" customWidth="1"/>
    <col min="20" max="20" width="13.7109375" customWidth="1"/>
    <col min="21" max="21" width="10.7109375" customWidth="1"/>
    <col min="22" max="22" width="11.85546875" bestFit="1" customWidth="1"/>
    <col min="23" max="23" width="3.5703125" customWidth="1"/>
    <col min="24" max="24" width="24" bestFit="1" customWidth="1"/>
    <col min="25" max="25" width="4.7109375" bestFit="1" customWidth="1"/>
    <col min="26" max="28" width="5.28515625" customWidth="1"/>
    <col min="29" max="29" width="15.7109375" customWidth="1"/>
    <col min="30" max="30" width="33.140625" customWidth="1"/>
    <col min="31" max="31" width="13.42578125" customWidth="1"/>
    <col min="32" max="32" width="15.85546875" customWidth="1"/>
    <col min="33" max="33" width="12.140625" bestFit="1" customWidth="1"/>
    <col min="34" max="35" width="8.85546875" bestFit="1" customWidth="1"/>
    <col min="36" max="36" width="13.42578125" style="42" bestFit="1" customWidth="1"/>
    <col min="37" max="39" width="13.85546875" style="42" customWidth="1"/>
    <col min="40" max="40" width="11.42578125" style="42" bestFit="1" customWidth="1"/>
    <col min="41" max="41" width="37.85546875" style="42" bestFit="1" customWidth="1"/>
    <col min="42" max="42" width="11.85546875" style="42" bestFit="1" customWidth="1"/>
    <col min="43" max="43" width="10.85546875" style="42" bestFit="1" customWidth="1"/>
    <col min="44" max="44" width="11.7109375" style="42" customWidth="1"/>
    <col min="45" max="45" width="10.140625" style="42" bestFit="1" customWidth="1"/>
    <col min="46" max="46" width="10.140625" style="42" customWidth="1"/>
    <col min="47" max="47" width="10.140625" style="42" bestFit="1" customWidth="1"/>
    <col min="48" max="48" width="10.85546875" style="42" bestFit="1" customWidth="1"/>
    <col min="49" max="49" width="10.140625" bestFit="1" customWidth="1"/>
    <col min="50" max="50" width="9.28515625" bestFit="1" customWidth="1"/>
    <col min="51" max="51" width="12.28515625" customWidth="1"/>
    <col min="52" max="52" width="10.7109375" customWidth="1"/>
    <col min="53" max="53" width="12.85546875" customWidth="1"/>
    <col min="54" max="54" width="15" customWidth="1"/>
    <col min="55" max="56" width="0.42578125" customWidth="1"/>
    <col min="57" max="57" width="12.140625" customWidth="1"/>
    <col min="58" max="58" width="8" customWidth="1"/>
    <col min="59" max="59" width="16.140625" customWidth="1"/>
    <col min="60" max="60" width="4.7109375" style="42" customWidth="1"/>
    <col min="61" max="61" width="10.85546875" style="42" bestFit="1" customWidth="1"/>
    <col min="62" max="62" width="11.28515625" style="42" bestFit="1" customWidth="1"/>
    <col min="63" max="63" width="10.7109375" style="42" customWidth="1"/>
    <col min="64" max="64" width="9.85546875" style="42" bestFit="1" customWidth="1"/>
    <col min="65" max="66" width="10.85546875" style="42" customWidth="1"/>
    <col min="67" max="67" width="10.85546875" style="42" bestFit="1" customWidth="1"/>
    <col min="68" max="68" width="2.85546875" style="42" customWidth="1"/>
    <col min="69" max="69" width="9.85546875" style="42" customWidth="1"/>
    <col min="70" max="70" width="10.28515625" customWidth="1"/>
    <col min="71" max="71" width="25.7109375" style="42" customWidth="1"/>
    <col min="72" max="75" width="11.7109375" style="42" customWidth="1"/>
    <col min="76" max="76" width="5" style="42" customWidth="1"/>
    <col min="77" max="77" width="10.7109375" style="42" customWidth="1"/>
    <col min="78" max="78" width="4.42578125" style="42" bestFit="1" customWidth="1"/>
    <col min="79" max="79" width="9.42578125" style="42" bestFit="1" customWidth="1"/>
    <col min="80" max="80" width="8.42578125" customWidth="1"/>
    <col min="81" max="146" width="11.42578125" customWidth="1"/>
    <col min="16382" max="16384" width="8.140625" customWidth="1"/>
  </cols>
  <sheetData>
    <row r="1" spans="1:84" ht="18.75" customHeight="1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110"/>
    </row>
    <row r="2" spans="1:84" ht="18.75" customHeight="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110"/>
    </row>
    <row r="3" spans="1:84" ht="18.75" customHeight="1" thickBo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110"/>
    </row>
    <row r="4" spans="1:84" ht="18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0"/>
      <c r="M4" s="20"/>
      <c r="N4" s="20"/>
      <c r="O4" s="20"/>
      <c r="P4" s="20"/>
      <c r="Q4" s="20"/>
      <c r="R4" s="522" t="s">
        <v>488</v>
      </c>
      <c r="S4" s="215"/>
      <c r="T4" s="215"/>
      <c r="U4" s="215"/>
      <c r="V4" s="215"/>
      <c r="W4" s="215"/>
      <c r="X4" s="215"/>
      <c r="Y4" s="216"/>
      <c r="Z4" s="20"/>
      <c r="AA4" s="20"/>
      <c r="AB4" s="15"/>
      <c r="AC4" s="114" t="s">
        <v>486</v>
      </c>
      <c r="AD4" s="523"/>
      <c r="AE4" s="524"/>
      <c r="AF4" s="524"/>
      <c r="AG4" s="524"/>
      <c r="AH4" s="1498" t="s">
        <v>109</v>
      </c>
      <c r="AI4" s="1499"/>
      <c r="AJ4" s="525" t="s">
        <v>356</v>
      </c>
      <c r="AK4" s="15"/>
      <c r="AL4" s="286"/>
      <c r="AM4" s="20"/>
      <c r="AN4" s="114" t="s">
        <v>487</v>
      </c>
      <c r="AO4" s="523"/>
      <c r="AP4" s="523"/>
      <c r="AQ4" s="523"/>
      <c r="AR4" s="523"/>
      <c r="AS4" s="523"/>
      <c r="AT4" s="523"/>
      <c r="AU4" s="523"/>
      <c r="AV4" s="523"/>
      <c r="AW4" s="523"/>
      <c r="AX4" s="523"/>
      <c r="AY4" s="562"/>
      <c r="AZ4" s="562"/>
      <c r="BA4" s="20"/>
      <c r="BB4" s="1426" t="s">
        <v>489</v>
      </c>
      <c r="BC4" s="1427"/>
      <c r="BD4" s="1427"/>
      <c r="BE4" s="1427"/>
      <c r="BF4" s="1427"/>
      <c r="BG4" s="1427"/>
      <c r="BH4" s="1427"/>
      <c r="BI4" s="1428"/>
      <c r="BJ4" s="20"/>
      <c r="BK4" s="522" t="s">
        <v>490</v>
      </c>
      <c r="BL4" s="215"/>
      <c r="BM4" s="215"/>
      <c r="BN4" s="215"/>
      <c r="BO4" s="215"/>
      <c r="BP4" s="215"/>
      <c r="BQ4" s="215"/>
      <c r="BR4" s="215"/>
      <c r="BS4" s="215"/>
      <c r="BT4" s="215"/>
      <c r="BU4" s="216"/>
      <c r="BV4" s="20"/>
      <c r="BW4" s="522" t="s">
        <v>708</v>
      </c>
      <c r="BX4" s="215"/>
      <c r="BY4" s="215"/>
      <c r="BZ4" s="215"/>
      <c r="CA4" s="164"/>
      <c r="CB4" s="164"/>
      <c r="CC4" s="164"/>
      <c r="CD4" s="20"/>
      <c r="CE4" s="20"/>
      <c r="CF4" s="110"/>
    </row>
    <row r="5" spans="1:84" ht="21" customHeight="1" x14ac:dyDescent="0.35">
      <c r="A5" s="15"/>
      <c r="B5" s="1489" t="s">
        <v>458</v>
      </c>
      <c r="C5" s="1490"/>
      <c r="D5" s="1490"/>
      <c r="E5" s="1490"/>
      <c r="F5" s="1490"/>
      <c r="G5" s="1490"/>
      <c r="H5" s="1490"/>
      <c r="I5" s="1490"/>
      <c r="J5" s="1490"/>
      <c r="K5" s="1491"/>
      <c r="L5" s="15"/>
      <c r="M5" s="15"/>
      <c r="N5" s="15"/>
      <c r="O5" s="15"/>
      <c r="P5" s="15"/>
      <c r="Q5" s="15"/>
      <c r="R5" s="501"/>
      <c r="S5" s="502"/>
      <c r="T5" s="58" t="s">
        <v>64</v>
      </c>
      <c r="U5" s="58" t="s">
        <v>65</v>
      </c>
      <c r="V5" s="58" t="s">
        <v>355</v>
      </c>
      <c r="W5" s="503"/>
      <c r="X5" s="503"/>
      <c r="Y5" s="504"/>
      <c r="Z5" s="15"/>
      <c r="AA5" s="20"/>
      <c r="AB5" s="35"/>
      <c r="AC5" s="130"/>
      <c r="AD5" s="164"/>
      <c r="AE5" s="174" t="s">
        <v>64</v>
      </c>
      <c r="AF5" s="174" t="s">
        <v>65</v>
      </c>
      <c r="AG5" s="174" t="s">
        <v>355</v>
      </c>
      <c r="AH5" s="556" t="s">
        <v>156</v>
      </c>
      <c r="AI5" s="557" t="s">
        <v>233</v>
      </c>
      <c r="AJ5" s="524" t="s">
        <v>103</v>
      </c>
      <c r="AK5" s="35"/>
      <c r="AL5" s="286"/>
      <c r="AM5" s="15"/>
      <c r="AN5" s="543"/>
      <c r="AO5" s="544"/>
      <c r="AP5" s="72" t="s">
        <v>356</v>
      </c>
      <c r="AQ5" s="552" t="s">
        <v>335</v>
      </c>
      <c r="AR5" s="552" t="s">
        <v>335</v>
      </c>
      <c r="AS5" s="552" t="s">
        <v>335</v>
      </c>
      <c r="AT5" s="552" t="s">
        <v>335</v>
      </c>
      <c r="AU5" s="552" t="s">
        <v>335</v>
      </c>
      <c r="AV5" s="552" t="s">
        <v>335</v>
      </c>
      <c r="AW5" s="552" t="s">
        <v>336</v>
      </c>
      <c r="AX5" s="552" t="s">
        <v>337</v>
      </c>
      <c r="AY5" s="553" t="s">
        <v>337</v>
      </c>
      <c r="AZ5" s="562"/>
      <c r="BA5" s="3"/>
      <c r="BB5" s="1504"/>
      <c r="BC5" s="1490"/>
      <c r="BD5" s="1490"/>
      <c r="BE5" s="1490"/>
      <c r="BF5" s="1490"/>
      <c r="BG5" s="1490"/>
      <c r="BH5" s="1490"/>
      <c r="BI5" s="1505"/>
      <c r="BJ5" s="20"/>
      <c r="BK5" s="145"/>
      <c r="BL5" s="523"/>
      <c r="BM5" s="525"/>
      <c r="BN5" s="572" t="s">
        <v>335</v>
      </c>
      <c r="BO5" s="572" t="s">
        <v>335</v>
      </c>
      <c r="BP5" s="572" t="s">
        <v>335</v>
      </c>
      <c r="BQ5" s="572" t="s">
        <v>335</v>
      </c>
      <c r="BR5" s="572" t="s">
        <v>335</v>
      </c>
      <c r="BS5" s="572" t="s">
        <v>335</v>
      </c>
      <c r="BT5" s="576"/>
      <c r="BU5" s="577"/>
      <c r="BV5" s="20"/>
      <c r="BW5" s="118" t="s">
        <v>709</v>
      </c>
      <c r="BX5" s="164"/>
      <c r="BY5" s="164"/>
      <c r="BZ5" s="164"/>
      <c r="CA5" s="164"/>
      <c r="CB5" s="164"/>
      <c r="CC5" s="164"/>
      <c r="CD5" s="20"/>
      <c r="CE5" s="20"/>
      <c r="CF5" s="110"/>
    </row>
    <row r="6" spans="1:84" ht="21" hidden="1" x14ac:dyDescent="0.35">
      <c r="A6" s="35"/>
      <c r="B6" s="1495" t="s">
        <v>62</v>
      </c>
      <c r="C6" s="1496"/>
      <c r="D6" s="1496"/>
      <c r="E6" s="1496"/>
      <c r="F6" s="1496"/>
      <c r="G6" s="1496"/>
      <c r="H6" s="1496"/>
      <c r="I6" s="1496"/>
      <c r="J6" s="1496"/>
      <c r="K6" s="1497"/>
      <c r="L6" s="35"/>
      <c r="M6" s="35"/>
      <c r="N6" s="35"/>
      <c r="O6" s="35"/>
      <c r="P6" s="35"/>
      <c r="Q6" s="35"/>
      <c r="R6" s="130"/>
      <c r="S6" s="517"/>
      <c r="T6" s="518">
        <f>+E8</f>
        <v>2020</v>
      </c>
      <c r="U6" s="519">
        <f>+F8</f>
        <v>2019</v>
      </c>
      <c r="V6" s="518" t="s">
        <v>103</v>
      </c>
      <c r="W6" s="505"/>
      <c r="X6" s="505"/>
      <c r="Y6" s="506"/>
      <c r="Z6" s="35"/>
      <c r="AA6" s="20"/>
      <c r="AB6" s="35"/>
      <c r="AC6" s="130"/>
      <c r="AD6" s="145"/>
      <c r="AE6" s="524">
        <v>2016</v>
      </c>
      <c r="AF6" s="168">
        <v>2015</v>
      </c>
      <c r="AG6" s="524" t="s">
        <v>103</v>
      </c>
      <c r="AH6" s="558" t="s">
        <v>110</v>
      </c>
      <c r="AI6" s="558" t="s">
        <v>111</v>
      </c>
      <c r="AJ6" s="174" t="s">
        <v>104</v>
      </c>
      <c r="AK6" s="35"/>
      <c r="AL6" s="286"/>
      <c r="AM6" s="35"/>
      <c r="AN6" s="545"/>
      <c r="AO6" s="546"/>
      <c r="AP6" s="538" t="s">
        <v>103</v>
      </c>
      <c r="AQ6" s="539" t="s">
        <v>289</v>
      </c>
      <c r="AR6" s="538" t="s">
        <v>21</v>
      </c>
      <c r="AS6" s="539" t="s">
        <v>214</v>
      </c>
      <c r="AT6" s="539" t="s">
        <v>21</v>
      </c>
      <c r="AU6" s="539" t="s">
        <v>22</v>
      </c>
      <c r="AV6" s="539" t="s">
        <v>25</v>
      </c>
      <c r="AW6" s="538" t="s">
        <v>19</v>
      </c>
      <c r="AX6" s="538" t="s">
        <v>24</v>
      </c>
      <c r="AY6" s="538" t="s">
        <v>22</v>
      </c>
      <c r="AZ6" s="562"/>
      <c r="BA6" s="3"/>
      <c r="BB6" s="1502"/>
      <c r="BC6" s="1496"/>
      <c r="BD6" s="1496"/>
      <c r="BE6" s="1496"/>
      <c r="BF6" s="1496"/>
      <c r="BG6" s="1496"/>
      <c r="BH6" s="1496"/>
      <c r="BI6" s="1503"/>
      <c r="BJ6" s="20"/>
      <c r="BK6" s="130"/>
      <c r="BL6" s="164"/>
      <c r="BM6" s="524" t="s">
        <v>103</v>
      </c>
      <c r="BN6" s="526" t="s">
        <v>525</v>
      </c>
      <c r="BO6" s="524" t="s">
        <v>21</v>
      </c>
      <c r="BP6" s="526" t="s">
        <v>214</v>
      </c>
      <c r="BQ6" s="526" t="s">
        <v>21</v>
      </c>
      <c r="BR6" s="524" t="s">
        <v>22</v>
      </c>
      <c r="BS6" s="524" t="s">
        <v>430</v>
      </c>
      <c r="BT6" s="578"/>
      <c r="BU6" s="579"/>
      <c r="BV6" s="20"/>
      <c r="BW6" s="271"/>
      <c r="BX6" s="271"/>
      <c r="BY6" s="271"/>
      <c r="BZ6" s="271"/>
      <c r="CA6" s="271"/>
      <c r="CB6" s="271"/>
      <c r="CC6" s="271"/>
      <c r="CD6" s="20"/>
      <c r="CE6" s="20"/>
      <c r="CF6" s="110"/>
    </row>
    <row r="7" spans="1:84" ht="21" hidden="1" x14ac:dyDescent="0.35">
      <c r="A7" s="35"/>
      <c r="B7" s="1492" t="s">
        <v>625</v>
      </c>
      <c r="C7" s="1493"/>
      <c r="D7" s="1493"/>
      <c r="E7" s="1493"/>
      <c r="F7" s="1493"/>
      <c r="G7" s="1493"/>
      <c r="H7" s="1493"/>
      <c r="I7" s="1493"/>
      <c r="J7" s="1493"/>
      <c r="K7" s="1494"/>
      <c r="L7" s="35"/>
      <c r="M7" s="35"/>
      <c r="N7" s="35"/>
      <c r="O7" s="35"/>
      <c r="P7" s="35"/>
      <c r="Q7" s="35"/>
      <c r="R7" s="130"/>
      <c r="S7" s="514"/>
      <c r="T7" s="520" t="s">
        <v>3</v>
      </c>
      <c r="U7" s="521" t="s">
        <v>3</v>
      </c>
      <c r="V7" s="520" t="s">
        <v>3</v>
      </c>
      <c r="W7" s="505"/>
      <c r="X7" s="505"/>
      <c r="Y7" s="506"/>
      <c r="Z7" s="35"/>
      <c r="AA7" s="20"/>
      <c r="AB7" s="35"/>
      <c r="AC7" s="130"/>
      <c r="AD7" s="130"/>
      <c r="AE7" s="174" t="s">
        <v>3</v>
      </c>
      <c r="AF7" s="174" t="s">
        <v>3</v>
      </c>
      <c r="AG7" s="174" t="s">
        <v>3</v>
      </c>
      <c r="AH7" s="174" t="s">
        <v>3</v>
      </c>
      <c r="AI7" s="174" t="s">
        <v>3</v>
      </c>
      <c r="AJ7" s="174" t="s">
        <v>3</v>
      </c>
      <c r="AK7" s="35"/>
      <c r="AL7" s="286"/>
      <c r="AM7" s="35"/>
      <c r="AN7" s="547"/>
      <c r="AO7" s="546"/>
      <c r="AP7" s="540" t="s">
        <v>104</v>
      </c>
      <c r="AQ7" s="541" t="s">
        <v>257</v>
      </c>
      <c r="AR7" s="542" t="s">
        <v>347</v>
      </c>
      <c r="AS7" s="541" t="s">
        <v>333</v>
      </c>
      <c r="AT7" s="541" t="s">
        <v>348</v>
      </c>
      <c r="AU7" s="541" t="s">
        <v>349</v>
      </c>
      <c r="AV7" s="541" t="s">
        <v>215</v>
      </c>
      <c r="AW7" s="542" t="s">
        <v>20</v>
      </c>
      <c r="AX7" s="542" t="s">
        <v>334</v>
      </c>
      <c r="AY7" s="542" t="s">
        <v>350</v>
      </c>
      <c r="AZ7" s="562"/>
      <c r="BA7" s="3"/>
      <c r="BB7" s="1500"/>
      <c r="BC7" s="1493"/>
      <c r="BD7" s="1493"/>
      <c r="BE7" s="1493"/>
      <c r="BF7" s="1493"/>
      <c r="BG7" s="1493"/>
      <c r="BH7" s="1493"/>
      <c r="BI7" s="1501"/>
      <c r="BJ7" s="20"/>
      <c r="BK7" s="130"/>
      <c r="BL7" s="164"/>
      <c r="BM7" s="174" t="s">
        <v>104</v>
      </c>
      <c r="BN7" s="573" t="s">
        <v>121</v>
      </c>
      <c r="BO7" s="174" t="s">
        <v>347</v>
      </c>
      <c r="BP7" s="573" t="s">
        <v>333</v>
      </c>
      <c r="BQ7" s="573" t="s">
        <v>348</v>
      </c>
      <c r="BR7" s="174" t="s">
        <v>349</v>
      </c>
      <c r="BS7" s="174" t="s">
        <v>215</v>
      </c>
      <c r="BT7" s="578"/>
      <c r="BU7" s="579"/>
      <c r="BV7" s="20"/>
      <c r="BW7" s="165" t="s">
        <v>287</v>
      </c>
      <c r="BX7" s="165"/>
      <c r="BY7" s="165"/>
      <c r="BZ7" s="165"/>
      <c r="CA7" s="167">
        <f>I39</f>
        <v>5800</v>
      </c>
      <c r="CB7" s="271"/>
      <c r="CC7" s="271"/>
      <c r="CD7" s="20"/>
      <c r="CE7" s="20"/>
      <c r="CF7" s="110"/>
    </row>
    <row r="8" spans="1:84" ht="21" hidden="1" x14ac:dyDescent="0.35">
      <c r="A8" s="35"/>
      <c r="B8" s="450"/>
      <c r="C8" s="451"/>
      <c r="D8" s="451"/>
      <c r="E8" s="452">
        <v>2020</v>
      </c>
      <c r="F8" s="452">
        <v>2019</v>
      </c>
      <c r="G8" s="451"/>
      <c r="H8" s="451"/>
      <c r="I8" s="451"/>
      <c r="J8" s="452">
        <v>2020</v>
      </c>
      <c r="K8" s="453">
        <v>2019</v>
      </c>
      <c r="L8" s="35"/>
      <c r="M8" s="35"/>
      <c r="N8" s="35"/>
      <c r="O8" s="35"/>
      <c r="P8" s="35"/>
      <c r="Q8" s="35"/>
      <c r="R8" s="130"/>
      <c r="S8" s="514" t="s">
        <v>1</v>
      </c>
      <c r="T8" s="515">
        <f t="shared" ref="T8:U11" si="0">+E12</f>
        <v>1000</v>
      </c>
      <c r="U8" s="515">
        <f t="shared" si="0"/>
        <v>800</v>
      </c>
      <c r="V8" s="80">
        <f>+U8-T8</f>
        <v>-200</v>
      </c>
      <c r="W8" s="505"/>
      <c r="X8" s="507" t="s">
        <v>426</v>
      </c>
      <c r="Y8" s="506"/>
      <c r="Z8" s="35"/>
      <c r="AA8" s="20"/>
      <c r="AB8" s="34"/>
      <c r="AC8" s="130"/>
      <c r="AD8" s="94" t="s">
        <v>1</v>
      </c>
      <c r="AE8" s="60">
        <f t="shared" ref="AE8:AE17" si="1">+T8</f>
        <v>1000</v>
      </c>
      <c r="AF8" s="60">
        <f t="shared" ref="AF8:AF17" si="2">+U8</f>
        <v>800</v>
      </c>
      <c r="AG8" s="527">
        <f>+AF8-AE8</f>
        <v>-200</v>
      </c>
      <c r="AH8" s="527"/>
      <c r="AI8" s="527"/>
      <c r="AJ8" s="527">
        <f>+AG8+AI8-AH8</f>
        <v>-200</v>
      </c>
      <c r="AK8" s="34"/>
      <c r="AL8" s="286"/>
      <c r="AM8" s="35"/>
      <c r="AN8" s="145"/>
      <c r="AO8" s="146" t="s">
        <v>1</v>
      </c>
      <c r="AP8" s="561">
        <f t="shared" ref="AP8:AP25" si="3">+AJ8</f>
        <v>-200</v>
      </c>
      <c r="AQ8" s="63"/>
      <c r="AR8" s="60"/>
      <c r="AS8" s="63"/>
      <c r="AT8" s="63"/>
      <c r="AU8" s="63"/>
      <c r="AV8" s="63"/>
      <c r="AW8" s="53"/>
      <c r="AX8" s="53"/>
      <c r="AY8" s="53"/>
      <c r="AZ8" s="542" t="s">
        <v>707</v>
      </c>
      <c r="BA8" s="3"/>
      <c r="BB8" s="1429"/>
      <c r="BC8" s="35"/>
      <c r="BD8" s="35"/>
      <c r="BE8" s="35"/>
      <c r="BF8" s="35"/>
      <c r="BG8" s="35"/>
      <c r="BH8" s="20"/>
      <c r="BI8" s="1430" t="s">
        <v>3</v>
      </c>
      <c r="BJ8" s="20"/>
      <c r="BK8" s="145"/>
      <c r="BL8" s="587" t="s">
        <v>1</v>
      </c>
      <c r="BM8" s="259">
        <f t="shared" ref="BM8:BM25" si="4">+AP8</f>
        <v>-200</v>
      </c>
      <c r="BN8" s="260"/>
      <c r="BO8" s="259"/>
      <c r="BP8" s="260"/>
      <c r="BQ8" s="260"/>
      <c r="BR8" s="259"/>
      <c r="BS8" s="261"/>
      <c r="BT8" s="578"/>
      <c r="BU8" s="579"/>
      <c r="BV8" s="20"/>
      <c r="BW8" s="271"/>
      <c r="BX8" s="271"/>
      <c r="BY8" s="271"/>
      <c r="BZ8" s="271"/>
      <c r="CA8" s="271"/>
      <c r="CB8" s="271"/>
      <c r="CC8" s="271"/>
      <c r="CD8" s="20"/>
      <c r="CE8" s="20"/>
      <c r="CF8" s="110"/>
    </row>
    <row r="9" spans="1:84" ht="24" customHeight="1" x14ac:dyDescent="0.35">
      <c r="A9" s="34"/>
      <c r="B9" s="454"/>
      <c r="C9" s="455"/>
      <c r="D9" s="455"/>
      <c r="E9" s="456" t="s">
        <v>3</v>
      </c>
      <c r="F9" s="456" t="s">
        <v>3</v>
      </c>
      <c r="G9" s="455"/>
      <c r="H9" s="455"/>
      <c r="I9" s="455"/>
      <c r="J9" s="456" t="s">
        <v>3</v>
      </c>
      <c r="K9" s="457" t="s">
        <v>3</v>
      </c>
      <c r="L9" s="34"/>
      <c r="M9" s="34"/>
      <c r="N9" s="34"/>
      <c r="O9" s="34"/>
      <c r="P9" s="34"/>
      <c r="Q9" s="34"/>
      <c r="R9" s="130" t="s">
        <v>259</v>
      </c>
      <c r="S9" s="514" t="s">
        <v>354</v>
      </c>
      <c r="T9" s="515">
        <f t="shared" si="0"/>
        <v>9000</v>
      </c>
      <c r="U9" s="515">
        <f t="shared" si="0"/>
        <v>8000</v>
      </c>
      <c r="V9" s="515">
        <f t="shared" ref="V9:V25" si="5">+U9-T9</f>
        <v>-1000</v>
      </c>
      <c r="W9" s="508"/>
      <c r="X9" s="505" t="s">
        <v>422</v>
      </c>
      <c r="Y9" s="506"/>
      <c r="Z9" s="34"/>
      <c r="AA9" s="20"/>
      <c r="AB9" s="34"/>
      <c r="AC9" s="130" t="s">
        <v>259</v>
      </c>
      <c r="AD9" s="94" t="s">
        <v>352</v>
      </c>
      <c r="AE9" s="60">
        <f t="shared" si="1"/>
        <v>9000</v>
      </c>
      <c r="AF9" s="60">
        <f t="shared" si="2"/>
        <v>8000</v>
      </c>
      <c r="AG9" s="250">
        <f t="shared" ref="AG9:AG25" si="6">+AF9-AE9</f>
        <v>-1000</v>
      </c>
      <c r="AH9" s="60"/>
      <c r="AI9" s="60"/>
      <c r="AJ9" s="251">
        <f>+AG9+AI9-AH9</f>
        <v>-1000</v>
      </c>
      <c r="AK9" s="34"/>
      <c r="AL9" s="286"/>
      <c r="AM9" s="34"/>
      <c r="AN9" s="130" t="s">
        <v>259</v>
      </c>
      <c r="AO9" s="559" t="s">
        <v>252</v>
      </c>
      <c r="AP9" s="83">
        <f t="shared" si="3"/>
        <v>-1000</v>
      </c>
      <c r="AQ9" s="537">
        <f>+AP9</f>
        <v>-1000</v>
      </c>
      <c r="AR9" s="515"/>
      <c r="AS9" s="537"/>
      <c r="AT9" s="537"/>
      <c r="AU9" s="537"/>
      <c r="AV9" s="537"/>
      <c r="AW9" s="548"/>
      <c r="AX9" s="550"/>
      <c r="AY9" s="550"/>
      <c r="AZ9" s="1422">
        <f>SUM(AQ9:AY9)-AP9</f>
        <v>0</v>
      </c>
      <c r="BA9" s="3"/>
      <c r="BB9" s="1431" t="s">
        <v>51</v>
      </c>
      <c r="BC9" s="35"/>
      <c r="BD9" s="35"/>
      <c r="BE9" s="35"/>
      <c r="BF9" s="35"/>
      <c r="BG9" s="35"/>
      <c r="BH9" s="26"/>
      <c r="BI9" s="1432"/>
      <c r="BJ9" s="20"/>
      <c r="BK9" s="130" t="s">
        <v>259</v>
      </c>
      <c r="BL9" s="583" t="s">
        <v>252</v>
      </c>
      <c r="BM9" s="584">
        <f t="shared" si="4"/>
        <v>-1000</v>
      </c>
      <c r="BN9" s="574">
        <f>+AQ9</f>
        <v>-1000</v>
      </c>
      <c r="BO9" s="574"/>
      <c r="BP9" s="574"/>
      <c r="BQ9" s="574"/>
      <c r="BR9" s="575"/>
      <c r="BS9" s="575"/>
      <c r="BT9" s="578"/>
      <c r="BU9" s="579"/>
      <c r="BV9" s="20"/>
      <c r="BW9" s="590" t="s">
        <v>151</v>
      </c>
      <c r="BX9" s="271"/>
      <c r="BY9" s="271"/>
      <c r="BZ9" s="271"/>
      <c r="CA9" s="271"/>
      <c r="CB9" s="271"/>
      <c r="CC9" s="591">
        <f>CA7+CA10</f>
        <v>6400</v>
      </c>
      <c r="CD9" s="26"/>
      <c r="CE9" s="26"/>
      <c r="CF9" s="110"/>
    </row>
    <row r="10" spans="1:84" ht="21" x14ac:dyDescent="0.35">
      <c r="A10" s="34"/>
      <c r="B10" s="458" t="s">
        <v>309</v>
      </c>
      <c r="C10" s="459"/>
      <c r="D10" s="459"/>
      <c r="E10" s="456"/>
      <c r="F10" s="456"/>
      <c r="G10" s="459" t="s">
        <v>79</v>
      </c>
      <c r="H10" s="459"/>
      <c r="I10" s="459"/>
      <c r="J10" s="459"/>
      <c r="K10" s="457"/>
      <c r="L10" s="34"/>
      <c r="M10" s="34"/>
      <c r="N10" s="34"/>
      <c r="O10" s="34"/>
      <c r="P10" s="34"/>
      <c r="Q10" s="34"/>
      <c r="R10" s="130" t="s">
        <v>259</v>
      </c>
      <c r="S10" s="514" t="s">
        <v>2</v>
      </c>
      <c r="T10" s="515">
        <f t="shared" si="0"/>
        <v>3100</v>
      </c>
      <c r="U10" s="515">
        <f t="shared" si="0"/>
        <v>1600</v>
      </c>
      <c r="V10" s="515">
        <f>+U10-T10</f>
        <v>-1500</v>
      </c>
      <c r="W10" s="508"/>
      <c r="X10" s="509" t="s">
        <v>425</v>
      </c>
      <c r="Y10" s="506"/>
      <c r="Z10" s="34"/>
      <c r="AA10" s="20"/>
      <c r="AB10" s="34"/>
      <c r="AC10" s="130" t="s">
        <v>259</v>
      </c>
      <c r="AD10" s="94" t="s">
        <v>2</v>
      </c>
      <c r="AE10" s="60">
        <f t="shared" si="1"/>
        <v>3100</v>
      </c>
      <c r="AF10" s="60">
        <f t="shared" si="2"/>
        <v>1600</v>
      </c>
      <c r="AG10" s="250">
        <f t="shared" si="6"/>
        <v>-1500</v>
      </c>
      <c r="AH10" s="60"/>
      <c r="AI10" s="60"/>
      <c r="AJ10" s="251">
        <f>+AG10+AI10-AH10</f>
        <v>-1500</v>
      </c>
      <c r="AK10" s="34"/>
      <c r="AL10" s="286"/>
      <c r="AM10" s="34"/>
      <c r="AN10" s="130" t="s">
        <v>259</v>
      </c>
      <c r="AO10" s="559" t="s">
        <v>2</v>
      </c>
      <c r="AP10" s="83">
        <f t="shared" si="3"/>
        <v>-1500</v>
      </c>
      <c r="AQ10" s="537"/>
      <c r="AR10" s="515">
        <f>+AP10*(1+18%)</f>
        <v>-1770</v>
      </c>
      <c r="AS10" s="537"/>
      <c r="AT10" s="537"/>
      <c r="AU10" s="537"/>
      <c r="AV10" s="554">
        <f>+AP10-AR10</f>
        <v>270</v>
      </c>
      <c r="AW10" s="548"/>
      <c r="AX10" s="550"/>
      <c r="AY10" s="550"/>
      <c r="AZ10" s="563">
        <f t="shared" ref="AZ10:AZ25" si="7">SUM(AQ10:AY10)-AP10</f>
        <v>0</v>
      </c>
      <c r="BA10" s="3"/>
      <c r="BB10" s="1433" t="s">
        <v>248</v>
      </c>
      <c r="BC10" s="95"/>
      <c r="BD10" s="95"/>
      <c r="BE10" s="95"/>
      <c r="BF10" s="95"/>
      <c r="BG10" s="95"/>
      <c r="BH10" s="20"/>
      <c r="BI10" s="1434">
        <f>+AQ26</f>
        <v>83134</v>
      </c>
      <c r="BJ10" s="20"/>
      <c r="BK10" s="130" t="s">
        <v>259</v>
      </c>
      <c r="BL10" s="583" t="s">
        <v>2</v>
      </c>
      <c r="BM10" s="584">
        <f t="shared" si="4"/>
        <v>-1500</v>
      </c>
      <c r="BN10" s="568"/>
      <c r="BO10" s="568">
        <f>+AR10</f>
        <v>-1770</v>
      </c>
      <c r="BP10" s="568"/>
      <c r="BQ10" s="568"/>
      <c r="BR10" s="569"/>
      <c r="BS10" s="569">
        <f>+AV10</f>
        <v>270</v>
      </c>
      <c r="BT10" s="578"/>
      <c r="BU10" s="579"/>
      <c r="BV10" s="20"/>
      <c r="BW10" s="271" t="s">
        <v>288</v>
      </c>
      <c r="BX10" s="271"/>
      <c r="BY10" s="271"/>
      <c r="BZ10" s="271"/>
      <c r="CA10" s="592">
        <f>AI22</f>
        <v>600</v>
      </c>
      <c r="CB10" s="271"/>
      <c r="CC10" s="595" t="s">
        <v>357</v>
      </c>
      <c r="CD10" s="20"/>
      <c r="CE10" s="20"/>
      <c r="CF10" s="110"/>
    </row>
    <row r="11" spans="1:84" ht="21" x14ac:dyDescent="0.35">
      <c r="A11" s="34"/>
      <c r="B11" s="458" t="s">
        <v>78</v>
      </c>
      <c r="C11" s="459"/>
      <c r="D11" s="459"/>
      <c r="E11" s="456"/>
      <c r="F11" s="456"/>
      <c r="G11" s="459" t="s">
        <v>77</v>
      </c>
      <c r="H11" s="459"/>
      <c r="I11" s="459"/>
      <c r="J11" s="459"/>
      <c r="K11" s="457"/>
      <c r="L11" s="34"/>
      <c r="M11" s="34"/>
      <c r="N11" s="34"/>
      <c r="O11" s="34"/>
      <c r="P11" s="34"/>
      <c r="Q11" s="34"/>
      <c r="R11" s="130" t="s">
        <v>259</v>
      </c>
      <c r="S11" s="514" t="s">
        <v>249</v>
      </c>
      <c r="T11" s="515">
        <f t="shared" si="0"/>
        <v>2100</v>
      </c>
      <c r="U11" s="515">
        <f t="shared" si="0"/>
        <v>1100</v>
      </c>
      <c r="V11" s="515">
        <f>+U11-T11</f>
        <v>-1000</v>
      </c>
      <c r="W11" s="508"/>
      <c r="X11" s="505" t="s">
        <v>423</v>
      </c>
      <c r="Y11" s="506"/>
      <c r="Z11" s="34"/>
      <c r="AA11" s="20"/>
      <c r="AB11" s="34"/>
      <c r="AC11" s="130" t="s">
        <v>259</v>
      </c>
      <c r="AD11" s="94" t="s">
        <v>249</v>
      </c>
      <c r="AE11" s="60">
        <f t="shared" si="1"/>
        <v>2100</v>
      </c>
      <c r="AF11" s="60">
        <f t="shared" si="2"/>
        <v>1100</v>
      </c>
      <c r="AG11" s="250">
        <f t="shared" si="6"/>
        <v>-1000</v>
      </c>
      <c r="AH11" s="60"/>
      <c r="AI11" s="60"/>
      <c r="AJ11" s="251">
        <f t="shared" ref="AJ11:AJ25" si="8">+AG11+AI11-AH11</f>
        <v>-1000</v>
      </c>
      <c r="AK11" s="34"/>
      <c r="AL11" s="286"/>
      <c r="AM11" s="34"/>
      <c r="AN11" s="130" t="s">
        <v>259</v>
      </c>
      <c r="AO11" s="559" t="s">
        <v>249</v>
      </c>
      <c r="AP11" s="83">
        <f t="shared" si="3"/>
        <v>-1000</v>
      </c>
      <c r="AQ11" s="537"/>
      <c r="AR11" s="515"/>
      <c r="AS11" s="537">
        <f>+AP11</f>
        <v>-1000</v>
      </c>
      <c r="AT11" s="537"/>
      <c r="AU11" s="537"/>
      <c r="AV11" s="537"/>
      <c r="AW11" s="548"/>
      <c r="AX11" s="550"/>
      <c r="AY11" s="550"/>
      <c r="AZ11" s="563">
        <f t="shared" si="7"/>
        <v>0</v>
      </c>
      <c r="BA11" s="3"/>
      <c r="BB11" s="1433" t="s">
        <v>338</v>
      </c>
      <c r="BC11" s="95"/>
      <c r="BD11" s="95"/>
      <c r="BE11" s="95"/>
      <c r="BF11" s="95"/>
      <c r="BG11" s="95"/>
      <c r="BH11" s="20"/>
      <c r="BI11" s="1435">
        <f>+AR26</f>
        <v>-65816</v>
      </c>
      <c r="BJ11" s="20"/>
      <c r="BK11" s="130" t="s">
        <v>259</v>
      </c>
      <c r="BL11" s="583" t="s">
        <v>249</v>
      </c>
      <c r="BM11" s="584">
        <f t="shared" si="4"/>
        <v>-1000</v>
      </c>
      <c r="BN11" s="568"/>
      <c r="BO11" s="568"/>
      <c r="BP11" s="568">
        <f>+AS11</f>
        <v>-1000</v>
      </c>
      <c r="BQ11" s="568"/>
      <c r="BR11" s="569"/>
      <c r="BS11" s="569"/>
      <c r="BT11" s="578"/>
      <c r="BU11" s="579"/>
      <c r="BV11" s="20"/>
      <c r="BW11" s="590" t="s">
        <v>359</v>
      </c>
      <c r="BX11" s="271"/>
      <c r="BY11" s="271"/>
      <c r="BZ11" s="271"/>
      <c r="CA11" s="271"/>
      <c r="CB11" s="271"/>
      <c r="CC11" s="271"/>
      <c r="CD11" s="20"/>
      <c r="CE11" s="20"/>
      <c r="CF11" s="110"/>
    </row>
    <row r="12" spans="1:84" ht="21" x14ac:dyDescent="0.35">
      <c r="A12" s="34"/>
      <c r="B12" s="454" t="s">
        <v>1</v>
      </c>
      <c r="C12" s="455"/>
      <c r="D12" s="455"/>
      <c r="E12" s="460">
        <v>1000</v>
      </c>
      <c r="F12" s="460">
        <v>800</v>
      </c>
      <c r="G12" s="455" t="s">
        <v>5</v>
      </c>
      <c r="H12" s="455"/>
      <c r="I12" s="455"/>
      <c r="J12" s="460">
        <v>2300</v>
      </c>
      <c r="K12" s="461">
        <v>1300</v>
      </c>
      <c r="L12" s="34"/>
      <c r="M12" s="34"/>
      <c r="N12" s="34"/>
      <c r="O12" s="34"/>
      <c r="P12" s="34"/>
      <c r="Q12" s="34"/>
      <c r="R12" s="130" t="s">
        <v>260</v>
      </c>
      <c r="S12" s="514" t="s">
        <v>263</v>
      </c>
      <c r="T12" s="515">
        <f>+E18</f>
        <v>3000</v>
      </c>
      <c r="U12" s="515">
        <f>+F18</f>
        <v>2000</v>
      </c>
      <c r="V12" s="515">
        <f t="shared" si="5"/>
        <v>-1000</v>
      </c>
      <c r="W12" s="505"/>
      <c r="X12" s="509" t="s">
        <v>424</v>
      </c>
      <c r="Y12" s="506"/>
      <c r="Z12" s="34"/>
      <c r="AA12" s="20"/>
      <c r="AB12" s="34"/>
      <c r="AC12" s="130" t="s">
        <v>260</v>
      </c>
      <c r="AD12" s="94" t="s">
        <v>263</v>
      </c>
      <c r="AE12" s="60">
        <f t="shared" si="1"/>
        <v>3000</v>
      </c>
      <c r="AF12" s="60">
        <f t="shared" si="2"/>
        <v>2000</v>
      </c>
      <c r="AG12" s="250">
        <f t="shared" si="6"/>
        <v>-1000</v>
      </c>
      <c r="AH12" s="60">
        <f>+AI22</f>
        <v>600</v>
      </c>
      <c r="AI12" s="60"/>
      <c r="AJ12" s="251">
        <f t="shared" si="8"/>
        <v>-1600</v>
      </c>
      <c r="AK12" s="34"/>
      <c r="AL12" s="286"/>
      <c r="AM12" s="34"/>
      <c r="AN12" s="130" t="s">
        <v>260</v>
      </c>
      <c r="AO12" s="559" t="s">
        <v>263</v>
      </c>
      <c r="AP12" s="83">
        <f t="shared" si="3"/>
        <v>-1600</v>
      </c>
      <c r="AQ12" s="537"/>
      <c r="AR12" s="515"/>
      <c r="AS12" s="537"/>
      <c r="AT12" s="537"/>
      <c r="AU12" s="537"/>
      <c r="AV12" s="537"/>
      <c r="AW12" s="549">
        <f>+AP12</f>
        <v>-1600</v>
      </c>
      <c r="AX12" s="550"/>
      <c r="AY12" s="550"/>
      <c r="AZ12" s="563">
        <f t="shared" si="7"/>
        <v>0</v>
      </c>
      <c r="BA12" s="3"/>
      <c r="BB12" s="1433" t="s">
        <v>339</v>
      </c>
      <c r="BC12" s="95"/>
      <c r="BD12" s="95"/>
      <c r="BE12" s="95"/>
      <c r="BF12" s="95"/>
      <c r="BG12" s="95"/>
      <c r="BH12" s="20"/>
      <c r="BI12" s="1435">
        <f>+AS26</f>
        <v>-800</v>
      </c>
      <c r="BJ12" s="20"/>
      <c r="BK12" s="130" t="s">
        <v>260</v>
      </c>
      <c r="BL12" s="583" t="s">
        <v>263</v>
      </c>
      <c r="BM12" s="584">
        <f t="shared" si="4"/>
        <v>-1600</v>
      </c>
      <c r="BN12" s="568"/>
      <c r="BO12" s="568"/>
      <c r="BP12" s="568"/>
      <c r="BQ12" s="568"/>
      <c r="BR12" s="569"/>
      <c r="BS12" s="569"/>
      <c r="BT12" s="578"/>
      <c r="BU12" s="579"/>
      <c r="BV12" s="20"/>
      <c r="BW12" s="593" t="s">
        <v>361</v>
      </c>
      <c r="BX12" s="271"/>
      <c r="BY12" s="271"/>
      <c r="BZ12" s="271"/>
      <c r="CA12" s="592">
        <f>+BN9</f>
        <v>-1000</v>
      </c>
      <c r="CB12" s="271"/>
      <c r="CC12" s="271"/>
      <c r="CD12" s="20"/>
      <c r="CE12" s="20"/>
      <c r="CF12" s="110"/>
    </row>
    <row r="13" spans="1:84" ht="21" x14ac:dyDescent="0.35">
      <c r="A13" s="34"/>
      <c r="B13" s="454" t="s">
        <v>352</v>
      </c>
      <c r="C13" s="455"/>
      <c r="D13" s="455"/>
      <c r="E13" s="460">
        <v>9000</v>
      </c>
      <c r="F13" s="460">
        <v>8000</v>
      </c>
      <c r="G13" s="455" t="s">
        <v>351</v>
      </c>
      <c r="H13" s="455"/>
      <c r="I13" s="455"/>
      <c r="J13" s="460">
        <v>2000</v>
      </c>
      <c r="K13" s="461">
        <v>1500</v>
      </c>
      <c r="L13" s="34"/>
      <c r="M13" s="34"/>
      <c r="N13" s="34"/>
      <c r="O13" s="34"/>
      <c r="P13" s="34"/>
      <c r="Q13" s="34"/>
      <c r="R13" s="133" t="s">
        <v>259</v>
      </c>
      <c r="S13" s="514" t="s">
        <v>5</v>
      </c>
      <c r="T13" s="515">
        <f t="shared" ref="T13:U15" si="9">-J12</f>
        <v>-2300</v>
      </c>
      <c r="U13" s="516">
        <f t="shared" si="9"/>
        <v>-1300</v>
      </c>
      <c r="V13" s="515">
        <f t="shared" si="5"/>
        <v>1000</v>
      </c>
      <c r="W13" s="505"/>
      <c r="X13" s="505"/>
      <c r="Y13" s="506"/>
      <c r="Z13" s="34"/>
      <c r="AA13" s="20"/>
      <c r="AB13" s="34"/>
      <c r="AC13" s="133" t="s">
        <v>259</v>
      </c>
      <c r="AD13" s="94" t="s">
        <v>5</v>
      </c>
      <c r="AE13" s="60">
        <f t="shared" si="1"/>
        <v>-2300</v>
      </c>
      <c r="AF13" s="60">
        <f t="shared" si="2"/>
        <v>-1300</v>
      </c>
      <c r="AG13" s="250">
        <f t="shared" si="6"/>
        <v>1000</v>
      </c>
      <c r="AH13" s="60"/>
      <c r="AI13" s="60"/>
      <c r="AJ13" s="251">
        <f t="shared" si="8"/>
        <v>1000</v>
      </c>
      <c r="AK13" s="34"/>
      <c r="AL13" s="286"/>
      <c r="AM13" s="34"/>
      <c r="AN13" s="133" t="s">
        <v>259</v>
      </c>
      <c r="AO13" s="559" t="s">
        <v>5</v>
      </c>
      <c r="AP13" s="83">
        <f t="shared" si="3"/>
        <v>1000</v>
      </c>
      <c r="AQ13" s="537"/>
      <c r="AR13" s="515"/>
      <c r="AS13" s="537"/>
      <c r="AT13" s="537">
        <f>+AP13</f>
        <v>1000</v>
      </c>
      <c r="AU13" s="537"/>
      <c r="AV13" s="537"/>
      <c r="AW13" s="548"/>
      <c r="AX13" s="550"/>
      <c r="AY13" s="550"/>
      <c r="AZ13" s="563">
        <f t="shared" si="7"/>
        <v>0</v>
      </c>
      <c r="BA13" s="3"/>
      <c r="BB13" s="1433" t="s">
        <v>342</v>
      </c>
      <c r="BC13" s="95"/>
      <c r="BD13" s="95"/>
      <c r="BE13" s="95"/>
      <c r="BF13" s="95"/>
      <c r="BG13" s="95"/>
      <c r="BH13" s="20"/>
      <c r="BI13" s="1435">
        <f>+AT26</f>
        <v>-2100</v>
      </c>
      <c r="BJ13" s="20"/>
      <c r="BK13" s="133" t="s">
        <v>259</v>
      </c>
      <c r="BL13" s="583" t="s">
        <v>5</v>
      </c>
      <c r="BM13" s="584">
        <f t="shared" si="4"/>
        <v>1000</v>
      </c>
      <c r="BN13" s="568"/>
      <c r="BO13" s="568"/>
      <c r="BP13" s="568"/>
      <c r="BQ13" s="568">
        <f>+AT13</f>
        <v>1000</v>
      </c>
      <c r="BR13" s="569"/>
      <c r="BS13" s="569"/>
      <c r="BT13" s="578"/>
      <c r="BU13" s="589">
        <f>SUM(BN9:BS17)</f>
        <v>500</v>
      </c>
      <c r="BV13" s="20"/>
      <c r="BW13" s="593" t="s">
        <v>360</v>
      </c>
      <c r="BX13" s="271"/>
      <c r="BY13" s="271"/>
      <c r="BZ13" s="271"/>
      <c r="CA13" s="592">
        <f>+BO10+BS10</f>
        <v>-1500</v>
      </c>
      <c r="CB13" s="271"/>
      <c r="CC13" s="271"/>
      <c r="CD13" s="20"/>
      <c r="CE13" s="20"/>
      <c r="CF13" s="110"/>
    </row>
    <row r="14" spans="1:84" ht="21" x14ac:dyDescent="0.35">
      <c r="A14" s="34"/>
      <c r="B14" s="454" t="s">
        <v>2</v>
      </c>
      <c r="C14" s="455"/>
      <c r="D14" s="455"/>
      <c r="E14" s="460">
        <v>3100</v>
      </c>
      <c r="F14" s="460">
        <v>1600</v>
      </c>
      <c r="G14" s="455" t="s">
        <v>292</v>
      </c>
      <c r="H14" s="455"/>
      <c r="I14" s="455"/>
      <c r="J14" s="462">
        <v>3900</v>
      </c>
      <c r="K14" s="463">
        <v>1400</v>
      </c>
      <c r="L14" s="34"/>
      <c r="M14" s="34"/>
      <c r="N14" s="34"/>
      <c r="O14" s="34"/>
      <c r="P14" s="34"/>
      <c r="Q14" s="34"/>
      <c r="R14" s="133" t="s">
        <v>259</v>
      </c>
      <c r="S14" s="514" t="s">
        <v>351</v>
      </c>
      <c r="T14" s="515">
        <f t="shared" si="9"/>
        <v>-2000</v>
      </c>
      <c r="U14" s="516">
        <f t="shared" si="9"/>
        <v>-1500</v>
      </c>
      <c r="V14" s="515">
        <f>+U14-T14</f>
        <v>500</v>
      </c>
      <c r="W14" s="505"/>
      <c r="X14" s="505"/>
      <c r="Y14" s="506"/>
      <c r="Z14" s="34"/>
      <c r="AA14" s="20"/>
      <c r="AB14" s="34"/>
      <c r="AC14" s="133" t="s">
        <v>259</v>
      </c>
      <c r="AD14" s="94" t="s">
        <v>351</v>
      </c>
      <c r="AE14" s="60">
        <f t="shared" si="1"/>
        <v>-2000</v>
      </c>
      <c r="AF14" s="60">
        <f t="shared" si="2"/>
        <v>-1500</v>
      </c>
      <c r="AG14" s="250">
        <f t="shared" si="6"/>
        <v>500</v>
      </c>
      <c r="AH14" s="60"/>
      <c r="AI14" s="60"/>
      <c r="AJ14" s="251">
        <f t="shared" si="8"/>
        <v>500</v>
      </c>
      <c r="AK14" s="34"/>
      <c r="AL14" s="286"/>
      <c r="AM14" s="34"/>
      <c r="AN14" s="133" t="s">
        <v>259</v>
      </c>
      <c r="AO14" s="559" t="s">
        <v>4</v>
      </c>
      <c r="AP14" s="83">
        <f t="shared" si="3"/>
        <v>500</v>
      </c>
      <c r="AQ14" s="537"/>
      <c r="AR14" s="515">
        <f>+AP14</f>
        <v>500</v>
      </c>
      <c r="AS14" s="537"/>
      <c r="AT14" s="537"/>
      <c r="AU14" s="537"/>
      <c r="AV14" s="537"/>
      <c r="AW14" s="548"/>
      <c r="AX14" s="550"/>
      <c r="AY14" s="550"/>
      <c r="AZ14" s="563">
        <f t="shared" si="7"/>
        <v>0</v>
      </c>
      <c r="BA14" s="3"/>
      <c r="BB14" s="1433" t="s">
        <v>340</v>
      </c>
      <c r="BC14" s="95"/>
      <c r="BD14" s="95"/>
      <c r="BE14" s="95"/>
      <c r="BF14" s="95"/>
      <c r="BG14" s="95"/>
      <c r="BH14" s="20"/>
      <c r="BI14" s="1435">
        <f>+AU26</f>
        <v>-4000</v>
      </c>
      <c r="BJ14" s="20"/>
      <c r="BK14" s="133" t="s">
        <v>259</v>
      </c>
      <c r="BL14" s="583" t="s">
        <v>291</v>
      </c>
      <c r="BM14" s="584">
        <f t="shared" si="4"/>
        <v>500</v>
      </c>
      <c r="BN14" s="568"/>
      <c r="BO14" s="568">
        <f>+AR14</f>
        <v>500</v>
      </c>
      <c r="BP14" s="568"/>
      <c r="BQ14" s="568"/>
      <c r="BR14" s="569"/>
      <c r="BS14" s="569"/>
      <c r="BT14" s="578"/>
      <c r="BU14" s="580" t="s">
        <v>358</v>
      </c>
      <c r="BV14" s="20"/>
      <c r="BW14" s="593" t="s">
        <v>362</v>
      </c>
      <c r="BX14" s="271"/>
      <c r="BY14" s="271"/>
      <c r="BZ14" s="271"/>
      <c r="CA14" s="592">
        <f>+BP11</f>
        <v>-1000</v>
      </c>
      <c r="CB14" s="271"/>
      <c r="CC14" s="594">
        <f>SUM(CA12:CA17)</f>
        <v>500</v>
      </c>
      <c r="CD14" s="26"/>
      <c r="CE14" s="26"/>
      <c r="CF14" s="110"/>
    </row>
    <row r="15" spans="1:84" ht="21" x14ac:dyDescent="0.35">
      <c r="A15" s="34"/>
      <c r="B15" s="454" t="s">
        <v>249</v>
      </c>
      <c r="C15" s="455"/>
      <c r="D15" s="455"/>
      <c r="E15" s="462">
        <v>2100</v>
      </c>
      <c r="F15" s="462">
        <v>1100</v>
      </c>
      <c r="G15" s="459" t="s">
        <v>76</v>
      </c>
      <c r="H15" s="459"/>
      <c r="I15" s="459"/>
      <c r="J15" s="464">
        <f>SUM(J12:J14)</f>
        <v>8200</v>
      </c>
      <c r="K15" s="465">
        <f>SUM(K12:K14)</f>
        <v>4200</v>
      </c>
      <c r="L15" s="34"/>
      <c r="M15" s="34"/>
      <c r="N15" s="34"/>
      <c r="O15" s="34"/>
      <c r="P15" s="34"/>
      <c r="Q15" s="34"/>
      <c r="R15" s="133" t="s">
        <v>259</v>
      </c>
      <c r="S15" s="514" t="s">
        <v>41</v>
      </c>
      <c r="T15" s="515">
        <f t="shared" si="9"/>
        <v>-3900</v>
      </c>
      <c r="U15" s="516">
        <f t="shared" si="9"/>
        <v>-1400</v>
      </c>
      <c r="V15" s="515">
        <f t="shared" si="5"/>
        <v>2500</v>
      </c>
      <c r="W15" s="505"/>
      <c r="X15" s="505"/>
      <c r="Y15" s="506"/>
      <c r="Z15" s="34"/>
      <c r="AA15" s="20"/>
      <c r="AB15" s="34"/>
      <c r="AC15" s="133" t="s">
        <v>259</v>
      </c>
      <c r="AD15" s="94" t="s">
        <v>353</v>
      </c>
      <c r="AE15" s="60">
        <f t="shared" si="1"/>
        <v>-3900</v>
      </c>
      <c r="AF15" s="60">
        <f t="shared" si="2"/>
        <v>-1400</v>
      </c>
      <c r="AG15" s="250">
        <f t="shared" si="6"/>
        <v>2500</v>
      </c>
      <c r="AH15" s="60"/>
      <c r="AI15" s="60"/>
      <c r="AJ15" s="251">
        <f t="shared" si="8"/>
        <v>2500</v>
      </c>
      <c r="AK15" s="34"/>
      <c r="AL15" s="286"/>
      <c r="AM15" s="34"/>
      <c r="AN15" s="133" t="s">
        <v>259</v>
      </c>
      <c r="AO15" s="559" t="s">
        <v>41</v>
      </c>
      <c r="AP15" s="83">
        <f t="shared" si="3"/>
        <v>2500</v>
      </c>
      <c r="AQ15" s="537"/>
      <c r="AR15" s="515"/>
      <c r="AS15" s="537"/>
      <c r="AT15" s="537"/>
      <c r="AU15" s="537">
        <f>+AP15</f>
        <v>2500</v>
      </c>
      <c r="AV15" s="537"/>
      <c r="AW15" s="548"/>
      <c r="AX15" s="550"/>
      <c r="AY15" s="550"/>
      <c r="AZ15" s="563">
        <f t="shared" si="7"/>
        <v>0</v>
      </c>
      <c r="BA15" s="3"/>
      <c r="BB15" s="1433" t="s">
        <v>429</v>
      </c>
      <c r="BC15" s="95"/>
      <c r="BD15" s="95"/>
      <c r="BE15" s="95"/>
      <c r="BF15" s="95"/>
      <c r="BG15" s="95"/>
      <c r="BH15" s="20"/>
      <c r="BI15" s="1436">
        <f>+AV26</f>
        <v>-3518</v>
      </c>
      <c r="BJ15" s="20"/>
      <c r="BK15" s="133" t="s">
        <v>259</v>
      </c>
      <c r="BL15" s="583" t="s">
        <v>41</v>
      </c>
      <c r="BM15" s="584">
        <f t="shared" si="4"/>
        <v>2500</v>
      </c>
      <c r="BN15" s="568"/>
      <c r="BO15" s="568"/>
      <c r="BP15" s="568"/>
      <c r="BQ15" s="568"/>
      <c r="BR15" s="568">
        <f>+AU15</f>
        <v>2500</v>
      </c>
      <c r="BS15" s="569"/>
      <c r="BT15" s="578"/>
      <c r="BU15" s="579"/>
      <c r="BV15" s="20"/>
      <c r="BW15" s="593" t="s">
        <v>363</v>
      </c>
      <c r="BX15" s="271"/>
      <c r="BY15" s="271"/>
      <c r="BZ15" s="271"/>
      <c r="CA15" s="592">
        <f>+BQ13</f>
        <v>1000</v>
      </c>
      <c r="CB15" s="271"/>
      <c r="CC15" s="595" t="s">
        <v>358</v>
      </c>
      <c r="CD15" s="20"/>
      <c r="CE15" s="42"/>
      <c r="CF15" s="110"/>
    </row>
    <row r="16" spans="1:84" ht="21" x14ac:dyDescent="0.35">
      <c r="A16" s="34"/>
      <c r="B16" s="458"/>
      <c r="C16" s="459"/>
      <c r="D16" s="459"/>
      <c r="E16" s="466">
        <f>SUM(E12:E15)</f>
        <v>15200</v>
      </c>
      <c r="F16" s="466">
        <f>SUM(F12:F15)</f>
        <v>11500</v>
      </c>
      <c r="G16" s="459"/>
      <c r="H16" s="459"/>
      <c r="I16" s="459"/>
      <c r="J16" s="466"/>
      <c r="K16" s="465"/>
      <c r="L16" s="34"/>
      <c r="M16" s="34"/>
      <c r="N16" s="34"/>
      <c r="O16" s="34"/>
      <c r="P16" s="34"/>
      <c r="Q16" s="34"/>
      <c r="R16" s="133" t="s">
        <v>261</v>
      </c>
      <c r="S16" s="514" t="s">
        <v>7</v>
      </c>
      <c r="T16" s="515">
        <f>-J18</f>
        <v>-3500</v>
      </c>
      <c r="U16" s="516">
        <f>-K18</f>
        <v>-2000</v>
      </c>
      <c r="V16" s="515">
        <f t="shared" si="5"/>
        <v>1500</v>
      </c>
      <c r="W16" s="505"/>
      <c r="X16" s="505"/>
      <c r="Y16" s="506"/>
      <c r="Z16" s="34"/>
      <c r="AA16" s="20"/>
      <c r="AB16" s="34"/>
      <c r="AC16" s="133" t="s">
        <v>261</v>
      </c>
      <c r="AD16" s="94" t="s">
        <v>7</v>
      </c>
      <c r="AE16" s="60">
        <f t="shared" si="1"/>
        <v>-3500</v>
      </c>
      <c r="AF16" s="60">
        <f t="shared" si="2"/>
        <v>-2000</v>
      </c>
      <c r="AG16" s="250">
        <f t="shared" si="6"/>
        <v>1500</v>
      </c>
      <c r="AH16" s="60">
        <f>+AI14+AI17</f>
        <v>500</v>
      </c>
      <c r="AI16" s="60"/>
      <c r="AJ16" s="251">
        <f t="shared" si="8"/>
        <v>1000</v>
      </c>
      <c r="AK16" s="34"/>
      <c r="AL16" s="286"/>
      <c r="AM16" s="34"/>
      <c r="AN16" s="133" t="s">
        <v>261</v>
      </c>
      <c r="AO16" s="559" t="s">
        <v>7</v>
      </c>
      <c r="AP16" s="83">
        <f t="shared" si="3"/>
        <v>1000</v>
      </c>
      <c r="AQ16" s="537"/>
      <c r="AR16" s="515"/>
      <c r="AS16" s="537"/>
      <c r="AT16" s="537"/>
      <c r="AU16" s="537"/>
      <c r="AV16" s="537"/>
      <c r="AW16" s="548"/>
      <c r="AX16" s="551">
        <f>+AP16</f>
        <v>1000</v>
      </c>
      <c r="AY16" s="550"/>
      <c r="AZ16" s="563">
        <f t="shared" si="7"/>
        <v>0</v>
      </c>
      <c r="BA16" s="3"/>
      <c r="BB16" s="1437" t="s">
        <v>145</v>
      </c>
      <c r="BC16" s="565"/>
      <c r="BD16" s="565"/>
      <c r="BE16" s="565"/>
      <c r="BF16" s="565"/>
      <c r="BG16" s="565"/>
      <c r="BH16" s="16"/>
      <c r="BI16" s="1438">
        <f>SUM(BI10:BI15)</f>
        <v>6900</v>
      </c>
      <c r="BJ16" s="20"/>
      <c r="BK16" s="133" t="s">
        <v>261</v>
      </c>
      <c r="BL16" s="583" t="s">
        <v>7</v>
      </c>
      <c r="BM16" s="584">
        <f t="shared" si="4"/>
        <v>1000</v>
      </c>
      <c r="BN16" s="568"/>
      <c r="BO16" s="568"/>
      <c r="BP16" s="568"/>
      <c r="BQ16" s="568"/>
      <c r="BR16" s="569"/>
      <c r="BS16" s="569"/>
      <c r="BT16" s="578"/>
      <c r="BU16" s="579"/>
      <c r="BV16" s="20"/>
      <c r="BW16" s="593" t="s">
        <v>364</v>
      </c>
      <c r="BX16" s="271"/>
      <c r="BY16" s="271"/>
      <c r="BZ16" s="271"/>
      <c r="CA16" s="592">
        <f>+BO14</f>
        <v>500</v>
      </c>
      <c r="CB16" s="271"/>
      <c r="CC16" s="271"/>
      <c r="CD16" s="20"/>
      <c r="CE16" s="20"/>
      <c r="CF16" s="110"/>
    </row>
    <row r="17" spans="1:84" ht="21" x14ac:dyDescent="0.35">
      <c r="A17" s="34"/>
      <c r="B17" s="458" t="s">
        <v>310</v>
      </c>
      <c r="C17" s="459"/>
      <c r="D17" s="459"/>
      <c r="E17" s="460"/>
      <c r="F17" s="460"/>
      <c r="G17" s="459" t="s">
        <v>80</v>
      </c>
      <c r="H17" s="459"/>
      <c r="I17" s="459"/>
      <c r="J17" s="460"/>
      <c r="K17" s="461"/>
      <c r="L17" s="34"/>
      <c r="M17" s="34"/>
      <c r="N17" s="34"/>
      <c r="O17" s="34"/>
      <c r="P17" s="34"/>
      <c r="Q17" s="34"/>
      <c r="R17" s="133" t="s">
        <v>261</v>
      </c>
      <c r="S17" s="514" t="s">
        <v>8</v>
      </c>
      <c r="T17" s="515">
        <f>-J19+I39</f>
        <v>-700</v>
      </c>
      <c r="U17" s="516">
        <f>-K19</f>
        <v>-7300</v>
      </c>
      <c r="V17" s="515">
        <f t="shared" si="5"/>
        <v>-6600</v>
      </c>
      <c r="W17" s="505"/>
      <c r="X17" s="249">
        <f>SUM(V9:V25)</f>
        <v>200</v>
      </c>
      <c r="Y17" s="506"/>
      <c r="Z17" s="34"/>
      <c r="AA17" s="20"/>
      <c r="AB17" s="34"/>
      <c r="AC17" s="133" t="s">
        <v>261</v>
      </c>
      <c r="AD17" s="94" t="s">
        <v>8</v>
      </c>
      <c r="AE17" s="60">
        <f t="shared" si="1"/>
        <v>-700</v>
      </c>
      <c r="AF17" s="60">
        <f t="shared" si="2"/>
        <v>-7300</v>
      </c>
      <c r="AG17" s="250">
        <f t="shared" si="6"/>
        <v>-6600</v>
      </c>
      <c r="AH17" s="60"/>
      <c r="AI17" s="60">
        <v>500</v>
      </c>
      <c r="AJ17" s="251">
        <f t="shared" si="8"/>
        <v>-6100</v>
      </c>
      <c r="AK17" s="34"/>
      <c r="AL17" s="286"/>
      <c r="AM17" s="34"/>
      <c r="AN17" s="133" t="s">
        <v>261</v>
      </c>
      <c r="AO17" s="559" t="s">
        <v>8</v>
      </c>
      <c r="AP17" s="83">
        <f t="shared" si="3"/>
        <v>-6100</v>
      </c>
      <c r="AQ17" s="537"/>
      <c r="AR17" s="515"/>
      <c r="AS17" s="537"/>
      <c r="AT17" s="537"/>
      <c r="AU17" s="537"/>
      <c r="AV17" s="537"/>
      <c r="AW17" s="548"/>
      <c r="AX17" s="550"/>
      <c r="AY17" s="551">
        <f>+AP17</f>
        <v>-6100</v>
      </c>
      <c r="AZ17" s="563">
        <f t="shared" si="7"/>
        <v>0</v>
      </c>
      <c r="BA17" s="3"/>
      <c r="BB17" s="1431" t="s">
        <v>52</v>
      </c>
      <c r="BC17" s="95"/>
      <c r="BD17" s="95"/>
      <c r="BE17" s="95"/>
      <c r="BF17" s="95"/>
      <c r="BG17" s="95"/>
      <c r="BH17" s="26"/>
      <c r="BI17" s="1434"/>
      <c r="BJ17" s="20"/>
      <c r="BK17" s="133" t="s">
        <v>261</v>
      </c>
      <c r="BL17" s="585" t="s">
        <v>8</v>
      </c>
      <c r="BM17" s="586">
        <f t="shared" si="4"/>
        <v>-6100</v>
      </c>
      <c r="BN17" s="570"/>
      <c r="BO17" s="570"/>
      <c r="BP17" s="570"/>
      <c r="BQ17" s="570"/>
      <c r="BR17" s="571"/>
      <c r="BS17" s="571"/>
      <c r="BT17" s="578"/>
      <c r="BU17" s="579"/>
      <c r="BV17" s="20"/>
      <c r="BW17" s="593" t="s">
        <v>365</v>
      </c>
      <c r="BX17" s="271"/>
      <c r="BY17" s="271"/>
      <c r="BZ17" s="271"/>
      <c r="CA17" s="592">
        <f>+BR15</f>
        <v>2500</v>
      </c>
      <c r="CB17" s="271"/>
      <c r="CC17" s="271"/>
      <c r="CD17" s="20"/>
      <c r="CE17" s="20"/>
      <c r="CF17" s="110"/>
    </row>
    <row r="18" spans="1:84" ht="21" x14ac:dyDescent="0.35">
      <c r="A18" s="34"/>
      <c r="B18" s="454" t="s">
        <v>306</v>
      </c>
      <c r="C18" s="455"/>
      <c r="D18" s="455"/>
      <c r="E18" s="460">
        <v>3000</v>
      </c>
      <c r="F18" s="460">
        <v>2000</v>
      </c>
      <c r="G18" s="455" t="s">
        <v>7</v>
      </c>
      <c r="H18" s="455"/>
      <c r="I18" s="455"/>
      <c r="J18" s="460">
        <v>3500</v>
      </c>
      <c r="K18" s="461">
        <v>2000</v>
      </c>
      <c r="L18" s="34"/>
      <c r="M18" s="34"/>
      <c r="N18" s="34"/>
      <c r="O18" s="34"/>
      <c r="P18" s="34"/>
      <c r="Q18" s="34"/>
      <c r="R18" s="130" t="s">
        <v>259</v>
      </c>
      <c r="S18" s="514" t="s">
        <v>9</v>
      </c>
      <c r="T18" s="515">
        <f>-I27</f>
        <v>-71300</v>
      </c>
      <c r="U18" s="516"/>
      <c r="V18" s="515">
        <f t="shared" si="5"/>
        <v>71300</v>
      </c>
      <c r="W18" s="505"/>
      <c r="X18" s="505"/>
      <c r="Y18" s="506"/>
      <c r="Z18" s="34"/>
      <c r="AA18" s="20"/>
      <c r="AB18" s="34"/>
      <c r="AC18" s="130" t="s">
        <v>259</v>
      </c>
      <c r="AD18" s="94" t="s">
        <v>9</v>
      </c>
      <c r="AE18" s="60">
        <f t="shared" ref="AE18:AE25" si="10">+T18</f>
        <v>-71300</v>
      </c>
      <c r="AF18" s="60"/>
      <c r="AG18" s="250">
        <f t="shared" si="6"/>
        <v>71300</v>
      </c>
      <c r="AH18" s="60"/>
      <c r="AI18" s="60"/>
      <c r="AJ18" s="251">
        <f t="shared" si="8"/>
        <v>71300</v>
      </c>
      <c r="AK18" s="34"/>
      <c r="AL18" s="286"/>
      <c r="AM18" s="34"/>
      <c r="AN18" s="130" t="s">
        <v>259</v>
      </c>
      <c r="AO18" s="559" t="s">
        <v>9</v>
      </c>
      <c r="AP18" s="83">
        <f t="shared" si="3"/>
        <v>71300</v>
      </c>
      <c r="AQ18" s="537">
        <f>+AP18*(1+18%)</f>
        <v>84134</v>
      </c>
      <c r="AR18" s="515"/>
      <c r="AS18" s="537"/>
      <c r="AT18" s="537"/>
      <c r="AU18" s="537"/>
      <c r="AV18" s="555">
        <f>+AP18-AQ18</f>
        <v>-12834</v>
      </c>
      <c r="AW18" s="548"/>
      <c r="AX18" s="550"/>
      <c r="AY18" s="550"/>
      <c r="AZ18" s="563">
        <f t="shared" si="7"/>
        <v>0</v>
      </c>
      <c r="BA18" s="3"/>
      <c r="BB18" s="1433" t="s">
        <v>523</v>
      </c>
      <c r="BC18" s="95"/>
      <c r="BD18" s="95"/>
      <c r="BE18" s="95"/>
      <c r="BF18" s="95"/>
      <c r="BG18" s="95"/>
      <c r="BH18" s="20"/>
      <c r="BI18" s="1436">
        <f>+AW26</f>
        <v>-1600</v>
      </c>
      <c r="BJ18" s="20"/>
      <c r="BK18" s="130" t="s">
        <v>259</v>
      </c>
      <c r="BL18" s="583" t="s">
        <v>9</v>
      </c>
      <c r="BM18" s="584">
        <f t="shared" si="4"/>
        <v>71300</v>
      </c>
      <c r="BN18" s="161">
        <f>+AQ18</f>
        <v>84134</v>
      </c>
      <c r="BO18" s="161"/>
      <c r="BP18" s="161"/>
      <c r="BQ18" s="161"/>
      <c r="BR18" s="83"/>
      <c r="BS18" s="83">
        <f>+AV18</f>
        <v>-12834</v>
      </c>
      <c r="BT18" s="578"/>
      <c r="BU18" s="579"/>
      <c r="BV18" s="20"/>
      <c r="BW18" s="271"/>
      <c r="BX18" s="271"/>
      <c r="BY18" s="271"/>
      <c r="BZ18" s="271"/>
      <c r="CA18" s="271"/>
      <c r="CB18" s="271"/>
      <c r="CC18" s="271"/>
      <c r="CD18" s="20"/>
      <c r="CE18" s="20"/>
      <c r="CF18" s="110"/>
    </row>
    <row r="19" spans="1:84" ht="21" x14ac:dyDescent="0.35">
      <c r="A19" s="34"/>
      <c r="B19" s="454"/>
      <c r="C19" s="455"/>
      <c r="D19" s="455"/>
      <c r="E19" s="455"/>
      <c r="F19" s="455"/>
      <c r="G19" s="455" t="s">
        <v>8</v>
      </c>
      <c r="H19" s="455"/>
      <c r="I19" s="455"/>
      <c r="J19" s="462">
        <v>6500</v>
      </c>
      <c r="K19" s="463">
        <v>7300</v>
      </c>
      <c r="L19" s="34"/>
      <c r="M19" s="34"/>
      <c r="N19" s="34"/>
      <c r="O19" s="34"/>
      <c r="P19" s="34"/>
      <c r="Q19" s="34"/>
      <c r="R19" s="130" t="s">
        <v>259</v>
      </c>
      <c r="S19" s="514" t="s">
        <v>331</v>
      </c>
      <c r="T19" s="515">
        <f>-I29</f>
        <v>54700</v>
      </c>
      <c r="U19" s="516"/>
      <c r="V19" s="515">
        <f>+U19-T19</f>
        <v>-54700</v>
      </c>
      <c r="W19" s="505"/>
      <c r="X19" s="505"/>
      <c r="Y19" s="506"/>
      <c r="Z19" s="34"/>
      <c r="AA19" s="20"/>
      <c r="AB19" s="34"/>
      <c r="AC19" s="130" t="s">
        <v>259</v>
      </c>
      <c r="AD19" s="94" t="s">
        <v>331</v>
      </c>
      <c r="AE19" s="60">
        <f t="shared" si="10"/>
        <v>54700</v>
      </c>
      <c r="AF19" s="60"/>
      <c r="AG19" s="250">
        <f t="shared" si="6"/>
        <v>-54700</v>
      </c>
      <c r="AH19" s="60"/>
      <c r="AI19" s="60"/>
      <c r="AJ19" s="251">
        <f t="shared" si="8"/>
        <v>-54700</v>
      </c>
      <c r="AK19" s="34"/>
      <c r="AL19" s="286"/>
      <c r="AM19" s="34"/>
      <c r="AN19" s="130" t="s">
        <v>259</v>
      </c>
      <c r="AO19" s="559" t="s">
        <v>331</v>
      </c>
      <c r="AP19" s="83">
        <f t="shared" si="3"/>
        <v>-54700</v>
      </c>
      <c r="AQ19" s="537"/>
      <c r="AR19" s="515">
        <f>+AP19*(1+18%)</f>
        <v>-64546</v>
      </c>
      <c r="AS19" s="537"/>
      <c r="AT19" s="537"/>
      <c r="AU19" s="537"/>
      <c r="AV19" s="554">
        <f>+AP19-AR19</f>
        <v>9846</v>
      </c>
      <c r="AW19" s="548"/>
      <c r="AX19" s="550"/>
      <c r="AY19" s="550"/>
      <c r="AZ19" s="563">
        <f t="shared" si="7"/>
        <v>0</v>
      </c>
      <c r="BA19" s="3"/>
      <c r="BB19" s="1437" t="s">
        <v>341</v>
      </c>
      <c r="BC19" s="566"/>
      <c r="BD19" s="566"/>
      <c r="BE19" s="566"/>
      <c r="BF19" s="566"/>
      <c r="BG19" s="566"/>
      <c r="BH19" s="16"/>
      <c r="BI19" s="1439">
        <f>+BI18</f>
        <v>-1600</v>
      </c>
      <c r="BJ19" s="20"/>
      <c r="BK19" s="130" t="s">
        <v>259</v>
      </c>
      <c r="BL19" s="583" t="s">
        <v>331</v>
      </c>
      <c r="BM19" s="584">
        <f t="shared" si="4"/>
        <v>-54700</v>
      </c>
      <c r="BN19" s="161"/>
      <c r="BO19" s="161">
        <f>+AR19</f>
        <v>-64546</v>
      </c>
      <c r="BP19" s="161"/>
      <c r="BQ19" s="161"/>
      <c r="BR19" s="83"/>
      <c r="BS19" s="83">
        <f>+AV19</f>
        <v>9846</v>
      </c>
      <c r="BT19" s="578"/>
      <c r="BU19" s="579"/>
      <c r="BV19" s="20"/>
      <c r="BW19" s="165" t="s">
        <v>366</v>
      </c>
      <c r="BX19" s="165"/>
      <c r="BY19" s="165"/>
      <c r="BZ19" s="165"/>
      <c r="CA19" s="165"/>
      <c r="CB19" s="165"/>
      <c r="CC19" s="271"/>
      <c r="CD19" s="20"/>
      <c r="CE19" s="20"/>
      <c r="CF19" s="110"/>
    </row>
    <row r="20" spans="1:84" ht="21" x14ac:dyDescent="0.35">
      <c r="A20" s="34"/>
      <c r="B20" s="454"/>
      <c r="C20" s="455"/>
      <c r="D20" s="455"/>
      <c r="E20" s="467"/>
      <c r="F20" s="467"/>
      <c r="G20" s="459" t="s">
        <v>81</v>
      </c>
      <c r="H20" s="459"/>
      <c r="I20" s="459"/>
      <c r="J20" s="468">
        <f>+J18+J19</f>
        <v>10000</v>
      </c>
      <c r="K20" s="469">
        <f>+K18+K19</f>
        <v>9300</v>
      </c>
      <c r="L20" s="34"/>
      <c r="M20" s="34"/>
      <c r="N20" s="34"/>
      <c r="O20" s="34"/>
      <c r="P20" s="34"/>
      <c r="Q20" s="34"/>
      <c r="R20" s="130" t="s">
        <v>259</v>
      </c>
      <c r="S20" s="514" t="s">
        <v>332</v>
      </c>
      <c r="T20" s="515">
        <f>-I30</f>
        <v>3100</v>
      </c>
      <c r="U20" s="516"/>
      <c r="V20" s="515">
        <f t="shared" si="5"/>
        <v>-3100</v>
      </c>
      <c r="W20" s="505"/>
      <c r="X20" s="505"/>
      <c r="Y20" s="506"/>
      <c r="Z20" s="34"/>
      <c r="AA20" s="20"/>
      <c r="AB20" s="34"/>
      <c r="AC20" s="130" t="s">
        <v>259</v>
      </c>
      <c r="AD20" s="94" t="s">
        <v>332</v>
      </c>
      <c r="AE20" s="60">
        <f t="shared" si="10"/>
        <v>3100</v>
      </c>
      <c r="AF20" s="60"/>
      <c r="AG20" s="250">
        <f t="shared" si="6"/>
        <v>-3100</v>
      </c>
      <c r="AH20" s="60"/>
      <c r="AI20" s="60"/>
      <c r="AJ20" s="251">
        <f t="shared" si="8"/>
        <v>-3100</v>
      </c>
      <c r="AK20" s="34"/>
      <c r="AL20" s="286"/>
      <c r="AM20" s="34"/>
      <c r="AN20" s="130" t="s">
        <v>259</v>
      </c>
      <c r="AO20" s="559" t="s">
        <v>332</v>
      </c>
      <c r="AP20" s="83">
        <f t="shared" si="3"/>
        <v>-3100</v>
      </c>
      <c r="AQ20" s="537"/>
      <c r="AR20" s="515"/>
      <c r="AS20" s="537"/>
      <c r="AT20" s="537">
        <f>+AP20</f>
        <v>-3100</v>
      </c>
      <c r="AU20" s="537"/>
      <c r="AV20" s="537"/>
      <c r="AW20" s="548"/>
      <c r="AX20" s="550"/>
      <c r="AY20" s="550"/>
      <c r="AZ20" s="563">
        <f t="shared" si="7"/>
        <v>0</v>
      </c>
      <c r="BA20" s="3"/>
      <c r="BB20" s="1431" t="s">
        <v>74</v>
      </c>
      <c r="BC20" s="95"/>
      <c r="BD20" s="95"/>
      <c r="BE20" s="95"/>
      <c r="BF20" s="95"/>
      <c r="BG20" s="95"/>
      <c r="BH20" s="26"/>
      <c r="BI20" s="1434"/>
      <c r="BJ20" s="20"/>
      <c r="BK20" s="130" t="s">
        <v>259</v>
      </c>
      <c r="BL20" s="583" t="s">
        <v>332</v>
      </c>
      <c r="BM20" s="584">
        <f t="shared" si="4"/>
        <v>-3100</v>
      </c>
      <c r="BN20" s="161"/>
      <c r="BO20" s="161"/>
      <c r="BP20" s="161"/>
      <c r="BQ20" s="161">
        <f>+AT20</f>
        <v>-3100</v>
      </c>
      <c r="BR20" s="83"/>
      <c r="BS20" s="83"/>
      <c r="BT20" s="578"/>
      <c r="BU20" s="579"/>
      <c r="BV20" s="20"/>
      <c r="BW20" s="165" t="s">
        <v>367</v>
      </c>
      <c r="BX20" s="165"/>
      <c r="BY20" s="165"/>
      <c r="BZ20" s="165"/>
      <c r="CA20" s="166">
        <f>SUM(CA7:CA18)</f>
        <v>6900</v>
      </c>
      <c r="CB20" s="165"/>
      <c r="CC20" s="271"/>
      <c r="CD20" s="20"/>
      <c r="CE20" s="20"/>
      <c r="CF20" s="110"/>
    </row>
    <row r="21" spans="1:84" ht="21" x14ac:dyDescent="0.35">
      <c r="A21" s="34"/>
      <c r="B21" s="470" t="s">
        <v>54</v>
      </c>
      <c r="C21" s="471"/>
      <c r="D21" s="471"/>
      <c r="E21" s="224">
        <f>+E16+E18</f>
        <v>18200</v>
      </c>
      <c r="F21" s="224">
        <f>+F16+F18</f>
        <v>13500</v>
      </c>
      <c r="G21" s="471" t="s">
        <v>82</v>
      </c>
      <c r="H21" s="471"/>
      <c r="I21" s="471"/>
      <c r="J21" s="224">
        <f>+J15+J20</f>
        <v>18200</v>
      </c>
      <c r="K21" s="225">
        <f>+K15+K20</f>
        <v>13500</v>
      </c>
      <c r="L21" s="34"/>
      <c r="M21" s="34"/>
      <c r="N21" s="34"/>
      <c r="O21" s="34"/>
      <c r="P21" s="34"/>
      <c r="Q21" s="34"/>
      <c r="R21" s="130" t="s">
        <v>259</v>
      </c>
      <c r="S21" s="514" t="s">
        <v>293</v>
      </c>
      <c r="T21" s="515">
        <f>-I32</f>
        <v>300</v>
      </c>
      <c r="U21" s="516"/>
      <c r="V21" s="515">
        <f t="shared" si="5"/>
        <v>-300</v>
      </c>
      <c r="W21" s="505"/>
      <c r="X21" s="505"/>
      <c r="Y21" s="506"/>
      <c r="Z21" s="34"/>
      <c r="AA21" s="20"/>
      <c r="AB21" s="34"/>
      <c r="AC21" s="130" t="s">
        <v>259</v>
      </c>
      <c r="AD21" s="94" t="s">
        <v>293</v>
      </c>
      <c r="AE21" s="60">
        <f t="shared" si="10"/>
        <v>300</v>
      </c>
      <c r="AF21" s="60"/>
      <c r="AG21" s="250">
        <f t="shared" si="6"/>
        <v>-300</v>
      </c>
      <c r="AH21" s="60"/>
      <c r="AI21" s="60"/>
      <c r="AJ21" s="251">
        <f t="shared" si="8"/>
        <v>-300</v>
      </c>
      <c r="AK21" s="34"/>
      <c r="AL21" s="286"/>
      <c r="AM21" s="34"/>
      <c r="AN21" s="130" t="s">
        <v>259</v>
      </c>
      <c r="AO21" s="559" t="s">
        <v>293</v>
      </c>
      <c r="AP21" s="83">
        <f t="shared" si="3"/>
        <v>-300</v>
      </c>
      <c r="AQ21" s="537"/>
      <c r="AR21" s="515"/>
      <c r="AS21" s="537"/>
      <c r="AT21" s="537"/>
      <c r="AU21" s="537"/>
      <c r="AV21" s="537">
        <f>+AP21</f>
        <v>-300</v>
      </c>
      <c r="AW21" s="548"/>
      <c r="AX21" s="550"/>
      <c r="AY21" s="550"/>
      <c r="AZ21" s="563">
        <f t="shared" si="7"/>
        <v>0</v>
      </c>
      <c r="BA21" s="3"/>
      <c r="BB21" s="1433" t="s">
        <v>524</v>
      </c>
      <c r="BC21" s="95"/>
      <c r="BD21" s="95"/>
      <c r="BE21" s="95"/>
      <c r="BF21" s="95"/>
      <c r="BG21" s="95"/>
      <c r="BH21" s="26"/>
      <c r="BI21" s="1434">
        <f>+AX26</f>
        <v>1000</v>
      </c>
      <c r="BJ21" s="20"/>
      <c r="BK21" s="130" t="s">
        <v>259</v>
      </c>
      <c r="BL21" s="583" t="s">
        <v>293</v>
      </c>
      <c r="BM21" s="584">
        <f t="shared" si="4"/>
        <v>-300</v>
      </c>
      <c r="BN21" s="161"/>
      <c r="BO21" s="161"/>
      <c r="BP21" s="161"/>
      <c r="BQ21" s="161"/>
      <c r="BR21" s="83"/>
      <c r="BS21" s="83">
        <f>+AV21</f>
        <v>-300</v>
      </c>
      <c r="BT21" s="578"/>
      <c r="BU21" s="579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110"/>
    </row>
    <row r="22" spans="1:84" ht="21" x14ac:dyDescent="0.35">
      <c r="A22" s="34"/>
      <c r="B22" s="3"/>
      <c r="C22" s="3"/>
      <c r="D22" s="3"/>
      <c r="E22" s="3"/>
      <c r="F22" s="3"/>
      <c r="G22" s="3"/>
      <c r="H22" s="3"/>
      <c r="I22" s="3"/>
      <c r="J22" s="3"/>
      <c r="K22" s="22"/>
      <c r="L22" s="34"/>
      <c r="M22" s="34"/>
      <c r="N22" s="34"/>
      <c r="O22" s="34"/>
      <c r="P22" s="34"/>
      <c r="Q22" s="34"/>
      <c r="R22" s="130"/>
      <c r="S22" s="514" t="s">
        <v>38</v>
      </c>
      <c r="T22" s="515">
        <f>-I33</f>
        <v>600</v>
      </c>
      <c r="U22" s="516"/>
      <c r="V22" s="515">
        <f t="shared" si="5"/>
        <v>-600</v>
      </c>
      <c r="W22" s="505"/>
      <c r="X22" s="505"/>
      <c r="Y22" s="506"/>
      <c r="Z22" s="34"/>
      <c r="AA22" s="20"/>
      <c r="AB22" s="34"/>
      <c r="AC22" s="130"/>
      <c r="AD22" s="94" t="s">
        <v>38</v>
      </c>
      <c r="AE22" s="60">
        <f t="shared" si="10"/>
        <v>600</v>
      </c>
      <c r="AF22" s="60"/>
      <c r="AG22" s="250">
        <f t="shared" si="6"/>
        <v>-600</v>
      </c>
      <c r="AH22" s="60"/>
      <c r="AI22" s="60">
        <f>-AG22</f>
        <v>600</v>
      </c>
      <c r="AJ22" s="251">
        <f t="shared" si="8"/>
        <v>0</v>
      </c>
      <c r="AK22" s="34"/>
      <c r="AL22" s="286"/>
      <c r="AM22" s="34"/>
      <c r="AN22" s="130"/>
      <c r="AO22" s="559" t="s">
        <v>38</v>
      </c>
      <c r="AP22" s="83">
        <f t="shared" si="3"/>
        <v>0</v>
      </c>
      <c r="AQ22" s="537"/>
      <c r="AR22" s="515"/>
      <c r="AS22" s="537"/>
      <c r="AT22" s="537"/>
      <c r="AU22" s="537"/>
      <c r="AV22" s="537"/>
      <c r="AW22" s="548"/>
      <c r="AX22" s="550"/>
      <c r="AY22" s="550"/>
      <c r="AZ22" s="563">
        <f t="shared" si="7"/>
        <v>0</v>
      </c>
      <c r="BA22" s="3"/>
      <c r="BB22" s="1433" t="s">
        <v>142</v>
      </c>
      <c r="BC22" s="95"/>
      <c r="BD22" s="95"/>
      <c r="BE22" s="95"/>
      <c r="BF22" s="95"/>
      <c r="BG22" s="95"/>
      <c r="BH22" s="20"/>
      <c r="BI22" s="1436">
        <f>+AY26</f>
        <v>-6100</v>
      </c>
      <c r="BJ22" s="20"/>
      <c r="BK22" s="130"/>
      <c r="BL22" s="583" t="s">
        <v>38</v>
      </c>
      <c r="BM22" s="584">
        <f t="shared" si="4"/>
        <v>0</v>
      </c>
      <c r="BN22" s="161"/>
      <c r="BO22" s="161"/>
      <c r="BP22" s="161"/>
      <c r="BQ22" s="161"/>
      <c r="BR22" s="83"/>
      <c r="BS22" s="83"/>
      <c r="BT22" s="578"/>
      <c r="BU22" s="588">
        <f>SUM(BN18:BS25)</f>
        <v>6400</v>
      </c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110"/>
    </row>
    <row r="23" spans="1:84" ht="21" x14ac:dyDescent="0.35">
      <c r="A23" s="34"/>
      <c r="B23" s="3"/>
      <c r="C23" s="3"/>
      <c r="D23" s="1489" t="s">
        <v>458</v>
      </c>
      <c r="E23" s="1490"/>
      <c r="F23" s="1490"/>
      <c r="G23" s="1490"/>
      <c r="H23" s="1490"/>
      <c r="I23" s="1491"/>
      <c r="J23" s="3"/>
      <c r="K23" s="22"/>
      <c r="L23" s="34"/>
      <c r="M23" s="34"/>
      <c r="N23" s="34"/>
      <c r="O23" s="34"/>
      <c r="P23" s="34"/>
      <c r="Q23" s="34"/>
      <c r="R23" s="130" t="s">
        <v>259</v>
      </c>
      <c r="S23" s="514" t="s">
        <v>12</v>
      </c>
      <c r="T23" s="515">
        <f>-I34</f>
        <v>500</v>
      </c>
      <c r="U23" s="516"/>
      <c r="V23" s="515">
        <f t="shared" si="5"/>
        <v>-500</v>
      </c>
      <c r="W23" s="505"/>
      <c r="X23" s="505"/>
      <c r="Y23" s="506"/>
      <c r="Z23" s="34"/>
      <c r="AA23" s="20"/>
      <c r="AB23" s="34"/>
      <c r="AC23" s="130" t="s">
        <v>259</v>
      </c>
      <c r="AD23" s="94" t="s">
        <v>12</v>
      </c>
      <c r="AE23" s="60">
        <f t="shared" si="10"/>
        <v>500</v>
      </c>
      <c r="AF23" s="60"/>
      <c r="AG23" s="250">
        <f t="shared" si="6"/>
        <v>-500</v>
      </c>
      <c r="AH23" s="60"/>
      <c r="AI23" s="60"/>
      <c r="AJ23" s="251">
        <f t="shared" si="8"/>
        <v>-500</v>
      </c>
      <c r="AK23" s="34"/>
      <c r="AL23" s="286"/>
      <c r="AM23" s="34"/>
      <c r="AN23" s="130" t="s">
        <v>259</v>
      </c>
      <c r="AO23" s="559" t="s">
        <v>12</v>
      </c>
      <c r="AP23" s="83">
        <f t="shared" si="3"/>
        <v>-500</v>
      </c>
      <c r="AQ23" s="537"/>
      <c r="AR23" s="515"/>
      <c r="AS23" s="537"/>
      <c r="AT23" s="537"/>
      <c r="AU23" s="537"/>
      <c r="AV23" s="537">
        <f>+AP23</f>
        <v>-500</v>
      </c>
      <c r="AW23" s="548"/>
      <c r="AX23" s="550"/>
      <c r="AY23" s="550"/>
      <c r="AZ23" s="563">
        <f t="shared" si="7"/>
        <v>0</v>
      </c>
      <c r="BA23" s="3"/>
      <c r="BB23" s="1437" t="s">
        <v>147</v>
      </c>
      <c r="BC23" s="566"/>
      <c r="BD23" s="566"/>
      <c r="BE23" s="566"/>
      <c r="BF23" s="566"/>
      <c r="BG23" s="566"/>
      <c r="BH23" s="16"/>
      <c r="BI23" s="1439">
        <f>+BI21+BI22</f>
        <v>-5100</v>
      </c>
      <c r="BJ23" s="20"/>
      <c r="BK23" s="130" t="s">
        <v>259</v>
      </c>
      <c r="BL23" s="583" t="s">
        <v>12</v>
      </c>
      <c r="BM23" s="584">
        <f t="shared" si="4"/>
        <v>-500</v>
      </c>
      <c r="BN23" s="161"/>
      <c r="BO23" s="161"/>
      <c r="BP23" s="161"/>
      <c r="BQ23" s="161"/>
      <c r="BR23" s="83"/>
      <c r="BS23" s="83">
        <f>+AV23</f>
        <v>-500</v>
      </c>
      <c r="BT23" s="578"/>
      <c r="BU23" s="580" t="s">
        <v>357</v>
      </c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110"/>
    </row>
    <row r="24" spans="1:84" ht="21" x14ac:dyDescent="0.35">
      <c r="A24" s="34"/>
      <c r="B24" s="3"/>
      <c r="C24" s="3"/>
      <c r="D24" s="1495" t="s">
        <v>101</v>
      </c>
      <c r="E24" s="1496"/>
      <c r="F24" s="1496"/>
      <c r="G24" s="1496"/>
      <c r="H24" s="1496"/>
      <c r="I24" s="1497"/>
      <c r="J24" s="3"/>
      <c r="K24" s="22"/>
      <c r="L24" s="34"/>
      <c r="M24" s="34"/>
      <c r="N24" s="34"/>
      <c r="O24" s="34"/>
      <c r="P24" s="34"/>
      <c r="Q24" s="34"/>
      <c r="R24" s="130" t="s">
        <v>259</v>
      </c>
      <c r="S24" s="514" t="s">
        <v>250</v>
      </c>
      <c r="T24" s="515">
        <f>-I36</f>
        <v>-200</v>
      </c>
      <c r="U24" s="516"/>
      <c r="V24" s="515">
        <f t="shared" si="5"/>
        <v>200</v>
      </c>
      <c r="W24" s="505"/>
      <c r="X24" s="505"/>
      <c r="Y24" s="506"/>
      <c r="Z24" s="34"/>
      <c r="AA24" s="20"/>
      <c r="AB24" s="34"/>
      <c r="AC24" s="130" t="s">
        <v>259</v>
      </c>
      <c r="AD24" s="94" t="s">
        <v>250</v>
      </c>
      <c r="AE24" s="60">
        <f t="shared" si="10"/>
        <v>-200</v>
      </c>
      <c r="AF24" s="60"/>
      <c r="AG24" s="250">
        <f t="shared" si="6"/>
        <v>200</v>
      </c>
      <c r="AH24" s="60"/>
      <c r="AI24" s="60"/>
      <c r="AJ24" s="251">
        <f t="shared" si="8"/>
        <v>200</v>
      </c>
      <c r="AK24" s="34"/>
      <c r="AL24" s="286"/>
      <c r="AM24" s="34"/>
      <c r="AN24" s="130" t="s">
        <v>259</v>
      </c>
      <c r="AO24" s="559" t="s">
        <v>250</v>
      </c>
      <c r="AP24" s="83">
        <f t="shared" si="3"/>
        <v>200</v>
      </c>
      <c r="AQ24" s="537"/>
      <c r="AR24" s="515"/>
      <c r="AS24" s="537">
        <f>+AP24</f>
        <v>200</v>
      </c>
      <c r="AT24" s="537"/>
      <c r="AU24" s="537"/>
      <c r="AV24" s="537"/>
      <c r="AW24" s="548"/>
      <c r="AX24" s="550"/>
      <c r="AY24" s="550"/>
      <c r="AZ24" s="563">
        <f t="shared" si="7"/>
        <v>0</v>
      </c>
      <c r="BA24" s="3"/>
      <c r="BB24" s="1440"/>
      <c r="BC24" s="3"/>
      <c r="BD24" s="3"/>
      <c r="BE24" s="3"/>
      <c r="BF24" s="3"/>
      <c r="BG24" s="3"/>
      <c r="BH24" s="3"/>
      <c r="BI24" s="1441"/>
      <c r="BJ24" s="20"/>
      <c r="BK24" s="130" t="s">
        <v>259</v>
      </c>
      <c r="BL24" s="583" t="s">
        <v>250</v>
      </c>
      <c r="BM24" s="584">
        <f t="shared" si="4"/>
        <v>200</v>
      </c>
      <c r="BN24" s="161"/>
      <c r="BO24" s="161"/>
      <c r="BP24" s="161">
        <f>+AS24</f>
        <v>200</v>
      </c>
      <c r="BQ24" s="161"/>
      <c r="BR24" s="83"/>
      <c r="BS24" s="83"/>
      <c r="BT24" s="578"/>
      <c r="BU24" s="579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110"/>
    </row>
    <row r="25" spans="1:84" ht="21.75" customHeight="1" x14ac:dyDescent="0.35">
      <c r="A25" s="34"/>
      <c r="B25" s="3"/>
      <c r="C25" s="3"/>
      <c r="D25" s="1492" t="s">
        <v>705</v>
      </c>
      <c r="E25" s="1493"/>
      <c r="F25" s="1493"/>
      <c r="G25" s="1493"/>
      <c r="H25" s="1493"/>
      <c r="I25" s="1494"/>
      <c r="J25" s="3"/>
      <c r="K25" s="22"/>
      <c r="L25" s="34"/>
      <c r="M25" s="34"/>
      <c r="N25" s="34"/>
      <c r="O25" s="34"/>
      <c r="P25" s="34"/>
      <c r="Q25" s="34"/>
      <c r="R25" s="130" t="s">
        <v>259</v>
      </c>
      <c r="S25" s="514" t="s">
        <v>15</v>
      </c>
      <c r="T25" s="515">
        <f>-I38</f>
        <v>6500</v>
      </c>
      <c r="U25" s="516"/>
      <c r="V25" s="515">
        <f t="shared" si="5"/>
        <v>-6500</v>
      </c>
      <c r="W25" s="505"/>
      <c r="X25" s="505"/>
      <c r="Y25" s="506"/>
      <c r="Z25" s="34"/>
      <c r="AA25" s="20"/>
      <c r="AB25" s="34"/>
      <c r="AC25" s="130" t="s">
        <v>259</v>
      </c>
      <c r="AD25" s="94" t="s">
        <v>15</v>
      </c>
      <c r="AE25" s="60">
        <f t="shared" si="10"/>
        <v>6500</v>
      </c>
      <c r="AF25" s="60"/>
      <c r="AG25" s="250">
        <f t="shared" si="6"/>
        <v>-6500</v>
      </c>
      <c r="AH25" s="60"/>
      <c r="AI25" s="60"/>
      <c r="AJ25" s="251">
        <f t="shared" si="8"/>
        <v>-6500</v>
      </c>
      <c r="AK25" s="34"/>
      <c r="AL25" s="286"/>
      <c r="AM25" s="34"/>
      <c r="AN25" s="130" t="s">
        <v>259</v>
      </c>
      <c r="AO25" s="560" t="s">
        <v>15</v>
      </c>
      <c r="AP25" s="84">
        <f t="shared" si="3"/>
        <v>-6500</v>
      </c>
      <c r="AQ25" s="537"/>
      <c r="AR25" s="515"/>
      <c r="AS25" s="537"/>
      <c r="AT25" s="537"/>
      <c r="AU25" s="537">
        <f>+AP25</f>
        <v>-6500</v>
      </c>
      <c r="AV25" s="537"/>
      <c r="AW25" s="548"/>
      <c r="AX25" s="550"/>
      <c r="AY25" s="550"/>
      <c r="AZ25" s="564">
        <f t="shared" si="7"/>
        <v>0</v>
      </c>
      <c r="BA25" s="3"/>
      <c r="BB25" s="1437" t="s">
        <v>148</v>
      </c>
      <c r="BC25" s="565"/>
      <c r="BD25" s="565"/>
      <c r="BE25" s="565"/>
      <c r="BF25" s="565"/>
      <c r="BG25" s="565"/>
      <c r="BH25" s="16"/>
      <c r="BI25" s="1438">
        <f>+BI16+BI19+BI23</f>
        <v>200</v>
      </c>
      <c r="BJ25" s="20"/>
      <c r="BK25" s="130" t="s">
        <v>259</v>
      </c>
      <c r="BL25" s="583" t="s">
        <v>15</v>
      </c>
      <c r="BM25" s="586">
        <f t="shared" si="4"/>
        <v>-6500</v>
      </c>
      <c r="BN25" s="567"/>
      <c r="BO25" s="567"/>
      <c r="BP25" s="567"/>
      <c r="BQ25" s="567"/>
      <c r="BR25" s="567">
        <f>+AU25</f>
        <v>-6500</v>
      </c>
      <c r="BS25" s="84"/>
      <c r="BT25" s="578"/>
      <c r="BU25" s="579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110"/>
    </row>
    <row r="26" spans="1:84" ht="21" x14ac:dyDescent="0.35">
      <c r="A26" s="3"/>
      <c r="B26" s="3"/>
      <c r="C26" s="3"/>
      <c r="D26" s="493"/>
      <c r="E26" s="455"/>
      <c r="F26" s="456"/>
      <c r="G26" s="472"/>
      <c r="H26" s="472"/>
      <c r="I26" s="457" t="s">
        <v>3</v>
      </c>
      <c r="J26" s="3"/>
      <c r="K26" s="22"/>
      <c r="L26" s="3"/>
      <c r="M26" s="3"/>
      <c r="N26" s="3"/>
      <c r="O26" s="3"/>
      <c r="P26" s="3"/>
      <c r="Q26" s="3"/>
      <c r="R26" s="134"/>
      <c r="S26" s="513"/>
      <c r="T26" s="136">
        <f>SUM(T8:T25)</f>
        <v>0</v>
      </c>
      <c r="U26" s="136">
        <f>SUM(U8:U25)</f>
        <v>0</v>
      </c>
      <c r="V26" s="137">
        <f>SUM(V8:V25)</f>
        <v>0</v>
      </c>
      <c r="W26" s="510"/>
      <c r="X26" s="511"/>
      <c r="Y26" s="512"/>
      <c r="Z26" s="34"/>
      <c r="AA26" s="20"/>
      <c r="AB26" s="3"/>
      <c r="AC26" s="134"/>
      <c r="AD26" s="135"/>
      <c r="AE26" s="528">
        <f t="shared" ref="AE26:AJ26" si="11">SUM(AE8:AE25)</f>
        <v>0</v>
      </c>
      <c r="AF26" s="529">
        <f t="shared" si="11"/>
        <v>0</v>
      </c>
      <c r="AG26" s="528">
        <f t="shared" si="11"/>
        <v>0</v>
      </c>
      <c r="AH26" s="530">
        <f t="shared" si="11"/>
        <v>1100</v>
      </c>
      <c r="AI26" s="530">
        <f t="shared" si="11"/>
        <v>1100</v>
      </c>
      <c r="AJ26" s="528">
        <f t="shared" si="11"/>
        <v>0</v>
      </c>
      <c r="AK26" s="3"/>
      <c r="AL26" s="286"/>
      <c r="AM26" s="34"/>
      <c r="AN26" s="134"/>
      <c r="AO26" s="134"/>
      <c r="AP26" s="209">
        <f>SUM(AP8:AP25)</f>
        <v>0</v>
      </c>
      <c r="AQ26" s="143">
        <f t="shared" ref="AQ26:AY26" si="12">SUM(AQ9:AQ25)</f>
        <v>83134</v>
      </c>
      <c r="AR26" s="143">
        <f t="shared" si="12"/>
        <v>-65816</v>
      </c>
      <c r="AS26" s="143">
        <f t="shared" si="12"/>
        <v>-800</v>
      </c>
      <c r="AT26" s="143">
        <f t="shared" si="12"/>
        <v>-2100</v>
      </c>
      <c r="AU26" s="143">
        <f t="shared" si="12"/>
        <v>-4000</v>
      </c>
      <c r="AV26" s="143">
        <f t="shared" si="12"/>
        <v>-3518</v>
      </c>
      <c r="AW26" s="143">
        <f t="shared" si="12"/>
        <v>-1600</v>
      </c>
      <c r="AX26" s="143">
        <f t="shared" si="12"/>
        <v>1000</v>
      </c>
      <c r="AY26" s="139">
        <f t="shared" si="12"/>
        <v>-6100</v>
      </c>
      <c r="AZ26" s="562"/>
      <c r="BA26" s="3"/>
      <c r="BB26" s="1431" t="s">
        <v>344</v>
      </c>
      <c r="BC26" s="95"/>
      <c r="BD26" s="95"/>
      <c r="BE26" s="95"/>
      <c r="BF26" s="95"/>
      <c r="BG26" s="95"/>
      <c r="BH26" s="26"/>
      <c r="BI26" s="1442">
        <f>+AF8</f>
        <v>800</v>
      </c>
      <c r="BJ26" s="20"/>
      <c r="BK26" s="134"/>
      <c r="BL26" s="585"/>
      <c r="BM26" s="137">
        <f>SUM(BM8:BM25)</f>
        <v>0</v>
      </c>
      <c r="BN26" s="143">
        <f t="shared" ref="BN26:BS26" si="13">SUM(BN9:BN25)</f>
        <v>83134</v>
      </c>
      <c r="BO26" s="143">
        <f t="shared" si="13"/>
        <v>-65816</v>
      </c>
      <c r="BP26" s="143">
        <f t="shared" si="13"/>
        <v>-800</v>
      </c>
      <c r="BQ26" s="143">
        <f t="shared" si="13"/>
        <v>-2100</v>
      </c>
      <c r="BR26" s="139">
        <f t="shared" si="13"/>
        <v>-4000</v>
      </c>
      <c r="BS26" s="139">
        <f t="shared" si="13"/>
        <v>-3518</v>
      </c>
      <c r="BT26" s="581"/>
      <c r="BU26" s="582">
        <f>+BU13+BU22</f>
        <v>6900</v>
      </c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110"/>
    </row>
    <row r="27" spans="1:84" ht="21.75" thickBot="1" x14ac:dyDescent="0.4">
      <c r="A27" s="3"/>
      <c r="B27" s="3"/>
      <c r="C27" s="3"/>
      <c r="D27" s="494" t="s">
        <v>329</v>
      </c>
      <c r="E27" s="473"/>
      <c r="F27" s="460"/>
      <c r="G27" s="472"/>
      <c r="H27" s="472"/>
      <c r="I27" s="461">
        <v>71300</v>
      </c>
      <c r="J27" s="3"/>
      <c r="K27" s="22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20"/>
      <c r="AB27" s="3"/>
      <c r="AC27" s="531"/>
      <c r="AD27" s="532"/>
      <c r="AE27" s="532"/>
      <c r="AF27" s="532"/>
      <c r="AG27" s="532"/>
      <c r="AH27" s="532"/>
      <c r="AI27" s="532"/>
      <c r="AJ27" s="533"/>
      <c r="AK27" s="3"/>
      <c r="AL27" s="286"/>
      <c r="AM27" s="3"/>
      <c r="AN27" s="1423"/>
      <c r="AO27" s="1424"/>
      <c r="AP27" s="1424"/>
      <c r="AQ27" s="1424"/>
      <c r="AR27" s="1424"/>
      <c r="AS27" s="1424"/>
      <c r="AT27" s="1424"/>
      <c r="AU27" s="1424"/>
      <c r="AV27" s="1424"/>
      <c r="AW27" s="1424"/>
      <c r="AX27" s="1425" t="s">
        <v>706</v>
      </c>
      <c r="AY27" s="139">
        <f>+AQ26+AR26+AV26+AS26+AT26+AU26+AW26+AX26+AY26</f>
        <v>200</v>
      </c>
      <c r="AZ27" s="216"/>
      <c r="BA27" s="3"/>
      <c r="BB27" s="1443" t="s">
        <v>343</v>
      </c>
      <c r="BC27" s="1444"/>
      <c r="BD27" s="1444"/>
      <c r="BE27" s="1444"/>
      <c r="BF27" s="1444"/>
      <c r="BG27" s="1444"/>
      <c r="BH27" s="1445"/>
      <c r="BI27" s="1446">
        <f>+BI25+BI26</f>
        <v>1000</v>
      </c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110"/>
    </row>
    <row r="28" spans="1:84" ht="21" x14ac:dyDescent="0.35">
      <c r="A28" s="3"/>
      <c r="B28" s="3"/>
      <c r="C28" s="3"/>
      <c r="D28" s="494" t="s">
        <v>10</v>
      </c>
      <c r="E28" s="473"/>
      <c r="F28" s="460"/>
      <c r="G28" s="472"/>
      <c r="H28" s="472"/>
      <c r="I28" s="461"/>
      <c r="J28" s="3"/>
      <c r="K28" s="2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  <c r="AB28" s="3"/>
      <c r="AC28" s="534"/>
      <c r="AD28" s="535"/>
      <c r="AE28" s="535"/>
      <c r="AF28" s="535"/>
      <c r="AG28" s="535"/>
      <c r="AH28" s="535"/>
      <c r="AI28" s="535"/>
      <c r="AJ28" s="536"/>
      <c r="AK28" s="3"/>
      <c r="AL28" s="286"/>
      <c r="AM28" s="3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3"/>
      <c r="BB28" s="3"/>
      <c r="BC28" s="3"/>
      <c r="BD28" s="3"/>
      <c r="BE28" s="3"/>
      <c r="BF28" s="3"/>
      <c r="BG28" s="3"/>
      <c r="BH28" s="3"/>
      <c r="BI28" s="3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110"/>
    </row>
    <row r="29" spans="1:84" ht="21" x14ac:dyDescent="0.35">
      <c r="A29" s="3"/>
      <c r="B29" s="3"/>
      <c r="C29" s="3"/>
      <c r="D29" s="495" t="s">
        <v>330</v>
      </c>
      <c r="E29" s="474"/>
      <c r="F29" s="460"/>
      <c r="G29" s="472"/>
      <c r="H29" s="472"/>
      <c r="I29" s="496">
        <v>-54700</v>
      </c>
      <c r="J29" s="3"/>
      <c r="K29" s="22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20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286"/>
      <c r="AM29" s="3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3"/>
      <c r="BB29" s="3"/>
      <c r="BC29" s="3"/>
      <c r="BD29" s="3"/>
      <c r="BE29" s="3"/>
      <c r="BF29" s="3"/>
      <c r="BG29" s="3"/>
      <c r="BH29" s="3"/>
      <c r="BI29" s="3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110"/>
    </row>
    <row r="30" spans="1:84" ht="21" x14ac:dyDescent="0.35">
      <c r="A30" s="3"/>
      <c r="B30" s="3"/>
      <c r="C30" s="3"/>
      <c r="D30" s="495" t="s">
        <v>44</v>
      </c>
      <c r="E30" s="474"/>
      <c r="F30" s="460"/>
      <c r="G30" s="472"/>
      <c r="H30" s="472"/>
      <c r="I30" s="489">
        <v>-3100</v>
      </c>
      <c r="J30" s="3"/>
      <c r="K30" s="22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20"/>
      <c r="AB30" s="3"/>
      <c r="AC30" s="14"/>
      <c r="AD30" s="253" t="s">
        <v>431</v>
      </c>
      <c r="AE30" s="254"/>
      <c r="AF30" s="254"/>
      <c r="AG30" s="254"/>
      <c r="AH30" s="90" t="s">
        <v>156</v>
      </c>
      <c r="AI30" s="90" t="s">
        <v>233</v>
      </c>
      <c r="AJ30" s="11"/>
      <c r="AK30" s="3"/>
      <c r="AL30" s="286"/>
      <c r="AM30" s="3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3"/>
      <c r="BB30" s="3"/>
      <c r="BC30" s="3"/>
      <c r="BD30" s="3"/>
      <c r="BE30" s="3"/>
      <c r="BF30" s="3"/>
      <c r="BG30" s="3"/>
      <c r="BH30" s="3"/>
      <c r="BI30" s="3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110"/>
    </row>
    <row r="31" spans="1:84" ht="21" x14ac:dyDescent="0.35">
      <c r="A31" s="3"/>
      <c r="B31" s="3"/>
      <c r="C31" s="3"/>
      <c r="D31" s="493" t="s">
        <v>13</v>
      </c>
      <c r="E31" s="477"/>
      <c r="F31" s="460"/>
      <c r="G31" s="472"/>
      <c r="H31" s="472"/>
      <c r="I31" s="465">
        <f>SUM(I27:I30)</f>
        <v>13500</v>
      </c>
      <c r="J31" s="3"/>
      <c r="K31" s="22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20"/>
      <c r="AB31" s="3"/>
      <c r="AC31" s="6"/>
      <c r="AD31" s="255"/>
      <c r="AE31" s="26"/>
      <c r="AF31" s="26"/>
      <c r="AG31" s="26"/>
      <c r="AH31" s="35"/>
      <c r="AI31" s="35"/>
      <c r="AJ31" s="10"/>
      <c r="AK31" s="3"/>
      <c r="AL31" s="286"/>
      <c r="AM31" s="3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3"/>
      <c r="BB31" s="3"/>
      <c r="BC31" s="3"/>
      <c r="BD31" s="3"/>
      <c r="BE31" s="3"/>
      <c r="BF31" s="3"/>
      <c r="BG31" s="3"/>
      <c r="BH31" s="3"/>
      <c r="BI31" s="3"/>
      <c r="BJ31" s="162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110"/>
    </row>
    <row r="32" spans="1:84" ht="21" x14ac:dyDescent="0.35">
      <c r="A32" s="3"/>
      <c r="B32" s="3"/>
      <c r="C32" s="3"/>
      <c r="D32" s="494" t="s">
        <v>294</v>
      </c>
      <c r="E32" s="473"/>
      <c r="F32" s="460"/>
      <c r="G32" s="472"/>
      <c r="H32" s="472"/>
      <c r="I32" s="496">
        <v>-300</v>
      </c>
      <c r="J32" s="3"/>
      <c r="K32" s="22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20"/>
      <c r="AB32" s="3"/>
      <c r="AC32" s="6"/>
      <c r="AD32" s="256" t="s">
        <v>432</v>
      </c>
      <c r="AE32" s="20"/>
      <c r="AF32" s="20"/>
      <c r="AG32" s="20"/>
      <c r="AH32" s="75">
        <f>+AH12</f>
        <v>600</v>
      </c>
      <c r="AI32" s="20"/>
      <c r="AJ32" s="10"/>
      <c r="AK32" s="3"/>
      <c r="AL32" s="286"/>
      <c r="AM32" s="3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3"/>
      <c r="BB32" s="3"/>
      <c r="BC32" s="3"/>
      <c r="BD32" s="3"/>
      <c r="BE32" s="3"/>
      <c r="BF32" s="3"/>
      <c r="BG32" s="3"/>
      <c r="BH32" s="3"/>
      <c r="BI32" s="3"/>
      <c r="BJ32" s="35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110"/>
    </row>
    <row r="33" spans="1:84" ht="21" x14ac:dyDescent="0.35">
      <c r="A33" s="3"/>
      <c r="B33" s="3"/>
      <c r="C33" s="3"/>
      <c r="D33" s="494" t="s">
        <v>38</v>
      </c>
      <c r="E33" s="473"/>
      <c r="F33" s="460"/>
      <c r="G33" s="472"/>
      <c r="H33" s="472"/>
      <c r="I33" s="496">
        <v>-600</v>
      </c>
      <c r="J33" s="3"/>
      <c r="K33" s="2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20"/>
      <c r="AB33" s="3"/>
      <c r="AC33" s="6"/>
      <c r="AD33" s="256" t="s">
        <v>69</v>
      </c>
      <c r="AE33" s="20"/>
      <c r="AF33" s="20"/>
      <c r="AG33" s="20"/>
      <c r="AH33" s="20"/>
      <c r="AI33" s="75">
        <f>+AI22</f>
        <v>600</v>
      </c>
      <c r="AJ33" s="10"/>
      <c r="AK33" s="3"/>
      <c r="AL33" s="286"/>
      <c r="AM33" s="3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3"/>
      <c r="BB33" s="3"/>
      <c r="BC33" s="3"/>
      <c r="BD33" s="3"/>
      <c r="BE33" s="3"/>
      <c r="BF33" s="3"/>
      <c r="BG33" s="3"/>
      <c r="BH33" s="3"/>
      <c r="BI33" s="3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110"/>
    </row>
    <row r="34" spans="1:84" ht="21" x14ac:dyDescent="0.35">
      <c r="A34" s="3"/>
      <c r="B34" s="3"/>
      <c r="C34" s="3"/>
      <c r="D34" s="494" t="s">
        <v>12</v>
      </c>
      <c r="E34" s="473"/>
      <c r="F34" s="466"/>
      <c r="G34" s="472"/>
      <c r="H34" s="472"/>
      <c r="I34" s="489">
        <v>-500</v>
      </c>
      <c r="J34" s="3"/>
      <c r="K34" s="22"/>
      <c r="L34" s="3"/>
      <c r="M34" s="3"/>
      <c r="N34" s="3"/>
      <c r="O34" s="3"/>
      <c r="P34" s="3"/>
      <c r="Q34" s="3"/>
      <c r="R34" s="3"/>
      <c r="S34" s="20"/>
      <c r="T34" s="20"/>
      <c r="U34" s="20"/>
      <c r="V34" s="3"/>
      <c r="W34" s="3"/>
      <c r="X34" s="3"/>
      <c r="Y34" s="3"/>
      <c r="Z34" s="3"/>
      <c r="AA34" s="20"/>
      <c r="AB34" s="3"/>
      <c r="AC34" s="6"/>
      <c r="AD34" s="257"/>
      <c r="AE34" s="20"/>
      <c r="AF34" s="20"/>
      <c r="AG34" s="20"/>
      <c r="AH34" s="20"/>
      <c r="AI34" s="20"/>
      <c r="AJ34" s="10"/>
      <c r="AK34" s="3"/>
      <c r="AL34" s="286"/>
      <c r="AM34" s="3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3"/>
      <c r="BB34" s="3"/>
      <c r="BC34" s="3"/>
      <c r="BD34" s="3"/>
      <c r="BE34" s="3"/>
      <c r="BF34" s="3"/>
      <c r="BG34" s="3"/>
      <c r="BH34" s="3"/>
      <c r="BI34" s="3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110"/>
    </row>
    <row r="35" spans="1:84" ht="21" x14ac:dyDescent="0.35">
      <c r="A35" s="3"/>
      <c r="B35" s="3"/>
      <c r="C35" s="3"/>
      <c r="D35" s="493" t="s">
        <v>14</v>
      </c>
      <c r="E35" s="477"/>
      <c r="F35" s="460"/>
      <c r="G35" s="472"/>
      <c r="H35" s="472"/>
      <c r="I35" s="465">
        <f>SUM(I31:I34)</f>
        <v>12100</v>
      </c>
      <c r="J35" s="3"/>
      <c r="K35" s="22"/>
      <c r="L35" s="3"/>
      <c r="M35" s="3"/>
      <c r="N35" s="3"/>
      <c r="O35" s="3"/>
      <c r="P35" s="3"/>
      <c r="Q35" s="3"/>
      <c r="R35" s="3"/>
      <c r="S35" s="20"/>
      <c r="T35" s="20"/>
      <c r="U35" s="20"/>
      <c r="V35" s="3"/>
      <c r="W35" s="3"/>
      <c r="X35" s="3"/>
      <c r="Y35" s="3"/>
      <c r="Z35" s="3"/>
      <c r="AA35" s="20"/>
      <c r="AB35" s="3"/>
      <c r="AC35" s="6"/>
      <c r="AD35" s="256" t="s">
        <v>7</v>
      </c>
      <c r="AE35" s="20"/>
      <c r="AF35" s="20"/>
      <c r="AG35" s="20"/>
      <c r="AH35" s="75">
        <f>+AH16</f>
        <v>500</v>
      </c>
      <c r="AI35" s="20"/>
      <c r="AJ35" s="10"/>
      <c r="AK35" s="3"/>
      <c r="AL35" s="286"/>
      <c r="AM35" s="3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3"/>
      <c r="BB35" s="3"/>
      <c r="BC35" s="3"/>
      <c r="BD35" s="3"/>
      <c r="BE35" s="3"/>
      <c r="BF35" s="3"/>
      <c r="BG35" s="3"/>
      <c r="BH35" s="3"/>
      <c r="BI35" s="3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110"/>
    </row>
    <row r="36" spans="1:84" ht="21" x14ac:dyDescent="0.35">
      <c r="A36" s="3"/>
      <c r="B36" s="3"/>
      <c r="C36" s="3"/>
      <c r="D36" s="494" t="s">
        <v>250</v>
      </c>
      <c r="E36" s="473"/>
      <c r="F36" s="460"/>
      <c r="G36" s="472"/>
      <c r="H36" s="472"/>
      <c r="I36" s="463">
        <v>200</v>
      </c>
      <c r="J36" s="3"/>
      <c r="K36" s="2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20"/>
      <c r="AB36" s="3"/>
      <c r="AC36" s="8"/>
      <c r="AD36" s="258" t="s">
        <v>8</v>
      </c>
      <c r="AE36" s="101"/>
      <c r="AF36" s="101"/>
      <c r="AG36" s="101"/>
      <c r="AH36" s="101"/>
      <c r="AI36" s="154">
        <f>+AI17</f>
        <v>500</v>
      </c>
      <c r="AJ36" s="12"/>
      <c r="AK36" s="3"/>
      <c r="AL36" s="286"/>
      <c r="AM36" s="3"/>
      <c r="AN36" s="20"/>
      <c r="AO36" s="20"/>
      <c r="AP36" s="20"/>
      <c r="AQ36" s="20"/>
      <c r="AR36" s="20"/>
      <c r="AS36" s="20"/>
      <c r="AT36" s="20"/>
      <c r="AU36" s="20"/>
      <c r="AV36" s="20"/>
      <c r="AW36" s="252">
        <f>+AW26-AU31</f>
        <v>-1600</v>
      </c>
      <c r="AX36" s="20"/>
      <c r="AY36" s="20"/>
      <c r="AZ36" s="20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110"/>
    </row>
    <row r="37" spans="1:84" ht="21" x14ac:dyDescent="0.35">
      <c r="A37" s="3"/>
      <c r="B37" s="3"/>
      <c r="C37" s="3"/>
      <c r="D37" s="493" t="s">
        <v>89</v>
      </c>
      <c r="E37" s="477"/>
      <c r="F37" s="460"/>
      <c r="G37" s="472"/>
      <c r="H37" s="472"/>
      <c r="I37" s="497">
        <f>+I35+I36</f>
        <v>12300</v>
      </c>
      <c r="J37" s="3"/>
      <c r="K37" s="22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20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286"/>
      <c r="AM37" s="3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B37" s="3"/>
      <c r="BC37" s="3"/>
      <c r="BD37" s="3"/>
      <c r="BE37" s="3"/>
      <c r="BF37" s="3"/>
      <c r="BG37" s="3"/>
      <c r="BH37" s="3"/>
      <c r="BI37" s="3"/>
      <c r="BJ37" s="3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110"/>
    </row>
    <row r="38" spans="1:84" ht="21" x14ac:dyDescent="0.35">
      <c r="A38" s="3"/>
      <c r="B38" s="3"/>
      <c r="C38" s="3"/>
      <c r="D38" s="494" t="s">
        <v>15</v>
      </c>
      <c r="E38" s="473"/>
      <c r="F38" s="460"/>
      <c r="G38" s="472"/>
      <c r="H38" s="472"/>
      <c r="I38" s="498">
        <v>-6500</v>
      </c>
      <c r="J38" s="3"/>
      <c r="K38" s="2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20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286"/>
      <c r="AM38" s="3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110"/>
    </row>
    <row r="39" spans="1:84" ht="21" x14ac:dyDescent="0.35">
      <c r="A39" s="3"/>
      <c r="B39" s="3"/>
      <c r="C39" s="3"/>
      <c r="D39" s="499" t="s">
        <v>16</v>
      </c>
      <c r="E39" s="479"/>
      <c r="F39" s="462"/>
      <c r="G39" s="478"/>
      <c r="H39" s="478"/>
      <c r="I39" s="500">
        <f>+I37+I38</f>
        <v>5800</v>
      </c>
      <c r="J39" s="3"/>
      <c r="K39" s="22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20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286"/>
      <c r="AM39" s="3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110"/>
    </row>
    <row r="40" spans="1:84" ht="21" x14ac:dyDescent="0.35">
      <c r="A40" s="3"/>
      <c r="B40" s="3"/>
      <c r="C40" s="3"/>
      <c r="D40" s="87"/>
      <c r="E40" s="95"/>
      <c r="F40" s="95"/>
      <c r="G40" s="99"/>
      <c r="H40" s="99"/>
      <c r="I40" s="99"/>
      <c r="J40" s="3"/>
      <c r="K40" s="2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20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286"/>
      <c r="AM40" s="3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110"/>
    </row>
    <row r="41" spans="1:84" ht="21" x14ac:dyDescent="0.35">
      <c r="A41" s="3"/>
      <c r="B41" s="87"/>
      <c r="C41" s="20"/>
      <c r="D41" s="20"/>
      <c r="E41" s="3"/>
      <c r="F41" s="3"/>
      <c r="G41" s="3"/>
      <c r="H41" s="3"/>
      <c r="I41" s="3"/>
      <c r="J41" s="3"/>
      <c r="K41" s="22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20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286"/>
      <c r="AM41" s="3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B41" s="3"/>
      <c r="BC41" s="3"/>
      <c r="BD41" s="3"/>
      <c r="BE41" s="3"/>
      <c r="BF41" s="3"/>
      <c r="BG41" s="3"/>
      <c r="BH41" s="3"/>
      <c r="BI41" s="3"/>
      <c r="BJ41" s="3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110"/>
    </row>
    <row r="42" spans="1:84" ht="21" x14ac:dyDescent="0.35">
      <c r="A42" s="3"/>
      <c r="B42" s="333" t="s">
        <v>458</v>
      </c>
      <c r="C42" s="336"/>
      <c r="D42" s="336"/>
      <c r="E42" s="336"/>
      <c r="F42" s="336"/>
      <c r="G42" s="336"/>
      <c r="H42" s="336"/>
      <c r="I42" s="336"/>
      <c r="J42" s="336"/>
      <c r="K42" s="157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20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286"/>
      <c r="AI42" s="3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3"/>
      <c r="BS42" s="20"/>
      <c r="BT42" s="20"/>
      <c r="BU42" s="20"/>
      <c r="BV42" s="20"/>
      <c r="BW42" s="20"/>
      <c r="BX42" s="20"/>
      <c r="BY42" s="20"/>
      <c r="BZ42" s="20"/>
      <c r="CA42" s="20"/>
      <c r="CB42" s="110"/>
    </row>
    <row r="43" spans="1:84" ht="21" x14ac:dyDescent="0.35">
      <c r="A43" s="3"/>
      <c r="B43" s="334" t="s">
        <v>345</v>
      </c>
      <c r="C43" s="19"/>
      <c r="D43" s="19"/>
      <c r="E43" s="19"/>
      <c r="F43" s="19"/>
      <c r="G43" s="19"/>
      <c r="H43" s="19"/>
      <c r="I43" s="19"/>
      <c r="J43" s="19"/>
      <c r="K43" s="297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20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286"/>
      <c r="AI43" s="3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3"/>
      <c r="BS43" s="20"/>
      <c r="BT43" s="20"/>
      <c r="BU43" s="20"/>
      <c r="BV43" s="20"/>
      <c r="BW43" s="20"/>
      <c r="BX43" s="20"/>
      <c r="BY43" s="20"/>
      <c r="BZ43" s="20"/>
      <c r="CA43" s="20"/>
      <c r="CB43" s="110"/>
    </row>
    <row r="44" spans="1:84" ht="21" x14ac:dyDescent="0.35">
      <c r="A44" s="3"/>
      <c r="B44" s="335" t="s">
        <v>705</v>
      </c>
      <c r="C44" s="298"/>
      <c r="D44" s="298"/>
      <c r="E44" s="298"/>
      <c r="F44" s="298"/>
      <c r="G44" s="298"/>
      <c r="H44" s="298"/>
      <c r="I44" s="298"/>
      <c r="J44" s="298"/>
      <c r="K44" s="159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20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286"/>
      <c r="AI44" s="3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3"/>
      <c r="BS44" s="20"/>
      <c r="BT44" s="20"/>
      <c r="BU44" s="20"/>
      <c r="BV44" s="20"/>
      <c r="BW44" s="20"/>
      <c r="BX44" s="20"/>
      <c r="BY44" s="20"/>
      <c r="BZ44" s="20"/>
      <c r="CA44" s="20"/>
      <c r="CB44" s="110"/>
    </row>
    <row r="45" spans="1:84" ht="21" x14ac:dyDescent="0.35">
      <c r="A45" s="3"/>
      <c r="B45" s="480"/>
      <c r="C45" s="481"/>
      <c r="D45" s="481"/>
      <c r="E45" s="481"/>
      <c r="F45" s="481"/>
      <c r="G45" s="481"/>
      <c r="H45" s="481"/>
      <c r="I45" s="1487" t="s">
        <v>346</v>
      </c>
      <c r="J45" s="482" t="s">
        <v>406</v>
      </c>
      <c r="K45" s="48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20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286"/>
      <c r="AI45" s="3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3"/>
      <c r="BS45" s="20"/>
      <c r="BT45" s="20"/>
      <c r="BU45" s="20"/>
      <c r="BV45" s="20"/>
      <c r="BW45" s="20"/>
      <c r="BX45" s="20"/>
      <c r="BY45" s="20"/>
      <c r="BZ45" s="20"/>
      <c r="CA45" s="20"/>
      <c r="CB45" s="110"/>
    </row>
    <row r="46" spans="1:84" ht="21" x14ac:dyDescent="0.35">
      <c r="A46" s="3"/>
      <c r="B46" s="480"/>
      <c r="C46" s="481"/>
      <c r="D46" s="481"/>
      <c r="E46" s="481"/>
      <c r="F46" s="481"/>
      <c r="G46" s="481"/>
      <c r="H46" s="481"/>
      <c r="I46" s="1488"/>
      <c r="J46" s="482" t="s">
        <v>407</v>
      </c>
      <c r="K46" s="484" t="s">
        <v>40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20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286"/>
      <c r="AI46" s="3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3"/>
      <c r="BS46" s="20"/>
      <c r="BT46" s="20"/>
      <c r="BU46" s="20"/>
      <c r="BV46" s="20"/>
      <c r="BW46" s="20"/>
      <c r="BX46" s="20"/>
      <c r="BY46" s="20"/>
      <c r="BZ46" s="20"/>
      <c r="CA46" s="20"/>
      <c r="CB46" s="110"/>
    </row>
    <row r="47" spans="1:84" ht="21" x14ac:dyDescent="0.35">
      <c r="A47" s="3"/>
      <c r="B47" s="480"/>
      <c r="C47" s="481"/>
      <c r="D47" s="481"/>
      <c r="E47" s="481"/>
      <c r="F47" s="481"/>
      <c r="G47" s="481"/>
      <c r="H47" s="481"/>
      <c r="I47" s="482" t="s">
        <v>3</v>
      </c>
      <c r="J47" s="482" t="s">
        <v>3</v>
      </c>
      <c r="K47" s="484" t="s">
        <v>3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20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286"/>
      <c r="AI47" s="3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3"/>
      <c r="BS47" s="20"/>
      <c r="BT47" s="20"/>
      <c r="BU47" s="20"/>
      <c r="BV47" s="20"/>
      <c r="BW47" s="20"/>
      <c r="BX47" s="20"/>
      <c r="BY47" s="20"/>
      <c r="BZ47" s="20"/>
      <c r="CA47" s="20"/>
      <c r="CB47" s="110"/>
    </row>
    <row r="48" spans="1:84" ht="21" x14ac:dyDescent="0.35">
      <c r="A48" s="3"/>
      <c r="B48" s="480" t="s">
        <v>30</v>
      </c>
      <c r="C48" s="481"/>
      <c r="D48" s="481"/>
      <c r="E48" s="481"/>
      <c r="F48" s="481"/>
      <c r="G48" s="481"/>
      <c r="H48" s="481"/>
      <c r="I48" s="481">
        <f>+K18</f>
        <v>2000</v>
      </c>
      <c r="J48" s="481">
        <f>+K19</f>
        <v>7300</v>
      </c>
      <c r="K48" s="483">
        <f>SUM(G48:J48)</f>
        <v>9300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20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286"/>
      <c r="AI48" s="3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3"/>
      <c r="BS48" s="20"/>
      <c r="BT48" s="20"/>
      <c r="BU48" s="20"/>
      <c r="BV48" s="20"/>
      <c r="BW48" s="20"/>
      <c r="BX48" s="20"/>
      <c r="BY48" s="20"/>
      <c r="BZ48" s="20"/>
      <c r="CA48" s="20"/>
      <c r="CB48" s="110"/>
    </row>
    <row r="49" spans="1:80" ht="21" x14ac:dyDescent="0.35">
      <c r="A49" s="3"/>
      <c r="B49" s="485" t="s">
        <v>522</v>
      </c>
      <c r="C49" s="460"/>
      <c r="D49" s="460"/>
      <c r="E49" s="460"/>
      <c r="F49" s="460"/>
      <c r="G49" s="460"/>
      <c r="H49" s="460"/>
      <c r="I49" s="486">
        <v>0</v>
      </c>
      <c r="J49" s="486">
        <f>I39</f>
        <v>5800</v>
      </c>
      <c r="K49" s="487">
        <f>SUM(G49:J49)</f>
        <v>5800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20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286"/>
      <c r="AI49" s="3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3"/>
      <c r="BS49" s="20"/>
      <c r="BT49" s="20"/>
      <c r="BU49" s="20"/>
      <c r="BV49" s="20"/>
      <c r="BW49" s="20"/>
      <c r="BX49" s="20"/>
      <c r="BY49" s="20"/>
      <c r="BZ49" s="20"/>
      <c r="CA49" s="20"/>
      <c r="CB49" s="110"/>
    </row>
    <row r="50" spans="1:80" ht="21" x14ac:dyDescent="0.35">
      <c r="A50" s="3"/>
      <c r="B50" s="485" t="s">
        <v>428</v>
      </c>
      <c r="C50" s="460"/>
      <c r="D50" s="460"/>
      <c r="E50" s="460"/>
      <c r="F50" s="460"/>
      <c r="G50" s="460"/>
      <c r="H50" s="460"/>
      <c r="I50" s="486">
        <v>1000</v>
      </c>
      <c r="J50" s="486">
        <v>0</v>
      </c>
      <c r="K50" s="487">
        <f>SUM(G50:J50)</f>
        <v>1000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20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286"/>
      <c r="AI50" s="3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3"/>
      <c r="BS50" s="20"/>
      <c r="BT50" s="20"/>
      <c r="BU50" s="20"/>
      <c r="BV50" s="20"/>
      <c r="BW50" s="20"/>
      <c r="BX50" s="20"/>
      <c r="BY50" s="20"/>
      <c r="BZ50" s="20"/>
      <c r="CA50" s="20"/>
      <c r="CB50" s="110"/>
    </row>
    <row r="51" spans="1:80" ht="21" x14ac:dyDescent="0.35">
      <c r="A51" s="3"/>
      <c r="B51" s="485" t="s">
        <v>427</v>
      </c>
      <c r="C51" s="460"/>
      <c r="D51" s="460"/>
      <c r="E51" s="466"/>
      <c r="F51" s="466"/>
      <c r="G51" s="466"/>
      <c r="H51" s="466"/>
      <c r="I51" s="486">
        <v>500</v>
      </c>
      <c r="J51" s="475">
        <f>-I51</f>
        <v>-500</v>
      </c>
      <c r="K51" s="487">
        <f>+I51+J51</f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20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286"/>
      <c r="AI51" s="3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3"/>
      <c r="BS51" s="20"/>
      <c r="BT51" s="20"/>
      <c r="BU51" s="20"/>
      <c r="BV51" s="20"/>
      <c r="BW51" s="20"/>
      <c r="BX51" s="20"/>
      <c r="BY51" s="20"/>
      <c r="BZ51" s="20"/>
      <c r="CA51" s="20"/>
      <c r="CB51" s="110"/>
    </row>
    <row r="52" spans="1:80" ht="21" x14ac:dyDescent="0.35">
      <c r="A52" s="3"/>
      <c r="B52" s="485" t="s">
        <v>273</v>
      </c>
      <c r="C52" s="460"/>
      <c r="D52" s="460"/>
      <c r="E52" s="460"/>
      <c r="F52" s="460"/>
      <c r="G52" s="460"/>
      <c r="H52" s="460"/>
      <c r="I52" s="488">
        <v>0</v>
      </c>
      <c r="J52" s="476">
        <v>-6100</v>
      </c>
      <c r="K52" s="489">
        <f>+I52+J52</f>
        <v>-6100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20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286"/>
      <c r="AI52" s="3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3"/>
      <c r="BS52" s="20"/>
      <c r="BT52" s="20"/>
      <c r="BU52" s="20"/>
      <c r="BV52" s="20"/>
      <c r="BW52" s="20"/>
      <c r="BX52" s="20"/>
      <c r="BY52" s="20"/>
      <c r="BZ52" s="20"/>
      <c r="CA52" s="20"/>
      <c r="CB52" s="110"/>
    </row>
    <row r="53" spans="1:80" ht="21" x14ac:dyDescent="0.35">
      <c r="A53" s="3"/>
      <c r="B53" s="492" t="s">
        <v>32</v>
      </c>
      <c r="C53" s="490"/>
      <c r="D53" s="490"/>
      <c r="E53" s="488"/>
      <c r="F53" s="488"/>
      <c r="G53" s="488"/>
      <c r="H53" s="488"/>
      <c r="I53" s="490">
        <f>SUM(I48:I52)</f>
        <v>3500</v>
      </c>
      <c r="J53" s="490">
        <f>SUM(J48:J52)</f>
        <v>6500</v>
      </c>
      <c r="K53" s="491">
        <f>SUM(K48:K52)</f>
        <v>10000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20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286"/>
      <c r="AI53" s="3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3"/>
      <c r="BS53" s="20"/>
      <c r="BT53" s="20"/>
      <c r="BU53" s="20"/>
      <c r="BV53" s="20"/>
      <c r="BW53" s="20"/>
      <c r="BX53" s="20"/>
      <c r="BY53" s="20"/>
      <c r="BZ53" s="20"/>
      <c r="CA53" s="20"/>
      <c r="CB53" s="110"/>
    </row>
    <row r="54" spans="1:80" ht="21" x14ac:dyDescent="0.35">
      <c r="A54" s="3"/>
      <c r="B54" s="8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20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286"/>
      <c r="AI54" s="3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3"/>
      <c r="BS54" s="20"/>
      <c r="BT54" s="20"/>
      <c r="BU54" s="20"/>
      <c r="BV54" s="20"/>
      <c r="BW54" s="20"/>
      <c r="BX54" s="20"/>
      <c r="BY54" s="20"/>
      <c r="BZ54" s="20"/>
      <c r="CA54" s="20"/>
      <c r="CB54" s="110"/>
    </row>
    <row r="55" spans="1:80" ht="21.75" thickBo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20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286"/>
      <c r="AI55" s="3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3"/>
      <c r="BS55" s="20"/>
      <c r="BT55" s="20"/>
      <c r="BU55" s="20"/>
      <c r="BV55" s="20"/>
      <c r="BW55" s="20"/>
      <c r="BX55" s="20"/>
      <c r="BY55" s="20"/>
      <c r="BZ55" s="20"/>
      <c r="CA55" s="20"/>
      <c r="CB55" s="110"/>
    </row>
    <row r="56" spans="1:80" ht="21" x14ac:dyDescent="0.35">
      <c r="B56" s="1426" t="s">
        <v>1313</v>
      </c>
      <c r="C56" s="1427"/>
      <c r="D56" s="1427"/>
      <c r="E56" s="1427"/>
      <c r="F56" s="1427"/>
      <c r="G56" s="1427"/>
      <c r="H56" s="1427"/>
      <c r="I56" s="1428"/>
      <c r="W56" s="42"/>
      <c r="AH56" s="1415"/>
      <c r="CB56" s="1418"/>
    </row>
    <row r="57" spans="1:80" ht="21" x14ac:dyDescent="0.35">
      <c r="B57" s="1447"/>
      <c r="C57" s="1448"/>
      <c r="D57" s="1448"/>
      <c r="E57" s="1448"/>
      <c r="F57" s="1448"/>
      <c r="G57" s="1448"/>
      <c r="H57" s="1449"/>
      <c r="I57" s="1450" t="s">
        <v>3</v>
      </c>
      <c r="W57" s="42"/>
      <c r="AH57" s="1415"/>
      <c r="CB57" s="1418"/>
    </row>
    <row r="58" spans="1:80" ht="21" x14ac:dyDescent="0.35">
      <c r="B58" s="1451" t="s">
        <v>51</v>
      </c>
      <c r="C58" s="1448"/>
      <c r="D58" s="1448"/>
      <c r="E58" s="1448"/>
      <c r="F58" s="1448"/>
      <c r="G58" s="1448"/>
      <c r="H58" s="1452"/>
      <c r="I58" s="1453"/>
      <c r="W58" s="42"/>
      <c r="AH58" s="1415"/>
      <c r="CB58" s="1418"/>
    </row>
    <row r="59" spans="1:80" ht="21" x14ac:dyDescent="0.35">
      <c r="B59" s="1454" t="s">
        <v>248</v>
      </c>
      <c r="C59" s="1455"/>
      <c r="D59" s="1455"/>
      <c r="E59" s="1455"/>
      <c r="F59" s="1455"/>
      <c r="G59" s="1455"/>
      <c r="H59" s="1449"/>
      <c r="I59" s="1456">
        <f>+BI10</f>
        <v>83134</v>
      </c>
      <c r="W59" s="42"/>
      <c r="AH59" s="1415"/>
      <c r="CB59" s="1418"/>
    </row>
    <row r="60" spans="1:80" ht="21" x14ac:dyDescent="0.35">
      <c r="B60" s="1454" t="s">
        <v>338</v>
      </c>
      <c r="C60" s="1455"/>
      <c r="D60" s="1455"/>
      <c r="E60" s="1455"/>
      <c r="F60" s="1455"/>
      <c r="G60" s="1455"/>
      <c r="H60" s="1449"/>
      <c r="I60" s="1456">
        <f t="shared" ref="I60:I64" si="14">+BI11</f>
        <v>-65816</v>
      </c>
      <c r="W60" s="42"/>
      <c r="AH60" s="1415"/>
      <c r="CB60" s="1418"/>
    </row>
    <row r="61" spans="1:80" x14ac:dyDescent="0.3">
      <c r="B61" s="1454" t="s">
        <v>339</v>
      </c>
      <c r="C61" s="1455"/>
      <c r="D61" s="1455"/>
      <c r="E61" s="1455"/>
      <c r="F61" s="1455"/>
      <c r="G61" s="1455"/>
      <c r="H61" s="1449"/>
      <c r="I61" s="1456">
        <f t="shared" si="14"/>
        <v>-800</v>
      </c>
    </row>
    <row r="62" spans="1:80" x14ac:dyDescent="0.3">
      <c r="B62" s="1454" t="s">
        <v>342</v>
      </c>
      <c r="C62" s="1455"/>
      <c r="D62" s="1455"/>
      <c r="E62" s="1455"/>
      <c r="F62" s="1455"/>
      <c r="G62" s="1455"/>
      <c r="H62" s="1449"/>
      <c r="I62" s="1456">
        <f t="shared" si="14"/>
        <v>-2100</v>
      </c>
    </row>
    <row r="63" spans="1:80" x14ac:dyDescent="0.3">
      <c r="B63" s="1454" t="s">
        <v>340</v>
      </c>
      <c r="C63" s="1455"/>
      <c r="D63" s="1455"/>
      <c r="E63" s="1455"/>
      <c r="F63" s="1455"/>
      <c r="G63" s="1455"/>
      <c r="H63" s="1449"/>
      <c r="I63" s="1456">
        <f t="shared" si="14"/>
        <v>-4000</v>
      </c>
    </row>
    <row r="64" spans="1:80" x14ac:dyDescent="0.3">
      <c r="B64" s="1454" t="s">
        <v>429</v>
      </c>
      <c r="C64" s="1455"/>
      <c r="D64" s="1455"/>
      <c r="E64" s="1455"/>
      <c r="F64" s="1455"/>
      <c r="G64" s="1455"/>
      <c r="H64" s="1449"/>
      <c r="I64" s="1456">
        <f t="shared" si="14"/>
        <v>-3518</v>
      </c>
    </row>
    <row r="65" spans="2:9" x14ac:dyDescent="0.3">
      <c r="B65" s="1437" t="s">
        <v>145</v>
      </c>
      <c r="C65" s="565"/>
      <c r="D65" s="565"/>
      <c r="E65" s="565"/>
      <c r="F65" s="565"/>
      <c r="G65" s="565"/>
      <c r="H65" s="16"/>
      <c r="I65" s="1438">
        <f>SUM(I59:I64)</f>
        <v>6900</v>
      </c>
    </row>
    <row r="66" spans="2:9" x14ac:dyDescent="0.3">
      <c r="B66" s="1451" t="s">
        <v>52</v>
      </c>
      <c r="C66" s="1455"/>
      <c r="D66" s="1455"/>
      <c r="E66" s="1455"/>
      <c r="F66" s="1455"/>
      <c r="G66" s="1455"/>
      <c r="H66" s="1452"/>
      <c r="I66" s="1456"/>
    </row>
    <row r="67" spans="2:9" x14ac:dyDescent="0.3">
      <c r="B67" s="1454" t="s">
        <v>523</v>
      </c>
      <c r="C67" s="1455"/>
      <c r="D67" s="1455"/>
      <c r="E67" s="1455"/>
      <c r="F67" s="1455"/>
      <c r="G67" s="1455"/>
      <c r="H67" s="1449"/>
      <c r="I67" s="1456">
        <f>+BI18</f>
        <v>-1600</v>
      </c>
    </row>
    <row r="68" spans="2:9" x14ac:dyDescent="0.3">
      <c r="B68" s="1437" t="s">
        <v>341</v>
      </c>
      <c r="C68" s="566"/>
      <c r="D68" s="566"/>
      <c r="E68" s="566"/>
      <c r="F68" s="566"/>
      <c r="G68" s="566"/>
      <c r="H68" s="16"/>
      <c r="I68" s="1439">
        <f>+I67</f>
        <v>-1600</v>
      </c>
    </row>
    <row r="69" spans="2:9" x14ac:dyDescent="0.3">
      <c r="B69" s="1451" t="s">
        <v>74</v>
      </c>
      <c r="C69" s="1455"/>
      <c r="D69" s="1455"/>
      <c r="E69" s="1455"/>
      <c r="F69" s="1455"/>
      <c r="G69" s="1455"/>
      <c r="H69" s="1452"/>
      <c r="I69" s="1456"/>
    </row>
    <row r="70" spans="2:9" x14ac:dyDescent="0.3">
      <c r="B70" s="1454" t="s">
        <v>524</v>
      </c>
      <c r="C70" s="1455"/>
      <c r="D70" s="1455"/>
      <c r="E70" s="1455"/>
      <c r="F70" s="1455"/>
      <c r="G70" s="1455"/>
      <c r="H70" s="1452"/>
      <c r="I70" s="1456">
        <f t="shared" ref="I70:I71" si="15">+BI21</f>
        <v>1000</v>
      </c>
    </row>
    <row r="71" spans="2:9" x14ac:dyDescent="0.3">
      <c r="B71" s="1454" t="s">
        <v>142</v>
      </c>
      <c r="C71" s="1455"/>
      <c r="D71" s="1455"/>
      <c r="E71" s="1455"/>
      <c r="F71" s="1455"/>
      <c r="G71" s="1455"/>
      <c r="H71" s="1449"/>
      <c r="I71" s="1456">
        <f t="shared" si="15"/>
        <v>-6100</v>
      </c>
    </row>
    <row r="72" spans="2:9" x14ac:dyDescent="0.3">
      <c r="B72" s="1437" t="s">
        <v>147</v>
      </c>
      <c r="C72" s="566"/>
      <c r="D72" s="566"/>
      <c r="E72" s="566"/>
      <c r="F72" s="566"/>
      <c r="G72" s="566"/>
      <c r="H72" s="16"/>
      <c r="I72" s="1439">
        <f>+I70+I71</f>
        <v>-5100</v>
      </c>
    </row>
    <row r="73" spans="2:9" x14ac:dyDescent="0.3">
      <c r="B73" s="1440"/>
      <c r="C73" s="3"/>
      <c r="D73" s="3"/>
      <c r="E73" s="3"/>
      <c r="F73" s="3"/>
      <c r="G73" s="3"/>
      <c r="H73" s="3"/>
      <c r="I73" s="1441"/>
    </row>
    <row r="74" spans="2:9" x14ac:dyDescent="0.3">
      <c r="B74" s="1437" t="s">
        <v>148</v>
      </c>
      <c r="C74" s="565"/>
      <c r="D74" s="565"/>
      <c r="E74" s="565"/>
      <c r="F74" s="565"/>
      <c r="G74" s="565"/>
      <c r="H74" s="16"/>
      <c r="I74" s="1438">
        <f>+I65+I68+I72</f>
        <v>200</v>
      </c>
    </row>
    <row r="75" spans="2:9" x14ac:dyDescent="0.3">
      <c r="B75" s="1451" t="s">
        <v>344</v>
      </c>
      <c r="C75" s="1455"/>
      <c r="D75" s="1455"/>
      <c r="E75" s="1455"/>
      <c r="F75" s="1455"/>
      <c r="G75" s="1455"/>
      <c r="H75" s="1452"/>
      <c r="I75" s="1456">
        <f t="shared" ref="I75" si="16">+BI26</f>
        <v>800</v>
      </c>
    </row>
    <row r="76" spans="2:9" ht="19.5" thickBot="1" x14ac:dyDescent="0.35">
      <c r="B76" s="1443" t="s">
        <v>343</v>
      </c>
      <c r="C76" s="1444"/>
      <c r="D76" s="1444"/>
      <c r="E76" s="1444"/>
      <c r="F76" s="1444"/>
      <c r="G76" s="1444"/>
      <c r="H76" s="1445"/>
      <c r="I76" s="1446">
        <f>+I74+I75</f>
        <v>1000</v>
      </c>
    </row>
  </sheetData>
  <mergeCells count="11">
    <mergeCell ref="BB7:BI7"/>
    <mergeCell ref="BB6:BI6"/>
    <mergeCell ref="BB5:BI5"/>
    <mergeCell ref="D24:I24"/>
    <mergeCell ref="D25:I25"/>
    <mergeCell ref="I45:I46"/>
    <mergeCell ref="B5:K5"/>
    <mergeCell ref="B7:K7"/>
    <mergeCell ref="B6:K6"/>
    <mergeCell ref="AH4:AI4"/>
    <mergeCell ref="D23:I2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FC38"/>
  <sheetViews>
    <sheetView showGridLines="0" topLeftCell="AR1" zoomScale="55" zoomScaleNormal="55" workbookViewId="0">
      <selection activeCell="AR11" sqref="AR11"/>
    </sheetView>
  </sheetViews>
  <sheetFormatPr baseColWidth="10" defaultColWidth="0" defaultRowHeight="18.75" zeroHeight="1" x14ac:dyDescent="0.3"/>
  <cols>
    <col min="1" max="1" width="4.42578125" customWidth="1"/>
    <col min="2" max="2" width="5.28515625" style="672" bestFit="1" customWidth="1"/>
    <col min="3" max="6" width="9.7109375" customWidth="1"/>
    <col min="7" max="8" width="10.7109375" customWidth="1"/>
    <col min="9" max="12" width="9.7109375" customWidth="1"/>
    <col min="13" max="14" width="10.5703125" bestFit="1" customWidth="1"/>
    <col min="15" max="15" width="5.85546875" style="672" hidden="1" customWidth="1"/>
    <col min="16" max="16" width="12.7109375" hidden="1" customWidth="1"/>
    <col min="17" max="17" width="14.85546875" hidden="1" customWidth="1"/>
    <col min="18" max="18" width="13.42578125" hidden="1" customWidth="1"/>
    <col min="19" max="21" width="12.7109375" hidden="1" customWidth="1"/>
    <col min="22" max="22" width="4.7109375" customWidth="1"/>
    <col min="23" max="26" width="12.28515625" hidden="1" customWidth="1"/>
    <col min="27" max="27" width="10.85546875" hidden="1" customWidth="1"/>
    <col min="28" max="28" width="12.28515625" hidden="1" customWidth="1"/>
    <col min="29" max="29" width="14.7109375" hidden="1" customWidth="1"/>
    <col min="30" max="30" width="12.140625" hidden="1" customWidth="1"/>
    <col min="31" max="31" width="5.85546875" style="42" customWidth="1"/>
    <col min="32" max="32" width="40.28515625" style="42" customWidth="1"/>
    <col min="33" max="35" width="14.7109375" style="42" customWidth="1"/>
    <col min="36" max="36" width="3.7109375" style="42" customWidth="1"/>
    <col min="37" max="37" width="10.85546875" style="42" customWidth="1"/>
    <col min="38" max="38" width="2.7109375" style="42" customWidth="1"/>
    <col min="39" max="39" width="6.7109375" style="42" customWidth="1"/>
    <col min="40" max="40" width="35.28515625" style="42" customWidth="1"/>
    <col min="41" max="42" width="13.7109375" style="42" customWidth="1"/>
    <col min="43" max="43" width="5.140625" style="672" bestFit="1" customWidth="1"/>
    <col min="44" max="44" width="33.28515625" style="42" customWidth="1"/>
    <col min="45" max="47" width="16.7109375" style="42" customWidth="1"/>
    <col min="48" max="49" width="16.42578125" style="42" customWidth="1"/>
    <col min="50" max="50" width="15" style="42" bestFit="1" customWidth="1"/>
    <col min="51" max="62" width="13.7109375" style="42" customWidth="1"/>
    <col min="63" max="63" width="15.42578125" style="42" customWidth="1"/>
    <col min="64" max="64" width="6.85546875" style="42" customWidth="1"/>
    <col min="65" max="72" width="12.28515625" style="42" customWidth="1"/>
    <col min="73" max="73" width="2.85546875" style="42" customWidth="1"/>
    <col min="74" max="74" width="16.7109375" style="42" customWidth="1"/>
    <col min="75" max="76" width="14.7109375" style="42" customWidth="1"/>
    <col min="77" max="77" width="9.85546875" style="42" customWidth="1"/>
    <col min="78" max="78" width="2.42578125" style="42" customWidth="1"/>
    <col min="79" max="79" width="11.5703125" style="42" bestFit="1" customWidth="1"/>
    <col min="80" max="80" width="4.85546875" customWidth="1"/>
    <col min="81" max="159" width="0" hidden="1" customWidth="1"/>
    <col min="160" max="16384" width="11.42578125" hidden="1"/>
  </cols>
  <sheetData>
    <row r="1" spans="1:80" s="42" customFormat="1" x14ac:dyDescent="0.3">
      <c r="A1" s="20"/>
      <c r="B1" s="768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70" t="s">
        <v>492</v>
      </c>
      <c r="P1" s="523"/>
      <c r="Q1" s="523"/>
      <c r="R1" s="523"/>
      <c r="S1" s="523"/>
      <c r="T1" s="523"/>
      <c r="U1" s="771"/>
      <c r="V1" s="294"/>
      <c r="W1" s="164"/>
      <c r="X1" s="164"/>
      <c r="Y1" s="164"/>
      <c r="Z1" s="164"/>
      <c r="AA1" s="164"/>
      <c r="AB1" s="164"/>
      <c r="AC1" s="164"/>
      <c r="AD1" s="279"/>
      <c r="AE1" s="281" t="s">
        <v>712</v>
      </c>
      <c r="AF1" s="280"/>
      <c r="AG1" s="280"/>
      <c r="AH1" s="280"/>
      <c r="AI1" s="280"/>
      <c r="AJ1" s="280"/>
      <c r="AK1" s="280"/>
      <c r="AL1" s="798" t="s">
        <v>494</v>
      </c>
      <c r="AM1" s="710"/>
      <c r="AN1" s="710"/>
      <c r="AO1" s="710"/>
      <c r="AP1" s="710"/>
      <c r="AQ1" s="803"/>
      <c r="AR1" s="709"/>
      <c r="AS1" s="710"/>
      <c r="AT1" s="710"/>
      <c r="AU1" s="710"/>
      <c r="AV1" s="1506" t="s">
        <v>109</v>
      </c>
      <c r="AW1" s="1507"/>
      <c r="AX1" s="710"/>
      <c r="AY1" s="709"/>
      <c r="AZ1" s="710"/>
      <c r="BA1" s="710"/>
      <c r="BB1" s="710"/>
      <c r="BC1" s="710"/>
      <c r="BD1" s="710"/>
      <c r="BE1" s="168"/>
      <c r="BF1" s="710"/>
      <c r="BG1" s="710"/>
      <c r="BH1" s="710"/>
      <c r="BI1" s="572"/>
      <c r="BJ1" s="711"/>
      <c r="BK1" s="711"/>
      <c r="BL1" s="769"/>
      <c r="BM1" s="769"/>
      <c r="BN1" s="769"/>
      <c r="BO1" s="769"/>
      <c r="BP1" s="769"/>
      <c r="BQ1" s="769"/>
      <c r="BR1" s="769"/>
      <c r="BS1" s="769"/>
      <c r="BT1" s="769"/>
      <c r="BU1" s="769"/>
      <c r="BV1" s="769"/>
      <c r="BW1" s="769"/>
      <c r="BX1" s="769"/>
      <c r="BY1" s="769"/>
      <c r="BZ1" s="769"/>
      <c r="CA1" s="779"/>
      <c r="CB1" s="276"/>
    </row>
    <row r="2" spans="1:80" s="42" customFormat="1" x14ac:dyDescent="0.3">
      <c r="A2" s="20"/>
      <c r="B2" s="673"/>
      <c r="C2" s="1523" t="s">
        <v>458</v>
      </c>
      <c r="D2" s="1524"/>
      <c r="E2" s="1524"/>
      <c r="F2" s="1524"/>
      <c r="G2" s="1524"/>
      <c r="H2" s="1524"/>
      <c r="I2" s="1524"/>
      <c r="J2" s="1524"/>
      <c r="K2" s="1524"/>
      <c r="L2" s="1524"/>
      <c r="M2" s="1524"/>
      <c r="N2" s="1525"/>
      <c r="O2" s="667"/>
      <c r="P2" s="723"/>
      <c r="Q2" s="1523" t="s">
        <v>458</v>
      </c>
      <c r="R2" s="1524"/>
      <c r="S2" s="1524"/>
      <c r="T2" s="1525"/>
      <c r="U2" s="724"/>
      <c r="V2" s="168"/>
      <c r="W2" s="1520" t="s">
        <v>458</v>
      </c>
      <c r="X2" s="1521"/>
      <c r="Y2" s="1521"/>
      <c r="Z2" s="1521"/>
      <c r="AA2" s="1521"/>
      <c r="AB2" s="1521"/>
      <c r="AC2" s="1521"/>
      <c r="AD2" s="1522"/>
      <c r="AE2" s="281"/>
      <c r="AF2" s="280"/>
      <c r="AG2" s="524" t="s">
        <v>64</v>
      </c>
      <c r="AH2" s="524" t="s">
        <v>65</v>
      </c>
      <c r="AI2" s="524" t="s">
        <v>374</v>
      </c>
      <c r="AJ2" s="280"/>
      <c r="AK2" s="280"/>
      <c r="AL2" s="799" t="s">
        <v>495</v>
      </c>
      <c r="AM2" s="280"/>
      <c r="AN2" s="280"/>
      <c r="AO2" s="280"/>
      <c r="AP2" s="280"/>
      <c r="AQ2" s="804"/>
      <c r="AR2" s="145"/>
      <c r="AS2" s="524" t="s">
        <v>64</v>
      </c>
      <c r="AT2" s="524" t="s">
        <v>65</v>
      </c>
      <c r="AU2" s="524" t="s">
        <v>374</v>
      </c>
      <c r="AV2" s="524" t="s">
        <v>434</v>
      </c>
      <c r="AW2" s="524" t="s">
        <v>233</v>
      </c>
      <c r="AX2" s="526" t="s">
        <v>742</v>
      </c>
      <c r="AY2" s="786" t="s">
        <v>259</v>
      </c>
      <c r="AZ2" s="787" t="s">
        <v>259</v>
      </c>
      <c r="BA2" s="787" t="s">
        <v>259</v>
      </c>
      <c r="BB2" s="787" t="s">
        <v>259</v>
      </c>
      <c r="BC2" s="787" t="s">
        <v>259</v>
      </c>
      <c r="BD2" s="787" t="s">
        <v>259</v>
      </c>
      <c r="BE2" s="788" t="s">
        <v>259</v>
      </c>
      <c r="BF2" s="787" t="s">
        <v>260</v>
      </c>
      <c r="BG2" s="787" t="s">
        <v>261</v>
      </c>
      <c r="BH2" s="787" t="s">
        <v>261</v>
      </c>
      <c r="BI2" s="787" t="s">
        <v>261</v>
      </c>
      <c r="BJ2" s="788" t="s">
        <v>261</v>
      </c>
      <c r="BK2" s="711"/>
      <c r="BL2" s="769"/>
      <c r="BM2" s="697" t="s">
        <v>458</v>
      </c>
      <c r="BN2" s="341"/>
      <c r="BO2" s="341"/>
      <c r="BP2" s="341"/>
      <c r="BQ2" s="341"/>
      <c r="BR2" s="341"/>
      <c r="BS2" s="341"/>
      <c r="BT2" s="342"/>
      <c r="BU2" s="293"/>
      <c r="BV2" s="697" t="s">
        <v>458</v>
      </c>
      <c r="BW2" s="789"/>
      <c r="BX2" s="789"/>
      <c r="BY2" s="789"/>
      <c r="BZ2" s="789"/>
      <c r="CA2" s="596"/>
      <c r="CB2" s="276"/>
    </row>
    <row r="3" spans="1:80" s="42" customFormat="1" x14ac:dyDescent="0.3">
      <c r="A3" s="20"/>
      <c r="B3" s="674"/>
      <c r="C3" s="1508" t="s">
        <v>62</v>
      </c>
      <c r="D3" s="1509"/>
      <c r="E3" s="1509"/>
      <c r="F3" s="1509"/>
      <c r="G3" s="1509"/>
      <c r="H3" s="1509"/>
      <c r="I3" s="1509"/>
      <c r="J3" s="1509"/>
      <c r="K3" s="1509"/>
      <c r="L3" s="1509"/>
      <c r="M3" s="1509"/>
      <c r="N3" s="1510"/>
      <c r="O3" s="668"/>
      <c r="P3" s="725"/>
      <c r="Q3" s="1508" t="s">
        <v>372</v>
      </c>
      <c r="R3" s="1509"/>
      <c r="S3" s="1509"/>
      <c r="T3" s="1510"/>
      <c r="U3" s="726"/>
      <c r="V3" s="169"/>
      <c r="W3" s="1517" t="s">
        <v>345</v>
      </c>
      <c r="X3" s="1518"/>
      <c r="Y3" s="1518"/>
      <c r="Z3" s="1518"/>
      <c r="AA3" s="1518"/>
      <c r="AB3" s="1518"/>
      <c r="AC3" s="1518"/>
      <c r="AD3" s="1519"/>
      <c r="AE3" s="663"/>
      <c r="AF3" s="523"/>
      <c r="AG3" s="524">
        <v>2020</v>
      </c>
      <c r="AH3" s="168">
        <v>2019</v>
      </c>
      <c r="AI3" s="524" t="s">
        <v>103</v>
      </c>
      <c r="AJ3" s="523"/>
      <c r="AK3" s="523"/>
      <c r="AL3" s="130"/>
      <c r="AM3" s="164"/>
      <c r="AN3" s="164"/>
      <c r="AO3" s="263" t="s">
        <v>110</v>
      </c>
      <c r="AP3" s="263" t="s">
        <v>111</v>
      </c>
      <c r="AQ3" s="804"/>
      <c r="AR3" s="207"/>
      <c r="AS3" s="524">
        <v>2020</v>
      </c>
      <c r="AT3" s="168">
        <v>2019</v>
      </c>
      <c r="AU3" s="524" t="s">
        <v>103</v>
      </c>
      <c r="AV3" s="524" t="s">
        <v>110</v>
      </c>
      <c r="AW3" s="524" t="s">
        <v>111</v>
      </c>
      <c r="AX3" s="572" t="s">
        <v>713</v>
      </c>
      <c r="AY3" s="707" t="s">
        <v>50</v>
      </c>
      <c r="AZ3" s="707" t="s">
        <v>25</v>
      </c>
      <c r="BA3" s="707" t="s">
        <v>21</v>
      </c>
      <c r="BB3" s="707" t="s">
        <v>21</v>
      </c>
      <c r="BC3" s="707" t="s">
        <v>22</v>
      </c>
      <c r="BD3" s="707" t="s">
        <v>22</v>
      </c>
      <c r="BE3" s="707" t="s">
        <v>26</v>
      </c>
      <c r="BF3" s="788" t="s">
        <v>26</v>
      </c>
      <c r="BG3" s="707" t="s">
        <v>266</v>
      </c>
      <c r="BH3" s="707" t="s">
        <v>18</v>
      </c>
      <c r="BI3" s="707" t="s">
        <v>24</v>
      </c>
      <c r="BJ3" s="707" t="s">
        <v>22</v>
      </c>
      <c r="BK3" s="711"/>
      <c r="BL3" s="769"/>
      <c r="BM3" s="698" t="s">
        <v>382</v>
      </c>
      <c r="BN3" s="108"/>
      <c r="BO3" s="108"/>
      <c r="BP3" s="108"/>
      <c r="BQ3" s="108"/>
      <c r="BR3" s="108"/>
      <c r="BS3" s="108"/>
      <c r="BT3" s="344"/>
      <c r="BU3" s="293"/>
      <c r="BV3" s="698" t="s">
        <v>724</v>
      </c>
      <c r="BW3" s="270"/>
      <c r="BX3" s="270"/>
      <c r="BY3" s="270"/>
      <c r="BZ3" s="270"/>
      <c r="CA3" s="597"/>
      <c r="CB3" s="276"/>
    </row>
    <row r="4" spans="1:80" s="42" customFormat="1" x14ac:dyDescent="0.3">
      <c r="A4" s="20"/>
      <c r="B4" s="674"/>
      <c r="C4" s="1511" t="s">
        <v>625</v>
      </c>
      <c r="D4" s="1512"/>
      <c r="E4" s="1512"/>
      <c r="F4" s="1512"/>
      <c r="G4" s="1512"/>
      <c r="H4" s="1512"/>
      <c r="I4" s="1512"/>
      <c r="J4" s="1512"/>
      <c r="K4" s="1512"/>
      <c r="L4" s="1512"/>
      <c r="M4" s="1512"/>
      <c r="N4" s="1513"/>
      <c r="O4" s="668"/>
      <c r="P4" s="720"/>
      <c r="Q4" s="720" t="s">
        <v>741</v>
      </c>
      <c r="R4" s="721"/>
      <c r="S4" s="721"/>
      <c r="T4" s="722"/>
      <c r="U4" s="722"/>
      <c r="V4" s="169"/>
      <c r="W4" s="1514" t="s">
        <v>705</v>
      </c>
      <c r="X4" s="1515"/>
      <c r="Y4" s="1515"/>
      <c r="Z4" s="1515"/>
      <c r="AA4" s="1515"/>
      <c r="AB4" s="1515"/>
      <c r="AC4" s="1515"/>
      <c r="AD4" s="1516"/>
      <c r="AE4" s="664"/>
      <c r="AF4" s="164"/>
      <c r="AG4" s="174" t="s">
        <v>387</v>
      </c>
      <c r="AH4" s="174" t="s">
        <v>387</v>
      </c>
      <c r="AI4" s="174" t="s">
        <v>387</v>
      </c>
      <c r="AJ4" s="164"/>
      <c r="AK4" s="164"/>
      <c r="AL4" s="648"/>
      <c r="AM4" s="633"/>
      <c r="AN4" s="609"/>
      <c r="AO4" s="684"/>
      <c r="AP4" s="679"/>
      <c r="AQ4" s="804"/>
      <c r="AR4" s="173"/>
      <c r="AS4" s="174" t="s">
        <v>387</v>
      </c>
      <c r="AT4" s="174" t="s">
        <v>387</v>
      </c>
      <c r="AU4" s="174" t="s">
        <v>387</v>
      </c>
      <c r="AV4" s="174" t="s">
        <v>387</v>
      </c>
      <c r="AW4" s="174" t="s">
        <v>387</v>
      </c>
      <c r="AX4" s="573" t="s">
        <v>387</v>
      </c>
      <c r="AY4" s="712" t="s">
        <v>121</v>
      </c>
      <c r="AZ4" s="712" t="s">
        <v>124</v>
      </c>
      <c r="BA4" s="712" t="s">
        <v>347</v>
      </c>
      <c r="BB4" s="712" t="s">
        <v>378</v>
      </c>
      <c r="BC4" s="712" t="s">
        <v>379</v>
      </c>
      <c r="BD4" s="712" t="s">
        <v>377</v>
      </c>
      <c r="BE4" s="712" t="s">
        <v>268</v>
      </c>
      <c r="BF4" s="793" t="s">
        <v>729</v>
      </c>
      <c r="BG4" s="712" t="s">
        <v>375</v>
      </c>
      <c r="BH4" s="712" t="s">
        <v>375</v>
      </c>
      <c r="BI4" s="712" t="s">
        <v>126</v>
      </c>
      <c r="BJ4" s="712" t="s">
        <v>350</v>
      </c>
      <c r="BK4" s="711"/>
      <c r="BL4" s="769"/>
      <c r="BM4" s="346" t="s">
        <v>705</v>
      </c>
      <c r="BN4" s="347"/>
      <c r="BO4" s="347"/>
      <c r="BP4" s="347"/>
      <c r="BQ4" s="347"/>
      <c r="BR4" s="347"/>
      <c r="BS4" s="347"/>
      <c r="BT4" s="348"/>
      <c r="BU4" s="293"/>
      <c r="BV4" s="806" t="s">
        <v>725</v>
      </c>
      <c r="BW4" s="807"/>
      <c r="BX4" s="807"/>
      <c r="BY4" s="807"/>
      <c r="BZ4" s="807"/>
      <c r="CA4" s="598"/>
      <c r="CB4" s="276"/>
    </row>
    <row r="5" spans="1:80" s="42" customFormat="1" x14ac:dyDescent="0.3">
      <c r="A5" s="20"/>
      <c r="B5" s="674"/>
      <c r="C5" s="599"/>
      <c r="D5" s="600"/>
      <c r="E5" s="600"/>
      <c r="F5" s="600"/>
      <c r="G5" s="601">
        <v>2020</v>
      </c>
      <c r="H5" s="601">
        <v>2019</v>
      </c>
      <c r="I5" s="600"/>
      <c r="J5" s="600"/>
      <c r="K5" s="600"/>
      <c r="L5" s="600"/>
      <c r="M5" s="601">
        <v>2020</v>
      </c>
      <c r="N5" s="602">
        <v>2019</v>
      </c>
      <c r="O5" s="668"/>
      <c r="P5" s="620"/>
      <c r="Q5" s="620"/>
      <c r="R5" s="621"/>
      <c r="S5" s="621"/>
      <c r="T5" s="727"/>
      <c r="U5" s="622"/>
      <c r="V5" s="169"/>
      <c r="W5" s="628"/>
      <c r="X5" s="629"/>
      <c r="Y5" s="629"/>
      <c r="Z5" s="629"/>
      <c r="AA5" s="629"/>
      <c r="AB5" s="630"/>
      <c r="AC5" s="630"/>
      <c r="AD5" s="631"/>
      <c r="AE5" s="664"/>
      <c r="AF5" s="608" t="s">
        <v>1</v>
      </c>
      <c r="AG5" s="661">
        <f t="shared" ref="AG5:AH8" si="0">+G10</f>
        <v>1700</v>
      </c>
      <c r="AH5" s="662">
        <f t="shared" si="0"/>
        <v>800</v>
      </c>
      <c r="AI5" s="80">
        <f>+AH5-AG5</f>
        <v>-900</v>
      </c>
      <c r="AJ5" s="164"/>
      <c r="AK5" s="164"/>
      <c r="AL5" s="648"/>
      <c r="AM5" s="633"/>
      <c r="AN5" s="609"/>
      <c r="AO5" s="684"/>
      <c r="AP5" s="679"/>
      <c r="AQ5" s="736"/>
      <c r="AR5" s="680" t="s">
        <v>1</v>
      </c>
      <c r="AS5" s="661">
        <f>+AG5</f>
        <v>1700</v>
      </c>
      <c r="AT5" s="661">
        <f t="shared" ref="AT5:AT26" si="1">+AH5</f>
        <v>800</v>
      </c>
      <c r="AU5" s="80">
        <f>+AT5-AS5</f>
        <v>-900</v>
      </c>
      <c r="AV5" s="691">
        <v>0</v>
      </c>
      <c r="AW5" s="691">
        <v>0</v>
      </c>
      <c r="AX5" s="773">
        <f>+AU5+AW5-AV5</f>
        <v>-900</v>
      </c>
      <c r="AY5" s="708"/>
      <c r="AZ5" s="708"/>
      <c r="BA5" s="708"/>
      <c r="BB5" s="708"/>
      <c r="BC5" s="708"/>
      <c r="BD5" s="708"/>
      <c r="BE5" s="708"/>
      <c r="BF5" s="794"/>
      <c r="BG5" s="708"/>
      <c r="BH5" s="708"/>
      <c r="BI5" s="708"/>
      <c r="BJ5" s="708"/>
      <c r="BK5" s="781" t="s">
        <v>723</v>
      </c>
      <c r="BL5" s="769"/>
      <c r="BM5" s="648"/>
      <c r="BN5" s="633"/>
      <c r="BO5" s="633"/>
      <c r="BP5" s="633"/>
      <c r="BQ5" s="633"/>
      <c r="BR5" s="633"/>
      <c r="BS5" s="633"/>
      <c r="BT5" s="679" t="s">
        <v>387</v>
      </c>
      <c r="BU5" s="293"/>
      <c r="BV5" s="700"/>
      <c r="BW5" s="690"/>
      <c r="BX5" s="690"/>
      <c r="BY5" s="690"/>
      <c r="BZ5" s="690"/>
      <c r="CA5" s="660" t="s">
        <v>387</v>
      </c>
      <c r="CB5" s="276"/>
    </row>
    <row r="6" spans="1:80" s="42" customFormat="1" x14ac:dyDescent="0.3">
      <c r="A6" s="20"/>
      <c r="B6" s="674"/>
      <c r="C6" s="603"/>
      <c r="D6" s="604"/>
      <c r="E6" s="604"/>
      <c r="F6" s="604"/>
      <c r="G6" s="605" t="s">
        <v>387</v>
      </c>
      <c r="H6" s="605" t="s">
        <v>387</v>
      </c>
      <c r="I6" s="604"/>
      <c r="J6" s="606"/>
      <c r="K6" s="606"/>
      <c r="L6" s="606"/>
      <c r="M6" s="605" t="s">
        <v>387</v>
      </c>
      <c r="N6" s="607" t="s">
        <v>387</v>
      </c>
      <c r="O6" s="668"/>
      <c r="P6" s="603"/>
      <c r="Q6" s="766"/>
      <c r="R6" s="732"/>
      <c r="S6" s="732"/>
      <c r="T6" s="767" t="s">
        <v>387</v>
      </c>
      <c r="U6" s="733"/>
      <c r="V6" s="169"/>
      <c r="W6" s="628"/>
      <c r="X6" s="629"/>
      <c r="Y6" s="629"/>
      <c r="Z6" s="629"/>
      <c r="AA6" s="629"/>
      <c r="AB6" s="630" t="s">
        <v>96</v>
      </c>
      <c r="AC6" s="630" t="s">
        <v>98</v>
      </c>
      <c r="AD6" s="631"/>
      <c r="AE6" s="664" t="s">
        <v>259</v>
      </c>
      <c r="AF6" s="608" t="s">
        <v>252</v>
      </c>
      <c r="AG6" s="661">
        <f t="shared" si="0"/>
        <v>1300</v>
      </c>
      <c r="AH6" s="662">
        <f t="shared" si="0"/>
        <v>1600</v>
      </c>
      <c r="AI6" s="661">
        <f t="shared" ref="AI6:AI28" si="2">+AH6-AG6</f>
        <v>300</v>
      </c>
      <c r="AJ6" s="677"/>
      <c r="AK6" s="164"/>
      <c r="AL6" s="648"/>
      <c r="AM6" s="633"/>
      <c r="AN6" s="685" t="s">
        <v>92</v>
      </c>
      <c r="AO6" s="684"/>
      <c r="AP6" s="679"/>
      <c r="AQ6" s="736"/>
      <c r="AR6" s="680" t="s">
        <v>252</v>
      </c>
      <c r="AS6" s="661">
        <f t="shared" ref="AS6:AS26" si="3">+AG6</f>
        <v>1300</v>
      </c>
      <c r="AT6" s="661">
        <f t="shared" si="1"/>
        <v>1600</v>
      </c>
      <c r="AU6" s="661">
        <f t="shared" ref="AU6:AU20" si="4">+AT6-AS6</f>
        <v>300</v>
      </c>
      <c r="AV6" s="691">
        <f>+AO7</f>
        <v>120</v>
      </c>
      <c r="AW6" s="691">
        <v>0</v>
      </c>
      <c r="AX6" s="661">
        <f>+AU6+AW6-AV6</f>
        <v>180</v>
      </c>
      <c r="AY6" s="83">
        <f>+AX6</f>
        <v>180</v>
      </c>
      <c r="AZ6" s="83"/>
      <c r="BA6" s="83"/>
      <c r="BB6" s="83"/>
      <c r="BC6" s="83"/>
      <c r="BD6" s="83"/>
      <c r="BE6" s="83"/>
      <c r="BF6" s="178"/>
      <c r="BG6" s="83"/>
      <c r="BH6" s="83"/>
      <c r="BI6" s="83"/>
      <c r="BJ6" s="83"/>
      <c r="BK6" s="782">
        <f>AX6-SUM(AY6:BJ6)</f>
        <v>0</v>
      </c>
      <c r="BL6" s="769"/>
      <c r="BM6" s="694" t="s">
        <v>51</v>
      </c>
      <c r="BN6" s="633"/>
      <c r="BO6" s="633"/>
      <c r="BP6" s="633"/>
      <c r="BQ6" s="633"/>
      <c r="BR6" s="633"/>
      <c r="BS6" s="633"/>
      <c r="BT6" s="655"/>
      <c r="BU6" s="293"/>
      <c r="BV6" s="701"/>
      <c r="BW6" s="684"/>
      <c r="BX6" s="684"/>
      <c r="BY6" s="684"/>
      <c r="BZ6" s="684"/>
      <c r="CA6" s="679"/>
      <c r="CB6" s="276"/>
    </row>
    <row r="7" spans="1:80" s="42" customFormat="1" x14ac:dyDescent="0.3">
      <c r="A7" s="20"/>
      <c r="B7" s="674"/>
      <c r="C7" s="740"/>
      <c r="D7" s="128"/>
      <c r="E7" s="128"/>
      <c r="F7" s="128"/>
      <c r="G7" s="741"/>
      <c r="H7" s="741"/>
      <c r="I7" s="742" t="s">
        <v>59</v>
      </c>
      <c r="J7" s="742"/>
      <c r="K7" s="742"/>
      <c r="L7" s="742"/>
      <c r="M7" s="741"/>
      <c r="N7" s="743"/>
      <c r="O7" s="734"/>
      <c r="P7" s="714"/>
      <c r="Q7" s="608" t="s">
        <v>9</v>
      </c>
      <c r="R7" s="609"/>
      <c r="S7" s="612"/>
      <c r="T7" s="613">
        <v>20000</v>
      </c>
      <c r="U7" s="616"/>
      <c r="V7" s="169"/>
      <c r="W7" s="628"/>
      <c r="X7" s="629"/>
      <c r="Y7" s="629"/>
      <c r="Z7" s="629"/>
      <c r="AA7" s="629"/>
      <c r="AB7" s="630" t="s">
        <v>97</v>
      </c>
      <c r="AC7" s="630" t="s">
        <v>274</v>
      </c>
      <c r="AD7" s="631" t="s">
        <v>40</v>
      </c>
      <c r="AE7" s="664" t="s">
        <v>259</v>
      </c>
      <c r="AF7" s="608" t="s">
        <v>710</v>
      </c>
      <c r="AG7" s="661">
        <f t="shared" si="0"/>
        <v>200</v>
      </c>
      <c r="AH7" s="662">
        <f t="shared" si="0"/>
        <v>600</v>
      </c>
      <c r="AI7" s="661">
        <f t="shared" si="2"/>
        <v>400</v>
      </c>
      <c r="AJ7" s="677"/>
      <c r="AK7" s="164"/>
      <c r="AL7" s="648"/>
      <c r="AM7" s="164" t="s">
        <v>112</v>
      </c>
      <c r="AN7" s="633" t="s">
        <v>252</v>
      </c>
      <c r="AO7" s="642">
        <f>+AP8</f>
        <v>120</v>
      </c>
      <c r="AP7" s="662"/>
      <c r="AQ7" s="736"/>
      <c r="AR7" s="680" t="s">
        <v>710</v>
      </c>
      <c r="AS7" s="661">
        <f t="shared" si="3"/>
        <v>200</v>
      </c>
      <c r="AT7" s="661">
        <f t="shared" si="1"/>
        <v>600</v>
      </c>
      <c r="AU7" s="661">
        <f t="shared" si="4"/>
        <v>400</v>
      </c>
      <c r="AV7" s="691">
        <v>0</v>
      </c>
      <c r="AW7" s="691">
        <v>0</v>
      </c>
      <c r="AX7" s="661">
        <f t="shared" ref="AX7:AX28" si="5">+AU7+AW7-AV7</f>
        <v>400</v>
      </c>
      <c r="AY7" s="83"/>
      <c r="AZ7" s="83">
        <f>+AX7</f>
        <v>400</v>
      </c>
      <c r="BA7" s="83"/>
      <c r="BB7" s="83"/>
      <c r="BC7" s="83"/>
      <c r="BD7" s="83"/>
      <c r="BE7" s="83"/>
      <c r="BF7" s="178"/>
      <c r="BG7" s="83"/>
      <c r="BH7" s="83"/>
      <c r="BI7" s="83"/>
      <c r="BJ7" s="83"/>
      <c r="BK7" s="783">
        <f t="shared" ref="BK7:BK28" si="6">AX7-SUM(AY7:BJ7)</f>
        <v>0</v>
      </c>
      <c r="BL7" s="769"/>
      <c r="BM7" s="648" t="s">
        <v>248</v>
      </c>
      <c r="BN7" s="633"/>
      <c r="BO7" s="633"/>
      <c r="BP7" s="633"/>
      <c r="BQ7" s="633"/>
      <c r="BR7" s="633"/>
      <c r="BS7" s="633"/>
      <c r="BT7" s="662">
        <f>+AY29</f>
        <v>20180</v>
      </c>
      <c r="BU7" s="293"/>
      <c r="BV7" s="701"/>
      <c r="BW7" s="684"/>
      <c r="BX7" s="684"/>
      <c r="BY7" s="684"/>
      <c r="BZ7" s="684"/>
      <c r="CA7" s="679"/>
      <c r="CB7" s="276"/>
    </row>
    <row r="8" spans="1:80" s="42" customFormat="1" x14ac:dyDescent="0.3">
      <c r="A8" s="20"/>
      <c r="B8" s="674"/>
      <c r="C8" s="744" t="s">
        <v>56</v>
      </c>
      <c r="D8" s="181"/>
      <c r="E8" s="181"/>
      <c r="F8" s="181"/>
      <c r="G8" s="745"/>
      <c r="H8" s="745"/>
      <c r="I8" s="181" t="s">
        <v>61</v>
      </c>
      <c r="J8" s="181"/>
      <c r="K8" s="181"/>
      <c r="L8" s="181"/>
      <c r="M8" s="181"/>
      <c r="N8" s="746"/>
      <c r="O8" s="735"/>
      <c r="P8" s="608"/>
      <c r="Q8" s="728" t="s">
        <v>10</v>
      </c>
      <c r="R8" s="626"/>
      <c r="S8" s="614"/>
      <c r="T8" s="729">
        <v>-15000</v>
      </c>
      <c r="U8" s="625"/>
      <c r="V8" s="632"/>
      <c r="W8" s="628"/>
      <c r="X8" s="629"/>
      <c r="Y8" s="629"/>
      <c r="Z8" s="629"/>
      <c r="AA8" s="629"/>
      <c r="AB8" s="630" t="s">
        <v>387</v>
      </c>
      <c r="AC8" s="630" t="s">
        <v>387</v>
      </c>
      <c r="AD8" s="631" t="s">
        <v>387</v>
      </c>
      <c r="AE8" s="664" t="s">
        <v>259</v>
      </c>
      <c r="AF8" s="608" t="s">
        <v>674</v>
      </c>
      <c r="AG8" s="661">
        <f t="shared" si="0"/>
        <v>1700</v>
      </c>
      <c r="AH8" s="662">
        <f t="shared" si="0"/>
        <v>2780</v>
      </c>
      <c r="AI8" s="661">
        <f t="shared" si="2"/>
        <v>1080</v>
      </c>
      <c r="AJ8" s="164"/>
      <c r="AK8" s="164"/>
      <c r="AL8" s="648"/>
      <c r="AM8" s="164" t="s">
        <v>113</v>
      </c>
      <c r="AN8" s="633" t="s">
        <v>241</v>
      </c>
      <c r="AO8" s="642"/>
      <c r="AP8" s="662">
        <f>+AB20</f>
        <v>120</v>
      </c>
      <c r="AQ8" s="736"/>
      <c r="AR8" s="680" t="s">
        <v>674</v>
      </c>
      <c r="AS8" s="661">
        <f t="shared" si="3"/>
        <v>1700</v>
      </c>
      <c r="AT8" s="661">
        <f t="shared" si="1"/>
        <v>2780</v>
      </c>
      <c r="AU8" s="661">
        <f t="shared" si="4"/>
        <v>1080</v>
      </c>
      <c r="AV8" s="691">
        <f>+AO11</f>
        <v>300</v>
      </c>
      <c r="AW8" s="691">
        <v>0</v>
      </c>
      <c r="AX8" s="661">
        <f t="shared" si="5"/>
        <v>780</v>
      </c>
      <c r="AY8" s="83"/>
      <c r="AZ8" s="83"/>
      <c r="BA8" s="772">
        <f>+AX8</f>
        <v>780</v>
      </c>
      <c r="BB8" s="83"/>
      <c r="BC8" s="83"/>
      <c r="BD8" s="83"/>
      <c r="BE8" s="83"/>
      <c r="BF8" s="178"/>
      <c r="BG8" s="83"/>
      <c r="BH8" s="83"/>
      <c r="BI8" s="83"/>
      <c r="BJ8" s="83"/>
      <c r="BK8" s="783">
        <f t="shared" si="6"/>
        <v>0</v>
      </c>
      <c r="BL8" s="769"/>
      <c r="BM8" s="648" t="s">
        <v>715</v>
      </c>
      <c r="BN8" s="633"/>
      <c r="BO8" s="633"/>
      <c r="BP8" s="633"/>
      <c r="BQ8" s="633"/>
      <c r="BR8" s="633"/>
      <c r="BS8" s="633"/>
      <c r="BT8" s="662">
        <f>+AZ29</f>
        <v>560</v>
      </c>
      <c r="BU8" s="293"/>
      <c r="BV8" s="702" t="s">
        <v>16</v>
      </c>
      <c r="BW8" s="790"/>
      <c r="BX8" s="790"/>
      <c r="BY8" s="790"/>
      <c r="BZ8" s="790"/>
      <c r="CA8" s="703">
        <f>+T18</f>
        <v>1205</v>
      </c>
      <c r="CB8" s="276"/>
    </row>
    <row r="9" spans="1:80" s="42" customFormat="1" x14ac:dyDescent="0.3">
      <c r="A9" s="20"/>
      <c r="B9" s="674"/>
      <c r="C9" s="744" t="s">
        <v>57</v>
      </c>
      <c r="D9" s="181"/>
      <c r="E9" s="181"/>
      <c r="F9" s="181"/>
      <c r="G9" s="745"/>
      <c r="H9" s="745"/>
      <c r="I9" s="131" t="s">
        <v>4</v>
      </c>
      <c r="J9" s="131"/>
      <c r="K9" s="131"/>
      <c r="L9" s="131"/>
      <c r="M9" s="175">
        <v>740</v>
      </c>
      <c r="N9" s="196">
        <v>1400</v>
      </c>
      <c r="O9" s="735" t="s">
        <v>259</v>
      </c>
      <c r="P9" s="608"/>
      <c r="Q9" s="611" t="s">
        <v>13</v>
      </c>
      <c r="R9" s="610"/>
      <c r="S9" s="612"/>
      <c r="T9" s="625">
        <f>+T7+T8</f>
        <v>5000</v>
      </c>
      <c r="U9" s="613"/>
      <c r="V9" s="624"/>
      <c r="W9" s="651"/>
      <c r="X9" s="652"/>
      <c r="Y9" s="652"/>
      <c r="Z9" s="652"/>
      <c r="AA9" s="652"/>
      <c r="AB9" s="653"/>
      <c r="AC9" s="653"/>
      <c r="AD9" s="654"/>
      <c r="AE9" s="664" t="s">
        <v>259</v>
      </c>
      <c r="AF9" s="608" t="s">
        <v>150</v>
      </c>
      <c r="AG9" s="661">
        <f>+G18</f>
        <v>400</v>
      </c>
      <c r="AH9" s="662">
        <f>+H18</f>
        <v>300</v>
      </c>
      <c r="AI9" s="661">
        <f t="shared" si="2"/>
        <v>-100</v>
      </c>
      <c r="AJ9" s="164"/>
      <c r="AK9" s="164"/>
      <c r="AL9" s="648"/>
      <c r="AM9" s="633"/>
      <c r="AN9" s="633"/>
      <c r="AO9" s="642"/>
      <c r="AP9" s="662"/>
      <c r="AQ9" s="736"/>
      <c r="AR9" s="680" t="s">
        <v>150</v>
      </c>
      <c r="AS9" s="661">
        <f t="shared" si="3"/>
        <v>400</v>
      </c>
      <c r="AT9" s="661">
        <f t="shared" si="1"/>
        <v>300</v>
      </c>
      <c r="AU9" s="661">
        <f t="shared" si="4"/>
        <v>-100</v>
      </c>
      <c r="AV9" s="691">
        <v>0</v>
      </c>
      <c r="AW9" s="691">
        <f>+AP16</f>
        <v>100</v>
      </c>
      <c r="AX9" s="661">
        <f t="shared" si="5"/>
        <v>0</v>
      </c>
      <c r="AY9" s="83"/>
      <c r="AZ9" s="83"/>
      <c r="BA9" s="83"/>
      <c r="BB9" s="83"/>
      <c r="BC9" s="83"/>
      <c r="BD9" s="83"/>
      <c r="BE9" s="83"/>
      <c r="BF9" s="178"/>
      <c r="BG9" s="83"/>
      <c r="BH9" s="83"/>
      <c r="BI9" s="83"/>
      <c r="BJ9" s="83"/>
      <c r="BK9" s="783">
        <f t="shared" si="6"/>
        <v>0</v>
      </c>
      <c r="BL9" s="769"/>
      <c r="BM9" s="648" t="s">
        <v>138</v>
      </c>
      <c r="BN9" s="633"/>
      <c r="BO9" s="633"/>
      <c r="BP9" s="633"/>
      <c r="BQ9" s="633"/>
      <c r="BR9" s="633"/>
      <c r="BS9" s="633"/>
      <c r="BT9" s="662">
        <f>+BA29</f>
        <v>-14580</v>
      </c>
      <c r="BU9" s="293"/>
      <c r="BV9" s="648"/>
      <c r="BW9" s="633"/>
      <c r="BX9" s="633"/>
      <c r="BY9" s="633"/>
      <c r="BZ9" s="633"/>
      <c r="CA9" s="655"/>
      <c r="CB9" s="276"/>
    </row>
    <row r="10" spans="1:80" s="42" customFormat="1" x14ac:dyDescent="0.3">
      <c r="A10" s="20"/>
      <c r="B10" s="674" t="s">
        <v>259</v>
      </c>
      <c r="C10" s="195" t="s">
        <v>1</v>
      </c>
      <c r="D10" s="131"/>
      <c r="E10" s="131"/>
      <c r="F10" s="131"/>
      <c r="G10" s="175">
        <v>1700</v>
      </c>
      <c r="H10" s="175">
        <v>800</v>
      </c>
      <c r="I10" s="131" t="s">
        <v>5</v>
      </c>
      <c r="J10" s="131"/>
      <c r="K10" s="131"/>
      <c r="L10" s="131"/>
      <c r="M10" s="175">
        <v>350</v>
      </c>
      <c r="N10" s="196">
        <v>500</v>
      </c>
      <c r="O10" s="735" t="s">
        <v>259</v>
      </c>
      <c r="P10" s="608"/>
      <c r="Q10" s="608" t="s">
        <v>44</v>
      </c>
      <c r="R10" s="609"/>
      <c r="S10" s="612"/>
      <c r="T10" s="627">
        <f>-1000-300</f>
        <v>-1300</v>
      </c>
      <c r="U10" s="627"/>
      <c r="V10" s="624"/>
      <c r="W10" s="634" t="s">
        <v>30</v>
      </c>
      <c r="X10" s="635"/>
      <c r="Y10" s="635"/>
      <c r="Z10" s="635"/>
      <c r="AA10" s="635"/>
      <c r="AB10" s="635">
        <f>+N20</f>
        <v>1240</v>
      </c>
      <c r="AC10" s="635">
        <f>+N21</f>
        <v>2382</v>
      </c>
      <c r="AD10" s="636">
        <f>SUM(AB10:AC10)</f>
        <v>3622</v>
      </c>
      <c r="AE10" s="665" t="s">
        <v>260</v>
      </c>
      <c r="AF10" s="608" t="s">
        <v>373</v>
      </c>
      <c r="AG10" s="661">
        <f>+G19</f>
        <v>3346</v>
      </c>
      <c r="AH10" s="662">
        <f>+H19</f>
        <v>2650</v>
      </c>
      <c r="AI10" s="661">
        <f t="shared" si="2"/>
        <v>-696</v>
      </c>
      <c r="AJ10" s="164"/>
      <c r="AK10" s="164"/>
      <c r="AL10" s="648"/>
      <c r="AM10" s="633"/>
      <c r="AN10" s="685" t="s">
        <v>731</v>
      </c>
      <c r="AO10" s="642"/>
      <c r="AP10" s="662"/>
      <c r="AQ10" s="736"/>
      <c r="AR10" s="680" t="s">
        <v>373</v>
      </c>
      <c r="AS10" s="661">
        <f t="shared" si="3"/>
        <v>3346</v>
      </c>
      <c r="AT10" s="661">
        <f t="shared" si="1"/>
        <v>2650</v>
      </c>
      <c r="AU10" s="661">
        <f t="shared" si="4"/>
        <v>-696</v>
      </c>
      <c r="AV10" s="691">
        <f>+AO19</f>
        <v>1080</v>
      </c>
      <c r="AW10" s="691">
        <v>0</v>
      </c>
      <c r="AX10" s="661">
        <f t="shared" si="5"/>
        <v>-1776</v>
      </c>
      <c r="AY10" s="83"/>
      <c r="AZ10" s="83"/>
      <c r="BA10" s="83"/>
      <c r="BB10" s="83"/>
      <c r="BC10" s="83"/>
      <c r="BD10" s="83"/>
      <c r="BE10" s="83"/>
      <c r="BF10" s="178">
        <f>+AX10</f>
        <v>-1776</v>
      </c>
      <c r="BG10" s="83"/>
      <c r="BH10" s="83"/>
      <c r="BI10" s="83"/>
      <c r="BJ10" s="83"/>
      <c r="BK10" s="783">
        <f t="shared" si="6"/>
        <v>0</v>
      </c>
      <c r="BL10" s="769"/>
      <c r="BM10" s="648" t="s">
        <v>279</v>
      </c>
      <c r="BN10" s="633"/>
      <c r="BO10" s="633"/>
      <c r="BP10" s="633"/>
      <c r="BQ10" s="633"/>
      <c r="BR10" s="633"/>
      <c r="BS10" s="633"/>
      <c r="BT10" s="662">
        <f>+BB29</f>
        <v>-1450</v>
      </c>
      <c r="BU10" s="293"/>
      <c r="BV10" s="694" t="s">
        <v>726</v>
      </c>
      <c r="BW10" s="685"/>
      <c r="BX10" s="685"/>
      <c r="BY10" s="685"/>
      <c r="BZ10" s="685"/>
      <c r="CA10" s="655"/>
      <c r="CB10" s="276"/>
    </row>
    <row r="11" spans="1:80" s="42" customFormat="1" x14ac:dyDescent="0.3">
      <c r="A11" s="20"/>
      <c r="B11" s="674" t="s">
        <v>259</v>
      </c>
      <c r="C11" s="195" t="s">
        <v>252</v>
      </c>
      <c r="D11" s="131"/>
      <c r="E11" s="131"/>
      <c r="F11" s="131"/>
      <c r="G11" s="175">
        <v>1300</v>
      </c>
      <c r="H11" s="175">
        <v>1600</v>
      </c>
      <c r="I11" s="131" t="s">
        <v>23</v>
      </c>
      <c r="J11" s="131"/>
      <c r="K11" s="131"/>
      <c r="L11" s="131"/>
      <c r="M11" s="175">
        <v>78</v>
      </c>
      <c r="N11" s="196">
        <v>90</v>
      </c>
      <c r="O11" s="735" t="s">
        <v>259</v>
      </c>
      <c r="P11" s="608"/>
      <c r="Q11" s="608" t="s">
        <v>38</v>
      </c>
      <c r="R11" s="609"/>
      <c r="S11" s="612"/>
      <c r="T11" s="627">
        <v>-1080</v>
      </c>
      <c r="U11" s="627"/>
      <c r="V11" s="624"/>
      <c r="W11" s="637" t="s">
        <v>522</v>
      </c>
      <c r="X11" s="638"/>
      <c r="Y11" s="638"/>
      <c r="Z11" s="638"/>
      <c r="AA11" s="638"/>
      <c r="AB11" s="639">
        <v>0</v>
      </c>
      <c r="AC11" s="639">
        <f>T18</f>
        <v>1205</v>
      </c>
      <c r="AD11" s="640">
        <f>SUM(AB11:AC11)</f>
        <v>1205</v>
      </c>
      <c r="AE11" s="666" t="s">
        <v>259</v>
      </c>
      <c r="AF11" s="608" t="s">
        <v>369</v>
      </c>
      <c r="AG11" s="661">
        <f t="shared" ref="AG11:AH16" si="7">-M9</f>
        <v>-740</v>
      </c>
      <c r="AH11" s="662">
        <f t="shared" si="7"/>
        <v>-1400</v>
      </c>
      <c r="AI11" s="661">
        <f t="shared" si="2"/>
        <v>-660</v>
      </c>
      <c r="AJ11" s="164"/>
      <c r="AK11" s="164"/>
      <c r="AL11" s="648"/>
      <c r="AM11" s="164" t="s">
        <v>112</v>
      </c>
      <c r="AN11" s="633" t="s">
        <v>674</v>
      </c>
      <c r="AO11" s="642">
        <f>+AP12</f>
        <v>300</v>
      </c>
      <c r="AP11" s="662"/>
      <c r="AQ11" s="736"/>
      <c r="AR11" s="680" t="s">
        <v>369</v>
      </c>
      <c r="AS11" s="661">
        <f t="shared" si="3"/>
        <v>-740</v>
      </c>
      <c r="AT11" s="661">
        <f t="shared" si="1"/>
        <v>-1400</v>
      </c>
      <c r="AU11" s="661">
        <f t="shared" si="4"/>
        <v>-660</v>
      </c>
      <c r="AV11" s="691">
        <v>0</v>
      </c>
      <c r="AW11" s="691">
        <v>0</v>
      </c>
      <c r="AX11" s="661">
        <f t="shared" si="5"/>
        <v>-660</v>
      </c>
      <c r="AY11" s="83"/>
      <c r="AZ11" s="83"/>
      <c r="BA11" s="83">
        <f>+AX11</f>
        <v>-660</v>
      </c>
      <c r="BB11" s="83"/>
      <c r="BC11" s="83"/>
      <c r="BD11" s="83"/>
      <c r="BE11" s="83"/>
      <c r="BF11" s="178"/>
      <c r="BG11" s="83"/>
      <c r="BH11" s="83"/>
      <c r="BI11" s="83"/>
      <c r="BJ11" s="83"/>
      <c r="BK11" s="783">
        <f t="shared" si="6"/>
        <v>0</v>
      </c>
      <c r="BL11" s="769"/>
      <c r="BM11" s="648" t="s">
        <v>137</v>
      </c>
      <c r="BN11" s="633"/>
      <c r="BO11" s="633"/>
      <c r="BP11" s="633"/>
      <c r="BQ11" s="633"/>
      <c r="BR11" s="633"/>
      <c r="BS11" s="633"/>
      <c r="BT11" s="662">
        <f>+BC29</f>
        <v>-612</v>
      </c>
      <c r="BU11" s="293"/>
      <c r="BV11" s="694" t="s">
        <v>727</v>
      </c>
      <c r="BW11" s="685"/>
      <c r="BX11" s="685"/>
      <c r="BY11" s="685"/>
      <c r="BZ11" s="685"/>
      <c r="CA11" s="655"/>
      <c r="CB11" s="276"/>
    </row>
    <row r="12" spans="1:80" s="42" customFormat="1" x14ac:dyDescent="0.3">
      <c r="A12" s="20"/>
      <c r="B12" s="674" t="s">
        <v>259</v>
      </c>
      <c r="C12" s="195" t="s">
        <v>710</v>
      </c>
      <c r="D12" s="131"/>
      <c r="E12" s="131"/>
      <c r="F12" s="131"/>
      <c r="G12" s="175">
        <v>200</v>
      </c>
      <c r="H12" s="175">
        <v>600</v>
      </c>
      <c r="I12" s="131" t="s">
        <v>27</v>
      </c>
      <c r="J12" s="131"/>
      <c r="K12" s="131"/>
      <c r="L12" s="131"/>
      <c r="M12" s="175">
        <v>80</v>
      </c>
      <c r="N12" s="196">
        <v>100</v>
      </c>
      <c r="O12" s="735" t="s">
        <v>259</v>
      </c>
      <c r="P12" s="608"/>
      <c r="Q12" s="608" t="s">
        <v>12</v>
      </c>
      <c r="R12" s="609"/>
      <c r="S12" s="615"/>
      <c r="T12" s="627">
        <v>-850</v>
      </c>
      <c r="U12" s="627"/>
      <c r="V12" s="624"/>
      <c r="W12" s="637" t="s">
        <v>271</v>
      </c>
      <c r="X12" s="641"/>
      <c r="Y12" s="641"/>
      <c r="Z12" s="641"/>
      <c r="AA12" s="641"/>
      <c r="AB12" s="639">
        <f>+AO23</f>
        <v>150</v>
      </c>
      <c r="AC12" s="639">
        <v>0</v>
      </c>
      <c r="AD12" s="640">
        <f>SUM(AB12:AC12)</f>
        <v>150</v>
      </c>
      <c r="AE12" s="666" t="s">
        <v>259</v>
      </c>
      <c r="AF12" s="608" t="s">
        <v>5</v>
      </c>
      <c r="AG12" s="661">
        <f t="shared" si="7"/>
        <v>-350</v>
      </c>
      <c r="AH12" s="662">
        <f t="shared" si="7"/>
        <v>-500</v>
      </c>
      <c r="AI12" s="661">
        <f t="shared" si="2"/>
        <v>-150</v>
      </c>
      <c r="AJ12" s="164"/>
      <c r="AK12" s="164"/>
      <c r="AL12" s="648"/>
      <c r="AM12" s="164" t="s">
        <v>113</v>
      </c>
      <c r="AN12" s="633" t="s">
        <v>264</v>
      </c>
      <c r="AO12" s="642"/>
      <c r="AP12" s="662">
        <f>+AB21</f>
        <v>300</v>
      </c>
      <c r="AQ12" s="735"/>
      <c r="AR12" s="680" t="s">
        <v>5</v>
      </c>
      <c r="AS12" s="661">
        <f t="shared" si="3"/>
        <v>-350</v>
      </c>
      <c r="AT12" s="661">
        <f t="shared" si="1"/>
        <v>-500</v>
      </c>
      <c r="AU12" s="661">
        <f t="shared" si="4"/>
        <v>-150</v>
      </c>
      <c r="AV12" s="691">
        <v>0</v>
      </c>
      <c r="AW12" s="691">
        <v>0</v>
      </c>
      <c r="AX12" s="661">
        <f t="shared" si="5"/>
        <v>-150</v>
      </c>
      <c r="AY12" s="83"/>
      <c r="AZ12" s="83"/>
      <c r="BA12" s="83"/>
      <c r="BB12" s="83">
        <f>+AX12</f>
        <v>-150</v>
      </c>
      <c r="BC12" s="83"/>
      <c r="BD12" s="83"/>
      <c r="BE12" s="83"/>
      <c r="BF12" s="178"/>
      <c r="BG12" s="83"/>
      <c r="BH12" s="83"/>
      <c r="BI12" s="83"/>
      <c r="BJ12" s="83"/>
      <c r="BK12" s="783">
        <f t="shared" si="6"/>
        <v>0</v>
      </c>
      <c r="BL12" s="769"/>
      <c r="BM12" s="648" t="s">
        <v>269</v>
      </c>
      <c r="BN12" s="633"/>
      <c r="BO12" s="633"/>
      <c r="BP12" s="633"/>
      <c r="BQ12" s="633"/>
      <c r="BR12" s="633"/>
      <c r="BS12" s="633"/>
      <c r="BT12" s="662">
        <f ca="1">+BD29</f>
        <v>-215</v>
      </c>
      <c r="BU12" s="293"/>
      <c r="BV12" s="704" t="s">
        <v>384</v>
      </c>
      <c r="BW12" s="791"/>
      <c r="BX12" s="791"/>
      <c r="BY12" s="791"/>
      <c r="BZ12" s="791"/>
      <c r="CA12" s="705">
        <f>+AO7</f>
        <v>120</v>
      </c>
      <c r="CB12" s="276"/>
    </row>
    <row r="13" spans="1:80" s="42" customFormat="1" x14ac:dyDescent="0.3">
      <c r="A13" s="20"/>
      <c r="B13" s="674" t="s">
        <v>259</v>
      </c>
      <c r="C13" s="195" t="s">
        <v>674</v>
      </c>
      <c r="D13" s="131"/>
      <c r="E13" s="131"/>
      <c r="F13" s="131"/>
      <c r="G13" s="623">
        <v>1700</v>
      </c>
      <c r="H13" s="623">
        <v>2780</v>
      </c>
      <c r="I13" s="131" t="s">
        <v>251</v>
      </c>
      <c r="J13" s="131"/>
      <c r="K13" s="131"/>
      <c r="L13" s="131"/>
      <c r="M13" s="175">
        <v>118</v>
      </c>
      <c r="N13" s="196">
        <v>228</v>
      </c>
      <c r="O13" s="735" t="s">
        <v>259</v>
      </c>
      <c r="P13" s="608"/>
      <c r="Q13" s="728" t="s">
        <v>711</v>
      </c>
      <c r="R13" s="626"/>
      <c r="S13" s="626"/>
      <c r="T13" s="729">
        <v>40</v>
      </c>
      <c r="U13" s="625"/>
      <c r="V13" s="624"/>
      <c r="W13" s="637" t="s">
        <v>381</v>
      </c>
      <c r="X13" s="641"/>
      <c r="Y13" s="641"/>
      <c r="Z13" s="641"/>
      <c r="AA13" s="641"/>
      <c r="AB13" s="639">
        <f>-AC13</f>
        <v>50</v>
      </c>
      <c r="AC13" s="642">
        <v>-50</v>
      </c>
      <c r="AD13" s="640">
        <f>SUM(AB13:AC13)</f>
        <v>0</v>
      </c>
      <c r="AE13" s="666" t="s">
        <v>259</v>
      </c>
      <c r="AF13" s="608" t="s">
        <v>23</v>
      </c>
      <c r="AG13" s="661">
        <f t="shared" si="7"/>
        <v>-78</v>
      </c>
      <c r="AH13" s="662">
        <f t="shared" si="7"/>
        <v>-90</v>
      </c>
      <c r="AI13" s="661">
        <f t="shared" si="2"/>
        <v>-12</v>
      </c>
      <c r="AJ13" s="164"/>
      <c r="AK13" s="164"/>
      <c r="AL13" s="648"/>
      <c r="AM13" s="633"/>
      <c r="AN13" s="633"/>
      <c r="AO13" s="642"/>
      <c r="AP13" s="662"/>
      <c r="AQ13" s="735"/>
      <c r="AR13" s="680" t="s">
        <v>23</v>
      </c>
      <c r="AS13" s="661">
        <f t="shared" si="3"/>
        <v>-78</v>
      </c>
      <c r="AT13" s="661">
        <f t="shared" si="1"/>
        <v>-90</v>
      </c>
      <c r="AU13" s="661">
        <f t="shared" si="4"/>
        <v>-12</v>
      </c>
      <c r="AV13" s="691">
        <v>0</v>
      </c>
      <c r="AW13" s="691">
        <v>0</v>
      </c>
      <c r="AX13" s="661">
        <f t="shared" si="5"/>
        <v>-12</v>
      </c>
      <c r="AY13" s="83"/>
      <c r="AZ13" s="83"/>
      <c r="BA13" s="83"/>
      <c r="BB13" s="83"/>
      <c r="BC13" s="83">
        <f>+AX13</f>
        <v>-12</v>
      </c>
      <c r="BD13" s="83"/>
      <c r="BE13" s="83"/>
      <c r="BF13" s="178"/>
      <c r="BG13" s="83"/>
      <c r="BH13" s="83"/>
      <c r="BI13" s="83"/>
      <c r="BJ13" s="83"/>
      <c r="BK13" s="783">
        <f t="shared" si="6"/>
        <v>0</v>
      </c>
      <c r="BL13" s="769"/>
      <c r="BM13" s="648" t="s">
        <v>278</v>
      </c>
      <c r="BN13" s="633"/>
      <c r="BO13" s="633"/>
      <c r="BP13" s="633"/>
      <c r="BQ13" s="633"/>
      <c r="BR13" s="633"/>
      <c r="BS13" s="633"/>
      <c r="BT13" s="662">
        <f>+BE29</f>
        <v>-870</v>
      </c>
      <c r="BU13" s="293"/>
      <c r="BV13" s="704" t="s">
        <v>732</v>
      </c>
      <c r="BW13" s="791"/>
      <c r="BX13" s="791"/>
      <c r="BY13" s="791"/>
      <c r="BZ13" s="791"/>
      <c r="CA13" s="705">
        <f>+AO11</f>
        <v>300</v>
      </c>
      <c r="CB13" s="276"/>
    </row>
    <row r="14" spans="1:80" s="42" customFormat="1" x14ac:dyDescent="0.3">
      <c r="A14" s="20"/>
      <c r="B14" s="674"/>
      <c r="C14" s="744"/>
      <c r="D14" s="181"/>
      <c r="E14" s="181"/>
      <c r="F14" s="181"/>
      <c r="G14" s="180">
        <f>SUM(G10:G13)</f>
        <v>4900</v>
      </c>
      <c r="H14" s="180">
        <f>SUM(H10:H13)</f>
        <v>5780</v>
      </c>
      <c r="I14" s="131" t="s">
        <v>6</v>
      </c>
      <c r="J14" s="131"/>
      <c r="K14" s="131"/>
      <c r="L14" s="131"/>
      <c r="M14" s="623">
        <v>880</v>
      </c>
      <c r="N14" s="747">
        <v>290</v>
      </c>
      <c r="O14" s="735" t="s">
        <v>261</v>
      </c>
      <c r="P14" s="608"/>
      <c r="Q14" s="611" t="s">
        <v>14</v>
      </c>
      <c r="R14" s="610"/>
      <c r="S14" s="612"/>
      <c r="T14" s="625">
        <f>SUM(T9:T13)</f>
        <v>1810</v>
      </c>
      <c r="U14" s="613"/>
      <c r="V14" s="164"/>
      <c r="W14" s="637" t="s">
        <v>272</v>
      </c>
      <c r="X14" s="641"/>
      <c r="Y14" s="641"/>
      <c r="Z14" s="641"/>
      <c r="AA14" s="641"/>
      <c r="AB14" s="639">
        <f>210-50</f>
        <v>160</v>
      </c>
      <c r="AC14" s="639">
        <v>0</v>
      </c>
      <c r="AD14" s="640">
        <f>SUM(AB14:AC14)</f>
        <v>160</v>
      </c>
      <c r="AE14" s="666" t="s">
        <v>259</v>
      </c>
      <c r="AF14" s="608" t="s">
        <v>27</v>
      </c>
      <c r="AG14" s="661">
        <f t="shared" si="7"/>
        <v>-80</v>
      </c>
      <c r="AH14" s="662">
        <f t="shared" si="7"/>
        <v>-100</v>
      </c>
      <c r="AI14" s="661">
        <f t="shared" ref="AI14" si="8">+AH14-AG14</f>
        <v>-20</v>
      </c>
      <c r="AJ14" s="164"/>
      <c r="AK14" s="164"/>
      <c r="AL14" s="648"/>
      <c r="AM14" s="633"/>
      <c r="AN14" s="685" t="s">
        <v>150</v>
      </c>
      <c r="AO14" s="642"/>
      <c r="AP14" s="662"/>
      <c r="AQ14" s="735"/>
      <c r="AR14" s="680" t="s">
        <v>27</v>
      </c>
      <c r="AS14" s="661">
        <f t="shared" si="3"/>
        <v>-80</v>
      </c>
      <c r="AT14" s="661">
        <f t="shared" si="1"/>
        <v>-100</v>
      </c>
      <c r="AU14" s="661">
        <f t="shared" si="4"/>
        <v>-20</v>
      </c>
      <c r="AV14" s="691">
        <v>0</v>
      </c>
      <c r="AW14" s="691">
        <v>0</v>
      </c>
      <c r="AX14" s="661">
        <f t="shared" si="5"/>
        <v>-20</v>
      </c>
      <c r="AY14" s="83"/>
      <c r="AZ14" s="83"/>
      <c r="BA14" s="83"/>
      <c r="BB14" s="83"/>
      <c r="BC14" s="83"/>
      <c r="BD14" s="83"/>
      <c r="BE14" s="83">
        <f>+AX14</f>
        <v>-20</v>
      </c>
      <c r="BF14" s="178"/>
      <c r="BG14" s="83"/>
      <c r="BH14" s="83"/>
      <c r="BI14" s="83"/>
      <c r="BJ14" s="83"/>
      <c r="BK14" s="783">
        <f t="shared" si="6"/>
        <v>0</v>
      </c>
      <c r="BL14" s="769"/>
      <c r="BM14" s="123" t="s">
        <v>719</v>
      </c>
      <c r="BN14" s="17"/>
      <c r="BO14" s="17"/>
      <c r="BP14" s="17"/>
      <c r="BQ14" s="17"/>
      <c r="BR14" s="17"/>
      <c r="BS14" s="16"/>
      <c r="BT14" s="695"/>
      <c r="BU14" s="293"/>
      <c r="BV14" s="704" t="s">
        <v>385</v>
      </c>
      <c r="BW14" s="791"/>
      <c r="BX14" s="791"/>
      <c r="BY14" s="791"/>
      <c r="BZ14" s="791"/>
      <c r="CA14" s="705">
        <f>-+AO15</f>
        <v>-100</v>
      </c>
      <c r="CB14" s="276"/>
    </row>
    <row r="15" spans="1:80" s="42" customFormat="1" x14ac:dyDescent="0.3">
      <c r="A15" s="20"/>
      <c r="B15" s="674"/>
      <c r="C15" s="744"/>
      <c r="D15" s="181"/>
      <c r="E15" s="181"/>
      <c r="F15" s="181"/>
      <c r="G15" s="180"/>
      <c r="H15" s="180"/>
      <c r="I15" s="131"/>
      <c r="J15" s="131"/>
      <c r="K15" s="131"/>
      <c r="L15" s="131"/>
      <c r="M15" s="748">
        <f>SUM(M9:M14)</f>
        <v>2246</v>
      </c>
      <c r="N15" s="749">
        <f>SUM(N9:N14)</f>
        <v>2608</v>
      </c>
      <c r="O15" s="736"/>
      <c r="P15" s="608"/>
      <c r="Q15" s="728" t="s">
        <v>45</v>
      </c>
      <c r="R15" s="626"/>
      <c r="S15" s="614"/>
      <c r="T15" s="729">
        <v>-105</v>
      </c>
      <c r="U15" s="627"/>
      <c r="V15" s="624"/>
      <c r="W15" s="637" t="s">
        <v>273</v>
      </c>
      <c r="X15" s="638"/>
      <c r="Y15" s="638"/>
      <c r="Z15" s="638"/>
      <c r="AA15" s="638"/>
      <c r="AB15" s="643">
        <v>0</v>
      </c>
      <c r="AC15" s="644">
        <v>-537</v>
      </c>
      <c r="AD15" s="645">
        <f>+AC15</f>
        <v>-537</v>
      </c>
      <c r="AE15" s="666" t="s">
        <v>259</v>
      </c>
      <c r="AF15" s="608" t="s">
        <v>251</v>
      </c>
      <c r="AG15" s="661">
        <f t="shared" si="7"/>
        <v>-118</v>
      </c>
      <c r="AH15" s="662">
        <f t="shared" si="7"/>
        <v>-228</v>
      </c>
      <c r="AI15" s="661">
        <f t="shared" si="2"/>
        <v>-110</v>
      </c>
      <c r="AJ15" s="164"/>
      <c r="AK15" s="164"/>
      <c r="AL15" s="648"/>
      <c r="AM15" s="164" t="s">
        <v>113</v>
      </c>
      <c r="AN15" s="633" t="s">
        <v>15</v>
      </c>
      <c r="AO15" s="642">
        <f>+AP16</f>
        <v>100</v>
      </c>
      <c r="AP15" s="662"/>
      <c r="AQ15" s="735"/>
      <c r="AR15" s="680" t="s">
        <v>251</v>
      </c>
      <c r="AS15" s="661">
        <f t="shared" si="3"/>
        <v>-118</v>
      </c>
      <c r="AT15" s="661">
        <f t="shared" si="1"/>
        <v>-228</v>
      </c>
      <c r="AU15" s="661">
        <f t="shared" si="4"/>
        <v>-110</v>
      </c>
      <c r="AV15" s="691">
        <v>0</v>
      </c>
      <c r="AW15" s="691">
        <v>0</v>
      </c>
      <c r="AX15" s="661">
        <f t="shared" si="5"/>
        <v>-110</v>
      </c>
      <c r="AY15" s="83"/>
      <c r="AZ15" s="83"/>
      <c r="BA15" s="83"/>
      <c r="BB15" s="83"/>
      <c r="BC15" s="83"/>
      <c r="BD15" s="83">
        <f>+AX15</f>
        <v>-110</v>
      </c>
      <c r="BE15" s="83"/>
      <c r="BF15" s="178"/>
      <c r="BG15" s="83"/>
      <c r="BH15" s="83"/>
      <c r="BI15" s="83"/>
      <c r="BJ15" s="83"/>
      <c r="BK15" s="783">
        <f t="shared" si="6"/>
        <v>0</v>
      </c>
      <c r="BL15" s="769"/>
      <c r="BM15" s="123" t="s">
        <v>720</v>
      </c>
      <c r="BN15" s="17"/>
      <c r="BO15" s="17"/>
      <c r="BP15" s="17"/>
      <c r="BQ15" s="17"/>
      <c r="BR15" s="17"/>
      <c r="BS15" s="16"/>
      <c r="BT15" s="695">
        <f ca="1">SUM(BT7:BT13)</f>
        <v>3013</v>
      </c>
      <c r="BU15" s="293"/>
      <c r="BV15" s="704" t="s">
        <v>383</v>
      </c>
      <c r="BW15" s="791"/>
      <c r="BX15" s="791"/>
      <c r="BY15" s="791"/>
      <c r="BZ15" s="791"/>
      <c r="CA15" s="705">
        <f>+AO19</f>
        <v>1080</v>
      </c>
      <c r="CB15" s="276"/>
    </row>
    <row r="16" spans="1:80" s="42" customFormat="1" x14ac:dyDescent="0.3">
      <c r="A16" s="20"/>
      <c r="B16" s="674"/>
      <c r="C16" s="744"/>
      <c r="D16" s="181"/>
      <c r="E16" s="181"/>
      <c r="F16" s="181"/>
      <c r="G16" s="175"/>
      <c r="H16" s="175"/>
      <c r="I16" s="181" t="s">
        <v>60</v>
      </c>
      <c r="J16" s="181"/>
      <c r="K16" s="181"/>
      <c r="L16" s="181"/>
      <c r="M16" s="131"/>
      <c r="N16" s="750"/>
      <c r="O16" s="735"/>
      <c r="P16" s="608"/>
      <c r="Q16" s="611" t="s">
        <v>89</v>
      </c>
      <c r="R16" s="610"/>
      <c r="S16" s="612"/>
      <c r="T16" s="625">
        <f>SUM(T14:T15)</f>
        <v>1705</v>
      </c>
      <c r="U16" s="627"/>
      <c r="V16" s="624"/>
      <c r="W16" s="717" t="s">
        <v>32</v>
      </c>
      <c r="X16" s="643"/>
      <c r="Y16" s="643"/>
      <c r="Z16" s="643"/>
      <c r="AA16" s="643"/>
      <c r="AB16" s="646">
        <f>SUM(AB10:AB15)</f>
        <v>1600</v>
      </c>
      <c r="AC16" s="646">
        <f>SUM(AC10:AC15)</f>
        <v>3000</v>
      </c>
      <c r="AD16" s="647">
        <f>SUM(AD10:AD15)</f>
        <v>4600</v>
      </c>
      <c r="AE16" s="666" t="s">
        <v>261</v>
      </c>
      <c r="AF16" s="608" t="s">
        <v>6</v>
      </c>
      <c r="AG16" s="661">
        <f t="shared" si="7"/>
        <v>-880</v>
      </c>
      <c r="AH16" s="661">
        <f t="shared" si="7"/>
        <v>-290</v>
      </c>
      <c r="AI16" s="661">
        <f t="shared" si="2"/>
        <v>590</v>
      </c>
      <c r="AJ16" s="164"/>
      <c r="AK16" s="164"/>
      <c r="AL16" s="648"/>
      <c r="AM16" s="164" t="s">
        <v>112</v>
      </c>
      <c r="AN16" s="633" t="s">
        <v>150</v>
      </c>
      <c r="AO16" s="642"/>
      <c r="AP16" s="662">
        <f>+AB22</f>
        <v>100</v>
      </c>
      <c r="AQ16" s="735"/>
      <c r="AR16" s="680" t="s">
        <v>6</v>
      </c>
      <c r="AS16" s="661">
        <f t="shared" si="3"/>
        <v>-880</v>
      </c>
      <c r="AT16" s="661">
        <f t="shared" si="1"/>
        <v>-290</v>
      </c>
      <c r="AU16" s="661">
        <f t="shared" si="4"/>
        <v>590</v>
      </c>
      <c r="AV16" s="691">
        <v>0</v>
      </c>
      <c r="AW16" s="691">
        <f>+AP24</f>
        <v>150</v>
      </c>
      <c r="AX16" s="661">
        <f t="shared" si="5"/>
        <v>740</v>
      </c>
      <c r="AY16" s="83"/>
      <c r="AZ16" s="83"/>
      <c r="BA16" s="83"/>
      <c r="BB16" s="83"/>
      <c r="BC16" s="83"/>
      <c r="BD16" s="83"/>
      <c r="BE16" s="83"/>
      <c r="BF16" s="178"/>
      <c r="BG16" s="83">
        <f>+AX16</f>
        <v>740</v>
      </c>
      <c r="BH16" s="83"/>
      <c r="BI16" s="83"/>
      <c r="BJ16" s="83"/>
      <c r="BK16" s="783">
        <f t="shared" si="6"/>
        <v>0</v>
      </c>
      <c r="BL16" s="769"/>
      <c r="BM16" s="694" t="s">
        <v>52</v>
      </c>
      <c r="BN16" s="633"/>
      <c r="BO16" s="633"/>
      <c r="BP16" s="633"/>
      <c r="BQ16" s="633"/>
      <c r="BR16" s="633"/>
      <c r="BS16" s="633"/>
      <c r="BT16" s="655"/>
      <c r="BU16" s="293"/>
      <c r="BV16" s="706"/>
      <c r="BW16" s="792"/>
      <c r="BX16" s="792"/>
      <c r="BY16" s="792"/>
      <c r="BZ16" s="792"/>
      <c r="CA16" s="705"/>
      <c r="CB16" s="276"/>
    </row>
    <row r="17" spans="1:84" s="42" customFormat="1" x14ac:dyDescent="0.3">
      <c r="A17" s="20"/>
      <c r="B17" s="674"/>
      <c r="C17" s="744" t="s">
        <v>58</v>
      </c>
      <c r="D17" s="181"/>
      <c r="E17" s="181"/>
      <c r="F17" s="181"/>
      <c r="G17" s="175"/>
      <c r="H17" s="175"/>
      <c r="I17" s="131" t="s">
        <v>6</v>
      </c>
      <c r="J17" s="131"/>
      <c r="K17" s="131"/>
      <c r="L17" s="131"/>
      <c r="M17" s="623">
        <v>1800</v>
      </c>
      <c r="N17" s="747">
        <v>2500</v>
      </c>
      <c r="O17" s="735"/>
      <c r="P17" s="608"/>
      <c r="Q17" s="728" t="s">
        <v>15</v>
      </c>
      <c r="R17" s="626"/>
      <c r="S17" s="614"/>
      <c r="T17" s="729">
        <v>-500</v>
      </c>
      <c r="U17" s="627"/>
      <c r="V17" s="624"/>
      <c r="W17" s="648"/>
      <c r="X17" s="633"/>
      <c r="Y17" s="633"/>
      <c r="Z17" s="633"/>
      <c r="AA17" s="638"/>
      <c r="AB17" s="638"/>
      <c r="AC17" s="638"/>
      <c r="AD17" s="649"/>
      <c r="AE17" s="666" t="s">
        <v>261</v>
      </c>
      <c r="AF17" s="608" t="s">
        <v>6</v>
      </c>
      <c r="AG17" s="661">
        <f>-M17</f>
        <v>-1800</v>
      </c>
      <c r="AH17" s="661">
        <f>-N17</f>
        <v>-2500</v>
      </c>
      <c r="AI17" s="661">
        <f t="shared" si="2"/>
        <v>-700</v>
      </c>
      <c r="AJ17" s="164"/>
      <c r="AK17" s="689">
        <f>SUM(AI6:AI28)</f>
        <v>900</v>
      </c>
      <c r="AL17" s="648"/>
      <c r="AM17" s="633"/>
      <c r="AN17" s="633"/>
      <c r="AO17" s="642"/>
      <c r="AP17" s="662"/>
      <c r="AQ17" s="735"/>
      <c r="AR17" s="680" t="s">
        <v>6</v>
      </c>
      <c r="AS17" s="661">
        <f t="shared" si="3"/>
        <v>-1800</v>
      </c>
      <c r="AT17" s="661">
        <f t="shared" si="1"/>
        <v>-2500</v>
      </c>
      <c r="AU17" s="661">
        <f t="shared" si="4"/>
        <v>-700</v>
      </c>
      <c r="AV17" s="691">
        <v>0</v>
      </c>
      <c r="AW17" s="691">
        <v>0</v>
      </c>
      <c r="AX17" s="661">
        <f t="shared" si="5"/>
        <v>-700</v>
      </c>
      <c r="AY17" s="83"/>
      <c r="AZ17" s="83"/>
      <c r="BA17" s="83"/>
      <c r="BB17" s="83"/>
      <c r="BC17" s="83"/>
      <c r="BD17" s="83"/>
      <c r="BE17" s="83"/>
      <c r="BF17" s="178"/>
      <c r="BG17" s="83"/>
      <c r="BH17" s="83">
        <f>+AX17</f>
        <v>-700</v>
      </c>
      <c r="BI17" s="83"/>
      <c r="BJ17" s="83"/>
      <c r="BK17" s="783">
        <f t="shared" si="6"/>
        <v>0</v>
      </c>
      <c r="BL17" s="769"/>
      <c r="BM17" s="648" t="s">
        <v>280</v>
      </c>
      <c r="BN17" s="633"/>
      <c r="BO17" s="633"/>
      <c r="BP17" s="633"/>
      <c r="BQ17" s="633"/>
      <c r="BR17" s="633"/>
      <c r="BS17" s="633"/>
      <c r="BT17" s="662">
        <f>+BF29</f>
        <v>-1776</v>
      </c>
      <c r="BU17" s="293"/>
      <c r="BV17" s="648"/>
      <c r="BW17" s="633"/>
      <c r="BX17" s="633"/>
      <c r="BY17" s="633"/>
      <c r="BZ17" s="633"/>
      <c r="CA17" s="705"/>
      <c r="CB17" s="276"/>
    </row>
    <row r="18" spans="1:84" s="42" customFormat="1" x14ac:dyDescent="0.3">
      <c r="A18" s="20"/>
      <c r="B18" s="674" t="s">
        <v>259</v>
      </c>
      <c r="C18" s="195" t="s">
        <v>150</v>
      </c>
      <c r="D18" s="131"/>
      <c r="E18" s="131"/>
      <c r="F18" s="131"/>
      <c r="G18" s="175">
        <v>400</v>
      </c>
      <c r="H18" s="175">
        <v>300</v>
      </c>
      <c r="I18" s="181" t="s">
        <v>55</v>
      </c>
      <c r="J18" s="181"/>
      <c r="K18" s="181"/>
      <c r="L18" s="181"/>
      <c r="M18" s="187">
        <f>SUM(M15:M17)</f>
        <v>4046</v>
      </c>
      <c r="N18" s="751">
        <f>SUM(N15:N17)</f>
        <v>5108</v>
      </c>
      <c r="O18" s="735"/>
      <c r="P18" s="608"/>
      <c r="Q18" s="618" t="s">
        <v>16</v>
      </c>
      <c r="R18" s="619"/>
      <c r="S18" s="614"/>
      <c r="T18" s="617">
        <f>+T16+T17</f>
        <v>1205</v>
      </c>
      <c r="U18" s="627"/>
      <c r="V18" s="624"/>
      <c r="W18" s="718" t="s">
        <v>737</v>
      </c>
      <c r="X18" s="600"/>
      <c r="Y18" s="600"/>
      <c r="Z18" s="600"/>
      <c r="AA18" s="600"/>
      <c r="AB18" s="600"/>
      <c r="AC18" s="600"/>
      <c r="AD18" s="737"/>
      <c r="AE18" s="666" t="s">
        <v>261</v>
      </c>
      <c r="AF18" s="608" t="s">
        <v>7</v>
      </c>
      <c r="AG18" s="661">
        <f>-M20</f>
        <v>-1600</v>
      </c>
      <c r="AH18" s="662">
        <f>-N20</f>
        <v>-1240</v>
      </c>
      <c r="AI18" s="661">
        <f t="shared" si="2"/>
        <v>360</v>
      </c>
      <c r="AJ18" s="164"/>
      <c r="AK18" s="164"/>
      <c r="AL18" s="648"/>
      <c r="AM18" s="633"/>
      <c r="AN18" s="685" t="s">
        <v>149</v>
      </c>
      <c r="AO18" s="642"/>
      <c r="AP18" s="662"/>
      <c r="AQ18" s="735"/>
      <c r="AR18" s="680" t="s">
        <v>7</v>
      </c>
      <c r="AS18" s="661">
        <f t="shared" si="3"/>
        <v>-1600</v>
      </c>
      <c r="AT18" s="661">
        <f t="shared" si="1"/>
        <v>-1240</v>
      </c>
      <c r="AU18" s="661">
        <f t="shared" si="4"/>
        <v>360</v>
      </c>
      <c r="AV18" s="691">
        <f>+AO23+AO27</f>
        <v>200</v>
      </c>
      <c r="AW18" s="691">
        <v>0</v>
      </c>
      <c r="AX18" s="661">
        <f t="shared" si="5"/>
        <v>160</v>
      </c>
      <c r="AY18" s="83"/>
      <c r="AZ18" s="83"/>
      <c r="BA18" s="83"/>
      <c r="BB18" s="83"/>
      <c r="BC18" s="83"/>
      <c r="BD18" s="83"/>
      <c r="BE18" s="83"/>
      <c r="BF18" s="178"/>
      <c r="BG18" s="83"/>
      <c r="BH18" s="83"/>
      <c r="BI18" s="83">
        <f>+AX18</f>
        <v>160</v>
      </c>
      <c r="BJ18" s="83"/>
      <c r="BK18" s="783">
        <f t="shared" si="6"/>
        <v>0</v>
      </c>
      <c r="BL18" s="769"/>
      <c r="BM18" s="123" t="s">
        <v>719</v>
      </c>
      <c r="BN18" s="17"/>
      <c r="BO18" s="17"/>
      <c r="BP18" s="17"/>
      <c r="BQ18" s="17"/>
      <c r="BR18" s="17"/>
      <c r="BS18" s="16"/>
      <c r="BT18" s="695"/>
      <c r="BU18" s="293"/>
      <c r="BV18" s="694" t="s">
        <v>359</v>
      </c>
      <c r="BW18" s="685"/>
      <c r="BX18" s="685"/>
      <c r="BY18" s="685"/>
      <c r="BZ18" s="685"/>
      <c r="CA18" s="655"/>
      <c r="CB18" s="276"/>
    </row>
    <row r="19" spans="1:84" s="42" customFormat="1" x14ac:dyDescent="0.3">
      <c r="A19" s="20"/>
      <c r="B19" s="674" t="s">
        <v>260</v>
      </c>
      <c r="C19" s="195" t="s">
        <v>373</v>
      </c>
      <c r="D19" s="131"/>
      <c r="E19" s="131"/>
      <c r="F19" s="131"/>
      <c r="G19" s="623">
        <f>3346</f>
        <v>3346</v>
      </c>
      <c r="H19" s="623">
        <v>2650</v>
      </c>
      <c r="I19" s="131"/>
      <c r="J19" s="131"/>
      <c r="K19" s="131"/>
      <c r="L19" s="131"/>
      <c r="M19" s="131"/>
      <c r="N19" s="194"/>
      <c r="O19" s="735"/>
      <c r="P19" s="189"/>
      <c r="Q19" s="189"/>
      <c r="R19" s="189"/>
      <c r="S19" s="189"/>
      <c r="T19" s="189"/>
      <c r="U19" s="189"/>
      <c r="V19" s="624"/>
      <c r="W19" s="738" t="s">
        <v>738</v>
      </c>
      <c r="X19" s="716"/>
      <c r="Y19" s="716"/>
      <c r="Z19" s="716"/>
      <c r="AA19" s="716"/>
      <c r="AB19" s="633"/>
      <c r="AC19" s="715" t="s">
        <v>734</v>
      </c>
      <c r="AD19" s="655"/>
      <c r="AE19" s="666" t="s">
        <v>261</v>
      </c>
      <c r="AF19" s="608" t="s">
        <v>8</v>
      </c>
      <c r="AG19" s="661">
        <f>-(+M21-T18)</f>
        <v>-1795</v>
      </c>
      <c r="AH19" s="662">
        <f>-N21</f>
        <v>-2382</v>
      </c>
      <c r="AI19" s="661">
        <f t="shared" si="2"/>
        <v>-587</v>
      </c>
      <c r="AJ19" s="164"/>
      <c r="AK19" s="164"/>
      <c r="AL19" s="648"/>
      <c r="AM19" s="164" t="s">
        <v>112</v>
      </c>
      <c r="AN19" s="686" t="s">
        <v>263</v>
      </c>
      <c r="AO19" s="642">
        <f>+AP20</f>
        <v>1080</v>
      </c>
      <c r="AP19" s="662"/>
      <c r="AQ19" s="735"/>
      <c r="AR19" s="680" t="s">
        <v>8</v>
      </c>
      <c r="AS19" s="661">
        <f t="shared" si="3"/>
        <v>-1795</v>
      </c>
      <c r="AT19" s="661">
        <f t="shared" si="1"/>
        <v>-2382</v>
      </c>
      <c r="AU19" s="661">
        <f t="shared" si="4"/>
        <v>-587</v>
      </c>
      <c r="AV19" s="691">
        <v>0</v>
      </c>
      <c r="AW19" s="691">
        <f>+AP28</f>
        <v>50</v>
      </c>
      <c r="AX19" s="661">
        <f t="shared" si="5"/>
        <v>-537</v>
      </c>
      <c r="AY19" s="83"/>
      <c r="AZ19" s="83"/>
      <c r="BA19" s="83"/>
      <c r="BB19" s="83"/>
      <c r="BC19" s="83"/>
      <c r="BD19" s="83"/>
      <c r="BE19" s="83"/>
      <c r="BF19" s="178"/>
      <c r="BG19" s="83"/>
      <c r="BH19" s="83"/>
      <c r="BI19" s="83"/>
      <c r="BJ19" s="83">
        <f>+AX19</f>
        <v>-537</v>
      </c>
      <c r="BK19" s="783">
        <f t="shared" si="6"/>
        <v>0</v>
      </c>
      <c r="BL19" s="769"/>
      <c r="BM19" s="123" t="s">
        <v>721</v>
      </c>
      <c r="BN19" s="17"/>
      <c r="BO19" s="17"/>
      <c r="BP19" s="17"/>
      <c r="BQ19" s="17"/>
      <c r="BR19" s="17"/>
      <c r="BS19" s="16"/>
      <c r="BT19" s="695">
        <f>+BT17</f>
        <v>-1776</v>
      </c>
      <c r="BU19" s="293"/>
      <c r="BV19" s="704" t="s">
        <v>718</v>
      </c>
      <c r="BW19" s="791"/>
      <c r="BX19" s="791"/>
      <c r="BY19" s="791"/>
      <c r="BZ19" s="791"/>
      <c r="CA19" s="705">
        <f>+AY6</f>
        <v>180</v>
      </c>
      <c r="CB19" s="276"/>
    </row>
    <row r="20" spans="1:84" s="42" customFormat="1" x14ac:dyDescent="0.3">
      <c r="A20" s="20"/>
      <c r="B20" s="674"/>
      <c r="C20" s="195"/>
      <c r="D20" s="131"/>
      <c r="E20" s="131"/>
      <c r="F20" s="131"/>
      <c r="G20" s="187">
        <f>+G18+G19</f>
        <v>3746</v>
      </c>
      <c r="H20" s="187">
        <f>+H18+H19</f>
        <v>2950</v>
      </c>
      <c r="I20" s="131" t="s">
        <v>7</v>
      </c>
      <c r="J20" s="131"/>
      <c r="K20" s="131"/>
      <c r="L20" s="131"/>
      <c r="M20" s="175">
        <v>1600</v>
      </c>
      <c r="N20" s="196">
        <v>1240</v>
      </c>
      <c r="O20" s="735" t="s">
        <v>261</v>
      </c>
      <c r="P20" s="189"/>
      <c r="Q20" s="189"/>
      <c r="R20" s="189"/>
      <c r="S20" s="189"/>
      <c r="T20" s="189"/>
      <c r="U20" s="189"/>
      <c r="V20" s="624"/>
      <c r="W20" s="648" t="s">
        <v>92</v>
      </c>
      <c r="X20" s="633"/>
      <c r="Y20" s="633"/>
      <c r="Z20" s="633"/>
      <c r="AA20" s="633"/>
      <c r="AB20" s="633">
        <v>120</v>
      </c>
      <c r="AC20" s="633" t="s">
        <v>735</v>
      </c>
      <c r="AD20" s="655"/>
      <c r="AE20" s="665" t="s">
        <v>259</v>
      </c>
      <c r="AF20" s="608" t="s">
        <v>9</v>
      </c>
      <c r="AG20" s="661">
        <f>-T7</f>
        <v>-20000</v>
      </c>
      <c r="AH20" s="662"/>
      <c r="AI20" s="661">
        <f t="shared" si="2"/>
        <v>20000</v>
      </c>
      <c r="AJ20" s="164"/>
      <c r="AK20" s="164"/>
      <c r="AL20" s="648"/>
      <c r="AM20" s="164" t="s">
        <v>113</v>
      </c>
      <c r="AN20" s="686" t="s">
        <v>69</v>
      </c>
      <c r="AO20" s="642"/>
      <c r="AP20" s="662">
        <f>+AB23</f>
        <v>1080</v>
      </c>
      <c r="AQ20" s="736"/>
      <c r="AR20" s="680" t="s">
        <v>9</v>
      </c>
      <c r="AS20" s="661">
        <f t="shared" si="3"/>
        <v>-20000</v>
      </c>
      <c r="AT20" s="661">
        <f t="shared" si="1"/>
        <v>0</v>
      </c>
      <c r="AU20" s="661">
        <f t="shared" si="4"/>
        <v>20000</v>
      </c>
      <c r="AV20" s="691">
        <v>0</v>
      </c>
      <c r="AW20" s="691">
        <v>0</v>
      </c>
      <c r="AX20" s="661">
        <f t="shared" si="5"/>
        <v>20000</v>
      </c>
      <c r="AY20" s="772">
        <f>+AX20</f>
        <v>20000</v>
      </c>
      <c r="AZ20" s="83"/>
      <c r="BA20" s="83"/>
      <c r="BB20" s="83"/>
      <c r="BC20" s="83"/>
      <c r="BD20" s="83"/>
      <c r="BE20" s="772"/>
      <c r="BF20" s="178"/>
      <c r="BG20" s="83"/>
      <c r="BH20" s="83"/>
      <c r="BI20" s="83"/>
      <c r="BJ20" s="83"/>
      <c r="BK20" s="783">
        <f t="shared" si="6"/>
        <v>0</v>
      </c>
      <c r="BL20" s="769"/>
      <c r="BM20" s="694" t="s">
        <v>74</v>
      </c>
      <c r="BN20" s="633"/>
      <c r="BO20" s="633"/>
      <c r="BP20" s="633"/>
      <c r="BQ20" s="633"/>
      <c r="BR20" s="633"/>
      <c r="BS20" s="633"/>
      <c r="BT20" s="655"/>
      <c r="BU20" s="293"/>
      <c r="BV20" s="704" t="s">
        <v>716</v>
      </c>
      <c r="BW20" s="791"/>
      <c r="BX20" s="791"/>
      <c r="BY20" s="791"/>
      <c r="BZ20" s="791"/>
      <c r="CA20" s="705">
        <f>+AZ7</f>
        <v>400</v>
      </c>
      <c r="CB20" s="276"/>
    </row>
    <row r="21" spans="1:84" s="42" customFormat="1" x14ac:dyDescent="0.3">
      <c r="A21" s="20"/>
      <c r="B21" s="674"/>
      <c r="C21" s="195"/>
      <c r="D21" s="131"/>
      <c r="E21" s="131"/>
      <c r="F21" s="131"/>
      <c r="G21" s="131"/>
      <c r="H21" s="131"/>
      <c r="I21" s="131" t="s">
        <v>8</v>
      </c>
      <c r="J21" s="131"/>
      <c r="K21" s="131"/>
      <c r="L21" s="131"/>
      <c r="M21" s="623">
        <v>3000</v>
      </c>
      <c r="N21" s="747">
        <v>2382</v>
      </c>
      <c r="O21" s="735" t="s">
        <v>261</v>
      </c>
      <c r="P21" s="189"/>
      <c r="Q21" s="189"/>
      <c r="R21" s="189"/>
      <c r="S21" s="189"/>
      <c r="T21" s="189"/>
      <c r="U21" s="189"/>
      <c r="V21" s="624"/>
      <c r="W21" s="648" t="s">
        <v>730</v>
      </c>
      <c r="X21" s="633"/>
      <c r="Y21" s="633"/>
      <c r="Z21" s="633"/>
      <c r="AA21" s="633"/>
      <c r="AB21" s="713">
        <v>300</v>
      </c>
      <c r="AC21" s="633" t="s">
        <v>735</v>
      </c>
      <c r="AD21" s="655"/>
      <c r="AE21" s="665" t="s">
        <v>259</v>
      </c>
      <c r="AF21" s="608" t="s">
        <v>10</v>
      </c>
      <c r="AG21" s="661"/>
      <c r="AH21" s="662"/>
      <c r="AI21" s="661"/>
      <c r="AJ21" s="164"/>
      <c r="AK21" s="164"/>
      <c r="AL21" s="648"/>
      <c r="AM21" s="633"/>
      <c r="AN21" s="633"/>
      <c r="AO21" s="633"/>
      <c r="AP21" s="655"/>
      <c r="AQ21" s="736"/>
      <c r="AR21" s="680" t="s">
        <v>714</v>
      </c>
      <c r="AS21" s="661">
        <f t="shared" si="3"/>
        <v>0</v>
      </c>
      <c r="AT21" s="661">
        <f t="shared" si="1"/>
        <v>0</v>
      </c>
      <c r="AU21" s="661"/>
      <c r="AV21" s="691">
        <v>0</v>
      </c>
      <c r="AW21" s="691">
        <v>0</v>
      </c>
      <c r="AX21" s="661">
        <f t="shared" si="5"/>
        <v>0</v>
      </c>
      <c r="AY21" s="83"/>
      <c r="AZ21" s="83"/>
      <c r="BA21" s="83"/>
      <c r="BB21" s="83"/>
      <c r="BC21" s="83"/>
      <c r="BD21" s="83"/>
      <c r="BE21" s="83"/>
      <c r="BF21" s="178"/>
      <c r="BG21" s="83"/>
      <c r="BH21" s="83"/>
      <c r="BI21" s="83"/>
      <c r="BJ21" s="83"/>
      <c r="BK21" s="783">
        <f t="shared" si="6"/>
        <v>0</v>
      </c>
      <c r="BL21" s="769"/>
      <c r="BM21" s="648" t="s">
        <v>282</v>
      </c>
      <c r="BN21" s="633"/>
      <c r="BO21" s="633"/>
      <c r="BP21" s="633"/>
      <c r="BQ21" s="633"/>
      <c r="BR21" s="633"/>
      <c r="BS21" s="633"/>
      <c r="BT21" s="662">
        <f>+BG29</f>
        <v>740</v>
      </c>
      <c r="BU21" s="293"/>
      <c r="BV21" s="704" t="s">
        <v>733</v>
      </c>
      <c r="BW21" s="791"/>
      <c r="BX21" s="791"/>
      <c r="BY21" s="791"/>
      <c r="BZ21" s="791"/>
      <c r="CA21" s="705">
        <f>+BA8+BE8</f>
        <v>780</v>
      </c>
      <c r="CB21" s="276"/>
    </row>
    <row r="22" spans="1:84" s="42" customFormat="1" x14ac:dyDescent="0.3">
      <c r="A22" s="20"/>
      <c r="B22" s="674"/>
      <c r="C22" s="195"/>
      <c r="D22" s="131"/>
      <c r="E22" s="131"/>
      <c r="F22" s="131"/>
      <c r="G22" s="131"/>
      <c r="H22" s="131"/>
      <c r="I22" s="181" t="s">
        <v>81</v>
      </c>
      <c r="J22" s="181"/>
      <c r="K22" s="181"/>
      <c r="L22" s="181"/>
      <c r="M22" s="752">
        <f>SUM(M20:M21)</f>
        <v>4600</v>
      </c>
      <c r="N22" s="753">
        <f>SUM(N20:N21)</f>
        <v>3622</v>
      </c>
      <c r="O22" s="735"/>
      <c r="P22" s="189"/>
      <c r="Q22" s="189"/>
      <c r="R22" s="189"/>
      <c r="S22" s="189"/>
      <c r="T22" s="189"/>
      <c r="U22" s="189"/>
      <c r="V22" s="731"/>
      <c r="W22" s="648" t="s">
        <v>736</v>
      </c>
      <c r="X22" s="633"/>
      <c r="Y22" s="633"/>
      <c r="Z22" s="633"/>
      <c r="AA22" s="633"/>
      <c r="AB22" s="713">
        <v>100</v>
      </c>
      <c r="AC22" s="633" t="s">
        <v>192</v>
      </c>
      <c r="AD22" s="655"/>
      <c r="AE22" s="665" t="s">
        <v>259</v>
      </c>
      <c r="AF22" s="608" t="s">
        <v>253</v>
      </c>
      <c r="AG22" s="661">
        <f>-T8</f>
        <v>15000</v>
      </c>
      <c r="AH22" s="662"/>
      <c r="AI22" s="661">
        <f t="shared" si="2"/>
        <v>-15000</v>
      </c>
      <c r="AJ22" s="164"/>
      <c r="AK22" s="164"/>
      <c r="AL22" s="648"/>
      <c r="AM22" s="633"/>
      <c r="AN22" s="685" t="s">
        <v>243</v>
      </c>
      <c r="AO22" s="642"/>
      <c r="AP22" s="662"/>
      <c r="AQ22" s="736"/>
      <c r="AR22" s="681" t="s">
        <v>253</v>
      </c>
      <c r="AS22" s="661">
        <f t="shared" si="3"/>
        <v>15000</v>
      </c>
      <c r="AT22" s="661">
        <f t="shared" si="1"/>
        <v>0</v>
      </c>
      <c r="AU22" s="661">
        <f t="shared" ref="AU22:AU28" si="9">+AT22-AS22</f>
        <v>-15000</v>
      </c>
      <c r="AV22" s="691">
        <v>0</v>
      </c>
      <c r="AW22" s="691">
        <f>+AP12</f>
        <v>300</v>
      </c>
      <c r="AX22" s="661">
        <f t="shared" si="5"/>
        <v>-14700</v>
      </c>
      <c r="AY22" s="83"/>
      <c r="AZ22" s="83"/>
      <c r="BA22" s="772">
        <f>+AX22</f>
        <v>-14700</v>
      </c>
      <c r="BB22" s="83"/>
      <c r="BC22" s="83"/>
      <c r="BD22" s="83"/>
      <c r="BE22" s="772"/>
      <c r="BF22" s="178"/>
      <c r="BG22" s="83"/>
      <c r="BH22" s="83"/>
      <c r="BI22" s="83"/>
      <c r="BJ22" s="83"/>
      <c r="BK22" s="783">
        <f t="shared" si="6"/>
        <v>0</v>
      </c>
      <c r="BL22" s="769"/>
      <c r="BM22" s="648" t="s">
        <v>140</v>
      </c>
      <c r="BN22" s="633"/>
      <c r="BO22" s="633"/>
      <c r="BP22" s="633"/>
      <c r="BQ22" s="633"/>
      <c r="BR22" s="633"/>
      <c r="BS22" s="633"/>
      <c r="BT22" s="662">
        <f>+BH29</f>
        <v>-700</v>
      </c>
      <c r="BU22" s="293"/>
      <c r="BV22" s="704" t="s">
        <v>526</v>
      </c>
      <c r="BW22" s="791"/>
      <c r="BX22" s="791"/>
      <c r="BY22" s="791"/>
      <c r="BZ22" s="791"/>
      <c r="CA22" s="705">
        <f>+BA11</f>
        <v>-660</v>
      </c>
      <c r="CB22" s="276"/>
    </row>
    <row r="23" spans="1:84" s="42" customFormat="1" x14ac:dyDescent="0.3">
      <c r="A23" s="20"/>
      <c r="B23" s="675"/>
      <c r="C23" s="744" t="s">
        <v>54</v>
      </c>
      <c r="D23" s="181"/>
      <c r="E23" s="181"/>
      <c r="F23" s="181"/>
      <c r="G23" s="187">
        <f>+G14+G20</f>
        <v>8646</v>
      </c>
      <c r="H23" s="187">
        <f>+H14+H20</f>
        <v>8730</v>
      </c>
      <c r="I23" s="181" t="s">
        <v>82</v>
      </c>
      <c r="J23" s="181"/>
      <c r="K23" s="181"/>
      <c r="L23" s="181"/>
      <c r="M23" s="187">
        <f>+M18+M22</f>
        <v>8646</v>
      </c>
      <c r="N23" s="751">
        <f>+N18+N22</f>
        <v>8730</v>
      </c>
      <c r="O23" s="730"/>
      <c r="P23" s="189"/>
      <c r="Q23" s="189"/>
      <c r="R23" s="189"/>
      <c r="S23" s="189"/>
      <c r="T23" s="189"/>
      <c r="U23" s="189"/>
      <c r="V23" s="731"/>
      <c r="W23" s="648" t="s">
        <v>149</v>
      </c>
      <c r="X23" s="633"/>
      <c r="Y23" s="633"/>
      <c r="Z23" s="633"/>
      <c r="AA23" s="633"/>
      <c r="AB23" s="638">
        <v>1080</v>
      </c>
      <c r="AC23" s="633" t="s">
        <v>735</v>
      </c>
      <c r="AD23" s="655"/>
      <c r="AE23" s="665" t="s">
        <v>259</v>
      </c>
      <c r="AF23" s="608" t="s">
        <v>11</v>
      </c>
      <c r="AG23" s="661">
        <f>-T10</f>
        <v>1300</v>
      </c>
      <c r="AH23" s="662"/>
      <c r="AI23" s="661">
        <f t="shared" si="2"/>
        <v>-1300</v>
      </c>
      <c r="AJ23" s="164"/>
      <c r="AK23" s="164"/>
      <c r="AL23" s="648"/>
      <c r="AM23" s="164" t="s">
        <v>112</v>
      </c>
      <c r="AN23" s="686" t="s">
        <v>7</v>
      </c>
      <c r="AO23" s="642">
        <f>+AP24</f>
        <v>150</v>
      </c>
      <c r="AP23" s="662"/>
      <c r="AQ23" s="736"/>
      <c r="AR23" s="680" t="s">
        <v>11</v>
      </c>
      <c r="AS23" s="661">
        <f t="shared" si="3"/>
        <v>1300</v>
      </c>
      <c r="AT23" s="661">
        <f t="shared" si="1"/>
        <v>0</v>
      </c>
      <c r="AU23" s="661">
        <f t="shared" si="9"/>
        <v>-1300</v>
      </c>
      <c r="AV23" s="691">
        <v>0</v>
      </c>
      <c r="AW23" s="691">
        <v>0</v>
      </c>
      <c r="AX23" s="661">
        <f t="shared" si="5"/>
        <v>-1300</v>
      </c>
      <c r="AY23" s="83"/>
      <c r="AZ23" s="83"/>
      <c r="BA23" s="83"/>
      <c r="BB23" s="83">
        <f>+AX23</f>
        <v>-1300</v>
      </c>
      <c r="BC23" s="83"/>
      <c r="BD23" s="83"/>
      <c r="BE23" s="83"/>
      <c r="BF23" s="178"/>
      <c r="BG23" s="83"/>
      <c r="BH23" s="83"/>
      <c r="BI23" s="83"/>
      <c r="BJ23" s="83"/>
      <c r="BK23" s="783">
        <f t="shared" si="6"/>
        <v>0</v>
      </c>
      <c r="BL23" s="769"/>
      <c r="BM23" s="648" t="s">
        <v>283</v>
      </c>
      <c r="BN23" s="633"/>
      <c r="BO23" s="633"/>
      <c r="BP23" s="633"/>
      <c r="BQ23" s="633"/>
      <c r="BR23" s="633"/>
      <c r="BS23" s="633"/>
      <c r="BT23" s="662">
        <f>+BI29</f>
        <v>160</v>
      </c>
      <c r="BU23" s="293"/>
      <c r="BV23" s="704" t="s">
        <v>527</v>
      </c>
      <c r="BW23" s="791"/>
      <c r="BX23" s="791"/>
      <c r="BY23" s="791"/>
      <c r="BZ23" s="791"/>
      <c r="CA23" s="705">
        <f>+BB12</f>
        <v>-150</v>
      </c>
      <c r="CB23" s="276"/>
    </row>
    <row r="24" spans="1:84" s="42" customFormat="1" x14ac:dyDescent="0.3">
      <c r="A24" s="20"/>
      <c r="B24" s="675"/>
      <c r="C24" s="754"/>
      <c r="D24" s="755"/>
      <c r="E24" s="755"/>
      <c r="F24" s="755"/>
      <c r="G24" s="755"/>
      <c r="H24" s="755"/>
      <c r="I24" s="755"/>
      <c r="J24" s="755"/>
      <c r="K24" s="755"/>
      <c r="L24" s="755"/>
      <c r="M24" s="755"/>
      <c r="N24" s="756"/>
      <c r="O24" s="730"/>
      <c r="P24" s="189"/>
      <c r="Q24" s="189"/>
      <c r="R24" s="189"/>
      <c r="S24" s="189"/>
      <c r="T24" s="189"/>
      <c r="U24" s="189"/>
      <c r="V24" s="731"/>
      <c r="W24" s="738" t="s">
        <v>739</v>
      </c>
      <c r="X24" s="716"/>
      <c r="Y24" s="716"/>
      <c r="Z24" s="716"/>
      <c r="AA24" s="716"/>
      <c r="AB24" s="638"/>
      <c r="AC24" s="633"/>
      <c r="AD24" s="655"/>
      <c r="AE24" s="665" t="s">
        <v>259</v>
      </c>
      <c r="AF24" s="608" t="s">
        <v>38</v>
      </c>
      <c r="AG24" s="661">
        <f>-T11</f>
        <v>1080</v>
      </c>
      <c r="AH24" s="662"/>
      <c r="AI24" s="661">
        <f t="shared" si="2"/>
        <v>-1080</v>
      </c>
      <c r="AJ24" s="164"/>
      <c r="AK24" s="164"/>
      <c r="AL24" s="648"/>
      <c r="AM24" s="164" t="s">
        <v>112</v>
      </c>
      <c r="AN24" s="686" t="s">
        <v>95</v>
      </c>
      <c r="AO24" s="642"/>
      <c r="AP24" s="662">
        <f>+AB25</f>
        <v>150</v>
      </c>
      <c r="AQ24" s="736"/>
      <c r="AR24" s="680" t="s">
        <v>38</v>
      </c>
      <c r="AS24" s="661">
        <f t="shared" si="3"/>
        <v>1080</v>
      </c>
      <c r="AT24" s="661">
        <f t="shared" si="1"/>
        <v>0</v>
      </c>
      <c r="AU24" s="661">
        <f t="shared" si="9"/>
        <v>-1080</v>
      </c>
      <c r="AV24" s="691">
        <v>0</v>
      </c>
      <c r="AW24" s="691">
        <f>+AP20</f>
        <v>1080</v>
      </c>
      <c r="AX24" s="661">
        <f t="shared" si="5"/>
        <v>0</v>
      </c>
      <c r="AY24" s="83"/>
      <c r="AZ24" s="83"/>
      <c r="BA24" s="83"/>
      <c r="BB24" s="83"/>
      <c r="BC24" s="83"/>
      <c r="BD24" s="83"/>
      <c r="BE24" s="83"/>
      <c r="BF24" s="178"/>
      <c r="BG24" s="83"/>
      <c r="BH24" s="83"/>
      <c r="BI24" s="83"/>
      <c r="BJ24" s="83"/>
      <c r="BK24" s="783">
        <f t="shared" si="6"/>
        <v>0</v>
      </c>
      <c r="BL24" s="769"/>
      <c r="BM24" s="648" t="s">
        <v>142</v>
      </c>
      <c r="BN24" s="633"/>
      <c r="BO24" s="633"/>
      <c r="BP24" s="633"/>
      <c r="BQ24" s="633"/>
      <c r="BR24" s="633"/>
      <c r="BS24" s="633"/>
      <c r="BT24" s="662">
        <f>+BJ29</f>
        <v>-537</v>
      </c>
      <c r="BU24" s="293"/>
      <c r="BV24" s="704" t="s">
        <v>528</v>
      </c>
      <c r="BW24" s="791"/>
      <c r="BX24" s="791"/>
      <c r="BY24" s="791"/>
      <c r="BZ24" s="791"/>
      <c r="CA24" s="705">
        <f>+BC13</f>
        <v>-12</v>
      </c>
      <c r="CB24" s="276"/>
    </row>
    <row r="25" spans="1:84" s="42" customFormat="1" x14ac:dyDescent="0.3">
      <c r="A25" s="20"/>
      <c r="B25" s="66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730"/>
      <c r="P25" s="189"/>
      <c r="Q25" s="189"/>
      <c r="R25" s="189"/>
      <c r="S25" s="189"/>
      <c r="T25" s="189"/>
      <c r="U25" s="189"/>
      <c r="V25" s="731"/>
      <c r="W25" s="648" t="s">
        <v>740</v>
      </c>
      <c r="X25" s="633"/>
      <c r="Y25" s="633"/>
      <c r="Z25" s="633"/>
      <c r="AA25" s="633"/>
      <c r="AB25" s="638">
        <v>150</v>
      </c>
      <c r="AC25" s="633"/>
      <c r="AD25" s="655"/>
      <c r="AE25" s="665" t="s">
        <v>259</v>
      </c>
      <c r="AF25" s="608" t="s">
        <v>12</v>
      </c>
      <c r="AG25" s="661">
        <f>-T12</f>
        <v>850</v>
      </c>
      <c r="AH25" s="662"/>
      <c r="AI25" s="661">
        <f t="shared" si="2"/>
        <v>-850</v>
      </c>
      <c r="AJ25" s="164"/>
      <c r="AK25" s="164"/>
      <c r="AL25" s="648"/>
      <c r="AM25" s="633"/>
      <c r="AN25" s="642"/>
      <c r="AO25" s="642"/>
      <c r="AP25" s="662"/>
      <c r="AQ25" s="736"/>
      <c r="AR25" s="680" t="s">
        <v>12</v>
      </c>
      <c r="AS25" s="661">
        <f t="shared" si="3"/>
        <v>850</v>
      </c>
      <c r="AT25" s="661">
        <f t="shared" si="1"/>
        <v>0</v>
      </c>
      <c r="AU25" s="661">
        <f t="shared" si="9"/>
        <v>-850</v>
      </c>
      <c r="AV25" s="691">
        <v>0</v>
      </c>
      <c r="AW25" s="691">
        <v>0</v>
      </c>
      <c r="AX25" s="661">
        <f t="shared" si="5"/>
        <v>-850</v>
      </c>
      <c r="AY25" s="83"/>
      <c r="AZ25" s="83"/>
      <c r="BA25" s="83"/>
      <c r="BB25" s="83"/>
      <c r="BC25" s="83"/>
      <c r="BD25" s="83"/>
      <c r="BE25" s="83">
        <f>+AX25</f>
        <v>-850</v>
      </c>
      <c r="BF25" s="178"/>
      <c r="BG25" s="83"/>
      <c r="BH25" s="83"/>
      <c r="BI25" s="83"/>
      <c r="BJ25" s="83"/>
      <c r="BK25" s="783">
        <f t="shared" si="6"/>
        <v>0</v>
      </c>
      <c r="BL25" s="769"/>
      <c r="BM25" s="648"/>
      <c r="BN25" s="633"/>
      <c r="BO25" s="633"/>
      <c r="BP25" s="633"/>
      <c r="BQ25" s="633"/>
      <c r="BR25" s="633"/>
      <c r="BS25" s="633"/>
      <c r="BT25" s="662"/>
      <c r="BU25" s="293"/>
      <c r="BV25" s="704" t="s">
        <v>529</v>
      </c>
      <c r="BW25" s="791"/>
      <c r="BX25" s="791"/>
      <c r="BY25" s="791"/>
      <c r="BZ25" s="791"/>
      <c r="CA25" s="705">
        <f>+BD15</f>
        <v>-110</v>
      </c>
      <c r="CB25" s="276"/>
    </row>
    <row r="26" spans="1:84" s="42" customFormat="1" x14ac:dyDescent="0.3">
      <c r="A26" s="20"/>
      <c r="B26" s="760"/>
      <c r="C26" s="676"/>
      <c r="D26" s="676"/>
      <c r="E26" s="676"/>
      <c r="F26" s="676"/>
      <c r="G26" s="676"/>
      <c r="H26" s="676"/>
      <c r="I26" s="676"/>
      <c r="J26" s="676"/>
      <c r="K26" s="676"/>
      <c r="L26" s="676"/>
      <c r="M26" s="757">
        <f>+G23-M23</f>
        <v>0</v>
      </c>
      <c r="N26" s="758">
        <f>+H23-N23</f>
        <v>0</v>
      </c>
      <c r="O26" s="730"/>
      <c r="P26" s="189"/>
      <c r="Q26" s="189"/>
      <c r="R26" s="189"/>
      <c r="S26" s="189"/>
      <c r="T26" s="189"/>
      <c r="U26" s="189"/>
      <c r="V26" s="731"/>
      <c r="W26" s="656" t="s">
        <v>244</v>
      </c>
      <c r="X26" s="657"/>
      <c r="Y26" s="657"/>
      <c r="Z26" s="657"/>
      <c r="AA26" s="657"/>
      <c r="AB26" s="719">
        <v>50</v>
      </c>
      <c r="AC26" s="657"/>
      <c r="AD26" s="658"/>
      <c r="AE26" s="665" t="s">
        <v>259</v>
      </c>
      <c r="AF26" s="608" t="s">
        <v>241</v>
      </c>
      <c r="AG26" s="661">
        <f>-T13</f>
        <v>-40</v>
      </c>
      <c r="AH26" s="662"/>
      <c r="AI26" s="661">
        <f t="shared" si="2"/>
        <v>40</v>
      </c>
      <c r="AJ26" s="164"/>
      <c r="AK26" s="164"/>
      <c r="AL26" s="648"/>
      <c r="AM26" s="633"/>
      <c r="AN26" s="685" t="s">
        <v>244</v>
      </c>
      <c r="AO26" s="642"/>
      <c r="AP26" s="662"/>
      <c r="AQ26" s="736"/>
      <c r="AR26" s="680" t="s">
        <v>241</v>
      </c>
      <c r="AS26" s="661">
        <f t="shared" si="3"/>
        <v>-40</v>
      </c>
      <c r="AT26" s="661">
        <f t="shared" si="1"/>
        <v>0</v>
      </c>
      <c r="AU26" s="661">
        <f t="shared" si="9"/>
        <v>40</v>
      </c>
      <c r="AV26" s="691">
        <v>0</v>
      </c>
      <c r="AW26" s="691">
        <f>+AP8</f>
        <v>120</v>
      </c>
      <c r="AX26" s="661">
        <f t="shared" si="5"/>
        <v>160</v>
      </c>
      <c r="AY26" s="83"/>
      <c r="AZ26" s="83">
        <f>+AX26</f>
        <v>160</v>
      </c>
      <c r="BA26" s="83"/>
      <c r="BB26" s="83"/>
      <c r="BC26" s="83"/>
      <c r="BD26" s="83"/>
      <c r="BE26" s="83"/>
      <c r="BF26" s="178"/>
      <c r="BG26" s="83"/>
      <c r="BH26" s="83"/>
      <c r="BI26" s="83"/>
      <c r="BJ26" s="83"/>
      <c r="BK26" s="783">
        <f t="shared" si="6"/>
        <v>0</v>
      </c>
      <c r="BL26" s="769"/>
      <c r="BM26" s="123" t="s">
        <v>719</v>
      </c>
      <c r="BN26" s="17"/>
      <c r="BO26" s="17"/>
      <c r="BP26" s="17"/>
      <c r="BQ26" s="17"/>
      <c r="BR26" s="17"/>
      <c r="BS26" s="16"/>
      <c r="BT26" s="695"/>
      <c r="BU26" s="293"/>
      <c r="BV26" s="704" t="s">
        <v>717</v>
      </c>
      <c r="BW26" s="791"/>
      <c r="BX26" s="791"/>
      <c r="BY26" s="791"/>
      <c r="BZ26" s="791"/>
      <c r="CA26" s="705">
        <f>+BE14</f>
        <v>-20</v>
      </c>
      <c r="CB26" s="276"/>
    </row>
    <row r="27" spans="1:84" s="42" customFormat="1" x14ac:dyDescent="0.3">
      <c r="A27" s="7"/>
      <c r="B27" s="761"/>
      <c r="C27" s="739"/>
      <c r="D27" s="739"/>
      <c r="E27" s="739"/>
      <c r="F27" s="739"/>
      <c r="G27" s="739"/>
      <c r="H27" s="739"/>
      <c r="I27" s="739"/>
      <c r="J27" s="739"/>
      <c r="K27" s="739"/>
      <c r="L27" s="739"/>
      <c r="M27" s="759"/>
      <c r="N27" s="762"/>
      <c r="O27" s="730"/>
      <c r="P27" s="189"/>
      <c r="Q27" s="189"/>
      <c r="R27" s="189"/>
      <c r="S27" s="189"/>
      <c r="T27" s="189"/>
      <c r="U27" s="189"/>
      <c r="V27" s="731"/>
      <c r="W27" s="650"/>
      <c r="X27" s="650"/>
      <c r="Y27" s="650"/>
      <c r="Z27" s="650"/>
      <c r="AA27" s="650"/>
      <c r="AB27" s="650"/>
      <c r="AC27" s="650"/>
      <c r="AD27" s="650"/>
      <c r="AE27" s="664" t="s">
        <v>259</v>
      </c>
      <c r="AF27" s="608" t="s">
        <v>45</v>
      </c>
      <c r="AG27" s="661">
        <f>-T15</f>
        <v>105</v>
      </c>
      <c r="AH27" s="662"/>
      <c r="AI27" s="661">
        <f t="shared" si="2"/>
        <v>-105</v>
      </c>
      <c r="AJ27" s="164"/>
      <c r="AK27" s="164"/>
      <c r="AL27" s="648"/>
      <c r="AM27" s="164" t="s">
        <v>112</v>
      </c>
      <c r="AN27" s="686" t="s">
        <v>7</v>
      </c>
      <c r="AO27" s="642">
        <f>+AP28</f>
        <v>50</v>
      </c>
      <c r="AP27" s="662"/>
      <c r="AQ27" s="736"/>
      <c r="AR27" s="680" t="s">
        <v>45</v>
      </c>
      <c r="AS27" s="661">
        <f>+AG27</f>
        <v>105</v>
      </c>
      <c r="AT27" s="661">
        <f>+AH27</f>
        <v>0</v>
      </c>
      <c r="AU27" s="661">
        <f t="shared" si="9"/>
        <v>-105</v>
      </c>
      <c r="AV27" s="691">
        <v>0</v>
      </c>
      <c r="AW27" s="691">
        <f ca="1">SUMIF(AN:AP,#REF!,AP:AP)</f>
        <v>0</v>
      </c>
      <c r="AX27" s="661">
        <f t="shared" ca="1" si="5"/>
        <v>-105</v>
      </c>
      <c r="AY27" s="83"/>
      <c r="AZ27" s="83"/>
      <c r="BA27" s="83"/>
      <c r="BB27" s="83"/>
      <c r="BC27" s="83"/>
      <c r="BD27" s="83">
        <f ca="1">+AX27</f>
        <v>-105</v>
      </c>
      <c r="BE27" s="83"/>
      <c r="BF27" s="178"/>
      <c r="BG27" s="83"/>
      <c r="BH27" s="83"/>
      <c r="BI27" s="83"/>
      <c r="BJ27" s="83"/>
      <c r="BK27" s="783">
        <f t="shared" ca="1" si="6"/>
        <v>0</v>
      </c>
      <c r="BL27" s="769"/>
      <c r="BM27" s="470" t="s">
        <v>722</v>
      </c>
      <c r="BN27" s="801"/>
      <c r="BO27" s="801"/>
      <c r="BP27" s="801"/>
      <c r="BQ27" s="801"/>
      <c r="BR27" s="801"/>
      <c r="BS27" s="471"/>
      <c r="BT27" s="802">
        <f>SUM(BT21:BT24)</f>
        <v>-337</v>
      </c>
      <c r="BU27" s="293"/>
      <c r="BV27" s="648"/>
      <c r="BW27" s="633"/>
      <c r="BX27" s="633"/>
      <c r="BY27" s="633"/>
      <c r="BZ27" s="633"/>
      <c r="CA27" s="655"/>
      <c r="CB27" s="276"/>
    </row>
    <row r="28" spans="1:84" x14ac:dyDescent="0.3">
      <c r="A28" s="7"/>
      <c r="B28" s="761"/>
      <c r="C28" s="739"/>
      <c r="D28" s="739"/>
      <c r="E28" s="739"/>
      <c r="F28" s="739"/>
      <c r="G28" s="739"/>
      <c r="H28" s="739"/>
      <c r="I28" s="739"/>
      <c r="J28" s="739"/>
      <c r="K28" s="739"/>
      <c r="L28" s="739"/>
      <c r="M28" s="759"/>
      <c r="N28" s="762"/>
      <c r="O28" s="730"/>
      <c r="P28" s="189"/>
      <c r="Q28" s="189"/>
      <c r="R28" s="189"/>
      <c r="S28" s="189"/>
      <c r="T28" s="189"/>
      <c r="U28" s="189"/>
      <c r="V28" s="731"/>
      <c r="W28" s="20"/>
      <c r="X28" s="20"/>
      <c r="Y28" s="20"/>
      <c r="Z28" s="20"/>
      <c r="AA28" s="20"/>
      <c r="AB28" s="95">
        <f>+AB16-M20</f>
        <v>0</v>
      </c>
      <c r="AC28" s="95">
        <f>+M21-AC16</f>
        <v>0</v>
      </c>
      <c r="AD28" s="95">
        <f>+AD16-M22</f>
        <v>0</v>
      </c>
      <c r="AE28" s="664" t="s">
        <v>259</v>
      </c>
      <c r="AF28" s="608" t="s">
        <v>15</v>
      </c>
      <c r="AG28" s="661">
        <f>-T17</f>
        <v>500</v>
      </c>
      <c r="AH28" s="662"/>
      <c r="AI28" s="661">
        <f t="shared" si="2"/>
        <v>-500</v>
      </c>
      <c r="AJ28" s="164"/>
      <c r="AK28" s="164"/>
      <c r="AL28" s="656"/>
      <c r="AM28" s="213" t="s">
        <v>112</v>
      </c>
      <c r="AN28" s="688" t="s">
        <v>8</v>
      </c>
      <c r="AO28" s="644"/>
      <c r="AP28" s="645">
        <f>+AB26</f>
        <v>50</v>
      </c>
      <c r="AQ28" s="805"/>
      <c r="AR28" s="682" t="s">
        <v>15</v>
      </c>
      <c r="AS28" s="661">
        <f>+AG28</f>
        <v>500</v>
      </c>
      <c r="AT28" s="661">
        <f>+AH28</f>
        <v>0</v>
      </c>
      <c r="AU28" s="661">
        <f t="shared" si="9"/>
        <v>-500</v>
      </c>
      <c r="AV28" s="691">
        <f>+AO15</f>
        <v>100</v>
      </c>
      <c r="AW28" s="691">
        <v>0</v>
      </c>
      <c r="AX28" s="661">
        <f t="shared" si="5"/>
        <v>-600</v>
      </c>
      <c r="AY28" s="83"/>
      <c r="AZ28" s="83"/>
      <c r="BA28" s="83"/>
      <c r="BB28" s="83"/>
      <c r="BC28" s="83">
        <f>+AX28</f>
        <v>-600</v>
      </c>
      <c r="BD28" s="83"/>
      <c r="BE28" s="83"/>
      <c r="BF28" s="178"/>
      <c r="BG28" s="83"/>
      <c r="BH28" s="83"/>
      <c r="BI28" s="83"/>
      <c r="BJ28" s="83"/>
      <c r="BK28" s="784">
        <f t="shared" si="6"/>
        <v>0</v>
      </c>
      <c r="BL28" s="769"/>
      <c r="BM28" s="120" t="s">
        <v>286</v>
      </c>
      <c r="BN28" s="213"/>
      <c r="BO28" s="213"/>
      <c r="BP28" s="213"/>
      <c r="BQ28" s="213"/>
      <c r="BR28" s="213"/>
      <c r="BS28" s="121"/>
      <c r="BT28" s="797">
        <f ca="1">+BT15+BT19+BT27</f>
        <v>900</v>
      </c>
      <c r="BU28" s="293"/>
      <c r="BV28" s="648"/>
      <c r="BW28" s="633"/>
      <c r="BX28" s="633"/>
      <c r="BY28" s="633"/>
      <c r="BZ28" s="633"/>
      <c r="CA28" s="655"/>
      <c r="CB28" s="276"/>
      <c r="CC28" s="42"/>
      <c r="CD28" s="42"/>
      <c r="CE28" s="42"/>
      <c r="CF28" s="42"/>
    </row>
    <row r="29" spans="1:84" x14ac:dyDescent="0.3">
      <c r="A29" s="7"/>
      <c r="B29" s="763"/>
      <c r="C29" s="764"/>
      <c r="D29" s="764"/>
      <c r="E29" s="764"/>
      <c r="F29" s="764"/>
      <c r="G29" s="764"/>
      <c r="H29" s="764"/>
      <c r="I29" s="764"/>
      <c r="J29" s="764"/>
      <c r="K29" s="764"/>
      <c r="L29" s="764"/>
      <c r="M29" s="764"/>
      <c r="N29" s="765"/>
      <c r="O29" s="730"/>
      <c r="P29" s="189"/>
      <c r="Q29" s="189"/>
      <c r="R29" s="189"/>
      <c r="S29" s="189"/>
      <c r="T29" s="189"/>
      <c r="U29" s="189"/>
      <c r="V29" s="731"/>
      <c r="W29" s="7"/>
      <c r="X29" s="7"/>
      <c r="Y29" s="7"/>
      <c r="Z29" s="7"/>
      <c r="AA29" s="7"/>
      <c r="AB29" s="7"/>
      <c r="AC29" s="7"/>
      <c r="AD29" s="7"/>
      <c r="AE29" s="678"/>
      <c r="AF29" s="659"/>
      <c r="AG29" s="136">
        <f>SUM(AG5:AG28)</f>
        <v>0</v>
      </c>
      <c r="AH29" s="136">
        <f>SUM(AH5:AH28)</f>
        <v>0</v>
      </c>
      <c r="AI29" s="137">
        <f>SUM(AI5:AI28)</f>
        <v>0</v>
      </c>
      <c r="AJ29" s="215"/>
      <c r="AK29" s="215"/>
      <c r="AL29" s="188"/>
      <c r="AM29" s="687"/>
      <c r="AN29" s="687"/>
      <c r="AO29" s="800">
        <f>SUM(AO7:AO28)</f>
        <v>1800</v>
      </c>
      <c r="AP29" s="800">
        <f>SUM(AP7:AP28)</f>
        <v>1800</v>
      </c>
      <c r="AQ29" s="215"/>
      <c r="AR29" s="774"/>
      <c r="AS29" s="136">
        <f t="shared" ref="AS29:BJ29" si="10">SUM(AS5:AS28)</f>
        <v>0</v>
      </c>
      <c r="AT29" s="136">
        <f t="shared" si="10"/>
        <v>0</v>
      </c>
      <c r="AU29" s="137">
        <f t="shared" si="10"/>
        <v>0</v>
      </c>
      <c r="AV29" s="155">
        <f t="shared" si="10"/>
        <v>1800</v>
      </c>
      <c r="AW29" s="155">
        <f t="shared" ca="1" si="10"/>
        <v>1800</v>
      </c>
      <c r="AX29" s="137">
        <f t="shared" ca="1" si="10"/>
        <v>0</v>
      </c>
      <c r="AY29" s="692">
        <f t="shared" si="10"/>
        <v>20180</v>
      </c>
      <c r="AZ29" s="692">
        <f t="shared" si="10"/>
        <v>560</v>
      </c>
      <c r="BA29" s="693">
        <f t="shared" si="10"/>
        <v>-14580</v>
      </c>
      <c r="BB29" s="693">
        <f t="shared" si="10"/>
        <v>-1450</v>
      </c>
      <c r="BC29" s="693">
        <f t="shared" si="10"/>
        <v>-612</v>
      </c>
      <c r="BD29" s="693">
        <f t="shared" ca="1" si="10"/>
        <v>-215</v>
      </c>
      <c r="BE29" s="693">
        <f t="shared" si="10"/>
        <v>-870</v>
      </c>
      <c r="BF29" s="795">
        <f t="shared" si="10"/>
        <v>-1776</v>
      </c>
      <c r="BG29" s="693">
        <f t="shared" si="10"/>
        <v>740</v>
      </c>
      <c r="BH29" s="693">
        <f t="shared" si="10"/>
        <v>-700</v>
      </c>
      <c r="BI29" s="693">
        <f t="shared" si="10"/>
        <v>160</v>
      </c>
      <c r="BJ29" s="693">
        <f t="shared" si="10"/>
        <v>-537</v>
      </c>
      <c r="BK29" s="785">
        <f ca="1">SUM(AY29:BJ29)+AX5</f>
        <v>0</v>
      </c>
      <c r="BL29" s="769"/>
      <c r="BM29" s="123" t="s">
        <v>284</v>
      </c>
      <c r="BN29" s="17"/>
      <c r="BO29" s="17"/>
      <c r="BP29" s="17"/>
      <c r="BQ29" s="17"/>
      <c r="BR29" s="17"/>
      <c r="BS29" s="17"/>
      <c r="BT29" s="695">
        <f>+H10</f>
        <v>800</v>
      </c>
      <c r="BU29" s="775"/>
      <c r="BV29" s="123" t="s">
        <v>719</v>
      </c>
      <c r="BW29" s="16"/>
      <c r="BX29" s="16"/>
      <c r="BY29" s="16"/>
      <c r="BZ29" s="16"/>
      <c r="CA29" s="695"/>
      <c r="CB29" s="276"/>
    </row>
    <row r="30" spans="1:84" x14ac:dyDescent="0.3">
      <c r="A30" s="7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4"/>
      <c r="AM30" s="215"/>
      <c r="AN30" s="215"/>
      <c r="AO30" s="215"/>
      <c r="AP30" s="215"/>
      <c r="AQ30" s="215"/>
      <c r="AR30" s="513"/>
      <c r="AS30" s="775"/>
      <c r="AT30" s="775"/>
      <c r="AU30" s="775"/>
      <c r="AV30" s="775"/>
      <c r="AW30" s="776"/>
      <c r="AX30" s="775"/>
      <c r="AY30" s="777"/>
      <c r="AZ30" s="777"/>
      <c r="BA30" s="777"/>
      <c r="BB30" s="777"/>
      <c r="BC30" s="777"/>
      <c r="BD30" s="777"/>
      <c r="BE30" s="796">
        <f ca="1">SUM(AY29:BE29)</f>
        <v>3013</v>
      </c>
      <c r="BF30" s="775"/>
      <c r="BG30" s="775"/>
      <c r="BH30" s="775"/>
      <c r="BI30" s="775"/>
      <c r="BJ30" s="778"/>
      <c r="BK30" s="778"/>
      <c r="BL30" s="769"/>
      <c r="BM30" s="522" t="s">
        <v>285</v>
      </c>
      <c r="BN30" s="215"/>
      <c r="BO30" s="215"/>
      <c r="BP30" s="215"/>
      <c r="BQ30" s="215"/>
      <c r="BR30" s="215"/>
      <c r="BS30" s="683"/>
      <c r="BT30" s="696">
        <f ca="1">+BT28+BT29</f>
        <v>1700</v>
      </c>
      <c r="BU30" s="774"/>
      <c r="BV30" s="470" t="s">
        <v>728</v>
      </c>
      <c r="BW30" s="471"/>
      <c r="BX30" s="471"/>
      <c r="BY30" s="471"/>
      <c r="BZ30" s="471"/>
      <c r="CA30" s="699">
        <f>SUM(CA8:CA26)</f>
        <v>3013</v>
      </c>
      <c r="CB30" s="276"/>
    </row>
    <row r="31" spans="1:84" x14ac:dyDescent="0.3">
      <c r="A31" s="7"/>
      <c r="B31" s="671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71"/>
      <c r="P31" s="3"/>
      <c r="Q31" s="3"/>
      <c r="R31" s="3"/>
      <c r="S31" s="3"/>
      <c r="T31" s="3"/>
      <c r="U31" s="3"/>
      <c r="V31" s="7"/>
      <c r="W31" s="7"/>
      <c r="X31" s="7"/>
      <c r="Y31" s="7"/>
      <c r="Z31" s="7"/>
      <c r="AA31" s="7"/>
      <c r="AB31" s="7"/>
      <c r="AC31" s="7"/>
      <c r="AD31" s="7"/>
      <c r="AE31" s="3"/>
      <c r="AF31" s="3"/>
      <c r="AG31" s="3"/>
      <c r="AH31" s="3"/>
      <c r="AI31" s="3"/>
      <c r="AJ31" s="3"/>
      <c r="AK31" s="3"/>
      <c r="AL31" s="20"/>
      <c r="AQ31" s="670"/>
      <c r="AR31" s="3"/>
      <c r="AS31" s="3"/>
      <c r="AT31" s="3"/>
      <c r="AU31" s="3"/>
      <c r="AV31" s="20"/>
      <c r="AW31" s="20"/>
      <c r="AX31" s="20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 s="20"/>
      <c r="BU31" s="20"/>
      <c r="CB31" s="276"/>
    </row>
    <row r="32" spans="1:84" x14ac:dyDescent="0.3">
      <c r="A32" s="3"/>
      <c r="B32" s="670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71"/>
      <c r="P32" s="3"/>
      <c r="Q32" s="3"/>
      <c r="R32" s="3"/>
      <c r="S32" s="3"/>
      <c r="T32" s="3"/>
      <c r="U32" s="3"/>
      <c r="V32" s="7"/>
      <c r="W32" s="7"/>
      <c r="X32" s="7"/>
      <c r="Y32" s="7"/>
      <c r="Z32" s="7"/>
      <c r="AA32" s="7"/>
      <c r="AB32" s="7"/>
      <c r="AC32" s="7"/>
      <c r="AD32" s="7"/>
      <c r="AE32" s="3"/>
      <c r="AF32" s="3"/>
      <c r="AG32" s="3"/>
      <c r="AH32" s="3"/>
      <c r="AI32" s="3"/>
      <c r="AJ32" s="3"/>
      <c r="AK32" s="3"/>
      <c r="AL32" s="20"/>
      <c r="AQ32" s="670"/>
      <c r="AR32" s="3"/>
      <c r="AS32" s="3"/>
      <c r="AT32" s="3"/>
      <c r="AU32" s="3"/>
      <c r="AV32" s="20"/>
      <c r="AW32" s="20"/>
      <c r="AX32" s="20"/>
      <c r="BE32"/>
      <c r="BF32"/>
      <c r="BG32"/>
      <c r="BH32"/>
      <c r="BI32"/>
      <c r="BJ32"/>
      <c r="BK32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CB32" s="276"/>
    </row>
    <row r="33" spans="1:80" x14ac:dyDescent="0.3">
      <c r="A33" s="3"/>
      <c r="B33" s="670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71"/>
      <c r="P33" s="3"/>
      <c r="Q33" s="3"/>
      <c r="R33" s="3"/>
      <c r="S33" s="3"/>
      <c r="T33" s="3"/>
      <c r="U33" s="3"/>
      <c r="V33" s="7"/>
      <c r="W33" s="7"/>
      <c r="X33" s="7"/>
      <c r="Y33" s="7"/>
      <c r="Z33" s="7"/>
      <c r="AA33" s="7"/>
      <c r="AB33" s="7"/>
      <c r="AC33" s="7"/>
      <c r="AD33" s="7"/>
      <c r="AE33" s="3"/>
      <c r="AF33" s="3"/>
      <c r="AG33" s="3"/>
      <c r="AH33" s="3"/>
      <c r="AI33" s="3"/>
      <c r="AJ33" s="3"/>
      <c r="AK33" s="3"/>
      <c r="AL33" s="20"/>
      <c r="AQ33" s="670"/>
      <c r="AR33" s="3"/>
      <c r="AS33" s="3"/>
      <c r="AT33" s="3"/>
      <c r="AU33" s="3"/>
      <c r="AV33" s="20"/>
      <c r="AW33" s="20"/>
      <c r="AX33" s="20"/>
      <c r="BE33"/>
      <c r="BF33"/>
      <c r="BG33"/>
      <c r="BH33"/>
      <c r="BI33"/>
      <c r="BJ33"/>
      <c r="BK33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76"/>
    </row>
    <row r="34" spans="1:80" x14ac:dyDescent="0.3">
      <c r="A34" s="3"/>
      <c r="B34" s="670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70"/>
      <c r="P34" s="3"/>
      <c r="Q34" s="3"/>
      <c r="R34" s="3"/>
      <c r="S34" s="3"/>
      <c r="T34" s="3"/>
      <c r="U34" s="3"/>
      <c r="V34" s="7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Q34" s="670"/>
      <c r="AR34" s="3"/>
      <c r="AS34" s="3"/>
      <c r="AT34" s="3"/>
      <c r="AU34" s="3"/>
      <c r="AV34" s="20"/>
      <c r="AW34" s="20"/>
      <c r="AX34" s="20"/>
      <c r="BE34"/>
      <c r="BF34"/>
      <c r="BG34"/>
      <c r="BH34"/>
      <c r="BI34"/>
      <c r="BJ34"/>
      <c r="BK34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75">
        <f ca="1">+BT15-CA30</f>
        <v>0</v>
      </c>
      <c r="CB34" s="276"/>
    </row>
    <row r="35" spans="1:80" x14ac:dyDescent="0.3">
      <c r="A35" s="3"/>
      <c r="B35" s="670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7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Q35" s="670"/>
      <c r="AR35" s="3"/>
      <c r="AS35" s="3"/>
      <c r="AT35" s="3"/>
      <c r="AU35" s="3"/>
      <c r="AV35" s="20"/>
      <c r="AW35" s="20"/>
      <c r="AX35" s="20"/>
      <c r="BE35"/>
      <c r="BF35"/>
      <c r="BG35"/>
      <c r="BH35"/>
      <c r="BI35"/>
      <c r="BJ35"/>
      <c r="BK35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76"/>
    </row>
    <row r="36" spans="1:80" x14ac:dyDescent="0.3">
      <c r="A36" s="3"/>
      <c r="B36" s="670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7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20"/>
      <c r="AN36" s="20"/>
      <c r="AO36" s="34"/>
      <c r="AP36" s="34"/>
      <c r="AQ36" s="670"/>
      <c r="AR36" s="3"/>
      <c r="AS36" s="3"/>
      <c r="AT36" s="3"/>
      <c r="AU36" s="3"/>
      <c r="AV36" s="20"/>
      <c r="AW36" s="20"/>
      <c r="AX36" s="20"/>
      <c r="BE36"/>
      <c r="BF36"/>
      <c r="BG36"/>
      <c r="BH36"/>
      <c r="BI36"/>
      <c r="BJ36"/>
      <c r="BK36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76"/>
    </row>
    <row r="37" spans="1:80" x14ac:dyDescent="0.3">
      <c r="A37" s="3"/>
      <c r="B37" s="67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7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20"/>
      <c r="AN37" s="20"/>
      <c r="AO37" s="34"/>
      <c r="AP37" s="34"/>
      <c r="AQ37" s="670"/>
      <c r="AR37" s="3"/>
      <c r="AS37" s="3"/>
      <c r="AT37" s="3"/>
      <c r="AU37" s="3"/>
      <c r="AV37" s="20"/>
      <c r="AW37" s="20"/>
      <c r="AX37" s="20"/>
      <c r="BE37"/>
      <c r="BF37"/>
      <c r="BG37"/>
      <c r="BH37"/>
      <c r="BI37"/>
      <c r="BJ37"/>
      <c r="BK37"/>
      <c r="BL37" s="20"/>
      <c r="BU37" s="20"/>
      <c r="BV37" s="20"/>
      <c r="BW37" s="20"/>
      <c r="BX37" s="20"/>
      <c r="BY37" s="20"/>
      <c r="BZ37" s="20"/>
      <c r="CA37" s="20"/>
      <c r="CB37" s="276"/>
    </row>
    <row r="38" spans="1:80" x14ac:dyDescent="0.3">
      <c r="A38" s="3"/>
      <c r="B38" s="670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7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/>
      <c r="AN38"/>
      <c r="AO38"/>
      <c r="AP38"/>
      <c r="AQ38" s="670"/>
      <c r="AR38" s="3"/>
      <c r="AS38" s="3"/>
      <c r="AT38" s="3"/>
      <c r="AU38" s="3"/>
      <c r="AV38" s="20"/>
      <c r="AW38" s="20"/>
      <c r="AX38" s="20"/>
      <c r="BE38"/>
      <c r="BF38"/>
      <c r="BG38"/>
      <c r="BH38"/>
      <c r="BI38"/>
      <c r="BJ38"/>
      <c r="BK38"/>
      <c r="BL38" s="20"/>
      <c r="BU38" s="20"/>
      <c r="BV38" s="20"/>
      <c r="BW38" s="20"/>
      <c r="BX38" s="20"/>
      <c r="BY38" s="20"/>
      <c r="BZ38" s="20"/>
      <c r="CA38" s="20"/>
      <c r="CB38" s="276"/>
    </row>
  </sheetData>
  <mergeCells count="9">
    <mergeCell ref="AV1:AW1"/>
    <mergeCell ref="C3:N3"/>
    <mergeCell ref="C4:N4"/>
    <mergeCell ref="W4:AD4"/>
    <mergeCell ref="W3:AD3"/>
    <mergeCell ref="W2:AD2"/>
    <mergeCell ref="C2:N2"/>
    <mergeCell ref="Q3:T3"/>
    <mergeCell ref="Q2:T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0F2D-5493-4749-A4F7-6A94F0A51372}">
  <sheetPr>
    <tabColor rgb="FF7030A0"/>
  </sheetPr>
  <dimension ref="A1:GB100"/>
  <sheetViews>
    <sheetView showGridLines="0" topLeftCell="BM1" zoomScale="70" zoomScaleNormal="70" workbookViewId="0">
      <selection activeCell="CF19" sqref="CF19"/>
    </sheetView>
  </sheetViews>
  <sheetFormatPr baseColWidth="10" defaultColWidth="0" defaultRowHeight="18.75" customHeight="1" zeroHeight="1" x14ac:dyDescent="0.3"/>
  <cols>
    <col min="1" max="1" width="4.42578125" customWidth="1"/>
    <col min="2" max="2" width="5.28515625" style="672" bestFit="1" customWidth="1"/>
    <col min="3" max="6" width="9.7109375" customWidth="1"/>
    <col min="7" max="8" width="10.7109375" customWidth="1"/>
    <col min="9" max="12" width="9.7109375" customWidth="1"/>
    <col min="13" max="14" width="10.5703125" bestFit="1" customWidth="1"/>
    <col min="15" max="15" width="5.7109375" style="672" customWidth="1"/>
    <col min="16" max="16" width="12.7109375" customWidth="1"/>
    <col min="17" max="17" width="14.85546875" customWidth="1"/>
    <col min="18" max="18" width="13.42578125" customWidth="1"/>
    <col min="19" max="21" width="12.7109375" customWidth="1"/>
    <col min="22" max="22" width="4.7109375" customWidth="1"/>
    <col min="23" max="26" width="12.28515625" customWidth="1"/>
    <col min="27" max="27" width="10.85546875" customWidth="1"/>
    <col min="28" max="28" width="12.28515625" customWidth="1"/>
    <col min="29" max="29" width="14.7109375" customWidth="1"/>
    <col min="30" max="30" width="12.140625" customWidth="1"/>
    <col min="31" max="31" width="5.85546875" style="42" customWidth="1"/>
    <col min="32" max="32" width="27" style="42" customWidth="1"/>
    <col min="33" max="35" width="14.7109375" style="42" customWidth="1"/>
    <col min="36" max="36" width="3.7109375" style="42" customWidth="1"/>
    <col min="37" max="37" width="10.85546875" style="42" customWidth="1"/>
    <col min="38" max="38" width="2.7109375" style="42" customWidth="1"/>
    <col min="39" max="39" width="6.7109375" style="42" customWidth="1"/>
    <col min="40" max="40" width="35.28515625" style="42" customWidth="1"/>
    <col min="41" max="42" width="13.7109375" style="42" customWidth="1"/>
    <col min="43" max="43" width="5.140625" style="672" bestFit="1" customWidth="1"/>
    <col min="44" max="44" width="16" style="42" hidden="1" customWidth="1"/>
    <col min="45" max="47" width="16.7109375" style="42" hidden="1" customWidth="1"/>
    <col min="48" max="49" width="16.42578125" style="42" hidden="1" customWidth="1"/>
    <col min="50" max="50" width="15" style="42" hidden="1" customWidth="1"/>
    <col min="51" max="63" width="13.7109375" style="42" customWidth="1"/>
    <col min="64" max="64" width="7.85546875" style="42" customWidth="1"/>
    <col min="65" max="65" width="6.85546875" style="42" customWidth="1"/>
    <col min="66" max="66" width="4.85546875" customWidth="1"/>
    <col min="67" max="67" width="16.7109375" style="42" customWidth="1"/>
    <col min="68" max="69" width="14.7109375" style="42" customWidth="1"/>
    <col min="70" max="70" width="9.85546875" style="42" customWidth="1"/>
    <col min="71" max="71" width="2.42578125" style="42" customWidth="1"/>
    <col min="72" max="79" width="11.5703125" style="42" customWidth="1"/>
    <col min="80" max="80" width="4.85546875" customWidth="1"/>
    <col min="81" max="81" width="11.42578125" customWidth="1"/>
    <col min="82" max="86" width="11.42578125" style="42" customWidth="1"/>
    <col min="87" max="99" width="11.42578125" customWidth="1"/>
    <col min="100" max="100" width="12.7109375" customWidth="1"/>
    <col min="101" max="184" width="0" hidden="1" customWidth="1"/>
    <col min="185" max="16384" width="11.42578125" hidden="1"/>
  </cols>
  <sheetData>
    <row r="1" spans="1:86" s="42" customFormat="1" x14ac:dyDescent="0.3">
      <c r="A1" s="20"/>
      <c r="B1" s="768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70" t="s">
        <v>492</v>
      </c>
      <c r="P1" s="523"/>
      <c r="Q1" s="523"/>
      <c r="R1" s="523"/>
      <c r="S1" s="523"/>
      <c r="T1" s="523"/>
      <c r="U1" s="771"/>
      <c r="V1" s="294"/>
      <c r="W1" s="164"/>
      <c r="X1" s="164"/>
      <c r="Y1" s="164"/>
      <c r="Z1" s="164"/>
      <c r="AA1" s="164"/>
      <c r="AB1" s="164"/>
      <c r="AC1" s="164"/>
      <c r="AD1" s="279"/>
      <c r="AE1" s="281" t="s">
        <v>712</v>
      </c>
      <c r="AF1" s="280"/>
      <c r="AG1" s="280"/>
      <c r="AH1" s="280"/>
      <c r="AI1" s="280"/>
      <c r="AJ1" s="280"/>
      <c r="AK1" s="280"/>
      <c r="AL1" s="798" t="s">
        <v>494</v>
      </c>
      <c r="AM1" s="710"/>
      <c r="AN1" s="710"/>
      <c r="AO1" s="710"/>
      <c r="AP1" s="710"/>
      <c r="AQ1" s="803"/>
      <c r="AR1" s="709"/>
      <c r="AS1" s="710"/>
      <c r="AT1" s="710"/>
      <c r="AU1" s="710"/>
      <c r="AV1" s="1506" t="s">
        <v>109</v>
      </c>
      <c r="AW1" s="1507"/>
      <c r="AX1" s="710"/>
      <c r="AY1" s="709"/>
      <c r="AZ1" s="710"/>
      <c r="BA1" s="710"/>
      <c r="BB1" s="710"/>
      <c r="BC1" s="710"/>
      <c r="BD1" s="710"/>
      <c r="BE1" s="710"/>
      <c r="BF1" s="168"/>
      <c r="BG1" s="710"/>
      <c r="BH1" s="710"/>
      <c r="BI1" s="710"/>
      <c r="BJ1" s="572"/>
      <c r="BK1" s="711"/>
      <c r="BL1" s="711"/>
      <c r="BM1" s="769"/>
      <c r="BN1" s="276"/>
      <c r="BO1" s="276"/>
      <c r="BP1" s="276"/>
      <c r="BQ1" s="276"/>
      <c r="BR1" s="276"/>
      <c r="BS1" s="276"/>
      <c r="BT1" s="276"/>
      <c r="BU1" s="276"/>
      <c r="BV1" s="276"/>
      <c r="BW1" s="276"/>
      <c r="BX1" s="276"/>
      <c r="BY1" s="276"/>
      <c r="BZ1" s="276"/>
      <c r="CA1" s="276"/>
      <c r="CB1" s="276"/>
    </row>
    <row r="2" spans="1:86" s="42" customFormat="1" x14ac:dyDescent="0.3">
      <c r="A2" s="20"/>
      <c r="B2" s="673"/>
      <c r="C2" s="1523" t="s">
        <v>458</v>
      </c>
      <c r="D2" s="1524"/>
      <c r="E2" s="1524"/>
      <c r="F2" s="1524"/>
      <c r="G2" s="1524"/>
      <c r="H2" s="1524"/>
      <c r="I2" s="1524"/>
      <c r="J2" s="1524"/>
      <c r="K2" s="1524"/>
      <c r="L2" s="1524"/>
      <c r="M2" s="1524"/>
      <c r="N2" s="1525"/>
      <c r="O2" s="667"/>
      <c r="P2" s="723"/>
      <c r="Q2" s="1523" t="s">
        <v>458</v>
      </c>
      <c r="R2" s="1524"/>
      <c r="S2" s="1524"/>
      <c r="T2" s="1525"/>
      <c r="U2" s="724"/>
      <c r="V2" s="168"/>
      <c r="W2" s="1520" t="s">
        <v>458</v>
      </c>
      <c r="X2" s="1521"/>
      <c r="Y2" s="1521"/>
      <c r="Z2" s="1521"/>
      <c r="AA2" s="1521"/>
      <c r="AB2" s="1521"/>
      <c r="AC2" s="1521"/>
      <c r="AD2" s="1522"/>
      <c r="AE2" s="281"/>
      <c r="AF2" s="280"/>
      <c r="AG2" s="524" t="s">
        <v>64</v>
      </c>
      <c r="AH2" s="524" t="s">
        <v>65</v>
      </c>
      <c r="AI2" s="524" t="s">
        <v>374</v>
      </c>
      <c r="AJ2" s="280"/>
      <c r="AK2" s="280"/>
      <c r="AL2" s="799" t="s">
        <v>495</v>
      </c>
      <c r="AM2" s="280"/>
      <c r="AN2" s="280"/>
      <c r="AO2" s="280"/>
      <c r="AP2" s="280"/>
      <c r="AQ2" s="804"/>
      <c r="AR2" s="145"/>
      <c r="AS2" s="524" t="s">
        <v>64</v>
      </c>
      <c r="AT2" s="524" t="s">
        <v>65</v>
      </c>
      <c r="AU2" s="524" t="s">
        <v>374</v>
      </c>
      <c r="AV2" s="524" t="s">
        <v>434</v>
      </c>
      <c r="AW2" s="524" t="s">
        <v>233</v>
      </c>
      <c r="AX2" s="526" t="s">
        <v>742</v>
      </c>
      <c r="AY2" s="786" t="s">
        <v>259</v>
      </c>
      <c r="AZ2" s="787" t="s">
        <v>259</v>
      </c>
      <c r="BA2" s="787" t="s">
        <v>259</v>
      </c>
      <c r="BB2" s="787" t="s">
        <v>259</v>
      </c>
      <c r="BC2" s="787" t="s">
        <v>259</v>
      </c>
      <c r="BD2" s="787" t="s">
        <v>259</v>
      </c>
      <c r="BE2" s="787" t="s">
        <v>259</v>
      </c>
      <c r="BF2" s="788" t="s">
        <v>259</v>
      </c>
      <c r="BG2" s="787" t="s">
        <v>260</v>
      </c>
      <c r="BH2" s="787" t="s">
        <v>261</v>
      </c>
      <c r="BI2" s="787" t="s">
        <v>261</v>
      </c>
      <c r="BJ2" s="787" t="s">
        <v>261</v>
      </c>
      <c r="BK2" s="788" t="s">
        <v>261</v>
      </c>
      <c r="BL2" s="711"/>
      <c r="BM2" s="769"/>
      <c r="BN2" s="276"/>
      <c r="BO2" s="697" t="s">
        <v>458</v>
      </c>
      <c r="BP2" s="789"/>
      <c r="BQ2" s="789"/>
      <c r="BR2" s="789"/>
      <c r="BS2" s="789"/>
      <c r="BT2" s="596"/>
      <c r="BU2" s="345"/>
      <c r="BV2" s="345"/>
      <c r="BW2" s="345"/>
      <c r="BX2" s="345"/>
      <c r="BY2" s="345"/>
      <c r="BZ2" s="345"/>
      <c r="CA2" s="596"/>
      <c r="CB2" s="276"/>
    </row>
    <row r="3" spans="1:86" s="42" customFormat="1" x14ac:dyDescent="0.3">
      <c r="A3" s="20"/>
      <c r="B3" s="674"/>
      <c r="C3" s="1508" t="s">
        <v>62</v>
      </c>
      <c r="D3" s="1509"/>
      <c r="E3" s="1509"/>
      <c r="F3" s="1509"/>
      <c r="G3" s="1509"/>
      <c r="H3" s="1509"/>
      <c r="I3" s="1509"/>
      <c r="J3" s="1509"/>
      <c r="K3" s="1509"/>
      <c r="L3" s="1509"/>
      <c r="M3" s="1509"/>
      <c r="N3" s="1510"/>
      <c r="O3" s="668"/>
      <c r="P3" s="725"/>
      <c r="Q3" s="1508" t="s">
        <v>372</v>
      </c>
      <c r="R3" s="1509"/>
      <c r="S3" s="1509"/>
      <c r="T3" s="1510"/>
      <c r="U3" s="726"/>
      <c r="V3" s="169"/>
      <c r="W3" s="1517" t="s">
        <v>345</v>
      </c>
      <c r="X3" s="1518"/>
      <c r="Y3" s="1518"/>
      <c r="Z3" s="1518"/>
      <c r="AA3" s="1518"/>
      <c r="AB3" s="1518"/>
      <c r="AC3" s="1518"/>
      <c r="AD3" s="1519"/>
      <c r="AE3" s="663"/>
      <c r="AF3" s="523"/>
      <c r="AG3" s="524">
        <v>2020</v>
      </c>
      <c r="AH3" s="168">
        <v>2019</v>
      </c>
      <c r="AI3" s="524" t="s">
        <v>103</v>
      </c>
      <c r="AJ3" s="523"/>
      <c r="AK3" s="523"/>
      <c r="AL3" s="130"/>
      <c r="AM3" s="164"/>
      <c r="AN3" s="164"/>
      <c r="AO3" s="263" t="s">
        <v>110</v>
      </c>
      <c r="AP3" s="263" t="s">
        <v>111</v>
      </c>
      <c r="AQ3" s="804"/>
      <c r="AR3" s="207"/>
      <c r="AS3" s="524">
        <v>2020</v>
      </c>
      <c r="AT3" s="168">
        <v>2019</v>
      </c>
      <c r="AU3" s="524" t="s">
        <v>103</v>
      </c>
      <c r="AV3" s="524" t="s">
        <v>110</v>
      </c>
      <c r="AW3" s="524" t="s">
        <v>111</v>
      </c>
      <c r="AX3" s="572" t="s">
        <v>713</v>
      </c>
      <c r="AY3" s="707" t="s">
        <v>50</v>
      </c>
      <c r="AZ3" s="707" t="s">
        <v>25</v>
      </c>
      <c r="BA3" s="707" t="s">
        <v>21</v>
      </c>
      <c r="BB3" s="707" t="s">
        <v>21</v>
      </c>
      <c r="BC3" s="707" t="s">
        <v>22</v>
      </c>
      <c r="BD3" s="707" t="s">
        <v>22</v>
      </c>
      <c r="BE3" s="707" t="s">
        <v>1315</v>
      </c>
      <c r="BF3" s="707" t="s">
        <v>26</v>
      </c>
      <c r="BG3" s="788" t="s">
        <v>26</v>
      </c>
      <c r="BH3" s="707" t="s">
        <v>266</v>
      </c>
      <c r="BI3" s="707" t="s">
        <v>18</v>
      </c>
      <c r="BJ3" s="707" t="s">
        <v>24</v>
      </c>
      <c r="BK3" s="707" t="s">
        <v>22</v>
      </c>
      <c r="BL3" s="711"/>
      <c r="BM3" s="769"/>
      <c r="BN3" s="276"/>
      <c r="BO3" s="698" t="s">
        <v>724</v>
      </c>
      <c r="BP3" s="270"/>
      <c r="BQ3" s="270"/>
      <c r="BR3" s="270"/>
      <c r="BS3" s="270"/>
      <c r="BT3" s="597"/>
      <c r="BU3" s="345"/>
      <c r="BV3" s="345"/>
      <c r="BW3" s="345"/>
      <c r="BX3" s="345"/>
      <c r="BY3" s="345"/>
      <c r="BZ3" s="345"/>
      <c r="CA3" s="597"/>
      <c r="CB3" s="276"/>
    </row>
    <row r="4" spans="1:86" s="42" customFormat="1" x14ac:dyDescent="0.3">
      <c r="A4" s="20"/>
      <c r="B4" s="674"/>
      <c r="C4" s="1511" t="s">
        <v>625</v>
      </c>
      <c r="D4" s="1512"/>
      <c r="E4" s="1512"/>
      <c r="F4" s="1512"/>
      <c r="G4" s="1512"/>
      <c r="H4" s="1512"/>
      <c r="I4" s="1512"/>
      <c r="J4" s="1512"/>
      <c r="K4" s="1512"/>
      <c r="L4" s="1512"/>
      <c r="M4" s="1512"/>
      <c r="N4" s="1513"/>
      <c r="O4" s="668"/>
      <c r="P4" s="720"/>
      <c r="Q4" s="720" t="s">
        <v>741</v>
      </c>
      <c r="R4" s="721"/>
      <c r="S4" s="721"/>
      <c r="T4" s="722"/>
      <c r="U4" s="722"/>
      <c r="V4" s="169"/>
      <c r="W4" s="1514" t="s">
        <v>705</v>
      </c>
      <c r="X4" s="1515"/>
      <c r="Y4" s="1515"/>
      <c r="Z4" s="1515"/>
      <c r="AA4" s="1515"/>
      <c r="AB4" s="1515"/>
      <c r="AC4" s="1515"/>
      <c r="AD4" s="1516"/>
      <c r="AE4" s="664"/>
      <c r="AF4" s="164"/>
      <c r="AG4" s="174" t="s">
        <v>387</v>
      </c>
      <c r="AH4" s="174" t="s">
        <v>387</v>
      </c>
      <c r="AI4" s="174" t="s">
        <v>387</v>
      </c>
      <c r="AJ4" s="164"/>
      <c r="AK4" s="164"/>
      <c r="AL4" s="648"/>
      <c r="AM4" s="633"/>
      <c r="AN4" s="609"/>
      <c r="AO4" s="684"/>
      <c r="AP4" s="679"/>
      <c r="AQ4" s="804"/>
      <c r="AR4" s="173"/>
      <c r="AS4" s="174" t="s">
        <v>387</v>
      </c>
      <c r="AT4" s="174" t="s">
        <v>387</v>
      </c>
      <c r="AU4" s="174" t="s">
        <v>387</v>
      </c>
      <c r="AV4" s="174" t="s">
        <v>387</v>
      </c>
      <c r="AW4" s="174" t="s">
        <v>387</v>
      </c>
      <c r="AX4" s="573" t="s">
        <v>387</v>
      </c>
      <c r="AY4" s="712" t="s">
        <v>121</v>
      </c>
      <c r="AZ4" s="712" t="s">
        <v>124</v>
      </c>
      <c r="BA4" s="712" t="s">
        <v>347</v>
      </c>
      <c r="BB4" s="712" t="s">
        <v>378</v>
      </c>
      <c r="BC4" s="712" t="s">
        <v>379</v>
      </c>
      <c r="BD4" s="712" t="s">
        <v>377</v>
      </c>
      <c r="BE4" s="712"/>
      <c r="BF4" s="712" t="s">
        <v>268</v>
      </c>
      <c r="BG4" s="793" t="s">
        <v>729</v>
      </c>
      <c r="BH4" s="712" t="s">
        <v>375</v>
      </c>
      <c r="BI4" s="712" t="s">
        <v>375</v>
      </c>
      <c r="BJ4" s="712" t="s">
        <v>126</v>
      </c>
      <c r="BK4" s="712" t="s">
        <v>350</v>
      </c>
      <c r="BL4" s="711"/>
      <c r="BM4" s="769"/>
      <c r="BN4" s="276"/>
      <c r="BO4" s="806" t="s">
        <v>725</v>
      </c>
      <c r="BP4" s="807"/>
      <c r="BQ4" s="807"/>
      <c r="BR4" s="807"/>
      <c r="BS4" s="807"/>
      <c r="BT4" s="598"/>
      <c r="BU4" s="345"/>
      <c r="BV4" s="345"/>
      <c r="BW4" s="345"/>
      <c r="BX4" s="345"/>
      <c r="BY4" s="345"/>
      <c r="BZ4" s="345"/>
      <c r="CA4" s="597"/>
      <c r="CB4" s="276"/>
    </row>
    <row r="5" spans="1:86" s="42" customFormat="1" x14ac:dyDescent="0.3">
      <c r="A5" s="20"/>
      <c r="B5" s="674"/>
      <c r="C5" s="599"/>
      <c r="D5" s="600"/>
      <c r="E5" s="600"/>
      <c r="F5" s="600"/>
      <c r="G5" s="601">
        <v>2020</v>
      </c>
      <c r="H5" s="601">
        <v>2019</v>
      </c>
      <c r="I5" s="600"/>
      <c r="J5" s="600"/>
      <c r="K5" s="600"/>
      <c r="L5" s="600"/>
      <c r="M5" s="601">
        <v>2020</v>
      </c>
      <c r="N5" s="602">
        <v>2019</v>
      </c>
      <c r="O5" s="668"/>
      <c r="P5" s="620"/>
      <c r="Q5" s="620"/>
      <c r="R5" s="621"/>
      <c r="S5" s="621"/>
      <c r="T5" s="727"/>
      <c r="U5" s="622"/>
      <c r="V5" s="169"/>
      <c r="W5" s="628"/>
      <c r="X5" s="629"/>
      <c r="Y5" s="629"/>
      <c r="Z5" s="629"/>
      <c r="AA5" s="629"/>
      <c r="AB5" s="630"/>
      <c r="AC5" s="630"/>
      <c r="AD5" s="631"/>
      <c r="AE5" s="664"/>
      <c r="AF5" s="608" t="s">
        <v>1</v>
      </c>
      <c r="AG5" s="661">
        <f t="shared" ref="AG5:AH8" si="0">+G10</f>
        <v>1700</v>
      </c>
      <c r="AH5" s="662">
        <f t="shared" si="0"/>
        <v>800</v>
      </c>
      <c r="AI5" s="661">
        <f t="shared" ref="AI5:AI16" si="1">+AH5-AG5</f>
        <v>-900</v>
      </c>
      <c r="AJ5" s="164"/>
      <c r="AK5" s="164"/>
      <c r="AL5" s="648"/>
      <c r="AM5" s="633"/>
      <c r="AN5" s="609"/>
      <c r="AO5" s="684"/>
      <c r="AP5" s="679"/>
      <c r="AQ5" s="736"/>
      <c r="AR5" s="680" t="s">
        <v>1</v>
      </c>
      <c r="AS5" s="661">
        <f>+AG5</f>
        <v>1700</v>
      </c>
      <c r="AT5" s="661">
        <f t="shared" ref="AT5:AT26" si="2">+AH5</f>
        <v>800</v>
      </c>
      <c r="AU5" s="661">
        <f t="shared" ref="AU5:AU11" si="3">+AT5-AS5</f>
        <v>-900</v>
      </c>
      <c r="AV5" s="691"/>
      <c r="AW5" s="691"/>
      <c r="AX5" s="773">
        <f t="shared" ref="AX5:AX26" si="4">+AU5+AW5-AV5</f>
        <v>-900</v>
      </c>
      <c r="AY5" s="708"/>
      <c r="AZ5" s="708"/>
      <c r="BA5" s="708"/>
      <c r="BB5" s="708"/>
      <c r="BC5" s="708"/>
      <c r="BD5" s="708"/>
      <c r="BE5" s="708"/>
      <c r="BF5" s="708"/>
      <c r="BG5" s="794"/>
      <c r="BH5" s="708"/>
      <c r="BI5" s="708"/>
      <c r="BJ5" s="708"/>
      <c r="BK5" s="708"/>
      <c r="BL5" s="781" t="s">
        <v>1320</v>
      </c>
      <c r="BM5" s="769"/>
      <c r="BN5" s="276"/>
      <c r="BO5" s="700"/>
      <c r="BP5" s="690"/>
      <c r="BQ5" s="690"/>
      <c r="BR5" s="690"/>
      <c r="BS5" s="690"/>
      <c r="BT5" s="690" t="s">
        <v>387</v>
      </c>
      <c r="BU5" s="684" t="s">
        <v>387</v>
      </c>
      <c r="BV5" s="684" t="s">
        <v>387</v>
      </c>
      <c r="BW5" s="684" t="s">
        <v>387</v>
      </c>
      <c r="BX5" s="684" t="s">
        <v>387</v>
      </c>
      <c r="BY5" s="684" t="s">
        <v>387</v>
      </c>
      <c r="BZ5" s="684" t="s">
        <v>387</v>
      </c>
      <c r="CA5" s="684" t="s">
        <v>387</v>
      </c>
      <c r="CB5" s="276"/>
      <c r="CD5" s="1459" t="s">
        <v>92</v>
      </c>
      <c r="CE5" s="1135"/>
      <c r="CF5" s="1135"/>
      <c r="CG5" s="1135"/>
      <c r="CH5" s="1460">
        <f>+AO7</f>
        <v>120</v>
      </c>
    </row>
    <row r="6" spans="1:86" s="42" customFormat="1" x14ac:dyDescent="0.3">
      <c r="A6" s="20"/>
      <c r="B6" s="674"/>
      <c r="C6" s="603"/>
      <c r="D6" s="604"/>
      <c r="E6" s="604"/>
      <c r="F6" s="604"/>
      <c r="G6" s="605" t="s">
        <v>387</v>
      </c>
      <c r="H6" s="605" t="s">
        <v>387</v>
      </c>
      <c r="I6" s="604"/>
      <c r="J6" s="606"/>
      <c r="K6" s="606"/>
      <c r="L6" s="606"/>
      <c r="M6" s="605" t="s">
        <v>387</v>
      </c>
      <c r="N6" s="607" t="s">
        <v>387</v>
      </c>
      <c r="O6" s="668"/>
      <c r="P6" s="603"/>
      <c r="Q6" s="766"/>
      <c r="R6" s="732"/>
      <c r="S6" s="732"/>
      <c r="T6" s="767" t="s">
        <v>387</v>
      </c>
      <c r="U6" s="733"/>
      <c r="V6" s="169"/>
      <c r="W6" s="628"/>
      <c r="X6" s="629"/>
      <c r="Y6" s="629"/>
      <c r="Z6" s="629"/>
      <c r="AA6" s="629"/>
      <c r="AB6" s="630" t="s">
        <v>96</v>
      </c>
      <c r="AC6" s="630" t="s">
        <v>98</v>
      </c>
      <c r="AD6" s="631"/>
      <c r="AE6" s="664" t="s">
        <v>259</v>
      </c>
      <c r="AF6" s="608" t="s">
        <v>252</v>
      </c>
      <c r="AG6" s="661">
        <f t="shared" si="0"/>
        <v>1300</v>
      </c>
      <c r="AH6" s="662">
        <f t="shared" si="0"/>
        <v>1600</v>
      </c>
      <c r="AI6" s="661">
        <f t="shared" si="1"/>
        <v>300</v>
      </c>
      <c r="AJ6" s="677"/>
      <c r="AK6" s="164"/>
      <c r="AL6" s="648"/>
      <c r="AM6" s="633"/>
      <c r="AN6" s="685" t="s">
        <v>92</v>
      </c>
      <c r="AO6" s="684"/>
      <c r="AP6" s="679"/>
      <c r="AQ6" s="736"/>
      <c r="AR6" s="680" t="s">
        <v>252</v>
      </c>
      <c r="AS6" s="661">
        <f t="shared" ref="AS6:AS26" si="5">+AG6</f>
        <v>1300</v>
      </c>
      <c r="AT6" s="661">
        <f t="shared" si="2"/>
        <v>1600</v>
      </c>
      <c r="AU6" s="661">
        <f t="shared" si="3"/>
        <v>300</v>
      </c>
      <c r="AV6" s="691"/>
      <c r="AW6" s="691"/>
      <c r="AX6" s="810">
        <f t="shared" si="4"/>
        <v>300</v>
      </c>
      <c r="AY6" s="772">
        <f>+AX6</f>
        <v>300</v>
      </c>
      <c r="AZ6" s="772"/>
      <c r="BA6" s="772"/>
      <c r="BB6" s="772"/>
      <c r="BC6" s="772"/>
      <c r="BD6" s="772"/>
      <c r="BE6" s="772"/>
      <c r="BF6" s="772"/>
      <c r="BG6" s="178"/>
      <c r="BH6" s="83"/>
      <c r="BI6" s="83"/>
      <c r="BJ6" s="83"/>
      <c r="BK6" s="83"/>
      <c r="BL6" s="1469">
        <f>AX6-SUM(AY6:BK6)</f>
        <v>0</v>
      </c>
      <c r="BM6" s="769"/>
      <c r="BN6" s="276"/>
      <c r="BO6" s="701"/>
      <c r="BP6" s="684"/>
      <c r="BQ6" s="684"/>
      <c r="BR6" s="684"/>
      <c r="BS6" s="684"/>
      <c r="BT6" s="679"/>
      <c r="BU6" s="684"/>
      <c r="BV6" s="684"/>
      <c r="BW6" s="684"/>
      <c r="BX6" s="684"/>
      <c r="BY6" s="684"/>
      <c r="BZ6" s="684"/>
      <c r="CA6" s="679"/>
      <c r="CB6" s="276"/>
      <c r="CD6" s="1461" t="s">
        <v>731</v>
      </c>
      <c r="CH6" s="1462">
        <f>+AO11</f>
        <v>300</v>
      </c>
    </row>
    <row r="7" spans="1:86" s="42" customFormat="1" x14ac:dyDescent="0.3">
      <c r="A7" s="20"/>
      <c r="B7" s="674"/>
      <c r="C7" s="740"/>
      <c r="D7" s="128"/>
      <c r="E7" s="128"/>
      <c r="F7" s="128"/>
      <c r="G7" s="741"/>
      <c r="H7" s="741"/>
      <c r="I7" s="742" t="s">
        <v>59</v>
      </c>
      <c r="J7" s="742"/>
      <c r="K7" s="742"/>
      <c r="L7" s="742"/>
      <c r="M7" s="741"/>
      <c r="N7" s="743"/>
      <c r="O7" s="734"/>
      <c r="P7" s="714"/>
      <c r="Q7" s="608" t="s">
        <v>9</v>
      </c>
      <c r="R7" s="609"/>
      <c r="S7" s="612"/>
      <c r="T7" s="613">
        <v>20000</v>
      </c>
      <c r="U7" s="616"/>
      <c r="V7" s="169"/>
      <c r="W7" s="628"/>
      <c r="X7" s="629"/>
      <c r="Y7" s="629"/>
      <c r="Z7" s="629"/>
      <c r="AA7" s="629"/>
      <c r="AB7" s="630" t="s">
        <v>97</v>
      </c>
      <c r="AC7" s="630" t="s">
        <v>274</v>
      </c>
      <c r="AD7" s="631" t="s">
        <v>40</v>
      </c>
      <c r="AE7" s="664" t="s">
        <v>259</v>
      </c>
      <c r="AF7" s="608" t="s">
        <v>710</v>
      </c>
      <c r="AG7" s="661">
        <f t="shared" si="0"/>
        <v>200</v>
      </c>
      <c r="AH7" s="662">
        <f t="shared" si="0"/>
        <v>600</v>
      </c>
      <c r="AI7" s="661">
        <f t="shared" si="1"/>
        <v>400</v>
      </c>
      <c r="AJ7" s="677"/>
      <c r="AK7" s="164"/>
      <c r="AL7" s="648"/>
      <c r="AM7" s="164" t="s">
        <v>112</v>
      </c>
      <c r="AN7" s="633" t="s">
        <v>252</v>
      </c>
      <c r="AO7" s="642">
        <f>+AP8</f>
        <v>120</v>
      </c>
      <c r="AP7" s="662"/>
      <c r="AQ7" s="736"/>
      <c r="AR7" s="680" t="s">
        <v>710</v>
      </c>
      <c r="AS7" s="661">
        <f t="shared" si="5"/>
        <v>200</v>
      </c>
      <c r="AT7" s="661">
        <f t="shared" si="2"/>
        <v>600</v>
      </c>
      <c r="AU7" s="661">
        <f t="shared" si="3"/>
        <v>400</v>
      </c>
      <c r="AV7" s="691"/>
      <c r="AW7" s="691"/>
      <c r="AX7" s="810">
        <f t="shared" si="4"/>
        <v>400</v>
      </c>
      <c r="AY7" s="772"/>
      <c r="AZ7" s="772">
        <f>+AX7</f>
        <v>400</v>
      </c>
      <c r="BA7" s="772"/>
      <c r="BB7" s="772"/>
      <c r="BC7" s="772"/>
      <c r="BD7" s="772"/>
      <c r="BE7" s="772"/>
      <c r="BF7" s="772"/>
      <c r="BG7" s="178"/>
      <c r="BH7" s="83"/>
      <c r="BI7" s="83"/>
      <c r="BJ7" s="83"/>
      <c r="BK7" s="83"/>
      <c r="BL7" s="1470">
        <f t="shared" ref="BL7:BL28" si="6">AX7-SUM(AY7:BK7)</f>
        <v>0</v>
      </c>
      <c r="BM7" s="769"/>
      <c r="BN7" s="276"/>
      <c r="BO7" s="701"/>
      <c r="BP7" s="684"/>
      <c r="BQ7" s="684"/>
      <c r="BR7" s="684"/>
      <c r="BS7" s="684"/>
      <c r="BT7" s="679"/>
      <c r="BU7" s="684"/>
      <c r="BV7" s="684"/>
      <c r="BW7" s="684"/>
      <c r="BX7" s="684"/>
      <c r="BY7" s="684"/>
      <c r="BZ7" s="684"/>
      <c r="CA7" s="679"/>
      <c r="CB7" s="276"/>
      <c r="CD7" s="1461" t="s">
        <v>150</v>
      </c>
      <c r="CH7" s="1462">
        <f>+AO15</f>
        <v>100</v>
      </c>
    </row>
    <row r="8" spans="1:86" s="42" customFormat="1" x14ac:dyDescent="0.3">
      <c r="A8" s="20"/>
      <c r="B8" s="674"/>
      <c r="C8" s="744" t="s">
        <v>56</v>
      </c>
      <c r="D8" s="181"/>
      <c r="E8" s="181"/>
      <c r="F8" s="181"/>
      <c r="G8" s="745"/>
      <c r="H8" s="745"/>
      <c r="I8" s="181" t="s">
        <v>61</v>
      </c>
      <c r="J8" s="181"/>
      <c r="K8" s="181"/>
      <c r="L8" s="181"/>
      <c r="M8" s="181"/>
      <c r="N8" s="746"/>
      <c r="O8" s="735"/>
      <c r="P8" s="608"/>
      <c r="Q8" s="728" t="s">
        <v>10</v>
      </c>
      <c r="R8" s="626"/>
      <c r="S8" s="614"/>
      <c r="T8" s="729">
        <v>-15000</v>
      </c>
      <c r="U8" s="625"/>
      <c r="V8" s="632"/>
      <c r="W8" s="628"/>
      <c r="X8" s="629"/>
      <c r="Y8" s="629"/>
      <c r="Z8" s="629"/>
      <c r="AA8" s="629"/>
      <c r="AB8" s="630" t="s">
        <v>387</v>
      </c>
      <c r="AC8" s="630" t="s">
        <v>387</v>
      </c>
      <c r="AD8" s="631" t="s">
        <v>387</v>
      </c>
      <c r="AE8" s="664" t="s">
        <v>259</v>
      </c>
      <c r="AF8" s="608" t="s">
        <v>674</v>
      </c>
      <c r="AG8" s="661">
        <f t="shared" si="0"/>
        <v>1700</v>
      </c>
      <c r="AH8" s="662">
        <f t="shared" si="0"/>
        <v>2780</v>
      </c>
      <c r="AI8" s="661">
        <f t="shared" si="1"/>
        <v>1080</v>
      </c>
      <c r="AJ8" s="164"/>
      <c r="AK8" s="164"/>
      <c r="AL8" s="648"/>
      <c r="AM8" s="164" t="s">
        <v>113</v>
      </c>
      <c r="AN8" s="633" t="s">
        <v>241</v>
      </c>
      <c r="AO8" s="642"/>
      <c r="AP8" s="662">
        <f>+AB20</f>
        <v>120</v>
      </c>
      <c r="AQ8" s="736"/>
      <c r="AR8" s="680" t="s">
        <v>674</v>
      </c>
      <c r="AS8" s="661">
        <f t="shared" si="5"/>
        <v>1700</v>
      </c>
      <c r="AT8" s="661">
        <f t="shared" si="2"/>
        <v>2780</v>
      </c>
      <c r="AU8" s="661">
        <f t="shared" si="3"/>
        <v>1080</v>
      </c>
      <c r="AV8" s="691"/>
      <c r="AW8" s="691"/>
      <c r="AX8" s="810">
        <f t="shared" si="4"/>
        <v>1080</v>
      </c>
      <c r="AY8" s="772"/>
      <c r="AZ8" s="772"/>
      <c r="BA8" s="772">
        <f>+AX8</f>
        <v>1080</v>
      </c>
      <c r="BB8" s="772"/>
      <c r="BC8" s="772"/>
      <c r="BD8" s="772"/>
      <c r="BE8" s="772"/>
      <c r="BF8" s="772"/>
      <c r="BG8" s="178"/>
      <c r="BH8" s="83"/>
      <c r="BI8" s="83"/>
      <c r="BJ8" s="83"/>
      <c r="BK8" s="83"/>
      <c r="BL8" s="1470">
        <f t="shared" si="6"/>
        <v>0</v>
      </c>
      <c r="BM8" s="769"/>
      <c r="BN8" s="276"/>
      <c r="BO8" s="1484" t="s">
        <v>16</v>
      </c>
      <c r="BP8" s="1485"/>
      <c r="BQ8" s="1485"/>
      <c r="BR8" s="1485"/>
      <c r="BS8" s="1485"/>
      <c r="BT8" s="1486">
        <f>SUM(AY20:BF28)</f>
        <v>1205</v>
      </c>
      <c r="BU8" s="1458"/>
      <c r="BV8" s="1458"/>
      <c r="BW8" s="1458"/>
      <c r="BX8" s="1458"/>
      <c r="BY8" s="1458"/>
      <c r="BZ8" s="1458"/>
      <c r="CA8" s="1486">
        <f>SUM(BT8:BZ8)</f>
        <v>1205</v>
      </c>
      <c r="CB8" s="276"/>
      <c r="CD8" s="1461" t="s">
        <v>149</v>
      </c>
      <c r="CH8" s="1462">
        <f>+AO19</f>
        <v>1080</v>
      </c>
    </row>
    <row r="9" spans="1:86" s="42" customFormat="1" x14ac:dyDescent="0.3">
      <c r="A9" s="20"/>
      <c r="B9" s="674"/>
      <c r="C9" s="744" t="s">
        <v>57</v>
      </c>
      <c r="D9" s="181"/>
      <c r="E9" s="181"/>
      <c r="F9" s="181"/>
      <c r="G9" s="745"/>
      <c r="H9" s="1475">
        <f>+G10-H10</f>
        <v>900</v>
      </c>
      <c r="I9" s="131" t="s">
        <v>4</v>
      </c>
      <c r="J9" s="131"/>
      <c r="K9" s="131"/>
      <c r="L9" s="131"/>
      <c r="M9" s="175">
        <v>740</v>
      </c>
      <c r="N9" s="196">
        <v>1400</v>
      </c>
      <c r="O9" s="735" t="s">
        <v>259</v>
      </c>
      <c r="P9" s="608"/>
      <c r="Q9" s="611" t="s">
        <v>13</v>
      </c>
      <c r="R9" s="610"/>
      <c r="S9" s="612"/>
      <c r="T9" s="625">
        <f>+T7+T8</f>
        <v>5000</v>
      </c>
      <c r="U9" s="613"/>
      <c r="V9" s="624"/>
      <c r="W9" s="651"/>
      <c r="X9" s="652"/>
      <c r="Y9" s="652"/>
      <c r="Z9" s="652"/>
      <c r="AA9" s="652"/>
      <c r="AB9" s="653"/>
      <c r="AC9" s="653"/>
      <c r="AD9" s="654"/>
      <c r="AE9" s="664" t="s">
        <v>259</v>
      </c>
      <c r="AF9" s="608" t="s">
        <v>150</v>
      </c>
      <c r="AG9" s="661">
        <f>+G18</f>
        <v>400</v>
      </c>
      <c r="AH9" s="662">
        <f>+H18</f>
        <v>300</v>
      </c>
      <c r="AI9" s="661">
        <f t="shared" si="1"/>
        <v>-100</v>
      </c>
      <c r="AJ9" s="164"/>
      <c r="AK9" s="164"/>
      <c r="AL9" s="648"/>
      <c r="AM9" s="633"/>
      <c r="AN9" s="633"/>
      <c r="AO9" s="642"/>
      <c r="AP9" s="662"/>
      <c r="AQ9" s="736"/>
      <c r="AR9" s="680" t="s">
        <v>150</v>
      </c>
      <c r="AS9" s="661">
        <f t="shared" si="5"/>
        <v>400</v>
      </c>
      <c r="AT9" s="661">
        <f t="shared" si="2"/>
        <v>300</v>
      </c>
      <c r="AU9" s="661">
        <f t="shared" si="3"/>
        <v>-100</v>
      </c>
      <c r="AV9" s="691"/>
      <c r="AW9" s="691"/>
      <c r="AX9" s="810">
        <f t="shared" si="4"/>
        <v>-100</v>
      </c>
      <c r="AY9" s="772"/>
      <c r="AZ9" s="772"/>
      <c r="BA9" s="772"/>
      <c r="BB9" s="772"/>
      <c r="BC9" s="772">
        <f>+AX9</f>
        <v>-100</v>
      </c>
      <c r="BD9" s="772"/>
      <c r="BE9" s="772"/>
      <c r="BF9" s="772"/>
      <c r="BG9" s="178"/>
      <c r="BH9" s="83"/>
      <c r="BI9" s="83"/>
      <c r="BJ9" s="83"/>
      <c r="BK9" s="83"/>
      <c r="BL9" s="1470">
        <f t="shared" si="6"/>
        <v>0</v>
      </c>
      <c r="BM9" s="769"/>
      <c r="BN9" s="276"/>
      <c r="BO9" s="648"/>
      <c r="BP9" s="633"/>
      <c r="BQ9" s="633"/>
      <c r="BR9" s="633"/>
      <c r="BS9" s="633"/>
      <c r="BT9" s="655"/>
      <c r="BU9" s="633"/>
      <c r="BV9" s="633"/>
      <c r="BW9" s="633"/>
      <c r="BX9" s="633"/>
      <c r="BY9" s="633"/>
      <c r="BZ9" s="633"/>
      <c r="CA9" s="655"/>
      <c r="CB9" s="276"/>
      <c r="CD9" s="1461" t="s">
        <v>243</v>
      </c>
      <c r="CH9" s="1462">
        <f>+AO23</f>
        <v>150</v>
      </c>
    </row>
    <row r="10" spans="1:86" s="42" customFormat="1" x14ac:dyDescent="0.3">
      <c r="A10" s="20"/>
      <c r="B10" s="674" t="s">
        <v>259</v>
      </c>
      <c r="C10" s="1472" t="s">
        <v>1</v>
      </c>
      <c r="D10" s="1473"/>
      <c r="E10" s="1473"/>
      <c r="F10" s="1473"/>
      <c r="G10" s="1474">
        <v>1700</v>
      </c>
      <c r="H10" s="1474">
        <v>800</v>
      </c>
      <c r="I10" s="131" t="s">
        <v>5</v>
      </c>
      <c r="J10" s="131"/>
      <c r="K10" s="131"/>
      <c r="L10" s="131"/>
      <c r="M10" s="175">
        <v>350</v>
      </c>
      <c r="N10" s="196">
        <v>500</v>
      </c>
      <c r="O10" s="735" t="s">
        <v>259</v>
      </c>
      <c r="P10" s="608"/>
      <c r="Q10" s="608" t="s">
        <v>44</v>
      </c>
      <c r="R10" s="609"/>
      <c r="S10" s="612"/>
      <c r="T10" s="627">
        <f>-1000-300</f>
        <v>-1300</v>
      </c>
      <c r="U10" s="627"/>
      <c r="V10" s="624"/>
      <c r="W10" s="634" t="s">
        <v>30</v>
      </c>
      <c r="X10" s="635"/>
      <c r="Y10" s="635"/>
      <c r="Z10" s="635"/>
      <c r="AA10" s="635"/>
      <c r="AB10" s="635">
        <f>+N20</f>
        <v>1240</v>
      </c>
      <c r="AC10" s="635">
        <f>+N21</f>
        <v>2382</v>
      </c>
      <c r="AD10" s="636">
        <f>SUM(AB10:AC10)</f>
        <v>3622</v>
      </c>
      <c r="AE10" s="665" t="s">
        <v>260</v>
      </c>
      <c r="AF10" s="608" t="s">
        <v>373</v>
      </c>
      <c r="AG10" s="661">
        <f>+G19</f>
        <v>3346</v>
      </c>
      <c r="AH10" s="662">
        <f>+H19</f>
        <v>2650</v>
      </c>
      <c r="AI10" s="661">
        <f t="shared" si="1"/>
        <v>-696</v>
      </c>
      <c r="AJ10" s="164"/>
      <c r="AK10" s="164"/>
      <c r="AL10" s="648"/>
      <c r="AM10" s="633"/>
      <c r="AN10" s="685" t="s">
        <v>731</v>
      </c>
      <c r="AO10" s="642"/>
      <c r="AP10" s="662"/>
      <c r="AQ10" s="736"/>
      <c r="AR10" s="680" t="s">
        <v>373</v>
      </c>
      <c r="AS10" s="661">
        <f t="shared" si="5"/>
        <v>3346</v>
      </c>
      <c r="AT10" s="661">
        <f t="shared" si="2"/>
        <v>2650</v>
      </c>
      <c r="AU10" s="661">
        <f t="shared" si="3"/>
        <v>-696</v>
      </c>
      <c r="AV10" s="691"/>
      <c r="AW10" s="691"/>
      <c r="AX10" s="810">
        <f t="shared" si="4"/>
        <v>-696</v>
      </c>
      <c r="AY10" s="772"/>
      <c r="AZ10" s="772"/>
      <c r="BA10" s="772"/>
      <c r="BB10" s="772"/>
      <c r="BC10" s="772"/>
      <c r="BD10" s="772"/>
      <c r="BE10" s="772"/>
      <c r="BF10" s="772"/>
      <c r="BG10" s="1468">
        <f>+AX10</f>
        <v>-696</v>
      </c>
      <c r="BH10" s="83"/>
      <c r="BI10" s="83"/>
      <c r="BJ10" s="83"/>
      <c r="BK10" s="83"/>
      <c r="BL10" s="1470">
        <f t="shared" si="6"/>
        <v>0</v>
      </c>
      <c r="BM10" s="769"/>
      <c r="BN10" s="276"/>
      <c r="BO10" s="694" t="s">
        <v>726</v>
      </c>
      <c r="BP10" s="685"/>
      <c r="BQ10" s="685"/>
      <c r="BR10" s="685"/>
      <c r="BS10" s="685"/>
      <c r="BT10" s="655"/>
      <c r="BU10" s="633"/>
      <c r="BV10" s="633"/>
      <c r="BW10" s="633"/>
      <c r="BX10" s="633"/>
      <c r="BY10" s="633"/>
      <c r="BZ10" s="633"/>
      <c r="CA10" s="655"/>
      <c r="CB10" s="276"/>
      <c r="CD10" s="135" t="s">
        <v>244</v>
      </c>
      <c r="CE10" s="206"/>
      <c r="CF10" s="206"/>
      <c r="CG10" s="206"/>
      <c r="CH10" s="1463">
        <f>+AO27</f>
        <v>50</v>
      </c>
    </row>
    <row r="11" spans="1:86" s="42" customFormat="1" x14ac:dyDescent="0.3">
      <c r="A11" s="20"/>
      <c r="B11" s="674" t="s">
        <v>259</v>
      </c>
      <c r="C11" s="195" t="s">
        <v>252</v>
      </c>
      <c r="D11" s="131"/>
      <c r="E11" s="131"/>
      <c r="F11" s="131"/>
      <c r="G11" s="175">
        <v>1300</v>
      </c>
      <c r="H11" s="175">
        <v>1600</v>
      </c>
      <c r="I11" s="131" t="s">
        <v>23</v>
      </c>
      <c r="J11" s="131"/>
      <c r="K11" s="131"/>
      <c r="L11" s="131"/>
      <c r="M11" s="175">
        <v>78</v>
      </c>
      <c r="N11" s="196">
        <v>90</v>
      </c>
      <c r="O11" s="735" t="s">
        <v>259</v>
      </c>
      <c r="P11" s="608"/>
      <c r="Q11" s="608" t="s">
        <v>38</v>
      </c>
      <c r="R11" s="609"/>
      <c r="S11" s="612"/>
      <c r="T11" s="627">
        <v>-1080</v>
      </c>
      <c r="U11" s="627"/>
      <c r="V11" s="624"/>
      <c r="W11" s="637" t="s">
        <v>522</v>
      </c>
      <c r="X11" s="638"/>
      <c r="Y11" s="638"/>
      <c r="Z11" s="638"/>
      <c r="AA11" s="638"/>
      <c r="AB11" s="639">
        <v>0</v>
      </c>
      <c r="AC11" s="639">
        <f>T18</f>
        <v>1205</v>
      </c>
      <c r="AD11" s="640">
        <f>SUM(AB11:AC11)</f>
        <v>1205</v>
      </c>
      <c r="AE11" s="666" t="s">
        <v>259</v>
      </c>
      <c r="AF11" s="608" t="s">
        <v>369</v>
      </c>
      <c r="AG11" s="661">
        <f t="shared" ref="AG11:AH16" si="7">-M9</f>
        <v>-740</v>
      </c>
      <c r="AH11" s="662">
        <f t="shared" si="7"/>
        <v>-1400</v>
      </c>
      <c r="AI11" s="661">
        <f t="shared" si="1"/>
        <v>-660</v>
      </c>
      <c r="AJ11" s="164"/>
      <c r="AK11" s="164"/>
      <c r="AL11" s="648"/>
      <c r="AM11" s="164" t="s">
        <v>112</v>
      </c>
      <c r="AN11" s="633" t="s">
        <v>674</v>
      </c>
      <c r="AO11" s="642">
        <f>+AP12</f>
        <v>300</v>
      </c>
      <c r="AP11" s="662"/>
      <c r="AQ11" s="736"/>
      <c r="AR11" s="680" t="s">
        <v>369</v>
      </c>
      <c r="AS11" s="661">
        <f t="shared" si="5"/>
        <v>-740</v>
      </c>
      <c r="AT11" s="661">
        <f t="shared" si="2"/>
        <v>-1400</v>
      </c>
      <c r="AU11" s="661">
        <f t="shared" si="3"/>
        <v>-660</v>
      </c>
      <c r="AV11" s="691"/>
      <c r="AW11" s="691"/>
      <c r="AX11" s="810">
        <f t="shared" si="4"/>
        <v>-660</v>
      </c>
      <c r="AY11" s="772"/>
      <c r="AZ11" s="772"/>
      <c r="BA11" s="772">
        <f>+AX11</f>
        <v>-660</v>
      </c>
      <c r="BB11" s="772"/>
      <c r="BC11" s="772"/>
      <c r="BD11" s="772"/>
      <c r="BE11" s="772"/>
      <c r="BF11" s="772"/>
      <c r="BG11" s="178"/>
      <c r="BH11" s="83"/>
      <c r="BI11" s="83"/>
      <c r="BJ11" s="83"/>
      <c r="BK11" s="83"/>
      <c r="BL11" s="1470">
        <f t="shared" si="6"/>
        <v>0</v>
      </c>
      <c r="BM11" s="769"/>
      <c r="BN11" s="276"/>
      <c r="BO11" s="694" t="s">
        <v>727</v>
      </c>
      <c r="BP11" s="685"/>
      <c r="BQ11" s="685"/>
      <c r="BR11" s="685"/>
      <c r="BS11" s="685"/>
      <c r="BT11" s="655"/>
      <c r="BU11" s="633"/>
      <c r="BV11" s="633"/>
      <c r="BW11" s="633"/>
      <c r="BX11" s="633"/>
      <c r="BY11" s="633"/>
      <c r="BZ11" s="633"/>
      <c r="CA11" s="655"/>
      <c r="CB11" s="276"/>
    </row>
    <row r="12" spans="1:86" s="42" customFormat="1" x14ac:dyDescent="0.3">
      <c r="A12" s="20"/>
      <c r="B12" s="674" t="s">
        <v>259</v>
      </c>
      <c r="C12" s="195" t="s">
        <v>710</v>
      </c>
      <c r="D12" s="131"/>
      <c r="E12" s="131"/>
      <c r="F12" s="131"/>
      <c r="G12" s="175">
        <v>200</v>
      </c>
      <c r="H12" s="175">
        <v>600</v>
      </c>
      <c r="I12" s="131" t="s">
        <v>27</v>
      </c>
      <c r="J12" s="131"/>
      <c r="K12" s="131"/>
      <c r="L12" s="131"/>
      <c r="M12" s="175">
        <v>80</v>
      </c>
      <c r="N12" s="196">
        <v>100</v>
      </c>
      <c r="O12" s="735" t="s">
        <v>259</v>
      </c>
      <c r="P12" s="608"/>
      <c r="Q12" s="608" t="s">
        <v>12</v>
      </c>
      <c r="R12" s="609"/>
      <c r="S12" s="615"/>
      <c r="T12" s="627">
        <v>-850</v>
      </c>
      <c r="U12" s="627"/>
      <c r="V12" s="624"/>
      <c r="W12" s="637" t="s">
        <v>271</v>
      </c>
      <c r="X12" s="641"/>
      <c r="Y12" s="641"/>
      <c r="Z12" s="641"/>
      <c r="AA12" s="641"/>
      <c r="AB12" s="639">
        <f>+AO23</f>
        <v>150</v>
      </c>
      <c r="AC12" s="639">
        <v>0</v>
      </c>
      <c r="AD12" s="640">
        <f>SUM(AB12:AC12)</f>
        <v>150</v>
      </c>
      <c r="AE12" s="666" t="s">
        <v>259</v>
      </c>
      <c r="AF12" s="608" t="s">
        <v>5</v>
      </c>
      <c r="AG12" s="661">
        <f t="shared" si="7"/>
        <v>-350</v>
      </c>
      <c r="AH12" s="662">
        <f t="shared" si="7"/>
        <v>-500</v>
      </c>
      <c r="AI12" s="661">
        <f t="shared" si="1"/>
        <v>-150</v>
      </c>
      <c r="AJ12" s="164"/>
      <c r="AK12" s="164"/>
      <c r="AL12" s="648"/>
      <c r="AM12" s="164" t="s">
        <v>113</v>
      </c>
      <c r="AN12" s="633" t="s">
        <v>264</v>
      </c>
      <c r="AO12" s="642"/>
      <c r="AP12" s="662">
        <f>+AB21</f>
        <v>300</v>
      </c>
      <c r="AQ12" s="735"/>
      <c r="AR12" s="680" t="s">
        <v>5</v>
      </c>
      <c r="AS12" s="661">
        <f t="shared" si="5"/>
        <v>-350</v>
      </c>
      <c r="AT12" s="661">
        <f t="shared" si="2"/>
        <v>-500</v>
      </c>
      <c r="AU12" s="661">
        <f t="shared" ref="AU12:AU20" si="8">+AT12-AS12</f>
        <v>-150</v>
      </c>
      <c r="AV12" s="691"/>
      <c r="AW12" s="691"/>
      <c r="AX12" s="810">
        <f t="shared" si="4"/>
        <v>-150</v>
      </c>
      <c r="AY12" s="772"/>
      <c r="AZ12" s="772"/>
      <c r="BA12" s="772"/>
      <c r="BB12" s="772">
        <f>+AX12</f>
        <v>-150</v>
      </c>
      <c r="BC12" s="772"/>
      <c r="BD12" s="772"/>
      <c r="BE12" s="772"/>
      <c r="BF12" s="772"/>
      <c r="BG12" s="178"/>
      <c r="BH12" s="83"/>
      <c r="BI12" s="83"/>
      <c r="BJ12" s="83"/>
      <c r="BK12" s="83"/>
      <c r="BL12" s="1470">
        <f t="shared" si="6"/>
        <v>0</v>
      </c>
      <c r="BM12" s="769"/>
      <c r="BN12" s="276"/>
      <c r="BO12" s="704" t="s">
        <v>384</v>
      </c>
      <c r="BP12" s="791"/>
      <c r="BQ12" s="791"/>
      <c r="BR12" s="791"/>
      <c r="BS12" s="791"/>
      <c r="BT12" s="705"/>
      <c r="BU12" s="713">
        <f>+CH5</f>
        <v>120</v>
      </c>
      <c r="BV12" s="713"/>
      <c r="BW12" s="713"/>
      <c r="BX12" s="713"/>
      <c r="BY12" s="713"/>
      <c r="BZ12" s="713"/>
      <c r="CA12" s="705">
        <f>SUM(BT12:BZ12)</f>
        <v>120</v>
      </c>
      <c r="CB12" s="276"/>
    </row>
    <row r="13" spans="1:86" s="42" customFormat="1" x14ac:dyDescent="0.3">
      <c r="A13" s="20"/>
      <c r="B13" s="674" t="s">
        <v>259</v>
      </c>
      <c r="C13" s="195" t="s">
        <v>674</v>
      </c>
      <c r="D13" s="131"/>
      <c r="E13" s="131"/>
      <c r="F13" s="131"/>
      <c r="G13" s="623">
        <v>1700</v>
      </c>
      <c r="H13" s="623">
        <v>2780</v>
      </c>
      <c r="I13" s="131" t="s">
        <v>251</v>
      </c>
      <c r="J13" s="131"/>
      <c r="K13" s="131"/>
      <c r="L13" s="131"/>
      <c r="M13" s="175">
        <v>118</v>
      </c>
      <c r="N13" s="196">
        <v>228</v>
      </c>
      <c r="O13" s="735" t="s">
        <v>259</v>
      </c>
      <c r="P13" s="608"/>
      <c r="Q13" s="728" t="s">
        <v>711</v>
      </c>
      <c r="R13" s="626"/>
      <c r="S13" s="626"/>
      <c r="T13" s="729">
        <v>40</v>
      </c>
      <c r="U13" s="625"/>
      <c r="V13" s="624"/>
      <c r="W13" s="637" t="s">
        <v>381</v>
      </c>
      <c r="X13" s="641"/>
      <c r="Y13" s="641"/>
      <c r="Z13" s="641"/>
      <c r="AA13" s="641"/>
      <c r="AB13" s="639">
        <f>-AC13</f>
        <v>50</v>
      </c>
      <c r="AC13" s="642">
        <v>-50</v>
      </c>
      <c r="AD13" s="640">
        <f>SUM(AB13:AC13)</f>
        <v>0</v>
      </c>
      <c r="AE13" s="666" t="s">
        <v>259</v>
      </c>
      <c r="AF13" s="608" t="s">
        <v>23</v>
      </c>
      <c r="AG13" s="661">
        <f t="shared" si="7"/>
        <v>-78</v>
      </c>
      <c r="AH13" s="662">
        <f t="shared" si="7"/>
        <v>-90</v>
      </c>
      <c r="AI13" s="661">
        <f t="shared" si="1"/>
        <v>-12</v>
      </c>
      <c r="AJ13" s="164"/>
      <c r="AK13" s="164"/>
      <c r="AL13" s="648"/>
      <c r="AM13" s="633"/>
      <c r="AN13" s="633"/>
      <c r="AO13" s="642"/>
      <c r="AP13" s="662"/>
      <c r="AQ13" s="735"/>
      <c r="AR13" s="680" t="s">
        <v>23</v>
      </c>
      <c r="AS13" s="661">
        <f t="shared" si="5"/>
        <v>-78</v>
      </c>
      <c r="AT13" s="661">
        <f t="shared" si="2"/>
        <v>-90</v>
      </c>
      <c r="AU13" s="661">
        <f t="shared" si="8"/>
        <v>-12</v>
      </c>
      <c r="AV13" s="691"/>
      <c r="AW13" s="691"/>
      <c r="AX13" s="810">
        <f t="shared" si="4"/>
        <v>-12</v>
      </c>
      <c r="AY13" s="772"/>
      <c r="AZ13" s="772"/>
      <c r="BA13" s="772"/>
      <c r="BB13" s="772"/>
      <c r="BC13" s="772">
        <f>+AX13</f>
        <v>-12</v>
      </c>
      <c r="BD13" s="772"/>
      <c r="BE13" s="772"/>
      <c r="BF13" s="772"/>
      <c r="BG13" s="178"/>
      <c r="BH13" s="83"/>
      <c r="BI13" s="83"/>
      <c r="BJ13" s="83"/>
      <c r="BK13" s="83"/>
      <c r="BL13" s="1470">
        <f t="shared" si="6"/>
        <v>0</v>
      </c>
      <c r="BM13" s="769"/>
      <c r="BN13" s="276"/>
      <c r="BO13" s="704" t="s">
        <v>732</v>
      </c>
      <c r="BP13" s="791"/>
      <c r="BQ13" s="791"/>
      <c r="BR13" s="791"/>
      <c r="BS13" s="791"/>
      <c r="BT13" s="705"/>
      <c r="BU13" s="713"/>
      <c r="BV13" s="713">
        <f>+CH6</f>
        <v>300</v>
      </c>
      <c r="BW13" s="713"/>
      <c r="BX13" s="713"/>
      <c r="BY13" s="713"/>
      <c r="BZ13" s="713"/>
      <c r="CA13" s="705">
        <f>SUM(BT13:BZ13)</f>
        <v>300</v>
      </c>
      <c r="CB13" s="276"/>
    </row>
    <row r="14" spans="1:86" s="42" customFormat="1" x14ac:dyDescent="0.3">
      <c r="A14" s="20"/>
      <c r="B14" s="674"/>
      <c r="C14" s="744"/>
      <c r="D14" s="181"/>
      <c r="E14" s="181"/>
      <c r="F14" s="181"/>
      <c r="G14" s="180">
        <f>SUM(G10:G13)</f>
        <v>4900</v>
      </c>
      <c r="H14" s="180">
        <f>SUM(H10:H13)</f>
        <v>5780</v>
      </c>
      <c r="I14" s="131" t="s">
        <v>6</v>
      </c>
      <c r="J14" s="131"/>
      <c r="K14" s="131"/>
      <c r="L14" s="131"/>
      <c r="M14" s="623">
        <v>880</v>
      </c>
      <c r="N14" s="747">
        <v>290</v>
      </c>
      <c r="O14" s="735" t="s">
        <v>261</v>
      </c>
      <c r="P14" s="608"/>
      <c r="Q14" s="611" t="s">
        <v>14</v>
      </c>
      <c r="R14" s="610"/>
      <c r="S14" s="612"/>
      <c r="T14" s="625">
        <f>SUM(T9:T13)</f>
        <v>1810</v>
      </c>
      <c r="U14" s="613"/>
      <c r="V14" s="164"/>
      <c r="W14" s="637" t="s">
        <v>272</v>
      </c>
      <c r="X14" s="641"/>
      <c r="Y14" s="641"/>
      <c r="Z14" s="641"/>
      <c r="AA14" s="641"/>
      <c r="AB14" s="639">
        <f>210-50</f>
        <v>160</v>
      </c>
      <c r="AC14" s="639">
        <v>0</v>
      </c>
      <c r="AD14" s="640">
        <f>SUM(AB14:AC14)</f>
        <v>160</v>
      </c>
      <c r="AE14" s="666" t="s">
        <v>259</v>
      </c>
      <c r="AF14" s="608" t="s">
        <v>27</v>
      </c>
      <c r="AG14" s="661">
        <f t="shared" si="7"/>
        <v>-80</v>
      </c>
      <c r="AH14" s="662">
        <f t="shared" si="7"/>
        <v>-100</v>
      </c>
      <c r="AI14" s="661">
        <f t="shared" si="1"/>
        <v>-20</v>
      </c>
      <c r="AJ14" s="164"/>
      <c r="AK14" s="164"/>
      <c r="AL14" s="648"/>
      <c r="AM14" s="633"/>
      <c r="AN14" s="685" t="s">
        <v>150</v>
      </c>
      <c r="AO14" s="642"/>
      <c r="AP14" s="662"/>
      <c r="AQ14" s="735"/>
      <c r="AR14" s="680" t="s">
        <v>27</v>
      </c>
      <c r="AS14" s="661">
        <f t="shared" si="5"/>
        <v>-80</v>
      </c>
      <c r="AT14" s="661">
        <f t="shared" si="2"/>
        <v>-100</v>
      </c>
      <c r="AU14" s="661">
        <f t="shared" si="8"/>
        <v>-20</v>
      </c>
      <c r="AV14" s="691"/>
      <c r="AW14" s="691"/>
      <c r="AX14" s="810">
        <f t="shared" si="4"/>
        <v>-20</v>
      </c>
      <c r="AY14" s="772"/>
      <c r="AZ14" s="772"/>
      <c r="BA14" s="772"/>
      <c r="BB14" s="772"/>
      <c r="BC14" s="772"/>
      <c r="BD14" s="772"/>
      <c r="BE14" s="772"/>
      <c r="BF14" s="772">
        <f>+AX14</f>
        <v>-20</v>
      </c>
      <c r="BG14" s="178"/>
      <c r="BH14" s="83"/>
      <c r="BI14" s="83"/>
      <c r="BJ14" s="83"/>
      <c r="BK14" s="83"/>
      <c r="BL14" s="1470">
        <f t="shared" si="6"/>
        <v>0</v>
      </c>
      <c r="BM14" s="769"/>
      <c r="BN14" s="276"/>
      <c r="BO14" s="704" t="s">
        <v>385</v>
      </c>
      <c r="BP14" s="791"/>
      <c r="BQ14" s="791"/>
      <c r="BR14" s="791"/>
      <c r="BS14" s="791"/>
      <c r="BT14" s="705"/>
      <c r="BU14" s="713"/>
      <c r="BV14" s="713"/>
      <c r="BW14" s="713">
        <v>-100</v>
      </c>
      <c r="BX14" s="713"/>
      <c r="BY14" s="713"/>
      <c r="BZ14" s="713"/>
      <c r="CA14" s="705">
        <f>SUM(BT14:BZ14)</f>
        <v>-100</v>
      </c>
      <c r="CB14" s="276"/>
    </row>
    <row r="15" spans="1:86" s="42" customFormat="1" x14ac:dyDescent="0.3">
      <c r="A15" s="20"/>
      <c r="B15" s="674"/>
      <c r="C15" s="744"/>
      <c r="D15" s="181"/>
      <c r="E15" s="181"/>
      <c r="F15" s="181"/>
      <c r="G15" s="180"/>
      <c r="H15" s="180"/>
      <c r="I15" s="131"/>
      <c r="J15" s="131"/>
      <c r="K15" s="131"/>
      <c r="L15" s="131"/>
      <c r="M15" s="748">
        <f>SUM(M9:M14)</f>
        <v>2246</v>
      </c>
      <c r="N15" s="749">
        <f>SUM(N9:N14)</f>
        <v>2608</v>
      </c>
      <c r="O15" s="736"/>
      <c r="P15" s="608"/>
      <c r="Q15" s="728" t="s">
        <v>45</v>
      </c>
      <c r="R15" s="626"/>
      <c r="S15" s="614"/>
      <c r="T15" s="729">
        <v>-105</v>
      </c>
      <c r="U15" s="627"/>
      <c r="V15" s="624"/>
      <c r="W15" s="637" t="s">
        <v>273</v>
      </c>
      <c r="X15" s="638"/>
      <c r="Y15" s="638"/>
      <c r="Z15" s="638"/>
      <c r="AA15" s="638"/>
      <c r="AB15" s="643">
        <v>0</v>
      </c>
      <c r="AC15" s="644">
        <v>-537</v>
      </c>
      <c r="AD15" s="645">
        <f>+AC15</f>
        <v>-537</v>
      </c>
      <c r="AE15" s="666" t="s">
        <v>259</v>
      </c>
      <c r="AF15" s="608" t="s">
        <v>251</v>
      </c>
      <c r="AG15" s="661">
        <f t="shared" si="7"/>
        <v>-118</v>
      </c>
      <c r="AH15" s="662">
        <f t="shared" si="7"/>
        <v>-228</v>
      </c>
      <c r="AI15" s="661">
        <f t="shared" si="1"/>
        <v>-110</v>
      </c>
      <c r="AJ15" s="164"/>
      <c r="AK15" s="164"/>
      <c r="AL15" s="648"/>
      <c r="AM15" s="164" t="s">
        <v>113</v>
      </c>
      <c r="AN15" s="633" t="s">
        <v>15</v>
      </c>
      <c r="AO15" s="642">
        <f>+AP16</f>
        <v>100</v>
      </c>
      <c r="AP15" s="662"/>
      <c r="AQ15" s="735"/>
      <c r="AR15" s="680" t="s">
        <v>251</v>
      </c>
      <c r="AS15" s="661">
        <f t="shared" si="5"/>
        <v>-118</v>
      </c>
      <c r="AT15" s="661">
        <f t="shared" si="2"/>
        <v>-228</v>
      </c>
      <c r="AU15" s="661">
        <f t="shared" si="8"/>
        <v>-110</v>
      </c>
      <c r="AV15" s="691"/>
      <c r="AW15" s="691"/>
      <c r="AX15" s="810">
        <f t="shared" si="4"/>
        <v>-110</v>
      </c>
      <c r="AY15" s="772"/>
      <c r="AZ15" s="772"/>
      <c r="BA15" s="772"/>
      <c r="BB15" s="772"/>
      <c r="BC15" s="772"/>
      <c r="BD15" s="772">
        <f>+AX15</f>
        <v>-110</v>
      </c>
      <c r="BE15" s="772"/>
      <c r="BF15" s="772"/>
      <c r="BG15" s="178"/>
      <c r="BH15" s="83"/>
      <c r="BI15" s="83"/>
      <c r="BJ15" s="83"/>
      <c r="BK15" s="83"/>
      <c r="BL15" s="1470">
        <f t="shared" si="6"/>
        <v>0</v>
      </c>
      <c r="BM15" s="769"/>
      <c r="BN15" s="276"/>
      <c r="BO15" s="704" t="s">
        <v>383</v>
      </c>
      <c r="BP15" s="791"/>
      <c r="BQ15" s="791"/>
      <c r="BR15" s="791"/>
      <c r="BS15" s="791"/>
      <c r="BT15" s="705"/>
      <c r="BU15" s="713"/>
      <c r="BV15" s="713"/>
      <c r="BW15" s="713"/>
      <c r="BX15" s="713">
        <f>+CH8</f>
        <v>1080</v>
      </c>
      <c r="BY15" s="713"/>
      <c r="BZ15" s="713"/>
      <c r="CA15" s="705">
        <f>SUM(BT15:BZ15)</f>
        <v>1080</v>
      </c>
      <c r="CB15" s="276"/>
    </row>
    <row r="16" spans="1:86" s="42" customFormat="1" x14ac:dyDescent="0.3">
      <c r="A16" s="20"/>
      <c r="B16" s="674"/>
      <c r="C16" s="744"/>
      <c r="D16" s="181"/>
      <c r="E16" s="181"/>
      <c r="F16" s="181"/>
      <c r="G16" s="175"/>
      <c r="H16" s="175"/>
      <c r="I16" s="181" t="s">
        <v>60</v>
      </c>
      <c r="J16" s="181"/>
      <c r="K16" s="181"/>
      <c r="L16" s="181"/>
      <c r="M16" s="131"/>
      <c r="N16" s="750"/>
      <c r="O16" s="735"/>
      <c r="P16" s="608"/>
      <c r="Q16" s="611" t="s">
        <v>89</v>
      </c>
      <c r="R16" s="610"/>
      <c r="S16" s="612"/>
      <c r="T16" s="625">
        <f>SUM(T14:T15)</f>
        <v>1705</v>
      </c>
      <c r="U16" s="627"/>
      <c r="V16" s="624"/>
      <c r="W16" s="717" t="s">
        <v>32</v>
      </c>
      <c r="X16" s="643"/>
      <c r="Y16" s="643"/>
      <c r="Z16" s="643"/>
      <c r="AA16" s="643"/>
      <c r="AB16" s="646">
        <f>SUM(AB10:AB15)</f>
        <v>1600</v>
      </c>
      <c r="AC16" s="646">
        <f>SUM(AC10:AC15)</f>
        <v>3000</v>
      </c>
      <c r="AD16" s="647">
        <f>SUM(AD10:AD15)</f>
        <v>4600</v>
      </c>
      <c r="AE16" s="666" t="s">
        <v>261</v>
      </c>
      <c r="AF16" s="608" t="s">
        <v>6</v>
      </c>
      <c r="AG16" s="661">
        <f t="shared" si="7"/>
        <v>-880</v>
      </c>
      <c r="AH16" s="661">
        <f t="shared" si="7"/>
        <v>-290</v>
      </c>
      <c r="AI16" s="661">
        <f t="shared" si="1"/>
        <v>590</v>
      </c>
      <c r="AJ16" s="164"/>
      <c r="AK16" s="164"/>
      <c r="AL16" s="648"/>
      <c r="AM16" s="164" t="s">
        <v>112</v>
      </c>
      <c r="AN16" s="633" t="s">
        <v>150</v>
      </c>
      <c r="AO16" s="642"/>
      <c r="AP16" s="662">
        <f>+AB22</f>
        <v>100</v>
      </c>
      <c r="AQ16" s="735"/>
      <c r="AR16" s="680" t="s">
        <v>6</v>
      </c>
      <c r="AS16" s="661">
        <f t="shared" si="5"/>
        <v>-880</v>
      </c>
      <c r="AT16" s="661">
        <f t="shared" si="2"/>
        <v>-290</v>
      </c>
      <c r="AU16" s="661">
        <f t="shared" si="8"/>
        <v>590</v>
      </c>
      <c r="AV16" s="691"/>
      <c r="AW16" s="691"/>
      <c r="AX16" s="810">
        <f t="shared" si="4"/>
        <v>590</v>
      </c>
      <c r="AY16" s="772"/>
      <c r="AZ16" s="772"/>
      <c r="BA16" s="772"/>
      <c r="BB16" s="772"/>
      <c r="BC16" s="772"/>
      <c r="BD16" s="772"/>
      <c r="BE16" s="772"/>
      <c r="BF16" s="772"/>
      <c r="BG16" s="178"/>
      <c r="BH16" s="811">
        <f>+AX16</f>
        <v>590</v>
      </c>
      <c r="BI16" s="83"/>
      <c r="BJ16" s="83"/>
      <c r="BK16" s="83"/>
      <c r="BL16" s="1470">
        <f t="shared" si="6"/>
        <v>0</v>
      </c>
      <c r="BM16" s="769"/>
      <c r="BN16" s="276"/>
      <c r="BO16" s="706"/>
      <c r="BP16" s="792"/>
      <c r="BQ16" s="792"/>
      <c r="BR16" s="792"/>
      <c r="BS16" s="792"/>
      <c r="BT16" s="705"/>
      <c r="BU16" s="713"/>
      <c r="BV16" s="713"/>
      <c r="BW16" s="713"/>
      <c r="BX16" s="713"/>
      <c r="BY16" s="713"/>
      <c r="BZ16" s="713"/>
      <c r="CA16" s="705"/>
      <c r="CB16" s="276"/>
    </row>
    <row r="17" spans="1:80" s="42" customFormat="1" x14ac:dyDescent="0.3">
      <c r="A17" s="20"/>
      <c r="B17" s="674"/>
      <c r="C17" s="744" t="s">
        <v>58</v>
      </c>
      <c r="D17" s="181"/>
      <c r="E17" s="181"/>
      <c r="F17" s="181"/>
      <c r="G17" s="175"/>
      <c r="H17" s="175"/>
      <c r="I17" s="131" t="s">
        <v>6</v>
      </c>
      <c r="J17" s="131"/>
      <c r="K17" s="131"/>
      <c r="L17" s="131"/>
      <c r="M17" s="623">
        <v>1800</v>
      </c>
      <c r="N17" s="747">
        <v>2500</v>
      </c>
      <c r="O17" s="735"/>
      <c r="P17" s="608"/>
      <c r="Q17" s="728" t="s">
        <v>15</v>
      </c>
      <c r="R17" s="626"/>
      <c r="S17" s="614"/>
      <c r="T17" s="729">
        <v>-500</v>
      </c>
      <c r="U17" s="627"/>
      <c r="V17" s="624"/>
      <c r="W17" s="648"/>
      <c r="X17" s="633"/>
      <c r="Y17" s="633"/>
      <c r="Z17" s="633"/>
      <c r="AA17" s="638"/>
      <c r="AB17" s="638"/>
      <c r="AC17" s="638"/>
      <c r="AD17" s="649"/>
      <c r="AE17" s="666" t="s">
        <v>261</v>
      </c>
      <c r="AF17" s="608" t="s">
        <v>6</v>
      </c>
      <c r="AG17" s="661">
        <f>-M17</f>
        <v>-1800</v>
      </c>
      <c r="AH17" s="661">
        <f>-N17</f>
        <v>-2500</v>
      </c>
      <c r="AI17" s="661">
        <f t="shared" ref="AI17:AI27" si="9">+AH17-AG17</f>
        <v>-700</v>
      </c>
      <c r="AJ17" s="164"/>
      <c r="AK17" s="689">
        <f>SUM(AI6:AI28)</f>
        <v>900</v>
      </c>
      <c r="AL17" s="648"/>
      <c r="AM17" s="633"/>
      <c r="AN17" s="633"/>
      <c r="AO17" s="642"/>
      <c r="AP17" s="662"/>
      <c r="AQ17" s="735"/>
      <c r="AR17" s="680" t="s">
        <v>6</v>
      </c>
      <c r="AS17" s="661">
        <f t="shared" si="5"/>
        <v>-1800</v>
      </c>
      <c r="AT17" s="661">
        <f t="shared" si="2"/>
        <v>-2500</v>
      </c>
      <c r="AU17" s="661">
        <f t="shared" si="8"/>
        <v>-700</v>
      </c>
      <c r="AV17" s="691"/>
      <c r="AW17" s="691"/>
      <c r="AX17" s="810">
        <f t="shared" si="4"/>
        <v>-700</v>
      </c>
      <c r="AY17" s="811"/>
      <c r="AZ17" s="811"/>
      <c r="BA17" s="811"/>
      <c r="BB17" s="811"/>
      <c r="BC17" s="811"/>
      <c r="BD17" s="811"/>
      <c r="BE17" s="811"/>
      <c r="BF17" s="811"/>
      <c r="BG17" s="178"/>
      <c r="BH17" s="83"/>
      <c r="BI17" s="811">
        <f>+AX17</f>
        <v>-700</v>
      </c>
      <c r="BJ17" s="83"/>
      <c r="BK17" s="83"/>
      <c r="BL17" s="1470">
        <f t="shared" si="6"/>
        <v>0</v>
      </c>
      <c r="BM17" s="769"/>
      <c r="BN17" s="276"/>
      <c r="BO17" s="648"/>
      <c r="BP17" s="633"/>
      <c r="BQ17" s="633"/>
      <c r="BR17" s="633"/>
      <c r="BS17" s="633"/>
      <c r="BT17" s="705"/>
      <c r="BU17" s="713"/>
      <c r="BV17" s="713"/>
      <c r="BW17" s="713"/>
      <c r="BX17" s="713"/>
      <c r="BY17" s="713"/>
      <c r="BZ17" s="713"/>
      <c r="CA17" s="705"/>
      <c r="CB17" s="276"/>
    </row>
    <row r="18" spans="1:80" s="42" customFormat="1" x14ac:dyDescent="0.3">
      <c r="A18" s="20"/>
      <c r="B18" s="674" t="s">
        <v>259</v>
      </c>
      <c r="C18" s="195" t="s">
        <v>150</v>
      </c>
      <c r="D18" s="131"/>
      <c r="E18" s="131"/>
      <c r="F18" s="131"/>
      <c r="G18" s="175">
        <v>400</v>
      </c>
      <c r="H18" s="175">
        <v>300</v>
      </c>
      <c r="I18" s="181" t="s">
        <v>55</v>
      </c>
      <c r="J18" s="181"/>
      <c r="K18" s="181"/>
      <c r="L18" s="181"/>
      <c r="M18" s="187">
        <f>SUM(M15:M17)</f>
        <v>4046</v>
      </c>
      <c r="N18" s="751">
        <f>SUM(N15:N17)</f>
        <v>5108</v>
      </c>
      <c r="O18" s="735"/>
      <c r="P18" s="608"/>
      <c r="Q18" s="618" t="s">
        <v>16</v>
      </c>
      <c r="R18" s="619"/>
      <c r="S18" s="614"/>
      <c r="T18" s="617">
        <f>+T16+T17</f>
        <v>1205</v>
      </c>
      <c r="U18" s="627"/>
      <c r="V18" s="624"/>
      <c r="W18" s="718" t="s">
        <v>737</v>
      </c>
      <c r="X18" s="600"/>
      <c r="Y18" s="600"/>
      <c r="Z18" s="600"/>
      <c r="AA18" s="600"/>
      <c r="AB18" s="600"/>
      <c r="AC18" s="600"/>
      <c r="AD18" s="737"/>
      <c r="AE18" s="666" t="s">
        <v>261</v>
      </c>
      <c r="AF18" s="608" t="s">
        <v>7</v>
      </c>
      <c r="AG18" s="661">
        <f>-M20</f>
        <v>-1600</v>
      </c>
      <c r="AH18" s="662">
        <f>-N20</f>
        <v>-1240</v>
      </c>
      <c r="AI18" s="661">
        <f>+AH18-AG18</f>
        <v>360</v>
      </c>
      <c r="AJ18" s="164"/>
      <c r="AK18" s="164"/>
      <c r="AL18" s="648"/>
      <c r="AM18" s="633"/>
      <c r="AN18" s="685" t="s">
        <v>149</v>
      </c>
      <c r="AO18" s="642"/>
      <c r="AP18" s="662"/>
      <c r="AQ18" s="735"/>
      <c r="AR18" s="680" t="s">
        <v>7</v>
      </c>
      <c r="AS18" s="661">
        <f t="shared" si="5"/>
        <v>-1600</v>
      </c>
      <c r="AT18" s="661">
        <f t="shared" si="2"/>
        <v>-1240</v>
      </c>
      <c r="AU18" s="661">
        <f t="shared" si="8"/>
        <v>360</v>
      </c>
      <c r="AV18" s="691"/>
      <c r="AW18" s="691"/>
      <c r="AX18" s="810">
        <f t="shared" si="4"/>
        <v>360</v>
      </c>
      <c r="AY18" s="811"/>
      <c r="AZ18" s="811"/>
      <c r="BA18" s="811"/>
      <c r="BB18" s="811"/>
      <c r="BC18" s="811"/>
      <c r="BD18" s="811"/>
      <c r="BE18" s="811"/>
      <c r="BF18" s="811"/>
      <c r="BG18" s="178"/>
      <c r="BH18" s="83"/>
      <c r="BI18" s="83"/>
      <c r="BJ18" s="811">
        <f>+AX18</f>
        <v>360</v>
      </c>
      <c r="BK18" s="83"/>
      <c r="BL18" s="1470">
        <f t="shared" si="6"/>
        <v>0</v>
      </c>
      <c r="BM18" s="769"/>
      <c r="BN18" s="276"/>
      <c r="BO18" s="694" t="s">
        <v>359</v>
      </c>
      <c r="BP18" s="685"/>
      <c r="BQ18" s="685"/>
      <c r="BR18" s="685"/>
      <c r="BS18" s="685"/>
      <c r="BT18" s="655"/>
      <c r="BU18" s="633"/>
      <c r="BV18" s="633"/>
      <c r="BW18" s="633"/>
      <c r="BX18" s="633"/>
      <c r="BY18" s="633"/>
      <c r="BZ18" s="633"/>
      <c r="CA18" s="655"/>
      <c r="CB18" s="276"/>
    </row>
    <row r="19" spans="1:80" s="42" customFormat="1" x14ac:dyDescent="0.3">
      <c r="A19" s="20"/>
      <c r="B19" s="674" t="s">
        <v>260</v>
      </c>
      <c r="C19" s="195" t="s">
        <v>373</v>
      </c>
      <c r="D19" s="131"/>
      <c r="E19" s="131"/>
      <c r="F19" s="131"/>
      <c r="G19" s="623">
        <f>3346</f>
        <v>3346</v>
      </c>
      <c r="H19" s="623">
        <v>2650</v>
      </c>
      <c r="I19" s="131"/>
      <c r="J19" s="131"/>
      <c r="K19" s="131"/>
      <c r="L19" s="131"/>
      <c r="M19" s="131"/>
      <c r="N19" s="194"/>
      <c r="O19" s="735"/>
      <c r="P19" s="189"/>
      <c r="Q19" s="189"/>
      <c r="R19" s="189"/>
      <c r="S19" s="189"/>
      <c r="T19" s="189"/>
      <c r="U19" s="189"/>
      <c r="V19" s="624"/>
      <c r="W19" s="738" t="s">
        <v>738</v>
      </c>
      <c r="X19" s="716"/>
      <c r="Y19" s="716"/>
      <c r="Z19" s="716"/>
      <c r="AA19" s="716"/>
      <c r="AB19" s="633"/>
      <c r="AC19" s="715" t="s">
        <v>734</v>
      </c>
      <c r="AD19" s="655"/>
      <c r="AE19" s="666" t="s">
        <v>261</v>
      </c>
      <c r="AF19" s="608" t="s">
        <v>8</v>
      </c>
      <c r="AG19" s="661">
        <f>-(+M21-T18)</f>
        <v>-1795</v>
      </c>
      <c r="AH19" s="662">
        <f>-N21</f>
        <v>-2382</v>
      </c>
      <c r="AI19" s="661">
        <f>+AH19-AG19</f>
        <v>-587</v>
      </c>
      <c r="AJ19" s="164"/>
      <c r="AK19" s="164"/>
      <c r="AL19" s="648"/>
      <c r="AM19" s="164" t="s">
        <v>112</v>
      </c>
      <c r="AN19" s="686" t="s">
        <v>263</v>
      </c>
      <c r="AO19" s="642">
        <f>+AP20</f>
        <v>1080</v>
      </c>
      <c r="AP19" s="662"/>
      <c r="AQ19" s="735"/>
      <c r="AR19" s="680" t="s">
        <v>8</v>
      </c>
      <c r="AS19" s="661">
        <f t="shared" si="5"/>
        <v>-1795</v>
      </c>
      <c r="AT19" s="661">
        <f t="shared" si="2"/>
        <v>-2382</v>
      </c>
      <c r="AU19" s="661">
        <f t="shared" si="8"/>
        <v>-587</v>
      </c>
      <c r="AV19" s="691"/>
      <c r="AW19" s="691"/>
      <c r="AX19" s="810">
        <f t="shared" si="4"/>
        <v>-587</v>
      </c>
      <c r="AY19" s="811"/>
      <c r="AZ19" s="811"/>
      <c r="BA19" s="811"/>
      <c r="BB19" s="811"/>
      <c r="BC19" s="811"/>
      <c r="BD19" s="811"/>
      <c r="BE19" s="811"/>
      <c r="BF19" s="811"/>
      <c r="BG19" s="178"/>
      <c r="BH19" s="83"/>
      <c r="BI19" s="83"/>
      <c r="BJ19" s="83"/>
      <c r="BK19" s="811">
        <f>+AX19</f>
        <v>-587</v>
      </c>
      <c r="BL19" s="1470">
        <f t="shared" si="6"/>
        <v>0</v>
      </c>
      <c r="BM19" s="769"/>
      <c r="BN19" s="276"/>
      <c r="BO19" s="704" t="s">
        <v>718</v>
      </c>
      <c r="BP19" s="791"/>
      <c r="BQ19" s="791"/>
      <c r="BR19" s="791"/>
      <c r="BS19" s="791"/>
      <c r="BT19" s="705">
        <f>+AY6</f>
        <v>300</v>
      </c>
      <c r="BU19" s="713">
        <f>-BU12</f>
        <v>-120</v>
      </c>
      <c r="BV19" s="713"/>
      <c r="BW19" s="713"/>
      <c r="BX19" s="713"/>
      <c r="BY19" s="713"/>
      <c r="BZ19" s="713"/>
      <c r="CA19" s="705">
        <f t="shared" ref="CA19:CA27" si="10">SUM(BT19:BZ19)</f>
        <v>180</v>
      </c>
      <c r="CB19" s="276"/>
    </row>
    <row r="20" spans="1:80" s="42" customFormat="1" x14ac:dyDescent="0.3">
      <c r="A20" s="20"/>
      <c r="B20" s="674"/>
      <c r="C20" s="195"/>
      <c r="D20" s="131"/>
      <c r="E20" s="131"/>
      <c r="F20" s="131"/>
      <c r="G20" s="187">
        <f>+G18+G19</f>
        <v>3746</v>
      </c>
      <c r="H20" s="187">
        <f>+H18+H19</f>
        <v>2950</v>
      </c>
      <c r="I20" s="131" t="s">
        <v>7</v>
      </c>
      <c r="J20" s="131"/>
      <c r="K20" s="131"/>
      <c r="L20" s="131"/>
      <c r="M20" s="175">
        <v>1600</v>
      </c>
      <c r="N20" s="196">
        <v>1240</v>
      </c>
      <c r="O20" s="735" t="s">
        <v>261</v>
      </c>
      <c r="P20" s="189"/>
      <c r="Q20" s="189"/>
      <c r="R20" s="189"/>
      <c r="S20" s="189"/>
      <c r="T20" s="189"/>
      <c r="U20" s="189"/>
      <c r="V20" s="624"/>
      <c r="W20" s="648" t="s">
        <v>92</v>
      </c>
      <c r="X20" s="633"/>
      <c r="Y20" s="633"/>
      <c r="Z20" s="633"/>
      <c r="AA20" s="633"/>
      <c r="AB20" s="633">
        <v>120</v>
      </c>
      <c r="AC20" s="633" t="s">
        <v>735</v>
      </c>
      <c r="AD20" s="655"/>
      <c r="AE20" s="665" t="s">
        <v>259</v>
      </c>
      <c r="AF20" s="608" t="s">
        <v>9</v>
      </c>
      <c r="AG20" s="661">
        <f>-T7</f>
        <v>-20000</v>
      </c>
      <c r="AH20" s="662"/>
      <c r="AI20" s="661">
        <f>+AH20-AG20</f>
        <v>20000</v>
      </c>
      <c r="AJ20" s="164"/>
      <c r="AK20" s="164"/>
      <c r="AL20" s="648"/>
      <c r="AM20" s="164" t="s">
        <v>113</v>
      </c>
      <c r="AN20" s="686" t="s">
        <v>69</v>
      </c>
      <c r="AO20" s="642"/>
      <c r="AP20" s="662">
        <f>+AB23</f>
        <v>1080</v>
      </c>
      <c r="AQ20" s="736"/>
      <c r="AR20" s="680" t="s">
        <v>9</v>
      </c>
      <c r="AS20" s="661">
        <f t="shared" si="5"/>
        <v>-20000</v>
      </c>
      <c r="AT20" s="661">
        <f t="shared" si="2"/>
        <v>0</v>
      </c>
      <c r="AU20" s="661">
        <f t="shared" si="8"/>
        <v>20000</v>
      </c>
      <c r="AV20" s="691"/>
      <c r="AW20" s="691"/>
      <c r="AX20" s="810">
        <f t="shared" si="4"/>
        <v>20000</v>
      </c>
      <c r="AY20" s="811">
        <f>+AX20</f>
        <v>20000</v>
      </c>
      <c r="AZ20" s="811"/>
      <c r="BA20" s="811"/>
      <c r="BB20" s="811"/>
      <c r="BC20" s="811"/>
      <c r="BD20" s="811"/>
      <c r="BE20" s="811"/>
      <c r="BF20" s="811"/>
      <c r="BG20" s="178"/>
      <c r="BH20" s="83"/>
      <c r="BI20" s="83"/>
      <c r="BJ20" s="83"/>
      <c r="BK20" s="83"/>
      <c r="BL20" s="1470">
        <f t="shared" si="6"/>
        <v>0</v>
      </c>
      <c r="BM20" s="769"/>
      <c r="BN20" s="276"/>
      <c r="BO20" s="704" t="s">
        <v>716</v>
      </c>
      <c r="BP20" s="791"/>
      <c r="BQ20" s="791"/>
      <c r="BR20" s="791"/>
      <c r="BS20" s="791"/>
      <c r="BT20" s="705">
        <f>+AZ7</f>
        <v>400</v>
      </c>
      <c r="BU20" s="713"/>
      <c r="BV20" s="713"/>
      <c r="BW20" s="713"/>
      <c r="BX20" s="713"/>
      <c r="BY20" s="713"/>
      <c r="BZ20" s="713"/>
      <c r="CA20" s="705">
        <f t="shared" si="10"/>
        <v>400</v>
      </c>
      <c r="CB20" s="276"/>
    </row>
    <row r="21" spans="1:80" s="42" customFormat="1" x14ac:dyDescent="0.3">
      <c r="A21" s="20"/>
      <c r="B21" s="674"/>
      <c r="C21" s="195"/>
      <c r="D21" s="131"/>
      <c r="E21" s="131"/>
      <c r="F21" s="131"/>
      <c r="G21" s="131"/>
      <c r="H21" s="131"/>
      <c r="I21" s="131" t="s">
        <v>8</v>
      </c>
      <c r="J21" s="131"/>
      <c r="K21" s="131"/>
      <c r="L21" s="131"/>
      <c r="M21" s="623">
        <v>3000</v>
      </c>
      <c r="N21" s="747">
        <v>2382</v>
      </c>
      <c r="O21" s="735" t="s">
        <v>261</v>
      </c>
      <c r="P21" s="189"/>
      <c r="Q21" s="189"/>
      <c r="R21" s="189"/>
      <c r="S21" s="189"/>
      <c r="T21" s="189"/>
      <c r="U21" s="189"/>
      <c r="V21" s="624"/>
      <c r="W21" s="648" t="s">
        <v>730</v>
      </c>
      <c r="X21" s="633"/>
      <c r="Y21" s="633"/>
      <c r="Z21" s="633"/>
      <c r="AA21" s="633"/>
      <c r="AB21" s="713">
        <v>300</v>
      </c>
      <c r="AC21" s="633" t="s">
        <v>735</v>
      </c>
      <c r="AD21" s="655"/>
      <c r="AE21" s="665" t="s">
        <v>259</v>
      </c>
      <c r="AF21" s="608" t="s">
        <v>10</v>
      </c>
      <c r="AG21" s="661"/>
      <c r="AH21" s="662"/>
      <c r="AI21" s="661"/>
      <c r="AJ21" s="164"/>
      <c r="AK21" s="164"/>
      <c r="AL21" s="648"/>
      <c r="AM21" s="633"/>
      <c r="AN21" s="633"/>
      <c r="AO21" s="633"/>
      <c r="AP21" s="655"/>
      <c r="AQ21" s="736"/>
      <c r="AR21" s="680" t="s">
        <v>714</v>
      </c>
      <c r="AS21" s="661">
        <f t="shared" si="5"/>
        <v>0</v>
      </c>
      <c r="AT21" s="661">
        <f t="shared" si="2"/>
        <v>0</v>
      </c>
      <c r="AU21" s="661"/>
      <c r="AV21" s="691"/>
      <c r="AW21" s="691"/>
      <c r="AX21" s="810">
        <f t="shared" si="4"/>
        <v>0</v>
      </c>
      <c r="AY21" s="811"/>
      <c r="AZ21" s="811"/>
      <c r="BA21" s="811"/>
      <c r="BB21" s="811"/>
      <c r="BC21" s="811"/>
      <c r="BD21" s="811"/>
      <c r="BE21" s="811"/>
      <c r="BF21" s="811"/>
      <c r="BG21" s="178"/>
      <c r="BH21" s="83"/>
      <c r="BI21" s="83"/>
      <c r="BJ21" s="83"/>
      <c r="BK21" s="83"/>
      <c r="BL21" s="1470">
        <f t="shared" si="6"/>
        <v>0</v>
      </c>
      <c r="BM21" s="769"/>
      <c r="BN21" s="276"/>
      <c r="BO21" s="704" t="s">
        <v>733</v>
      </c>
      <c r="BP21" s="791"/>
      <c r="BQ21" s="791"/>
      <c r="BR21" s="791"/>
      <c r="BS21" s="791"/>
      <c r="BT21" s="705">
        <f>+BA8</f>
        <v>1080</v>
      </c>
      <c r="BU21" s="713"/>
      <c r="BV21" s="713">
        <f>-BV13</f>
        <v>-300</v>
      </c>
      <c r="BW21" s="713"/>
      <c r="BX21" s="713"/>
      <c r="BY21" s="713"/>
      <c r="BZ21" s="713"/>
      <c r="CA21" s="705">
        <f t="shared" si="10"/>
        <v>780</v>
      </c>
      <c r="CB21" s="276"/>
    </row>
    <row r="22" spans="1:80" s="42" customFormat="1" x14ac:dyDescent="0.3">
      <c r="A22" s="20"/>
      <c r="B22" s="674"/>
      <c r="C22" s="195"/>
      <c r="D22" s="131"/>
      <c r="E22" s="131"/>
      <c r="F22" s="131"/>
      <c r="G22" s="131"/>
      <c r="H22" s="131"/>
      <c r="I22" s="181" t="s">
        <v>81</v>
      </c>
      <c r="J22" s="181"/>
      <c r="K22" s="181"/>
      <c r="L22" s="181"/>
      <c r="M22" s="752">
        <f>SUM(M20:M21)</f>
        <v>4600</v>
      </c>
      <c r="N22" s="753">
        <f>SUM(N20:N21)</f>
        <v>3622</v>
      </c>
      <c r="O22" s="735"/>
      <c r="P22" s="189"/>
      <c r="Q22" s="189"/>
      <c r="R22" s="189"/>
      <c r="S22" s="189"/>
      <c r="T22" s="189"/>
      <c r="U22" s="189"/>
      <c r="V22" s="731"/>
      <c r="W22" s="648" t="s">
        <v>736</v>
      </c>
      <c r="X22" s="633"/>
      <c r="Y22" s="633"/>
      <c r="Z22" s="633"/>
      <c r="AA22" s="633"/>
      <c r="AB22" s="713">
        <v>100</v>
      </c>
      <c r="AC22" s="633" t="s">
        <v>192</v>
      </c>
      <c r="AD22" s="655"/>
      <c r="AE22" s="665" t="s">
        <v>259</v>
      </c>
      <c r="AF22" s="608" t="s">
        <v>253</v>
      </c>
      <c r="AG22" s="661">
        <f>-T8</f>
        <v>15000</v>
      </c>
      <c r="AH22" s="662"/>
      <c r="AI22" s="661">
        <f>+AH22-AG22</f>
        <v>-15000</v>
      </c>
      <c r="AJ22" s="164"/>
      <c r="AK22" s="164"/>
      <c r="AL22" s="648"/>
      <c r="AM22" s="633"/>
      <c r="AN22" s="685" t="s">
        <v>243</v>
      </c>
      <c r="AO22" s="642"/>
      <c r="AP22" s="662"/>
      <c r="AQ22" s="736"/>
      <c r="AR22" s="681" t="s">
        <v>253</v>
      </c>
      <c r="AS22" s="661">
        <f t="shared" si="5"/>
        <v>15000</v>
      </c>
      <c r="AT22" s="661">
        <f t="shared" si="2"/>
        <v>0</v>
      </c>
      <c r="AU22" s="661">
        <f t="shared" ref="AU22:AU28" si="11">+AT22-AS22</f>
        <v>-15000</v>
      </c>
      <c r="AV22" s="691"/>
      <c r="AW22" s="691"/>
      <c r="AX22" s="810">
        <f t="shared" si="4"/>
        <v>-15000</v>
      </c>
      <c r="AY22" s="811"/>
      <c r="AZ22" s="811"/>
      <c r="BA22" s="811">
        <f>+AX22</f>
        <v>-15000</v>
      </c>
      <c r="BB22" s="811"/>
      <c r="BC22" s="811"/>
      <c r="BD22" s="811"/>
      <c r="BE22" s="811"/>
      <c r="BF22" s="811"/>
      <c r="BG22" s="178"/>
      <c r="BH22" s="83"/>
      <c r="BI22" s="83"/>
      <c r="BJ22" s="83"/>
      <c r="BK22" s="83"/>
      <c r="BL22" s="1470">
        <f t="shared" si="6"/>
        <v>0</v>
      </c>
      <c r="BM22" s="769"/>
      <c r="BN22" s="276"/>
      <c r="BO22" s="704" t="s">
        <v>1316</v>
      </c>
      <c r="BP22" s="791"/>
      <c r="BQ22" s="791"/>
      <c r="BR22" s="791"/>
      <c r="BS22" s="791"/>
      <c r="BT22" s="705">
        <f>+BC9</f>
        <v>-100</v>
      </c>
      <c r="BU22" s="713"/>
      <c r="BV22" s="713"/>
      <c r="BW22" s="713">
        <f>-BW14</f>
        <v>100</v>
      </c>
      <c r="BX22" s="713"/>
      <c r="BY22" s="713"/>
      <c r="BZ22" s="713"/>
      <c r="CA22" s="705">
        <f t="shared" si="10"/>
        <v>0</v>
      </c>
      <c r="CB22" s="276"/>
    </row>
    <row r="23" spans="1:80" s="42" customFormat="1" x14ac:dyDescent="0.3">
      <c r="A23" s="20"/>
      <c r="B23" s="675"/>
      <c r="C23" s="744" t="s">
        <v>54</v>
      </c>
      <c r="D23" s="181"/>
      <c r="E23" s="181"/>
      <c r="F23" s="181"/>
      <c r="G23" s="187">
        <f>+G14+G20</f>
        <v>8646</v>
      </c>
      <c r="H23" s="187">
        <f>+H14+H20</f>
        <v>8730</v>
      </c>
      <c r="I23" s="181" t="s">
        <v>82</v>
      </c>
      <c r="J23" s="181"/>
      <c r="K23" s="181"/>
      <c r="L23" s="181"/>
      <c r="M23" s="187">
        <f>+M18+M22</f>
        <v>8646</v>
      </c>
      <c r="N23" s="751">
        <f>+N18+N22</f>
        <v>8730</v>
      </c>
      <c r="O23" s="730"/>
      <c r="P23" s="189"/>
      <c r="Q23" s="189"/>
      <c r="R23" s="189"/>
      <c r="S23" s="189"/>
      <c r="T23" s="189"/>
      <c r="U23" s="189"/>
      <c r="V23" s="731"/>
      <c r="W23" s="648" t="s">
        <v>149</v>
      </c>
      <c r="X23" s="633"/>
      <c r="Y23" s="633"/>
      <c r="Z23" s="633"/>
      <c r="AA23" s="633"/>
      <c r="AB23" s="638">
        <v>1080</v>
      </c>
      <c r="AC23" s="633" t="s">
        <v>735</v>
      </c>
      <c r="AD23" s="655"/>
      <c r="AE23" s="665" t="s">
        <v>259</v>
      </c>
      <c r="AF23" s="608" t="s">
        <v>11</v>
      </c>
      <c r="AG23" s="661">
        <f>-T10</f>
        <v>1300</v>
      </c>
      <c r="AH23" s="662"/>
      <c r="AI23" s="661">
        <f t="shared" si="9"/>
        <v>-1300</v>
      </c>
      <c r="AJ23" s="164"/>
      <c r="AK23" s="164"/>
      <c r="AL23" s="648"/>
      <c r="AM23" s="164" t="s">
        <v>112</v>
      </c>
      <c r="AN23" s="686" t="s">
        <v>7</v>
      </c>
      <c r="AO23" s="642">
        <f>+AP24</f>
        <v>150</v>
      </c>
      <c r="AP23" s="662"/>
      <c r="AQ23" s="736"/>
      <c r="AR23" s="680" t="s">
        <v>11</v>
      </c>
      <c r="AS23" s="661">
        <f t="shared" si="5"/>
        <v>1300</v>
      </c>
      <c r="AT23" s="661">
        <f t="shared" si="2"/>
        <v>0</v>
      </c>
      <c r="AU23" s="661">
        <f t="shared" si="11"/>
        <v>-1300</v>
      </c>
      <c r="AV23" s="691"/>
      <c r="AW23" s="691"/>
      <c r="AX23" s="810">
        <f t="shared" si="4"/>
        <v>-1300</v>
      </c>
      <c r="AY23" s="811"/>
      <c r="AZ23" s="811"/>
      <c r="BA23" s="811"/>
      <c r="BB23" s="811">
        <f>+AX23</f>
        <v>-1300</v>
      </c>
      <c r="BC23" s="811"/>
      <c r="BD23" s="811"/>
      <c r="BE23" s="811"/>
      <c r="BF23" s="811"/>
      <c r="BG23" s="178"/>
      <c r="BH23" s="83"/>
      <c r="BI23" s="83"/>
      <c r="BJ23" s="83"/>
      <c r="BK23" s="83"/>
      <c r="BL23" s="1470">
        <f t="shared" si="6"/>
        <v>0</v>
      </c>
      <c r="BM23" s="769"/>
      <c r="BN23" s="276"/>
      <c r="BO23" s="704" t="s">
        <v>526</v>
      </c>
      <c r="BP23" s="791"/>
      <c r="BQ23" s="791"/>
      <c r="BR23" s="791"/>
      <c r="BS23" s="791"/>
      <c r="BT23" s="705">
        <f>+BA11</f>
        <v>-660</v>
      </c>
      <c r="BU23" s="713"/>
      <c r="BV23" s="713"/>
      <c r="BW23" s="713"/>
      <c r="BX23" s="713"/>
      <c r="BY23" s="713"/>
      <c r="BZ23" s="713"/>
      <c r="CA23" s="705">
        <f t="shared" si="10"/>
        <v>-660</v>
      </c>
      <c r="CB23" s="276"/>
    </row>
    <row r="24" spans="1:80" s="42" customFormat="1" x14ac:dyDescent="0.3">
      <c r="A24" s="20"/>
      <c r="B24" s="675"/>
      <c r="C24" s="754"/>
      <c r="D24" s="755"/>
      <c r="E24" s="755"/>
      <c r="F24" s="755"/>
      <c r="G24" s="755"/>
      <c r="H24" s="755"/>
      <c r="I24" s="755"/>
      <c r="J24" s="755"/>
      <c r="K24" s="755"/>
      <c r="L24" s="755"/>
      <c r="M24" s="755"/>
      <c r="N24" s="756"/>
      <c r="O24" s="730"/>
      <c r="P24" s="189"/>
      <c r="Q24" s="189"/>
      <c r="R24" s="189"/>
      <c r="S24" s="189"/>
      <c r="T24" s="189"/>
      <c r="U24" s="189"/>
      <c r="V24" s="731"/>
      <c r="W24" s="738" t="s">
        <v>739</v>
      </c>
      <c r="X24" s="716"/>
      <c r="Y24" s="716"/>
      <c r="Z24" s="716"/>
      <c r="AA24" s="716"/>
      <c r="AB24" s="638"/>
      <c r="AC24" s="633"/>
      <c r="AD24" s="655"/>
      <c r="AE24" s="665" t="s">
        <v>259</v>
      </c>
      <c r="AF24" s="608" t="s">
        <v>38</v>
      </c>
      <c r="AG24" s="661">
        <f>-T11</f>
        <v>1080</v>
      </c>
      <c r="AH24" s="662"/>
      <c r="AI24" s="661">
        <f>+AH24-AG24</f>
        <v>-1080</v>
      </c>
      <c r="AJ24" s="164"/>
      <c r="AK24" s="164"/>
      <c r="AL24" s="648"/>
      <c r="AM24" s="164" t="s">
        <v>112</v>
      </c>
      <c r="AN24" s="686" t="s">
        <v>95</v>
      </c>
      <c r="AO24" s="642"/>
      <c r="AP24" s="662">
        <f>+AB25</f>
        <v>150</v>
      </c>
      <c r="AQ24" s="736"/>
      <c r="AR24" s="680" t="s">
        <v>38</v>
      </c>
      <c r="AS24" s="661">
        <f t="shared" si="5"/>
        <v>1080</v>
      </c>
      <c r="AT24" s="661">
        <f t="shared" si="2"/>
        <v>0</v>
      </c>
      <c r="AU24" s="661">
        <f t="shared" si="11"/>
        <v>-1080</v>
      </c>
      <c r="AV24" s="691"/>
      <c r="AW24" s="691"/>
      <c r="AX24" s="810">
        <f t="shared" si="4"/>
        <v>-1080</v>
      </c>
      <c r="AY24" s="811"/>
      <c r="AZ24" s="811"/>
      <c r="BA24" s="811"/>
      <c r="BB24" s="811"/>
      <c r="BC24" s="811"/>
      <c r="BD24" s="811"/>
      <c r="BE24" s="811">
        <f>+AX24</f>
        <v>-1080</v>
      </c>
      <c r="BF24" s="811"/>
      <c r="BG24" s="178"/>
      <c r="BH24" s="83"/>
      <c r="BI24" s="83"/>
      <c r="BJ24" s="83"/>
      <c r="BK24" s="83"/>
      <c r="BL24" s="1470">
        <f t="shared" si="6"/>
        <v>0</v>
      </c>
      <c r="BM24" s="769"/>
      <c r="BN24" s="276"/>
      <c r="BO24" s="704" t="s">
        <v>527</v>
      </c>
      <c r="BP24" s="791"/>
      <c r="BQ24" s="791"/>
      <c r="BR24" s="791"/>
      <c r="BS24" s="791"/>
      <c r="BT24" s="705">
        <f>+BB12</f>
        <v>-150</v>
      </c>
      <c r="BU24" s="713"/>
      <c r="BV24" s="713"/>
      <c r="BW24" s="713"/>
      <c r="BX24" s="713"/>
      <c r="BY24" s="713"/>
      <c r="BZ24" s="713"/>
      <c r="CA24" s="705">
        <f t="shared" si="10"/>
        <v>-150</v>
      </c>
      <c r="CB24" s="276"/>
    </row>
    <row r="25" spans="1:80" s="42" customFormat="1" x14ac:dyDescent="0.3">
      <c r="A25" s="20"/>
      <c r="B25" s="66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730"/>
      <c r="P25" s="189"/>
      <c r="Q25" s="189"/>
      <c r="R25" s="189"/>
      <c r="S25" s="189"/>
      <c r="T25" s="189"/>
      <c r="U25" s="189"/>
      <c r="V25" s="731"/>
      <c r="W25" s="648" t="s">
        <v>740</v>
      </c>
      <c r="X25" s="633"/>
      <c r="Y25" s="633"/>
      <c r="Z25" s="633"/>
      <c r="AA25" s="633"/>
      <c r="AB25" s="638">
        <v>150</v>
      </c>
      <c r="AC25" s="633"/>
      <c r="AD25" s="655"/>
      <c r="AE25" s="665" t="s">
        <v>259</v>
      </c>
      <c r="AF25" s="608" t="s">
        <v>12</v>
      </c>
      <c r="AG25" s="661">
        <f>-T12</f>
        <v>850</v>
      </c>
      <c r="AH25" s="662"/>
      <c r="AI25" s="661">
        <f>+AH25-AG25</f>
        <v>-850</v>
      </c>
      <c r="AJ25" s="164"/>
      <c r="AK25" s="164"/>
      <c r="AL25" s="648"/>
      <c r="AM25" s="633"/>
      <c r="AN25" s="642"/>
      <c r="AO25" s="642"/>
      <c r="AP25" s="662"/>
      <c r="AQ25" s="736"/>
      <c r="AR25" s="680" t="s">
        <v>12</v>
      </c>
      <c r="AS25" s="661">
        <f t="shared" si="5"/>
        <v>850</v>
      </c>
      <c r="AT25" s="661">
        <f t="shared" si="2"/>
        <v>0</v>
      </c>
      <c r="AU25" s="661">
        <f t="shared" si="11"/>
        <v>-850</v>
      </c>
      <c r="AV25" s="691"/>
      <c r="AW25" s="691"/>
      <c r="AX25" s="810">
        <f t="shared" si="4"/>
        <v>-850</v>
      </c>
      <c r="AY25" s="811"/>
      <c r="AZ25" s="811"/>
      <c r="BA25" s="811"/>
      <c r="BB25" s="811"/>
      <c r="BC25" s="811"/>
      <c r="BD25" s="811"/>
      <c r="BE25" s="811"/>
      <c r="BF25" s="811">
        <f>+AX25</f>
        <v>-850</v>
      </c>
      <c r="BG25" s="178"/>
      <c r="BH25" s="83"/>
      <c r="BI25" s="83"/>
      <c r="BJ25" s="83"/>
      <c r="BK25" s="83"/>
      <c r="BL25" s="1470">
        <f t="shared" si="6"/>
        <v>0</v>
      </c>
      <c r="BM25" s="769"/>
      <c r="BN25" s="276"/>
      <c r="BO25" s="704" t="s">
        <v>528</v>
      </c>
      <c r="BP25" s="791"/>
      <c r="BQ25" s="791"/>
      <c r="BR25" s="791"/>
      <c r="BS25" s="791"/>
      <c r="BT25" s="705">
        <f>+BC13</f>
        <v>-12</v>
      </c>
      <c r="BU25" s="713"/>
      <c r="BV25" s="713"/>
      <c r="BW25" s="713"/>
      <c r="BX25" s="713"/>
      <c r="BY25" s="713"/>
      <c r="BZ25" s="713"/>
      <c r="CA25" s="705">
        <f t="shared" si="10"/>
        <v>-12</v>
      </c>
      <c r="CB25" s="276"/>
    </row>
    <row r="26" spans="1:80" s="42" customFormat="1" x14ac:dyDescent="0.3">
      <c r="A26" s="20"/>
      <c r="B26" s="760"/>
      <c r="C26" s="676"/>
      <c r="D26" s="676"/>
      <c r="E26" s="676"/>
      <c r="F26" s="676"/>
      <c r="G26" s="676"/>
      <c r="H26" s="676"/>
      <c r="I26" s="676"/>
      <c r="J26" s="676"/>
      <c r="K26" s="676"/>
      <c r="L26" s="676"/>
      <c r="M26" s="757">
        <f>+G23-M23</f>
        <v>0</v>
      </c>
      <c r="N26" s="758">
        <f>+H23-N23</f>
        <v>0</v>
      </c>
      <c r="O26" s="730"/>
      <c r="P26" s="189"/>
      <c r="Q26" s="189"/>
      <c r="R26" s="189"/>
      <c r="S26" s="189"/>
      <c r="T26" s="189"/>
      <c r="U26" s="189"/>
      <c r="V26" s="731"/>
      <c r="W26" s="656" t="s">
        <v>244</v>
      </c>
      <c r="X26" s="657"/>
      <c r="Y26" s="657"/>
      <c r="Z26" s="657"/>
      <c r="AA26" s="657"/>
      <c r="AB26" s="719">
        <v>50</v>
      </c>
      <c r="AC26" s="657"/>
      <c r="AD26" s="658"/>
      <c r="AE26" s="665" t="s">
        <v>259</v>
      </c>
      <c r="AF26" s="608" t="s">
        <v>241</v>
      </c>
      <c r="AG26" s="661">
        <f>-T13</f>
        <v>-40</v>
      </c>
      <c r="AH26" s="662"/>
      <c r="AI26" s="661">
        <f>+AH26-AG26</f>
        <v>40</v>
      </c>
      <c r="AJ26" s="164"/>
      <c r="AK26" s="164"/>
      <c r="AL26" s="648"/>
      <c r="AM26" s="633"/>
      <c r="AN26" s="685" t="s">
        <v>244</v>
      </c>
      <c r="AO26" s="642"/>
      <c r="AP26" s="662"/>
      <c r="AQ26" s="736"/>
      <c r="AR26" s="680" t="s">
        <v>241</v>
      </c>
      <c r="AS26" s="661">
        <f t="shared" si="5"/>
        <v>-40</v>
      </c>
      <c r="AT26" s="661">
        <f t="shared" si="2"/>
        <v>0</v>
      </c>
      <c r="AU26" s="661">
        <f t="shared" si="11"/>
        <v>40</v>
      </c>
      <c r="AV26" s="691"/>
      <c r="AW26" s="691"/>
      <c r="AX26" s="810">
        <f t="shared" si="4"/>
        <v>40</v>
      </c>
      <c r="AY26" s="811"/>
      <c r="AZ26" s="811">
        <f>+AX26</f>
        <v>40</v>
      </c>
      <c r="BA26" s="811"/>
      <c r="BB26" s="811"/>
      <c r="BC26" s="811"/>
      <c r="BD26" s="811"/>
      <c r="BE26" s="811"/>
      <c r="BF26" s="811"/>
      <c r="BG26" s="178"/>
      <c r="BH26" s="83"/>
      <c r="BI26" s="83"/>
      <c r="BJ26" s="83"/>
      <c r="BK26" s="83"/>
      <c r="BL26" s="1470">
        <f t="shared" si="6"/>
        <v>0</v>
      </c>
      <c r="BM26" s="769"/>
      <c r="BN26" s="276"/>
      <c r="BO26" s="704" t="s">
        <v>529</v>
      </c>
      <c r="BP26" s="791"/>
      <c r="BQ26" s="791"/>
      <c r="BR26" s="791"/>
      <c r="BS26" s="791"/>
      <c r="BT26" s="705">
        <f>+BF14</f>
        <v>-20</v>
      </c>
      <c r="BU26" s="713"/>
      <c r="BV26" s="713"/>
      <c r="BW26" s="713"/>
      <c r="BX26" s="713"/>
      <c r="BY26" s="713"/>
      <c r="BZ26" s="713"/>
      <c r="CA26" s="705">
        <f t="shared" si="10"/>
        <v>-20</v>
      </c>
      <c r="CB26" s="276"/>
    </row>
    <row r="27" spans="1:80" s="42" customFormat="1" x14ac:dyDescent="0.3">
      <c r="A27" s="7"/>
      <c r="B27" s="761"/>
      <c r="C27" s="739"/>
      <c r="D27" s="739"/>
      <c r="E27" s="739"/>
      <c r="F27" s="739"/>
      <c r="G27" s="739"/>
      <c r="H27" s="739"/>
      <c r="I27" s="739"/>
      <c r="J27" s="739"/>
      <c r="K27" s="739"/>
      <c r="L27" s="739"/>
      <c r="M27" s="759"/>
      <c r="N27" s="762"/>
      <c r="O27" s="730"/>
      <c r="P27" s="189"/>
      <c r="Q27" s="189"/>
      <c r="R27" s="189"/>
      <c r="S27" s="189"/>
      <c r="T27" s="189"/>
      <c r="U27" s="189"/>
      <c r="V27" s="731"/>
      <c r="W27" s="650"/>
      <c r="X27" s="650"/>
      <c r="Y27" s="650"/>
      <c r="Z27" s="650"/>
      <c r="AA27" s="650"/>
      <c r="AB27" s="650"/>
      <c r="AC27" s="650"/>
      <c r="AD27" s="650"/>
      <c r="AE27" s="664" t="s">
        <v>259</v>
      </c>
      <c r="AF27" s="608" t="s">
        <v>45</v>
      </c>
      <c r="AG27" s="661">
        <f>-T15</f>
        <v>105</v>
      </c>
      <c r="AH27" s="662"/>
      <c r="AI27" s="661">
        <f t="shared" si="9"/>
        <v>-105</v>
      </c>
      <c r="AJ27" s="164"/>
      <c r="AK27" s="164"/>
      <c r="AL27" s="648"/>
      <c r="AM27" s="164" t="s">
        <v>112</v>
      </c>
      <c r="AN27" s="686" t="s">
        <v>7</v>
      </c>
      <c r="AO27" s="642">
        <f>+AP28</f>
        <v>50</v>
      </c>
      <c r="AP27" s="662"/>
      <c r="AQ27" s="736"/>
      <c r="AR27" s="680" t="s">
        <v>45</v>
      </c>
      <c r="AS27" s="661">
        <f>+AG27</f>
        <v>105</v>
      </c>
      <c r="AT27" s="661">
        <f>+AH27</f>
        <v>0</v>
      </c>
      <c r="AU27" s="661">
        <f t="shared" si="11"/>
        <v>-105</v>
      </c>
      <c r="AV27" s="691"/>
      <c r="AW27" s="691"/>
      <c r="AX27" s="810">
        <f t="shared" ref="AX27:AX28" si="12">+AU27+AW27-AV27</f>
        <v>-105</v>
      </c>
      <c r="AY27" s="811"/>
      <c r="AZ27" s="811"/>
      <c r="BA27" s="811"/>
      <c r="BB27" s="811"/>
      <c r="BC27" s="811"/>
      <c r="BD27" s="811">
        <f>+AX27</f>
        <v>-105</v>
      </c>
      <c r="BE27" s="811"/>
      <c r="BF27" s="811"/>
      <c r="BG27" s="178"/>
      <c r="BH27" s="83"/>
      <c r="BI27" s="83"/>
      <c r="BJ27" s="83"/>
      <c r="BK27" s="83"/>
      <c r="BL27" s="1470">
        <f t="shared" si="6"/>
        <v>0</v>
      </c>
      <c r="BM27" s="769"/>
      <c r="BN27" s="276"/>
      <c r="BO27" s="704" t="s">
        <v>717</v>
      </c>
      <c r="BP27" s="791"/>
      <c r="BQ27" s="791"/>
      <c r="BR27" s="791"/>
      <c r="BS27" s="791"/>
      <c r="BT27" s="705">
        <f>+BD15</f>
        <v>-110</v>
      </c>
      <c r="BU27" s="713"/>
      <c r="BV27" s="713"/>
      <c r="BW27" s="713"/>
      <c r="BX27" s="713"/>
      <c r="BY27" s="713"/>
      <c r="BZ27" s="713"/>
      <c r="CA27" s="705">
        <f t="shared" si="10"/>
        <v>-110</v>
      </c>
      <c r="CB27" s="276"/>
    </row>
    <row r="28" spans="1:80" x14ac:dyDescent="0.3">
      <c r="A28" s="7"/>
      <c r="B28" s="761"/>
      <c r="C28" s="739"/>
      <c r="D28" s="739"/>
      <c r="E28" s="739"/>
      <c r="F28" s="739"/>
      <c r="G28" s="739"/>
      <c r="H28" s="739"/>
      <c r="I28" s="739"/>
      <c r="J28" s="739"/>
      <c r="K28" s="739"/>
      <c r="L28" s="739"/>
      <c r="M28" s="759"/>
      <c r="N28" s="762"/>
      <c r="O28" s="730"/>
      <c r="P28" s="189"/>
      <c r="Q28" s="189"/>
      <c r="R28" s="189"/>
      <c r="S28" s="189"/>
      <c r="T28" s="189"/>
      <c r="U28" s="189"/>
      <c r="V28" s="731"/>
      <c r="W28" s="293"/>
      <c r="X28" s="293"/>
      <c r="Y28" s="293"/>
      <c r="Z28" s="293"/>
      <c r="AA28" s="293"/>
      <c r="AB28" s="1466">
        <f>+AB16-M20</f>
        <v>0</v>
      </c>
      <c r="AC28" s="1466">
        <f>+M21-AC16</f>
        <v>0</v>
      </c>
      <c r="AD28" s="1466">
        <f>+AD16-M22</f>
        <v>0</v>
      </c>
      <c r="AE28" s="664" t="s">
        <v>259</v>
      </c>
      <c r="AF28" s="608" t="s">
        <v>15</v>
      </c>
      <c r="AG28" s="661">
        <f>-T17</f>
        <v>500</v>
      </c>
      <c r="AH28" s="662"/>
      <c r="AI28" s="661">
        <f>+AH28-AG28</f>
        <v>-500</v>
      </c>
      <c r="AJ28" s="164"/>
      <c r="AK28" s="164"/>
      <c r="AL28" s="656"/>
      <c r="AM28" s="213" t="s">
        <v>112</v>
      </c>
      <c r="AN28" s="688" t="s">
        <v>8</v>
      </c>
      <c r="AO28" s="644"/>
      <c r="AP28" s="645">
        <f>+AB26</f>
        <v>50</v>
      </c>
      <c r="AQ28" s="805"/>
      <c r="AR28" s="682" t="s">
        <v>15</v>
      </c>
      <c r="AS28" s="661">
        <f>+AG28</f>
        <v>500</v>
      </c>
      <c r="AT28" s="661">
        <f>+AH28</f>
        <v>0</v>
      </c>
      <c r="AU28" s="661">
        <f t="shared" si="11"/>
        <v>-500</v>
      </c>
      <c r="AV28" s="691"/>
      <c r="AW28" s="691"/>
      <c r="AX28" s="810">
        <f t="shared" si="12"/>
        <v>-500</v>
      </c>
      <c r="AY28" s="811"/>
      <c r="AZ28" s="811"/>
      <c r="BA28" s="811"/>
      <c r="BB28" s="811"/>
      <c r="BC28" s="811">
        <f>+AX28</f>
        <v>-500</v>
      </c>
      <c r="BD28" s="811"/>
      <c r="BE28" s="811"/>
      <c r="BF28" s="811"/>
      <c r="BG28" s="178"/>
      <c r="BH28" s="83"/>
      <c r="BI28" s="83"/>
      <c r="BJ28" s="83"/>
      <c r="BK28" s="83"/>
      <c r="BL28" s="1471">
        <f t="shared" si="6"/>
        <v>0</v>
      </c>
      <c r="BM28" s="769"/>
      <c r="BN28" s="276"/>
      <c r="BO28" s="648"/>
      <c r="BP28" s="633"/>
      <c r="BQ28" s="633"/>
      <c r="BR28" s="633"/>
      <c r="BS28" s="633"/>
      <c r="BT28" s="655"/>
      <c r="BU28" s="633"/>
      <c r="BV28" s="633"/>
      <c r="BW28" s="633"/>
      <c r="BX28" s="633"/>
      <c r="BY28" s="633"/>
      <c r="BZ28" s="633"/>
      <c r="CA28" s="655"/>
      <c r="CB28" s="276"/>
    </row>
    <row r="29" spans="1:80" x14ac:dyDescent="0.3">
      <c r="A29" s="7"/>
      <c r="B29" s="763"/>
      <c r="C29" s="764"/>
      <c r="D29" s="764"/>
      <c r="E29" s="764"/>
      <c r="F29" s="764"/>
      <c r="G29" s="764"/>
      <c r="H29" s="764"/>
      <c r="I29" s="764"/>
      <c r="J29" s="764"/>
      <c r="K29" s="764"/>
      <c r="L29" s="764"/>
      <c r="M29" s="764"/>
      <c r="N29" s="765"/>
      <c r="O29" s="730"/>
      <c r="P29" s="189"/>
      <c r="Q29" s="189"/>
      <c r="R29" s="189"/>
      <c r="S29" s="189"/>
      <c r="T29" s="189"/>
      <c r="U29" s="189"/>
      <c r="V29" s="731"/>
      <c r="W29" s="1467"/>
      <c r="X29" s="1467"/>
      <c r="Y29" s="1467"/>
      <c r="Z29" s="1467"/>
      <c r="AA29" s="1467"/>
      <c r="AB29" s="1467"/>
      <c r="AC29" s="1467"/>
      <c r="AD29" s="1467"/>
      <c r="AE29" s="678"/>
      <c r="AF29" s="659"/>
      <c r="AG29" s="136">
        <f>SUM(AG5:AG28)</f>
        <v>0</v>
      </c>
      <c r="AH29" s="136">
        <f>SUM(AH5:AH28)</f>
        <v>0</v>
      </c>
      <c r="AI29" s="137">
        <f>SUM(AI5:AI28)</f>
        <v>0</v>
      </c>
      <c r="AJ29" s="215"/>
      <c r="AK29" s="164"/>
      <c r="AL29" s="188"/>
      <c r="AM29" s="687"/>
      <c r="AN29" s="687"/>
      <c r="AO29" s="800">
        <f>SUM(AO7:AO28)</f>
        <v>1800</v>
      </c>
      <c r="AP29" s="800">
        <f>SUM(AP7:AP28)</f>
        <v>1800</v>
      </c>
      <c r="AQ29" s="215"/>
      <c r="AR29" s="774"/>
      <c r="AS29" s="136">
        <f t="shared" ref="AS29:BK29" si="13">SUM(AS5:AS28)</f>
        <v>0</v>
      </c>
      <c r="AT29" s="136">
        <f t="shared" si="13"/>
        <v>0</v>
      </c>
      <c r="AU29" s="137">
        <f t="shared" si="13"/>
        <v>0</v>
      </c>
      <c r="AV29" s="155">
        <f t="shared" si="13"/>
        <v>0</v>
      </c>
      <c r="AW29" s="155">
        <f t="shared" si="13"/>
        <v>0</v>
      </c>
      <c r="AX29" s="137">
        <f t="shared" si="13"/>
        <v>0</v>
      </c>
      <c r="AY29" s="692">
        <f t="shared" si="13"/>
        <v>20300</v>
      </c>
      <c r="AZ29" s="692">
        <f t="shared" si="13"/>
        <v>440</v>
      </c>
      <c r="BA29" s="693">
        <f t="shared" si="13"/>
        <v>-14580</v>
      </c>
      <c r="BB29" s="693">
        <f t="shared" si="13"/>
        <v>-1450</v>
      </c>
      <c r="BC29" s="693">
        <f t="shared" si="13"/>
        <v>-612</v>
      </c>
      <c r="BD29" s="693">
        <f t="shared" si="13"/>
        <v>-215</v>
      </c>
      <c r="BE29" s="693">
        <f t="shared" si="13"/>
        <v>-1080</v>
      </c>
      <c r="BF29" s="693">
        <f t="shared" si="13"/>
        <v>-870</v>
      </c>
      <c r="BG29" s="1476">
        <f t="shared" si="13"/>
        <v>-696</v>
      </c>
      <c r="BH29" s="1477">
        <f t="shared" si="13"/>
        <v>590</v>
      </c>
      <c r="BI29" s="1477">
        <f t="shared" si="13"/>
        <v>-700</v>
      </c>
      <c r="BJ29" s="1477">
        <f t="shared" si="13"/>
        <v>360</v>
      </c>
      <c r="BK29" s="1477">
        <f t="shared" si="13"/>
        <v>-587</v>
      </c>
      <c r="BL29" s="785">
        <f>SUM(AY29:BK29)+AX5</f>
        <v>0</v>
      </c>
      <c r="BM29" s="769"/>
      <c r="BN29" s="276"/>
      <c r="BO29" s="648"/>
      <c r="BP29" s="633"/>
      <c r="BQ29" s="633"/>
      <c r="BR29" s="633"/>
      <c r="BS29" s="633"/>
      <c r="BT29" s="655"/>
      <c r="BU29" s="633"/>
      <c r="BV29" s="633"/>
      <c r="BW29" s="633"/>
      <c r="BX29" s="633"/>
      <c r="BY29" s="633"/>
      <c r="BZ29" s="633"/>
      <c r="CA29" s="655"/>
      <c r="CB29" s="276"/>
    </row>
    <row r="30" spans="1:80" x14ac:dyDescent="0.3">
      <c r="A30" s="7"/>
      <c r="B30" s="215"/>
      <c r="C30" s="215"/>
      <c r="D30" s="215"/>
      <c r="E30" s="215"/>
      <c r="F30" s="215"/>
      <c r="G30" s="215"/>
      <c r="H30" s="215"/>
      <c r="I30" s="764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4"/>
      <c r="AM30" s="215"/>
      <c r="AN30" s="215"/>
      <c r="AO30" s="215"/>
      <c r="AP30" s="215"/>
      <c r="AQ30" s="215"/>
      <c r="AR30" s="513"/>
      <c r="AS30" s="775"/>
      <c r="AT30" s="775"/>
      <c r="AU30" s="775"/>
      <c r="AV30" s="775"/>
      <c r="AW30" s="776"/>
      <c r="AX30" s="775"/>
      <c r="AY30" s="777"/>
      <c r="AZ30" s="777"/>
      <c r="BA30" s="777"/>
      <c r="BB30" s="777"/>
      <c r="BC30" s="777"/>
      <c r="BD30" s="777"/>
      <c r="BE30" s="777"/>
      <c r="BF30" s="796">
        <f>SUM(AY29:BF29)</f>
        <v>1933</v>
      </c>
      <c r="BG30" s="775"/>
      <c r="BH30" s="775"/>
      <c r="BI30" s="775"/>
      <c r="BJ30" s="775"/>
      <c r="BK30" s="778"/>
      <c r="BL30" s="778"/>
      <c r="BM30" s="769"/>
      <c r="BN30" s="276"/>
      <c r="BO30" s="123" t="s">
        <v>719</v>
      </c>
      <c r="BP30" s="16"/>
      <c r="BQ30" s="16"/>
      <c r="BR30" s="16"/>
      <c r="BS30" s="16"/>
      <c r="BT30" s="695"/>
      <c r="BU30" s="48"/>
      <c r="BV30" s="48"/>
      <c r="BW30" s="48"/>
      <c r="BX30" s="48"/>
      <c r="BY30" s="48"/>
      <c r="BZ30" s="48"/>
      <c r="CA30" s="695"/>
      <c r="CB30" s="276"/>
    </row>
    <row r="31" spans="1:80" ht="18" customHeight="1" x14ac:dyDescent="0.3">
      <c r="A31" s="7"/>
      <c r="B31" s="671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71"/>
      <c r="P31" s="3"/>
      <c r="Q31" s="3"/>
      <c r="R31" s="3"/>
      <c r="S31" s="3"/>
      <c r="T31" s="3"/>
      <c r="U31" s="3"/>
      <c r="V31" s="7"/>
      <c r="W31" s="7"/>
      <c r="X31" s="7"/>
      <c r="Y31" s="7"/>
      <c r="Z31" s="7"/>
      <c r="AA31" s="7"/>
      <c r="AB31" s="7"/>
      <c r="AC31" s="7"/>
      <c r="AD31" s="7"/>
      <c r="AE31" s="3"/>
      <c r="AF31" s="3"/>
      <c r="AG31" s="3"/>
      <c r="AH31" s="3"/>
      <c r="AI31" s="3"/>
      <c r="AJ31" s="3"/>
      <c r="AK31" s="3"/>
      <c r="AL31" s="20"/>
      <c r="AQ31" s="670"/>
      <c r="AR31" s="3"/>
      <c r="AS31" s="3"/>
      <c r="AT31" s="3"/>
      <c r="AU31" s="3"/>
      <c r="AV31" s="20"/>
      <c r="AW31" s="20"/>
      <c r="AX31" s="20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 s="20"/>
      <c r="BN31" s="276"/>
      <c r="BO31" s="470" t="s">
        <v>728</v>
      </c>
      <c r="BP31" s="471"/>
      <c r="BQ31" s="471"/>
      <c r="BR31" s="471"/>
      <c r="BS31" s="471"/>
      <c r="BT31" s="699">
        <f>SUM(BT8:BT27)</f>
        <v>1933</v>
      </c>
      <c r="BU31" s="77"/>
      <c r="BV31" s="77"/>
      <c r="BW31" s="77"/>
      <c r="BX31" s="77"/>
      <c r="BY31" s="77"/>
      <c r="BZ31" s="77"/>
      <c r="CA31" s="699">
        <f>SUM(CA8:CA27)</f>
        <v>3013</v>
      </c>
      <c r="CB31" s="276"/>
    </row>
    <row r="32" spans="1:80" ht="18" customHeight="1" x14ac:dyDescent="0.3">
      <c r="A32" s="3"/>
      <c r="B32" s="670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71"/>
      <c r="P32" s="3"/>
      <c r="Q32" s="3"/>
      <c r="R32" s="3"/>
      <c r="S32" s="3"/>
      <c r="T32" s="3"/>
      <c r="U32" s="3"/>
      <c r="V32" s="7"/>
      <c r="W32" s="7"/>
      <c r="X32" s="7"/>
      <c r="Y32" s="7"/>
      <c r="Z32" s="7"/>
      <c r="AA32" s="7"/>
      <c r="AB32" s="7"/>
      <c r="AC32" s="7"/>
      <c r="AD32" s="7"/>
      <c r="AE32" s="3"/>
      <c r="AF32" s="3"/>
      <c r="AG32" s="3"/>
      <c r="AH32" s="3"/>
      <c r="AI32" s="3"/>
      <c r="AJ32" s="3"/>
      <c r="AK32" s="3"/>
      <c r="AL32" s="20"/>
      <c r="AQ32" s="670"/>
      <c r="AR32" s="3"/>
      <c r="AS32" s="3"/>
      <c r="AT32" s="3"/>
      <c r="AU32" s="3"/>
      <c r="AV32" s="20"/>
      <c r="AW32" s="20"/>
      <c r="AX32" s="20"/>
      <c r="BF32"/>
      <c r="BG32"/>
      <c r="BH32"/>
      <c r="BI32"/>
      <c r="BJ32"/>
      <c r="BK32"/>
      <c r="BL32"/>
      <c r="BM32" s="20"/>
      <c r="BN32" s="276"/>
      <c r="BO32" s="694" t="s">
        <v>52</v>
      </c>
      <c r="BP32" s="633"/>
      <c r="BQ32" s="633"/>
      <c r="BR32" s="633"/>
      <c r="BS32" s="633"/>
      <c r="BT32" s="655"/>
      <c r="BU32" s="633"/>
      <c r="BV32" s="633"/>
      <c r="BW32" s="633"/>
      <c r="BX32" s="633"/>
      <c r="BY32" s="633"/>
      <c r="BZ32" s="633"/>
      <c r="CA32" s="655"/>
      <c r="CB32" s="276"/>
    </row>
    <row r="33" spans="1:80" ht="18" customHeight="1" x14ac:dyDescent="0.3">
      <c r="A33" s="3"/>
      <c r="B33" s="670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71"/>
      <c r="P33" s="3"/>
      <c r="Q33" s="3"/>
      <c r="R33" s="3"/>
      <c r="S33" s="3"/>
      <c r="T33" s="3"/>
      <c r="U33" s="3"/>
      <c r="V33" s="7"/>
      <c r="W33" s="7"/>
      <c r="X33" s="7"/>
      <c r="Y33" s="7"/>
      <c r="Z33" s="7"/>
      <c r="AA33" s="7"/>
      <c r="AB33" s="7"/>
      <c r="AC33" s="7"/>
      <c r="AD33" s="7"/>
      <c r="AE33" s="3"/>
      <c r="AF33" s="3"/>
      <c r="AG33" s="3"/>
      <c r="AH33" s="3"/>
      <c r="AI33" s="3"/>
      <c r="AJ33" s="3"/>
      <c r="AK33" s="3"/>
      <c r="AL33" s="20"/>
      <c r="AQ33" s="670"/>
      <c r="AR33" s="3"/>
      <c r="AS33" s="3"/>
      <c r="AT33" s="3"/>
      <c r="AU33" s="3"/>
      <c r="AV33" s="20"/>
      <c r="AW33" s="20"/>
      <c r="AX33" s="20"/>
      <c r="AY33" s="692">
        <f>SUM(AY29:BK29)</f>
        <v>900</v>
      </c>
      <c r="BA33" s="1478"/>
      <c r="BB33" s="1459" t="s">
        <v>1219</v>
      </c>
      <c r="BC33" s="1135"/>
      <c r="BD33" s="1135"/>
      <c r="BE33" s="1460">
        <f>SUM(AY29:BF29)</f>
        <v>1933</v>
      </c>
      <c r="BF33"/>
      <c r="BG33"/>
      <c r="BH33"/>
      <c r="BI33"/>
      <c r="BJ33"/>
      <c r="BK33"/>
      <c r="BL33"/>
      <c r="BM33" s="20"/>
      <c r="BN33" s="276"/>
      <c r="BO33" s="648" t="s">
        <v>280</v>
      </c>
      <c r="BP33" s="633"/>
      <c r="BQ33" s="633"/>
      <c r="BR33" s="633"/>
      <c r="BS33" s="633"/>
      <c r="BT33" s="662">
        <f>+BG29</f>
        <v>-696</v>
      </c>
      <c r="BU33" s="642"/>
      <c r="BV33" s="642"/>
      <c r="BW33" s="642"/>
      <c r="BX33" s="642">
        <f>-BX15</f>
        <v>-1080</v>
      </c>
      <c r="BY33" s="642"/>
      <c r="BZ33" s="642"/>
      <c r="CA33" s="705">
        <f t="shared" ref="CA33" si="14">SUM(BT33:BZ33)</f>
        <v>-1776</v>
      </c>
      <c r="CB33" s="276"/>
    </row>
    <row r="34" spans="1:80" ht="18" customHeight="1" x14ac:dyDescent="0.3">
      <c r="A34" s="3"/>
      <c r="B34" s="670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70"/>
      <c r="P34" s="3"/>
      <c r="Q34" s="3"/>
      <c r="R34" s="3"/>
      <c r="S34" s="3"/>
      <c r="T34" s="3"/>
      <c r="U34" s="3"/>
      <c r="V34" s="7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Q34" s="670"/>
      <c r="AR34" s="3"/>
      <c r="AS34" s="3"/>
      <c r="AT34" s="3"/>
      <c r="AU34" s="3"/>
      <c r="AV34" s="20"/>
      <c r="AW34" s="20"/>
      <c r="AX34" s="20"/>
      <c r="BA34" s="1479"/>
      <c r="BB34" s="1461" t="s">
        <v>1319</v>
      </c>
      <c r="BE34" s="1462">
        <f>+BG29</f>
        <v>-696</v>
      </c>
      <c r="BF34"/>
      <c r="BG34"/>
      <c r="BH34"/>
      <c r="BI34"/>
      <c r="BJ34"/>
      <c r="BK34"/>
      <c r="BL34"/>
      <c r="BM34" s="20"/>
      <c r="BN34" s="276"/>
      <c r="BO34" s="123" t="s">
        <v>719</v>
      </c>
      <c r="BP34" s="17"/>
      <c r="BQ34" s="17"/>
      <c r="BR34" s="17"/>
      <c r="BS34" s="17"/>
      <c r="BT34" s="695"/>
      <c r="BU34" s="48"/>
      <c r="BV34" s="48"/>
      <c r="BW34" s="48"/>
      <c r="BX34" s="48"/>
      <c r="BY34" s="48"/>
      <c r="BZ34" s="48"/>
      <c r="CA34" s="695"/>
      <c r="CB34" s="276"/>
    </row>
    <row r="35" spans="1:80" ht="18" customHeight="1" x14ac:dyDescent="0.3">
      <c r="A35" s="3"/>
      <c r="B35" s="670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7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Q35" s="670"/>
      <c r="AR35" s="3"/>
      <c r="AS35" s="3"/>
      <c r="AT35" s="3"/>
      <c r="AU35" s="3"/>
      <c r="AV35" s="20"/>
      <c r="AW35" s="20"/>
      <c r="AX35" s="20"/>
      <c r="BA35" s="1480"/>
      <c r="BB35" s="1461" t="s">
        <v>1222</v>
      </c>
      <c r="BE35" s="1462">
        <f>SUM(BH29:BK29)</f>
        <v>-337</v>
      </c>
      <c r="BF35"/>
      <c r="BG35"/>
      <c r="BH35"/>
      <c r="BI35"/>
      <c r="BJ35"/>
      <c r="BK35"/>
      <c r="BL35"/>
      <c r="BM35" s="20"/>
      <c r="BN35" s="276"/>
      <c r="BO35" s="123" t="s">
        <v>721</v>
      </c>
      <c r="BP35" s="17"/>
      <c r="BQ35" s="17"/>
      <c r="BR35" s="17"/>
      <c r="BS35" s="17"/>
      <c r="BT35" s="695">
        <f>+BT33</f>
        <v>-696</v>
      </c>
      <c r="BU35" s="48"/>
      <c r="BV35" s="48"/>
      <c r="BW35" s="48"/>
      <c r="BX35" s="48"/>
      <c r="BY35" s="48"/>
      <c r="BZ35" s="48"/>
      <c r="CA35" s="695">
        <f>+CA33</f>
        <v>-1776</v>
      </c>
      <c r="CB35" s="276"/>
    </row>
    <row r="36" spans="1:80" ht="18" customHeight="1" x14ac:dyDescent="0.3">
      <c r="A36" s="3"/>
      <c r="B36" s="670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7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20"/>
      <c r="AN36" s="20"/>
      <c r="AO36" s="34"/>
      <c r="AP36" s="34"/>
      <c r="AQ36" s="670"/>
      <c r="AR36" s="3"/>
      <c r="AS36" s="3"/>
      <c r="AT36" s="3"/>
      <c r="AU36" s="3"/>
      <c r="AV36" s="20"/>
      <c r="AW36" s="20"/>
      <c r="AX36" s="20"/>
      <c r="BB36" s="1481"/>
      <c r="BC36" s="1482"/>
      <c r="BD36" s="1482"/>
      <c r="BE36" s="1483">
        <f>SUM(BE33:BE35)</f>
        <v>900</v>
      </c>
      <c r="BF36"/>
      <c r="BG36"/>
      <c r="BH36"/>
      <c r="BI36"/>
      <c r="BJ36"/>
      <c r="BK36"/>
      <c r="BL36"/>
      <c r="BM36" s="20"/>
      <c r="BN36" s="276"/>
      <c r="BO36" s="694" t="s">
        <v>74</v>
      </c>
      <c r="BP36" s="633"/>
      <c r="BQ36" s="633"/>
      <c r="BR36" s="633"/>
      <c r="BS36" s="633"/>
      <c r="BT36" s="655"/>
      <c r="BU36" s="633"/>
      <c r="BV36" s="633"/>
      <c r="BW36" s="633"/>
      <c r="BX36" s="633"/>
      <c r="BY36" s="633"/>
      <c r="BZ36" s="633"/>
      <c r="CA36" s="655"/>
      <c r="CB36" s="276"/>
    </row>
    <row r="37" spans="1:80" ht="18" customHeight="1" x14ac:dyDescent="0.3">
      <c r="A37" s="3"/>
      <c r="B37" s="67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7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20"/>
      <c r="AN37" s="20"/>
      <c r="AO37" s="34"/>
      <c r="AP37" s="34"/>
      <c r="AQ37" s="670"/>
      <c r="AR37" s="3"/>
      <c r="AS37" s="3"/>
      <c r="AT37" s="3"/>
      <c r="AU37" s="3"/>
      <c r="AV37" s="20"/>
      <c r="AW37" s="20"/>
      <c r="AX37" s="20"/>
      <c r="BJ37"/>
      <c r="BK37"/>
      <c r="BL37"/>
      <c r="BM37" s="20"/>
      <c r="BN37" s="276"/>
      <c r="BO37" s="648" t="s">
        <v>282</v>
      </c>
      <c r="BP37" s="633"/>
      <c r="BQ37" s="633"/>
      <c r="BR37" s="633"/>
      <c r="BS37" s="633"/>
      <c r="BT37" s="662">
        <f>+BH29</f>
        <v>590</v>
      </c>
      <c r="BU37" s="642"/>
      <c r="BV37" s="642"/>
      <c r="BW37" s="642"/>
      <c r="BX37" s="642"/>
      <c r="BY37" s="642"/>
      <c r="BZ37" s="642"/>
      <c r="CA37" s="705">
        <f t="shared" ref="CA37:CA40" si="15">SUM(BT37:BZ37)</f>
        <v>590</v>
      </c>
      <c r="CB37" s="276"/>
    </row>
    <row r="38" spans="1:80" ht="18" customHeight="1" x14ac:dyDescent="0.3">
      <c r="A38" s="3"/>
      <c r="B38" s="670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7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/>
      <c r="AN38"/>
      <c r="AO38"/>
      <c r="AP38"/>
      <c r="AQ38" s="670"/>
      <c r="AR38" s="3"/>
      <c r="AS38" s="3"/>
      <c r="AT38" s="3"/>
      <c r="AU38" s="3"/>
      <c r="AV38" s="20"/>
      <c r="AW38" s="20"/>
      <c r="AX38" s="20"/>
      <c r="BJ38"/>
      <c r="BK38"/>
      <c r="BL38"/>
      <c r="BM38" s="20"/>
      <c r="BN38" s="276"/>
      <c r="BO38" s="648" t="s">
        <v>140</v>
      </c>
      <c r="BP38" s="633"/>
      <c r="BQ38" s="633"/>
      <c r="BR38" s="633"/>
      <c r="BS38" s="633"/>
      <c r="BT38" s="662">
        <f>+BI29</f>
        <v>-700</v>
      </c>
      <c r="BU38" s="642"/>
      <c r="BV38" s="642"/>
      <c r="BW38" s="642"/>
      <c r="BX38" s="642"/>
      <c r="BY38" s="642">
        <f>-BY39</f>
        <v>150</v>
      </c>
      <c r="BZ38" s="642"/>
      <c r="CA38" s="705">
        <f t="shared" si="15"/>
        <v>-550</v>
      </c>
      <c r="CB38" s="276"/>
    </row>
    <row r="39" spans="1:80" ht="18" customHeight="1" x14ac:dyDescent="0.3">
      <c r="BN39" s="276"/>
      <c r="BO39" s="648" t="s">
        <v>283</v>
      </c>
      <c r="BP39" s="633"/>
      <c r="BQ39" s="633"/>
      <c r="BR39" s="633"/>
      <c r="BS39" s="633"/>
      <c r="BT39" s="662">
        <f>+BJ29</f>
        <v>360</v>
      </c>
      <c r="BU39" s="642"/>
      <c r="BV39" s="642"/>
      <c r="BW39" s="642"/>
      <c r="BX39" s="642"/>
      <c r="BY39" s="642">
        <f>-CH9</f>
        <v>-150</v>
      </c>
      <c r="BZ39" s="642">
        <v>-50</v>
      </c>
      <c r="CA39" s="705">
        <f t="shared" si="15"/>
        <v>160</v>
      </c>
      <c r="CB39" s="276"/>
    </row>
    <row r="40" spans="1:80" ht="18" customHeight="1" x14ac:dyDescent="0.3">
      <c r="BN40" s="276"/>
      <c r="BO40" s="648" t="s">
        <v>142</v>
      </c>
      <c r="BP40" s="633"/>
      <c r="BQ40" s="633"/>
      <c r="BR40" s="633"/>
      <c r="BS40" s="633"/>
      <c r="BT40" s="662">
        <f>+BK29</f>
        <v>-587</v>
      </c>
      <c r="BU40" s="642"/>
      <c r="BV40" s="642"/>
      <c r="BW40" s="642"/>
      <c r="BX40" s="642"/>
      <c r="BY40" s="642"/>
      <c r="BZ40" s="642">
        <f>-BZ39</f>
        <v>50</v>
      </c>
      <c r="CA40" s="705">
        <f t="shared" si="15"/>
        <v>-537</v>
      </c>
      <c r="CB40" s="276"/>
    </row>
    <row r="41" spans="1:80" ht="18" customHeight="1" x14ac:dyDescent="0.3">
      <c r="BN41" s="276"/>
      <c r="BO41" s="648"/>
      <c r="BP41" s="633"/>
      <c r="BQ41" s="633"/>
      <c r="BR41" s="633"/>
      <c r="BS41" s="633"/>
      <c r="BT41" s="662"/>
      <c r="BU41" s="642"/>
      <c r="BV41" s="642"/>
      <c r="BW41" s="642"/>
      <c r="BX41" s="642"/>
      <c r="BY41" s="642"/>
      <c r="BZ41" s="642"/>
      <c r="CA41" s="662"/>
      <c r="CB41" s="276"/>
    </row>
    <row r="42" spans="1:80" ht="18" customHeight="1" x14ac:dyDescent="0.3">
      <c r="BN42" s="276"/>
      <c r="BO42" s="123" t="s">
        <v>719</v>
      </c>
      <c r="BP42" s="17"/>
      <c r="BQ42" s="17"/>
      <c r="BR42" s="17"/>
      <c r="BS42" s="17"/>
      <c r="BT42" s="695"/>
      <c r="BU42" s="48"/>
      <c r="BV42" s="48"/>
      <c r="BW42" s="48"/>
      <c r="BX42" s="48"/>
      <c r="BY42" s="48"/>
      <c r="BZ42" s="48"/>
      <c r="CA42" s="695"/>
      <c r="CB42" s="276"/>
    </row>
    <row r="43" spans="1:80" ht="18" customHeight="1" x14ac:dyDescent="0.3">
      <c r="BN43" s="276"/>
      <c r="BO43" s="470" t="s">
        <v>722</v>
      </c>
      <c r="BP43" s="801"/>
      <c r="BQ43" s="801"/>
      <c r="BR43" s="801"/>
      <c r="BS43" s="801"/>
      <c r="BT43" s="802">
        <f>SUM(BT37:BT40)</f>
        <v>-337</v>
      </c>
      <c r="BU43" s="48"/>
      <c r="BV43" s="48"/>
      <c r="BW43" s="48"/>
      <c r="BX43" s="48"/>
      <c r="BY43" s="48"/>
      <c r="BZ43" s="48"/>
      <c r="CA43" s="802">
        <f>SUM(CA37:CA40)</f>
        <v>-337</v>
      </c>
      <c r="CB43" s="276"/>
    </row>
    <row r="44" spans="1:80" ht="18" customHeight="1" x14ac:dyDescent="0.3">
      <c r="BN44" s="276"/>
      <c r="BO44" s="120" t="s">
        <v>286</v>
      </c>
      <c r="BP44" s="213"/>
      <c r="BQ44" s="213"/>
      <c r="BR44" s="213"/>
      <c r="BS44" s="213"/>
      <c r="BT44" s="797">
        <f>+BT31+BT35+BT43</f>
        <v>900</v>
      </c>
      <c r="BU44" s="221"/>
      <c r="BV44" s="221"/>
      <c r="BW44" s="221"/>
      <c r="BX44" s="221"/>
      <c r="BY44" s="221"/>
      <c r="BZ44" s="221"/>
      <c r="CA44" s="797">
        <f>+CA31+CA35+CA43</f>
        <v>900</v>
      </c>
      <c r="CB44" s="276"/>
    </row>
    <row r="45" spans="1:80" ht="18" customHeight="1" x14ac:dyDescent="0.3">
      <c r="BN45" s="276"/>
      <c r="BO45" s="123" t="s">
        <v>284</v>
      </c>
      <c r="BP45" s="17"/>
      <c r="BQ45" s="17"/>
      <c r="BR45" s="17"/>
      <c r="BS45" s="17"/>
      <c r="BT45" s="695">
        <f>+H10</f>
        <v>800</v>
      </c>
      <c r="BU45" s="48"/>
      <c r="BV45" s="48"/>
      <c r="BW45" s="48"/>
      <c r="BX45" s="48"/>
      <c r="BY45" s="48"/>
      <c r="BZ45" s="48"/>
      <c r="CA45" s="695">
        <f>+BT45</f>
        <v>800</v>
      </c>
      <c r="CB45" s="276"/>
    </row>
    <row r="46" spans="1:80" ht="18" customHeight="1" x14ac:dyDescent="0.3">
      <c r="BN46" s="276"/>
      <c r="BO46" s="522" t="s">
        <v>285</v>
      </c>
      <c r="BP46" s="215"/>
      <c r="BQ46" s="215"/>
      <c r="BR46" s="215"/>
      <c r="BS46" s="215"/>
      <c r="BT46" s="696">
        <f>+BT44+BT45</f>
        <v>1700</v>
      </c>
      <c r="BU46" s="221"/>
      <c r="BV46" s="221"/>
      <c r="BW46" s="221"/>
      <c r="BX46" s="221"/>
      <c r="BY46" s="221"/>
      <c r="BZ46" s="221"/>
      <c r="CA46" s="696">
        <f>+CA44+CA45</f>
        <v>1700</v>
      </c>
      <c r="CB46" s="276"/>
    </row>
    <row r="47" spans="1:80" ht="18" customHeight="1" x14ac:dyDescent="0.3">
      <c r="BN47" s="276"/>
      <c r="BO47" s="276"/>
      <c r="BP47" s="276"/>
      <c r="BQ47" s="276"/>
      <c r="BR47" s="276"/>
      <c r="BS47" s="276"/>
      <c r="BT47" s="276"/>
      <c r="BU47" s="276"/>
      <c r="BV47" s="276"/>
      <c r="BW47" s="276"/>
      <c r="BX47" s="276"/>
      <c r="BY47" s="276"/>
      <c r="BZ47" s="276"/>
      <c r="CA47" s="276"/>
      <c r="CB47" s="276"/>
    </row>
    <row r="48" spans="1:80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</sheetData>
  <mergeCells count="9">
    <mergeCell ref="C4:N4"/>
    <mergeCell ref="W4:AD4"/>
    <mergeCell ref="AV1:AW1"/>
    <mergeCell ref="C2:N2"/>
    <mergeCell ref="Q2:T2"/>
    <mergeCell ref="W2:AD2"/>
    <mergeCell ref="C3:N3"/>
    <mergeCell ref="Q3:T3"/>
    <mergeCell ref="W3:AD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66E3F-DF6D-482C-B229-76E3E9F62800}">
  <sheetPr>
    <tabColor rgb="FF7030A0"/>
  </sheetPr>
  <dimension ref="A1:FC138"/>
  <sheetViews>
    <sheetView showGridLines="0" topLeftCell="AG1" zoomScale="55" zoomScaleNormal="55" workbookViewId="0">
      <selection activeCell="BN30" sqref="BN30"/>
    </sheetView>
  </sheetViews>
  <sheetFormatPr baseColWidth="10" defaultColWidth="0" defaultRowHeight="18.75" customHeight="1" zeroHeight="1" x14ac:dyDescent="0.3"/>
  <cols>
    <col min="1" max="1" width="4.42578125" customWidth="1"/>
    <col min="2" max="2" width="5.28515625" style="672" bestFit="1" customWidth="1"/>
    <col min="3" max="6" width="9.7109375" customWidth="1"/>
    <col min="7" max="8" width="10.7109375" customWidth="1"/>
    <col min="9" max="12" width="9.7109375" customWidth="1"/>
    <col min="13" max="14" width="10.5703125" bestFit="1" customWidth="1"/>
    <col min="15" max="15" width="5.85546875" style="672" hidden="1" customWidth="1"/>
    <col min="16" max="16" width="12.7109375" hidden="1" customWidth="1"/>
    <col min="17" max="17" width="14.85546875" hidden="1" customWidth="1"/>
    <col min="18" max="18" width="13.42578125" hidden="1" customWidth="1"/>
    <col min="19" max="21" width="12.7109375" hidden="1" customWidth="1"/>
    <col min="22" max="22" width="4.7109375" customWidth="1"/>
    <col min="23" max="26" width="12.28515625" hidden="1" customWidth="1"/>
    <col min="27" max="27" width="10.85546875" hidden="1" customWidth="1"/>
    <col min="28" max="28" width="12.28515625" hidden="1" customWidth="1"/>
    <col min="29" max="29" width="14.7109375" hidden="1" customWidth="1"/>
    <col min="30" max="30" width="12.140625" hidden="1" customWidth="1"/>
    <col min="31" max="31" width="5.85546875" style="42" customWidth="1"/>
    <col min="32" max="32" width="40.28515625" style="42" customWidth="1"/>
    <col min="33" max="35" width="14.7109375" style="42" customWidth="1"/>
    <col min="36" max="36" width="3.7109375" style="42" customWidth="1"/>
    <col min="37" max="37" width="10.85546875" style="42" customWidth="1"/>
    <col min="38" max="38" width="2.7109375" style="42" customWidth="1"/>
    <col min="39" max="39" width="6.7109375" style="42" customWidth="1"/>
    <col min="40" max="40" width="35.28515625" style="42" customWidth="1"/>
    <col min="41" max="42" width="13.7109375" style="42" customWidth="1"/>
    <col min="43" max="43" width="5.140625" style="672" bestFit="1" customWidth="1"/>
    <col min="44" max="44" width="43.140625" style="42" customWidth="1"/>
    <col min="45" max="47" width="16.7109375" style="42" customWidth="1"/>
    <col min="48" max="49" width="16.42578125" style="42" customWidth="1"/>
    <col min="50" max="50" width="15" style="42" bestFit="1" customWidth="1"/>
    <col min="51" max="57" width="13.7109375" style="42" customWidth="1"/>
    <col min="58" max="58" width="6.85546875" style="42" customWidth="1"/>
    <col min="59" max="59" width="2.85546875" style="42" customWidth="1"/>
    <col min="60" max="60" width="16.7109375" style="42" customWidth="1"/>
    <col min="61" max="62" width="14.7109375" style="42" customWidth="1"/>
    <col min="63" max="64" width="12.7109375" style="42" customWidth="1"/>
    <col min="65" max="65" width="11.5703125" style="42" bestFit="1" customWidth="1"/>
    <col min="66" max="66" width="4.85546875" customWidth="1"/>
    <col min="67" max="159" width="0" hidden="1" customWidth="1"/>
    <col min="160" max="16384" width="11.42578125" hidden="1"/>
  </cols>
  <sheetData>
    <row r="1" spans="1:66" s="42" customFormat="1" x14ac:dyDescent="0.3">
      <c r="A1" s="20"/>
      <c r="B1" s="768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70" t="s">
        <v>492</v>
      </c>
      <c r="P1" s="523"/>
      <c r="Q1" s="523"/>
      <c r="R1" s="523"/>
      <c r="S1" s="523"/>
      <c r="T1" s="523"/>
      <c r="U1" s="771"/>
      <c r="V1" s="294"/>
      <c r="W1" s="164"/>
      <c r="X1" s="164"/>
      <c r="Y1" s="164"/>
      <c r="Z1" s="164"/>
      <c r="AA1" s="164"/>
      <c r="AB1" s="164"/>
      <c r="AC1" s="164"/>
      <c r="AD1" s="279"/>
      <c r="AE1" s="281" t="s">
        <v>712</v>
      </c>
      <c r="AF1" s="280"/>
      <c r="AG1" s="280"/>
      <c r="AH1" s="280"/>
      <c r="AI1" s="280"/>
      <c r="AJ1" s="280"/>
      <c r="AK1" s="280"/>
      <c r="AL1" s="798" t="s">
        <v>494</v>
      </c>
      <c r="AM1" s="710"/>
      <c r="AN1" s="710"/>
      <c r="AO1" s="710"/>
      <c r="AP1" s="710"/>
      <c r="AQ1" s="803"/>
      <c r="AR1" s="709"/>
      <c r="AS1" s="710"/>
      <c r="AT1" s="710"/>
      <c r="AU1" s="710"/>
      <c r="AV1" s="1506" t="s">
        <v>109</v>
      </c>
      <c r="AW1" s="1507"/>
      <c r="AX1" s="710"/>
      <c r="AY1" s="709"/>
      <c r="AZ1" s="710"/>
      <c r="BA1" s="710"/>
      <c r="BB1" s="710"/>
      <c r="BC1" s="710"/>
      <c r="BD1" s="710"/>
      <c r="BE1" s="168"/>
      <c r="BF1" s="89"/>
      <c r="BG1" s="501"/>
      <c r="BH1" s="769"/>
      <c r="BI1" s="769"/>
      <c r="BJ1" s="769"/>
      <c r="BK1" s="769"/>
      <c r="BL1" s="769"/>
      <c r="BM1" s="779"/>
      <c r="BN1" s="276"/>
    </row>
    <row r="2" spans="1:66" s="42" customFormat="1" x14ac:dyDescent="0.3">
      <c r="A2" s="20"/>
      <c r="B2" s="673"/>
      <c r="C2" s="1523" t="s">
        <v>458</v>
      </c>
      <c r="D2" s="1524"/>
      <c r="E2" s="1524"/>
      <c r="F2" s="1524"/>
      <c r="G2" s="1524"/>
      <c r="H2" s="1524"/>
      <c r="I2" s="1524"/>
      <c r="J2" s="1524"/>
      <c r="K2" s="1524"/>
      <c r="L2" s="1524"/>
      <c r="M2" s="1524"/>
      <c r="N2" s="1525"/>
      <c r="O2" s="667"/>
      <c r="P2" s="723"/>
      <c r="Q2" s="1523" t="s">
        <v>458</v>
      </c>
      <c r="R2" s="1524"/>
      <c r="S2" s="1524"/>
      <c r="T2" s="1525"/>
      <c r="U2" s="724"/>
      <c r="V2" s="168"/>
      <c r="W2" s="1520" t="s">
        <v>458</v>
      </c>
      <c r="X2" s="1521"/>
      <c r="Y2" s="1521"/>
      <c r="Z2" s="1521"/>
      <c r="AA2" s="1521"/>
      <c r="AB2" s="1521"/>
      <c r="AC2" s="1521"/>
      <c r="AD2" s="1522"/>
      <c r="AE2" s="281"/>
      <c r="AF2" s="280"/>
      <c r="AG2" s="524" t="s">
        <v>64</v>
      </c>
      <c r="AH2" s="524" t="s">
        <v>65</v>
      </c>
      <c r="AI2" s="524" t="s">
        <v>374</v>
      </c>
      <c r="AJ2" s="280"/>
      <c r="AK2" s="280"/>
      <c r="AL2" s="799" t="s">
        <v>495</v>
      </c>
      <c r="AM2" s="280"/>
      <c r="AN2" s="280"/>
      <c r="AO2" s="280"/>
      <c r="AP2" s="280"/>
      <c r="AQ2" s="804"/>
      <c r="AR2" s="145"/>
      <c r="AS2" s="524" t="s">
        <v>64</v>
      </c>
      <c r="AT2" s="524" t="s">
        <v>65</v>
      </c>
      <c r="AU2" s="524" t="s">
        <v>374</v>
      </c>
      <c r="AV2" s="524" t="s">
        <v>434</v>
      </c>
      <c r="AW2" s="524" t="s">
        <v>111</v>
      </c>
      <c r="AX2" s="526" t="s">
        <v>742</v>
      </c>
      <c r="AY2" s="786" t="s">
        <v>259</v>
      </c>
      <c r="AZ2" s="787" t="s">
        <v>259</v>
      </c>
      <c r="BA2" s="787" t="s">
        <v>259</v>
      </c>
      <c r="BB2" s="787" t="s">
        <v>259</v>
      </c>
      <c r="BC2" s="787" t="s">
        <v>259</v>
      </c>
      <c r="BD2" s="787" t="s">
        <v>259</v>
      </c>
      <c r="BE2" s="788" t="s">
        <v>259</v>
      </c>
      <c r="BF2" s="20"/>
      <c r="BG2" s="780"/>
      <c r="BH2" s="697" t="s">
        <v>458</v>
      </c>
      <c r="BI2" s="789"/>
      <c r="BJ2" s="789"/>
      <c r="BK2" s="789"/>
      <c r="BL2" s="789"/>
      <c r="BM2" s="596"/>
      <c r="BN2" s="276"/>
    </row>
    <row r="3" spans="1:66" s="42" customFormat="1" x14ac:dyDescent="0.3">
      <c r="A3" s="20"/>
      <c r="B3" s="674"/>
      <c r="C3" s="1508" t="s">
        <v>62</v>
      </c>
      <c r="D3" s="1509"/>
      <c r="E3" s="1509"/>
      <c r="F3" s="1509"/>
      <c r="G3" s="1509"/>
      <c r="H3" s="1509"/>
      <c r="I3" s="1509"/>
      <c r="J3" s="1509"/>
      <c r="K3" s="1509"/>
      <c r="L3" s="1509"/>
      <c r="M3" s="1509"/>
      <c r="N3" s="1510"/>
      <c r="O3" s="668"/>
      <c r="P3" s="725"/>
      <c r="Q3" s="1508" t="s">
        <v>372</v>
      </c>
      <c r="R3" s="1509"/>
      <c r="S3" s="1509"/>
      <c r="T3" s="1510"/>
      <c r="U3" s="726"/>
      <c r="V3" s="169"/>
      <c r="W3" s="1517" t="s">
        <v>345</v>
      </c>
      <c r="X3" s="1518"/>
      <c r="Y3" s="1518"/>
      <c r="Z3" s="1518"/>
      <c r="AA3" s="1518"/>
      <c r="AB3" s="1518"/>
      <c r="AC3" s="1518"/>
      <c r="AD3" s="1519"/>
      <c r="AE3" s="663"/>
      <c r="AF3" s="523"/>
      <c r="AG3" s="524">
        <v>2020</v>
      </c>
      <c r="AH3" s="168">
        <v>2019</v>
      </c>
      <c r="AI3" s="524" t="s">
        <v>103</v>
      </c>
      <c r="AJ3" s="523"/>
      <c r="AK3" s="523"/>
      <c r="AL3" s="130"/>
      <c r="AM3" s="164"/>
      <c r="AN3" s="164"/>
      <c r="AO3" s="263" t="s">
        <v>110</v>
      </c>
      <c r="AP3" s="263" t="s">
        <v>111</v>
      </c>
      <c r="AQ3" s="804"/>
      <c r="AR3" s="207"/>
      <c r="AS3" s="524">
        <v>2020</v>
      </c>
      <c r="AT3" s="168">
        <v>2019</v>
      </c>
      <c r="AU3" s="524" t="s">
        <v>103</v>
      </c>
      <c r="AV3" s="524" t="s">
        <v>110</v>
      </c>
      <c r="AW3" s="524" t="s">
        <v>111</v>
      </c>
      <c r="AX3" s="572" t="s">
        <v>713</v>
      </c>
      <c r="AY3" s="707" t="s">
        <v>50</v>
      </c>
      <c r="AZ3" s="707" t="s">
        <v>25</v>
      </c>
      <c r="BA3" s="707" t="s">
        <v>21</v>
      </c>
      <c r="BB3" s="707" t="s">
        <v>21</v>
      </c>
      <c r="BC3" s="707" t="s">
        <v>22</v>
      </c>
      <c r="BD3" s="707" t="s">
        <v>22</v>
      </c>
      <c r="BE3" s="707" t="s">
        <v>26</v>
      </c>
      <c r="BF3" s="20"/>
      <c r="BG3" s="780"/>
      <c r="BH3" s="698" t="s">
        <v>724</v>
      </c>
      <c r="BI3" s="270"/>
      <c r="BJ3" s="270"/>
      <c r="BK3" s="270"/>
      <c r="BL3" s="270"/>
      <c r="BM3" s="597"/>
      <c r="BN3" s="276"/>
    </row>
    <row r="4" spans="1:66" s="42" customFormat="1" x14ac:dyDescent="0.3">
      <c r="A4" s="20"/>
      <c r="B4" s="674"/>
      <c r="C4" s="1511" t="s">
        <v>625</v>
      </c>
      <c r="D4" s="1512"/>
      <c r="E4" s="1512"/>
      <c r="F4" s="1512"/>
      <c r="G4" s="1512"/>
      <c r="H4" s="1512"/>
      <c r="I4" s="1512"/>
      <c r="J4" s="1512"/>
      <c r="K4" s="1512"/>
      <c r="L4" s="1512"/>
      <c r="M4" s="1512"/>
      <c r="N4" s="1513"/>
      <c r="O4" s="668"/>
      <c r="P4" s="720"/>
      <c r="Q4" s="720" t="s">
        <v>741</v>
      </c>
      <c r="R4" s="721"/>
      <c r="S4" s="721"/>
      <c r="T4" s="722"/>
      <c r="U4" s="722"/>
      <c r="V4" s="169"/>
      <c r="W4" s="1514" t="s">
        <v>705</v>
      </c>
      <c r="X4" s="1515"/>
      <c r="Y4" s="1515"/>
      <c r="Z4" s="1515"/>
      <c r="AA4" s="1515"/>
      <c r="AB4" s="1515"/>
      <c r="AC4" s="1515"/>
      <c r="AD4" s="1516"/>
      <c r="AE4" s="664"/>
      <c r="AF4" s="164"/>
      <c r="AG4" s="174" t="s">
        <v>387</v>
      </c>
      <c r="AH4" s="174" t="s">
        <v>387</v>
      </c>
      <c r="AI4" s="174" t="s">
        <v>387</v>
      </c>
      <c r="AJ4" s="164"/>
      <c r="AK4" s="164"/>
      <c r="AL4" s="648"/>
      <c r="AM4" s="633"/>
      <c r="AN4" s="609"/>
      <c r="AO4" s="684"/>
      <c r="AP4" s="679"/>
      <c r="AQ4" s="804"/>
      <c r="AR4" s="173"/>
      <c r="AS4" s="174" t="s">
        <v>387</v>
      </c>
      <c r="AT4" s="174" t="s">
        <v>387</v>
      </c>
      <c r="AU4" s="174" t="s">
        <v>387</v>
      </c>
      <c r="AV4" s="174" t="s">
        <v>387</v>
      </c>
      <c r="AW4" s="174" t="s">
        <v>387</v>
      </c>
      <c r="AX4" s="573" t="s">
        <v>387</v>
      </c>
      <c r="AY4" s="712" t="s">
        <v>121</v>
      </c>
      <c r="AZ4" s="712" t="s">
        <v>124</v>
      </c>
      <c r="BA4" s="712" t="s">
        <v>347</v>
      </c>
      <c r="BB4" s="712" t="s">
        <v>378</v>
      </c>
      <c r="BC4" s="712" t="s">
        <v>379</v>
      </c>
      <c r="BD4" s="712" t="s">
        <v>377</v>
      </c>
      <c r="BE4" s="712" t="s">
        <v>268</v>
      </c>
      <c r="BF4" s="20"/>
      <c r="BG4" s="780"/>
      <c r="BH4" s="806" t="s">
        <v>725</v>
      </c>
      <c r="BI4" s="807"/>
      <c r="BJ4" s="807"/>
      <c r="BK4" s="807"/>
      <c r="BL4" s="807"/>
      <c r="BM4" s="598"/>
      <c r="BN4" s="276"/>
    </row>
    <row r="5" spans="1:66" s="42" customFormat="1" x14ac:dyDescent="0.3">
      <c r="A5" s="20"/>
      <c r="B5" s="674"/>
      <c r="C5" s="599"/>
      <c r="D5" s="600"/>
      <c r="E5" s="600"/>
      <c r="F5" s="600"/>
      <c r="G5" s="601">
        <v>2020</v>
      </c>
      <c r="H5" s="601">
        <v>2019</v>
      </c>
      <c r="I5" s="600"/>
      <c r="J5" s="600"/>
      <c r="K5" s="600"/>
      <c r="L5" s="600"/>
      <c r="M5" s="601">
        <v>2020</v>
      </c>
      <c r="N5" s="602">
        <v>2019</v>
      </c>
      <c r="O5" s="668"/>
      <c r="P5" s="620"/>
      <c r="Q5" s="620"/>
      <c r="R5" s="621"/>
      <c r="S5" s="621"/>
      <c r="T5" s="727"/>
      <c r="U5" s="622"/>
      <c r="V5" s="169"/>
      <c r="W5" s="628"/>
      <c r="X5" s="629"/>
      <c r="Y5" s="629"/>
      <c r="Z5" s="629"/>
      <c r="AA5" s="629"/>
      <c r="AB5" s="630"/>
      <c r="AC5" s="630"/>
      <c r="AD5" s="631"/>
      <c r="AE5" s="664"/>
      <c r="AF5" s="608" t="s">
        <v>1</v>
      </c>
      <c r="AG5" s="661">
        <f t="shared" ref="AG5:AH8" si="0">+G10</f>
        <v>1700</v>
      </c>
      <c r="AH5" s="662">
        <f t="shared" si="0"/>
        <v>800</v>
      </c>
      <c r="AI5" s="80">
        <f>+AH5-AG5</f>
        <v>-900</v>
      </c>
      <c r="AJ5" s="164"/>
      <c r="AK5" s="164"/>
      <c r="AL5" s="648"/>
      <c r="AM5" s="633"/>
      <c r="AN5" s="609"/>
      <c r="AO5" s="684"/>
      <c r="AP5" s="679"/>
      <c r="AQ5" s="736"/>
      <c r="AR5" s="680" t="s">
        <v>1</v>
      </c>
      <c r="AS5" s="661">
        <f>+AG5</f>
        <v>1700</v>
      </c>
      <c r="AT5" s="661">
        <f t="shared" ref="AT5:AT26" si="1">+AH5</f>
        <v>800</v>
      </c>
      <c r="AU5" s="80">
        <f>+AT5-AS5</f>
        <v>-900</v>
      </c>
      <c r="AV5" s="813">
        <v>0</v>
      </c>
      <c r="AW5" s="813">
        <v>0</v>
      </c>
      <c r="AX5" s="773">
        <f>+AU5+AW5-AV5</f>
        <v>-900</v>
      </c>
      <c r="AY5" s="708"/>
      <c r="AZ5" s="708"/>
      <c r="BA5" s="708"/>
      <c r="BB5" s="708"/>
      <c r="BC5" s="708"/>
      <c r="BD5" s="708"/>
      <c r="BE5" s="708"/>
      <c r="BF5" s="20"/>
      <c r="BG5" s="780"/>
      <c r="BH5" s="700"/>
      <c r="BI5" s="690"/>
      <c r="BJ5" s="690"/>
      <c r="BK5" s="690"/>
      <c r="BL5" s="690"/>
      <c r="BM5" s="660" t="s">
        <v>387</v>
      </c>
      <c r="BN5" s="276"/>
    </row>
    <row r="6" spans="1:66" s="42" customFormat="1" x14ac:dyDescent="0.3">
      <c r="A6" s="20"/>
      <c r="B6" s="674"/>
      <c r="C6" s="603"/>
      <c r="D6" s="604"/>
      <c r="E6" s="604"/>
      <c r="F6" s="604"/>
      <c r="G6" s="605" t="s">
        <v>387</v>
      </c>
      <c r="H6" s="605" t="s">
        <v>387</v>
      </c>
      <c r="I6" s="604"/>
      <c r="J6" s="606"/>
      <c r="K6" s="606"/>
      <c r="L6" s="606"/>
      <c r="M6" s="605" t="s">
        <v>387</v>
      </c>
      <c r="N6" s="607" t="s">
        <v>387</v>
      </c>
      <c r="O6" s="668"/>
      <c r="P6" s="603"/>
      <c r="Q6" s="766"/>
      <c r="R6" s="732"/>
      <c r="S6" s="732"/>
      <c r="T6" s="767" t="s">
        <v>387</v>
      </c>
      <c r="U6" s="733"/>
      <c r="V6" s="169"/>
      <c r="W6" s="628"/>
      <c r="X6" s="629"/>
      <c r="Y6" s="629"/>
      <c r="Z6" s="629"/>
      <c r="AA6" s="629"/>
      <c r="AB6" s="630" t="s">
        <v>96</v>
      </c>
      <c r="AC6" s="630" t="s">
        <v>98</v>
      </c>
      <c r="AD6" s="631"/>
      <c r="AE6" s="664" t="s">
        <v>259</v>
      </c>
      <c r="AF6" s="608" t="s">
        <v>252</v>
      </c>
      <c r="AG6" s="661">
        <f t="shared" si="0"/>
        <v>1300</v>
      </c>
      <c r="AH6" s="662">
        <f t="shared" si="0"/>
        <v>1600</v>
      </c>
      <c r="AI6" s="661">
        <f t="shared" ref="AI6:AI28" si="2">+AH6-AG6</f>
        <v>300</v>
      </c>
      <c r="AJ6" s="677"/>
      <c r="AK6" s="164"/>
      <c r="AL6" s="648"/>
      <c r="AM6" s="633"/>
      <c r="AN6" s="685" t="s">
        <v>92</v>
      </c>
      <c r="AO6" s="684"/>
      <c r="AP6" s="679"/>
      <c r="AQ6" s="736"/>
      <c r="AR6" s="680" t="s">
        <v>252</v>
      </c>
      <c r="AS6" s="661">
        <f t="shared" ref="AS6:AS26" si="3">+AG6</f>
        <v>1300</v>
      </c>
      <c r="AT6" s="661">
        <f t="shared" si="1"/>
        <v>1600</v>
      </c>
      <c r="AU6" s="661">
        <f t="shared" ref="AU6:AU20" si="4">+AT6-AS6</f>
        <v>300</v>
      </c>
      <c r="AV6" s="813">
        <f>+AO7</f>
        <v>120</v>
      </c>
      <c r="AW6" s="813">
        <v>0</v>
      </c>
      <c r="AX6" s="661">
        <f>+AU6+AW6-AV6</f>
        <v>180</v>
      </c>
      <c r="AY6" s="811">
        <f>+AX6</f>
        <v>180</v>
      </c>
      <c r="AZ6" s="811"/>
      <c r="BA6" s="811"/>
      <c r="BB6" s="811"/>
      <c r="BC6" s="811"/>
      <c r="BD6" s="811"/>
      <c r="BE6" s="811"/>
      <c r="BF6" s="20"/>
      <c r="BG6" s="780"/>
      <c r="BH6" s="701"/>
      <c r="BI6" s="684"/>
      <c r="BJ6" s="684"/>
      <c r="BK6" s="684"/>
      <c r="BL6" s="684"/>
      <c r="BM6" s="679"/>
      <c r="BN6" s="276"/>
    </row>
    <row r="7" spans="1:66" s="42" customFormat="1" x14ac:dyDescent="0.3">
      <c r="A7" s="20"/>
      <c r="B7" s="674"/>
      <c r="C7" s="740"/>
      <c r="D7" s="128"/>
      <c r="E7" s="128"/>
      <c r="F7" s="128"/>
      <c r="G7" s="741"/>
      <c r="H7" s="741"/>
      <c r="I7" s="742" t="s">
        <v>59</v>
      </c>
      <c r="J7" s="742"/>
      <c r="K7" s="742"/>
      <c r="L7" s="742"/>
      <c r="M7" s="741"/>
      <c r="N7" s="743"/>
      <c r="O7" s="734"/>
      <c r="P7" s="714"/>
      <c r="Q7" s="608" t="s">
        <v>9</v>
      </c>
      <c r="R7" s="609"/>
      <c r="S7" s="612"/>
      <c r="T7" s="613">
        <v>20000</v>
      </c>
      <c r="U7" s="616"/>
      <c r="V7" s="169"/>
      <c r="W7" s="628"/>
      <c r="X7" s="629"/>
      <c r="Y7" s="629"/>
      <c r="Z7" s="629"/>
      <c r="AA7" s="629"/>
      <c r="AB7" s="630" t="s">
        <v>97</v>
      </c>
      <c r="AC7" s="630" t="s">
        <v>274</v>
      </c>
      <c r="AD7" s="631" t="s">
        <v>40</v>
      </c>
      <c r="AE7" s="664" t="s">
        <v>259</v>
      </c>
      <c r="AF7" s="608" t="s">
        <v>710</v>
      </c>
      <c r="AG7" s="661">
        <f t="shared" si="0"/>
        <v>200</v>
      </c>
      <c r="AH7" s="662">
        <f t="shared" si="0"/>
        <v>600</v>
      </c>
      <c r="AI7" s="661">
        <f t="shared" si="2"/>
        <v>400</v>
      </c>
      <c r="AJ7" s="677"/>
      <c r="AK7" s="164"/>
      <c r="AL7" s="648"/>
      <c r="AM7" s="164" t="s">
        <v>112</v>
      </c>
      <c r="AN7" s="633" t="s">
        <v>252</v>
      </c>
      <c r="AO7" s="642">
        <f>+AP8</f>
        <v>120</v>
      </c>
      <c r="AP7" s="662"/>
      <c r="AQ7" s="736"/>
      <c r="AR7" s="680" t="s">
        <v>710</v>
      </c>
      <c r="AS7" s="661">
        <f t="shared" si="3"/>
        <v>200</v>
      </c>
      <c r="AT7" s="661">
        <f t="shared" si="1"/>
        <v>600</v>
      </c>
      <c r="AU7" s="661">
        <f t="shared" si="4"/>
        <v>400</v>
      </c>
      <c r="AV7" s="813">
        <v>0</v>
      </c>
      <c r="AW7" s="813">
        <v>0</v>
      </c>
      <c r="AX7" s="661">
        <f t="shared" ref="AX7:AX28" si="5">+AU7+AW7-AV7</f>
        <v>400</v>
      </c>
      <c r="AY7" s="811"/>
      <c r="AZ7" s="811">
        <f>+AX7</f>
        <v>400</v>
      </c>
      <c r="BA7" s="811"/>
      <c r="BB7" s="811"/>
      <c r="BC7" s="811"/>
      <c r="BD7" s="811"/>
      <c r="BE7" s="811"/>
      <c r="BF7" s="20"/>
      <c r="BG7" s="780"/>
      <c r="BH7" s="701"/>
      <c r="BI7" s="684"/>
      <c r="BJ7" s="684"/>
      <c r="BK7" s="684"/>
      <c r="BL7" s="684"/>
      <c r="BM7" s="679"/>
      <c r="BN7" s="276"/>
    </row>
    <row r="8" spans="1:66" s="42" customFormat="1" x14ac:dyDescent="0.3">
      <c r="A8" s="20"/>
      <c r="B8" s="674"/>
      <c r="C8" s="744" t="s">
        <v>56</v>
      </c>
      <c r="D8" s="181"/>
      <c r="E8" s="181"/>
      <c r="F8" s="181"/>
      <c r="G8" s="745"/>
      <c r="H8" s="745"/>
      <c r="I8" s="181" t="s">
        <v>61</v>
      </c>
      <c r="J8" s="181"/>
      <c r="K8" s="181"/>
      <c r="L8" s="181"/>
      <c r="M8" s="181"/>
      <c r="N8" s="746"/>
      <c r="O8" s="735"/>
      <c r="P8" s="608"/>
      <c r="Q8" s="728" t="s">
        <v>10</v>
      </c>
      <c r="R8" s="626"/>
      <c r="S8" s="614"/>
      <c r="T8" s="729">
        <v>-15000</v>
      </c>
      <c r="U8" s="625"/>
      <c r="V8" s="632"/>
      <c r="W8" s="628"/>
      <c r="X8" s="629"/>
      <c r="Y8" s="629"/>
      <c r="Z8" s="629"/>
      <c r="AA8" s="629"/>
      <c r="AB8" s="630" t="s">
        <v>387</v>
      </c>
      <c r="AC8" s="630" t="s">
        <v>387</v>
      </c>
      <c r="AD8" s="631" t="s">
        <v>387</v>
      </c>
      <c r="AE8" s="664" t="s">
        <v>259</v>
      </c>
      <c r="AF8" s="608" t="s">
        <v>674</v>
      </c>
      <c r="AG8" s="661">
        <f t="shared" si="0"/>
        <v>1700</v>
      </c>
      <c r="AH8" s="662">
        <f t="shared" si="0"/>
        <v>2780</v>
      </c>
      <c r="AI8" s="661">
        <f t="shared" si="2"/>
        <v>1080</v>
      </c>
      <c r="AJ8" s="164"/>
      <c r="AK8" s="164"/>
      <c r="AL8" s="648"/>
      <c r="AM8" s="164" t="s">
        <v>113</v>
      </c>
      <c r="AN8" s="633" t="s">
        <v>241</v>
      </c>
      <c r="AO8" s="642"/>
      <c r="AP8" s="662">
        <f>+AB20</f>
        <v>120</v>
      </c>
      <c r="AQ8" s="736"/>
      <c r="AR8" s="680" t="s">
        <v>674</v>
      </c>
      <c r="AS8" s="661">
        <f t="shared" si="3"/>
        <v>1700</v>
      </c>
      <c r="AT8" s="661">
        <f t="shared" si="1"/>
        <v>2780</v>
      </c>
      <c r="AU8" s="661">
        <f t="shared" si="4"/>
        <v>1080</v>
      </c>
      <c r="AV8" s="813">
        <f>+AO11</f>
        <v>300</v>
      </c>
      <c r="AW8" s="813">
        <v>0</v>
      </c>
      <c r="AX8" s="661">
        <f t="shared" si="5"/>
        <v>780</v>
      </c>
      <c r="AY8" s="811"/>
      <c r="AZ8" s="811"/>
      <c r="BA8" s="811">
        <f>+AX8*(1+18%)</f>
        <v>920.4</v>
      </c>
      <c r="BB8" s="811"/>
      <c r="BC8" s="811"/>
      <c r="BD8" s="811"/>
      <c r="BE8" s="811">
        <f>-AX8*18%</f>
        <v>-140.4</v>
      </c>
      <c r="BF8" s="34"/>
      <c r="BG8" s="780"/>
      <c r="BH8" s="702" t="s">
        <v>16</v>
      </c>
      <c r="BI8" s="790"/>
      <c r="BJ8" s="790"/>
      <c r="BK8" s="790"/>
      <c r="BL8" s="790"/>
      <c r="BM8" s="703">
        <f>+T18</f>
        <v>1205</v>
      </c>
      <c r="BN8" s="276"/>
    </row>
    <row r="9" spans="1:66" s="42" customFormat="1" x14ac:dyDescent="0.3">
      <c r="A9" s="20"/>
      <c r="B9" s="674"/>
      <c r="C9" s="744" t="s">
        <v>57</v>
      </c>
      <c r="D9" s="181"/>
      <c r="E9" s="181"/>
      <c r="F9" s="181"/>
      <c r="G9" s="745"/>
      <c r="H9" s="745"/>
      <c r="I9" s="131" t="s">
        <v>4</v>
      </c>
      <c r="J9" s="131"/>
      <c r="K9" s="131"/>
      <c r="L9" s="131"/>
      <c r="M9" s="175">
        <v>740</v>
      </c>
      <c r="N9" s="196">
        <v>1400</v>
      </c>
      <c r="O9" s="735" t="s">
        <v>259</v>
      </c>
      <c r="P9" s="608"/>
      <c r="Q9" s="611" t="s">
        <v>13</v>
      </c>
      <c r="R9" s="610"/>
      <c r="S9" s="612"/>
      <c r="T9" s="625">
        <f>+T7+T8</f>
        <v>5000</v>
      </c>
      <c r="U9" s="613"/>
      <c r="V9" s="624"/>
      <c r="W9" s="651"/>
      <c r="X9" s="652"/>
      <c r="Y9" s="652"/>
      <c r="Z9" s="652"/>
      <c r="AA9" s="652"/>
      <c r="AB9" s="653"/>
      <c r="AC9" s="653"/>
      <c r="AD9" s="654"/>
      <c r="AE9" s="664" t="s">
        <v>259</v>
      </c>
      <c r="AF9" s="608" t="s">
        <v>150</v>
      </c>
      <c r="AG9" s="661">
        <f>+G18</f>
        <v>400</v>
      </c>
      <c r="AH9" s="662">
        <f>+H18</f>
        <v>300</v>
      </c>
      <c r="AI9" s="661">
        <f t="shared" si="2"/>
        <v>-100</v>
      </c>
      <c r="AJ9" s="164"/>
      <c r="AK9" s="164"/>
      <c r="AL9" s="648"/>
      <c r="AM9" s="633"/>
      <c r="AN9" s="633"/>
      <c r="AO9" s="642"/>
      <c r="AP9" s="662"/>
      <c r="AQ9" s="736"/>
      <c r="AR9" s="680" t="s">
        <v>150</v>
      </c>
      <c r="AS9" s="661">
        <f t="shared" si="3"/>
        <v>400</v>
      </c>
      <c r="AT9" s="661">
        <f t="shared" si="1"/>
        <v>300</v>
      </c>
      <c r="AU9" s="661">
        <f t="shared" si="4"/>
        <v>-100</v>
      </c>
      <c r="AV9" s="813">
        <v>0</v>
      </c>
      <c r="AW9" s="813">
        <f>+AP16</f>
        <v>100</v>
      </c>
      <c r="AX9" s="661">
        <f t="shared" si="5"/>
        <v>0</v>
      </c>
      <c r="AY9" s="811"/>
      <c r="AZ9" s="811"/>
      <c r="BA9" s="811"/>
      <c r="BB9" s="811"/>
      <c r="BC9" s="811"/>
      <c r="BD9" s="811"/>
      <c r="BE9" s="811"/>
      <c r="BF9" s="34"/>
      <c r="BG9" s="780"/>
      <c r="BH9" s="648"/>
      <c r="BI9" s="633"/>
      <c r="BJ9" s="633"/>
      <c r="BK9" s="633"/>
      <c r="BL9" s="633"/>
      <c r="BM9" s="655"/>
      <c r="BN9" s="276"/>
    </row>
    <row r="10" spans="1:66" s="42" customFormat="1" x14ac:dyDescent="0.3">
      <c r="A10" s="20"/>
      <c r="B10" s="674" t="s">
        <v>259</v>
      </c>
      <c r="C10" s="195" t="s">
        <v>1</v>
      </c>
      <c r="D10" s="131"/>
      <c r="E10" s="131"/>
      <c r="F10" s="131"/>
      <c r="G10" s="175">
        <v>1700</v>
      </c>
      <c r="H10" s="175">
        <v>800</v>
      </c>
      <c r="I10" s="131" t="s">
        <v>5</v>
      </c>
      <c r="J10" s="131"/>
      <c r="K10" s="131"/>
      <c r="L10" s="131"/>
      <c r="M10" s="175">
        <v>350</v>
      </c>
      <c r="N10" s="196">
        <v>500</v>
      </c>
      <c r="O10" s="735" t="s">
        <v>259</v>
      </c>
      <c r="P10" s="608"/>
      <c r="Q10" s="608" t="s">
        <v>44</v>
      </c>
      <c r="R10" s="609"/>
      <c r="S10" s="612"/>
      <c r="T10" s="627">
        <f>-1000-300</f>
        <v>-1300</v>
      </c>
      <c r="U10" s="627"/>
      <c r="V10" s="624"/>
      <c r="W10" s="634" t="s">
        <v>30</v>
      </c>
      <c r="X10" s="635"/>
      <c r="Y10" s="635"/>
      <c r="Z10" s="635"/>
      <c r="AA10" s="635"/>
      <c r="AB10" s="635">
        <f>+N20</f>
        <v>1240</v>
      </c>
      <c r="AC10" s="635">
        <f>+N21</f>
        <v>2382</v>
      </c>
      <c r="AD10" s="636">
        <f>SUM(AB10:AC10)</f>
        <v>3622</v>
      </c>
      <c r="AE10" s="665" t="s">
        <v>260</v>
      </c>
      <c r="AF10" s="608" t="s">
        <v>373</v>
      </c>
      <c r="AG10" s="661">
        <f>+G19</f>
        <v>3346</v>
      </c>
      <c r="AH10" s="662">
        <f>+H19</f>
        <v>2650</v>
      </c>
      <c r="AI10" s="661">
        <f t="shared" si="2"/>
        <v>-696</v>
      </c>
      <c r="AJ10" s="164"/>
      <c r="AK10" s="164"/>
      <c r="AL10" s="648"/>
      <c r="AM10" s="633"/>
      <c r="AN10" s="685" t="s">
        <v>731</v>
      </c>
      <c r="AO10" s="642"/>
      <c r="AP10" s="662"/>
      <c r="AQ10" s="736"/>
      <c r="AR10" s="680" t="s">
        <v>373</v>
      </c>
      <c r="AS10" s="661">
        <f t="shared" si="3"/>
        <v>3346</v>
      </c>
      <c r="AT10" s="661">
        <f t="shared" si="1"/>
        <v>2650</v>
      </c>
      <c r="AU10" s="661">
        <f t="shared" si="4"/>
        <v>-696</v>
      </c>
      <c r="AV10" s="813">
        <f>+AO19</f>
        <v>1080</v>
      </c>
      <c r="AW10" s="813">
        <v>0</v>
      </c>
      <c r="AX10" s="661">
        <f t="shared" si="5"/>
        <v>-1776</v>
      </c>
      <c r="AY10" s="811"/>
      <c r="AZ10" s="811"/>
      <c r="BA10" s="811"/>
      <c r="BB10" s="811"/>
      <c r="BC10" s="811"/>
      <c r="BD10" s="811"/>
      <c r="BE10" s="811"/>
      <c r="BF10" s="34"/>
      <c r="BG10" s="780"/>
      <c r="BH10" s="694" t="s">
        <v>726</v>
      </c>
      <c r="BI10" s="685"/>
      <c r="BJ10" s="685"/>
      <c r="BK10" s="685"/>
      <c r="BL10" s="685"/>
      <c r="BM10" s="655"/>
      <c r="BN10" s="276"/>
    </row>
    <row r="11" spans="1:66" s="42" customFormat="1" x14ac:dyDescent="0.3">
      <c r="A11" s="20"/>
      <c r="B11" s="674" t="s">
        <v>259</v>
      </c>
      <c r="C11" s="195" t="s">
        <v>252</v>
      </c>
      <c r="D11" s="131"/>
      <c r="E11" s="131"/>
      <c r="F11" s="131"/>
      <c r="G11" s="175">
        <v>1300</v>
      </c>
      <c r="H11" s="175">
        <v>1600</v>
      </c>
      <c r="I11" s="131" t="s">
        <v>23</v>
      </c>
      <c r="J11" s="131"/>
      <c r="K11" s="131"/>
      <c r="L11" s="131"/>
      <c r="M11" s="175">
        <v>78</v>
      </c>
      <c r="N11" s="196">
        <v>90</v>
      </c>
      <c r="O11" s="735" t="s">
        <v>259</v>
      </c>
      <c r="P11" s="608"/>
      <c r="Q11" s="608" t="s">
        <v>38</v>
      </c>
      <c r="R11" s="609"/>
      <c r="S11" s="612"/>
      <c r="T11" s="627">
        <v>-1080</v>
      </c>
      <c r="U11" s="627"/>
      <c r="V11" s="624"/>
      <c r="W11" s="637" t="s">
        <v>522</v>
      </c>
      <c r="X11" s="638"/>
      <c r="Y11" s="638"/>
      <c r="Z11" s="638"/>
      <c r="AA11" s="638"/>
      <c r="AB11" s="639">
        <v>0</v>
      </c>
      <c r="AC11" s="639">
        <f>T18</f>
        <v>1205</v>
      </c>
      <c r="AD11" s="640">
        <f>SUM(AB11:AC11)</f>
        <v>1205</v>
      </c>
      <c r="AE11" s="666" t="s">
        <v>259</v>
      </c>
      <c r="AF11" s="608" t="s">
        <v>369</v>
      </c>
      <c r="AG11" s="661">
        <f t="shared" ref="AG11:AH16" si="6">-M9</f>
        <v>-740</v>
      </c>
      <c r="AH11" s="662">
        <f t="shared" si="6"/>
        <v>-1400</v>
      </c>
      <c r="AI11" s="661">
        <f t="shared" si="2"/>
        <v>-660</v>
      </c>
      <c r="AJ11" s="164"/>
      <c r="AK11" s="164"/>
      <c r="AL11" s="648"/>
      <c r="AM11" s="164" t="s">
        <v>112</v>
      </c>
      <c r="AN11" s="633" t="s">
        <v>674</v>
      </c>
      <c r="AO11" s="642">
        <f>+AP12</f>
        <v>300</v>
      </c>
      <c r="AP11" s="662"/>
      <c r="AQ11" s="736"/>
      <c r="AR11" s="680" t="s">
        <v>369</v>
      </c>
      <c r="AS11" s="661">
        <f t="shared" si="3"/>
        <v>-740</v>
      </c>
      <c r="AT11" s="661">
        <f t="shared" si="1"/>
        <v>-1400</v>
      </c>
      <c r="AU11" s="661">
        <f t="shared" si="4"/>
        <v>-660</v>
      </c>
      <c r="AV11" s="813">
        <v>0</v>
      </c>
      <c r="AW11" s="813">
        <v>0</v>
      </c>
      <c r="AX11" s="661">
        <f t="shared" si="5"/>
        <v>-660</v>
      </c>
      <c r="AY11" s="811"/>
      <c r="AZ11" s="811"/>
      <c r="BA11" s="811">
        <f>+AX11</f>
        <v>-660</v>
      </c>
      <c r="BB11" s="811"/>
      <c r="BC11" s="811"/>
      <c r="BD11" s="811"/>
      <c r="BE11" s="811"/>
      <c r="BF11" s="34"/>
      <c r="BG11" s="780"/>
      <c r="BH11" s="694" t="s">
        <v>727</v>
      </c>
      <c r="BI11" s="685"/>
      <c r="BJ11" s="685"/>
      <c r="BK11" s="685"/>
      <c r="BL11" s="685"/>
      <c r="BM11" s="655"/>
      <c r="BN11" s="276"/>
    </row>
    <row r="12" spans="1:66" s="42" customFormat="1" x14ac:dyDescent="0.3">
      <c r="A12" s="20"/>
      <c r="B12" s="674" t="s">
        <v>259</v>
      </c>
      <c r="C12" s="195" t="s">
        <v>710</v>
      </c>
      <c r="D12" s="131"/>
      <c r="E12" s="131"/>
      <c r="F12" s="131"/>
      <c r="G12" s="175">
        <v>200</v>
      </c>
      <c r="H12" s="175">
        <v>600</v>
      </c>
      <c r="I12" s="131" t="s">
        <v>27</v>
      </c>
      <c r="J12" s="131"/>
      <c r="K12" s="131"/>
      <c r="L12" s="131"/>
      <c r="M12" s="175">
        <v>80</v>
      </c>
      <c r="N12" s="196">
        <v>100</v>
      </c>
      <c r="O12" s="735" t="s">
        <v>259</v>
      </c>
      <c r="P12" s="608"/>
      <c r="Q12" s="608" t="s">
        <v>12</v>
      </c>
      <c r="R12" s="609"/>
      <c r="S12" s="615"/>
      <c r="T12" s="627">
        <v>-850</v>
      </c>
      <c r="U12" s="627"/>
      <c r="V12" s="624"/>
      <c r="W12" s="637" t="s">
        <v>271</v>
      </c>
      <c r="X12" s="641"/>
      <c r="Y12" s="641"/>
      <c r="Z12" s="641"/>
      <c r="AA12" s="641"/>
      <c r="AB12" s="639">
        <f>+AO23</f>
        <v>150</v>
      </c>
      <c r="AC12" s="639">
        <v>0</v>
      </c>
      <c r="AD12" s="640">
        <f>SUM(AB12:AC12)</f>
        <v>150</v>
      </c>
      <c r="AE12" s="666" t="s">
        <v>259</v>
      </c>
      <c r="AF12" s="608" t="s">
        <v>5</v>
      </c>
      <c r="AG12" s="661">
        <f t="shared" si="6"/>
        <v>-350</v>
      </c>
      <c r="AH12" s="662">
        <f t="shared" si="6"/>
        <v>-500</v>
      </c>
      <c r="AI12" s="661">
        <f t="shared" si="2"/>
        <v>-150</v>
      </c>
      <c r="AJ12" s="164"/>
      <c r="AK12" s="164"/>
      <c r="AL12" s="648"/>
      <c r="AM12" s="164" t="s">
        <v>113</v>
      </c>
      <c r="AN12" s="633" t="s">
        <v>264</v>
      </c>
      <c r="AO12" s="642"/>
      <c r="AP12" s="662">
        <f>+AB21</f>
        <v>300</v>
      </c>
      <c r="AQ12" s="735"/>
      <c r="AR12" s="680" t="s">
        <v>5</v>
      </c>
      <c r="AS12" s="661">
        <f t="shared" si="3"/>
        <v>-350</v>
      </c>
      <c r="AT12" s="661">
        <f t="shared" si="1"/>
        <v>-500</v>
      </c>
      <c r="AU12" s="661">
        <f t="shared" si="4"/>
        <v>-150</v>
      </c>
      <c r="AV12" s="813">
        <v>0</v>
      </c>
      <c r="AW12" s="813">
        <v>0</v>
      </c>
      <c r="AX12" s="661">
        <f t="shared" si="5"/>
        <v>-150</v>
      </c>
      <c r="AY12" s="811"/>
      <c r="AZ12" s="811"/>
      <c r="BA12" s="811"/>
      <c r="BB12" s="811">
        <f>+AX12</f>
        <v>-150</v>
      </c>
      <c r="BC12" s="811"/>
      <c r="BD12" s="811"/>
      <c r="BE12" s="811"/>
      <c r="BF12" s="34"/>
      <c r="BG12" s="780"/>
      <c r="BH12" s="704" t="s">
        <v>384</v>
      </c>
      <c r="BI12" s="791"/>
      <c r="BJ12" s="791"/>
      <c r="BK12" s="791"/>
      <c r="BL12" s="791"/>
      <c r="BM12" s="705">
        <f>+AO7</f>
        <v>120</v>
      </c>
      <c r="BN12" s="276"/>
    </row>
    <row r="13" spans="1:66" s="42" customFormat="1" x14ac:dyDescent="0.3">
      <c r="A13" s="20"/>
      <c r="B13" s="674" t="s">
        <v>259</v>
      </c>
      <c r="C13" s="195" t="s">
        <v>674</v>
      </c>
      <c r="D13" s="131"/>
      <c r="E13" s="131"/>
      <c r="F13" s="131"/>
      <c r="G13" s="623">
        <v>1700</v>
      </c>
      <c r="H13" s="623">
        <v>2780</v>
      </c>
      <c r="I13" s="131" t="s">
        <v>251</v>
      </c>
      <c r="J13" s="131"/>
      <c r="K13" s="131"/>
      <c r="L13" s="131"/>
      <c r="M13" s="175">
        <v>118</v>
      </c>
      <c r="N13" s="196">
        <v>228</v>
      </c>
      <c r="O13" s="735" t="s">
        <v>259</v>
      </c>
      <c r="P13" s="608"/>
      <c r="Q13" s="728" t="s">
        <v>711</v>
      </c>
      <c r="R13" s="626"/>
      <c r="S13" s="626"/>
      <c r="T13" s="729">
        <v>40</v>
      </c>
      <c r="U13" s="625"/>
      <c r="V13" s="624"/>
      <c r="W13" s="637" t="s">
        <v>381</v>
      </c>
      <c r="X13" s="641"/>
      <c r="Y13" s="641"/>
      <c r="Z13" s="641"/>
      <c r="AA13" s="641"/>
      <c r="AB13" s="639">
        <f>-AC13</f>
        <v>50</v>
      </c>
      <c r="AC13" s="642">
        <v>-50</v>
      </c>
      <c r="AD13" s="640">
        <f>SUM(AB13:AC13)</f>
        <v>0</v>
      </c>
      <c r="AE13" s="666" t="s">
        <v>259</v>
      </c>
      <c r="AF13" s="608" t="s">
        <v>23</v>
      </c>
      <c r="AG13" s="661">
        <f t="shared" si="6"/>
        <v>-78</v>
      </c>
      <c r="AH13" s="662">
        <f t="shared" si="6"/>
        <v>-90</v>
      </c>
      <c r="AI13" s="661">
        <f t="shared" si="2"/>
        <v>-12</v>
      </c>
      <c r="AJ13" s="164"/>
      <c r="AK13" s="164"/>
      <c r="AL13" s="648"/>
      <c r="AM13" s="633"/>
      <c r="AN13" s="633"/>
      <c r="AO13" s="642"/>
      <c r="AP13" s="662"/>
      <c r="AQ13" s="735"/>
      <c r="AR13" s="680" t="s">
        <v>23</v>
      </c>
      <c r="AS13" s="661">
        <f t="shared" si="3"/>
        <v>-78</v>
      </c>
      <c r="AT13" s="661">
        <f t="shared" si="1"/>
        <v>-90</v>
      </c>
      <c r="AU13" s="661">
        <f t="shared" si="4"/>
        <v>-12</v>
      </c>
      <c r="AV13" s="813">
        <v>0</v>
      </c>
      <c r="AW13" s="813">
        <v>0</v>
      </c>
      <c r="AX13" s="661">
        <f t="shared" si="5"/>
        <v>-12</v>
      </c>
      <c r="AY13" s="811"/>
      <c r="AZ13" s="811"/>
      <c r="BA13" s="811"/>
      <c r="BB13" s="811"/>
      <c r="BC13" s="811">
        <f>+AX13</f>
        <v>-12</v>
      </c>
      <c r="BD13" s="811"/>
      <c r="BE13" s="811"/>
      <c r="BF13" s="34"/>
      <c r="BG13" s="780"/>
      <c r="BH13" s="704" t="s">
        <v>732</v>
      </c>
      <c r="BI13" s="791"/>
      <c r="BJ13" s="791"/>
      <c r="BK13" s="791"/>
      <c r="BL13" s="791"/>
      <c r="BM13" s="705">
        <f>+AO11</f>
        <v>300</v>
      </c>
      <c r="BN13" s="276"/>
    </row>
    <row r="14" spans="1:66" s="42" customFormat="1" x14ac:dyDescent="0.3">
      <c r="A14" s="20"/>
      <c r="B14" s="674"/>
      <c r="C14" s="744"/>
      <c r="D14" s="181"/>
      <c r="E14" s="181"/>
      <c r="F14" s="181"/>
      <c r="G14" s="180">
        <f>SUM(G10:G13)</f>
        <v>4900</v>
      </c>
      <c r="H14" s="180">
        <f>SUM(H10:H13)</f>
        <v>5780</v>
      </c>
      <c r="I14" s="131" t="s">
        <v>6</v>
      </c>
      <c r="J14" s="131"/>
      <c r="K14" s="131"/>
      <c r="L14" s="131"/>
      <c r="M14" s="623">
        <v>880</v>
      </c>
      <c r="N14" s="747">
        <v>290</v>
      </c>
      <c r="O14" s="735" t="s">
        <v>261</v>
      </c>
      <c r="P14" s="608"/>
      <c r="Q14" s="611" t="s">
        <v>14</v>
      </c>
      <c r="R14" s="610"/>
      <c r="S14" s="612"/>
      <c r="T14" s="625">
        <f>SUM(T9:T13)</f>
        <v>1810</v>
      </c>
      <c r="U14" s="613"/>
      <c r="V14" s="164"/>
      <c r="W14" s="637" t="s">
        <v>272</v>
      </c>
      <c r="X14" s="641"/>
      <c r="Y14" s="641"/>
      <c r="Z14" s="641"/>
      <c r="AA14" s="641"/>
      <c r="AB14" s="639">
        <f>210-50</f>
        <v>160</v>
      </c>
      <c r="AC14" s="639">
        <v>0</v>
      </c>
      <c r="AD14" s="640">
        <f>SUM(AB14:AC14)</f>
        <v>160</v>
      </c>
      <c r="AE14" s="666" t="s">
        <v>259</v>
      </c>
      <c r="AF14" s="608" t="s">
        <v>27</v>
      </c>
      <c r="AG14" s="661">
        <f t="shared" si="6"/>
        <v>-80</v>
      </c>
      <c r="AH14" s="662">
        <f t="shared" si="6"/>
        <v>-100</v>
      </c>
      <c r="AI14" s="661">
        <f t="shared" si="2"/>
        <v>-20</v>
      </c>
      <c r="AJ14" s="164"/>
      <c r="AK14" s="164"/>
      <c r="AL14" s="648"/>
      <c r="AM14" s="633"/>
      <c r="AN14" s="685" t="s">
        <v>150</v>
      </c>
      <c r="AO14" s="642"/>
      <c r="AP14" s="662"/>
      <c r="AQ14" s="735"/>
      <c r="AR14" s="680" t="s">
        <v>27</v>
      </c>
      <c r="AS14" s="661">
        <f t="shared" si="3"/>
        <v>-80</v>
      </c>
      <c r="AT14" s="661">
        <f t="shared" si="1"/>
        <v>-100</v>
      </c>
      <c r="AU14" s="661">
        <f t="shared" si="4"/>
        <v>-20</v>
      </c>
      <c r="AV14" s="813">
        <v>0</v>
      </c>
      <c r="AW14" s="813">
        <v>0</v>
      </c>
      <c r="AX14" s="661">
        <f t="shared" si="5"/>
        <v>-20</v>
      </c>
      <c r="AY14" s="811"/>
      <c r="AZ14" s="811"/>
      <c r="BA14" s="811"/>
      <c r="BB14" s="811"/>
      <c r="BC14" s="811"/>
      <c r="BD14" s="811"/>
      <c r="BE14" s="811">
        <f>+AX14</f>
        <v>-20</v>
      </c>
      <c r="BF14" s="34"/>
      <c r="BG14" s="780"/>
      <c r="BH14" s="704" t="s">
        <v>385</v>
      </c>
      <c r="BI14" s="791"/>
      <c r="BJ14" s="791"/>
      <c r="BK14" s="791"/>
      <c r="BL14" s="791"/>
      <c r="BM14" s="705">
        <f>-+AO15</f>
        <v>-100</v>
      </c>
      <c r="BN14" s="276"/>
    </row>
    <row r="15" spans="1:66" s="42" customFormat="1" x14ac:dyDescent="0.3">
      <c r="A15" s="20"/>
      <c r="B15" s="674"/>
      <c r="C15" s="744"/>
      <c r="D15" s="181"/>
      <c r="E15" s="181"/>
      <c r="F15" s="181"/>
      <c r="G15" s="180"/>
      <c r="H15" s="180"/>
      <c r="I15" s="131"/>
      <c r="J15" s="131"/>
      <c r="K15" s="131"/>
      <c r="L15" s="131"/>
      <c r="M15" s="748">
        <f>SUM(M9:M14)</f>
        <v>2246</v>
      </c>
      <c r="N15" s="749">
        <f>SUM(N9:N14)</f>
        <v>2608</v>
      </c>
      <c r="O15" s="736"/>
      <c r="P15" s="608"/>
      <c r="Q15" s="728" t="s">
        <v>45</v>
      </c>
      <c r="R15" s="626"/>
      <c r="S15" s="614"/>
      <c r="T15" s="729">
        <v>-105</v>
      </c>
      <c r="U15" s="627"/>
      <c r="V15" s="624"/>
      <c r="W15" s="637" t="s">
        <v>273</v>
      </c>
      <c r="X15" s="638"/>
      <c r="Y15" s="638"/>
      <c r="Z15" s="638"/>
      <c r="AA15" s="638"/>
      <c r="AB15" s="643">
        <v>0</v>
      </c>
      <c r="AC15" s="644">
        <v>-537</v>
      </c>
      <c r="AD15" s="645">
        <f>+AC15</f>
        <v>-537</v>
      </c>
      <c r="AE15" s="666" t="s">
        <v>259</v>
      </c>
      <c r="AF15" s="608" t="s">
        <v>251</v>
      </c>
      <c r="AG15" s="661">
        <f t="shared" si="6"/>
        <v>-118</v>
      </c>
      <c r="AH15" s="662">
        <f t="shared" si="6"/>
        <v>-228</v>
      </c>
      <c r="AI15" s="661">
        <f t="shared" si="2"/>
        <v>-110</v>
      </c>
      <c r="AJ15" s="164"/>
      <c r="AK15" s="164"/>
      <c r="AL15" s="648"/>
      <c r="AM15" s="164" t="s">
        <v>113</v>
      </c>
      <c r="AN15" s="633" t="s">
        <v>15</v>
      </c>
      <c r="AO15" s="642">
        <f>+AP16</f>
        <v>100</v>
      </c>
      <c r="AP15" s="662"/>
      <c r="AQ15" s="735"/>
      <c r="AR15" s="680" t="s">
        <v>251</v>
      </c>
      <c r="AS15" s="661">
        <f t="shared" si="3"/>
        <v>-118</v>
      </c>
      <c r="AT15" s="661">
        <f t="shared" si="1"/>
        <v>-228</v>
      </c>
      <c r="AU15" s="661">
        <f t="shared" si="4"/>
        <v>-110</v>
      </c>
      <c r="AV15" s="813">
        <v>0</v>
      </c>
      <c r="AW15" s="813">
        <v>0</v>
      </c>
      <c r="AX15" s="661">
        <f t="shared" si="5"/>
        <v>-110</v>
      </c>
      <c r="AY15" s="811"/>
      <c r="AZ15" s="811"/>
      <c r="BA15" s="811"/>
      <c r="BB15" s="811"/>
      <c r="BC15" s="811"/>
      <c r="BD15" s="811">
        <f>+AX15</f>
        <v>-110</v>
      </c>
      <c r="BE15" s="811"/>
      <c r="BF15" s="34"/>
      <c r="BG15" s="780"/>
      <c r="BH15" s="704" t="s">
        <v>383</v>
      </c>
      <c r="BI15" s="791"/>
      <c r="BJ15" s="791"/>
      <c r="BK15" s="791"/>
      <c r="BL15" s="791"/>
      <c r="BM15" s="705">
        <f>+AO19</f>
        <v>1080</v>
      </c>
      <c r="BN15" s="276"/>
    </row>
    <row r="16" spans="1:66" s="42" customFormat="1" x14ac:dyDescent="0.3">
      <c r="A16" s="20"/>
      <c r="B16" s="674"/>
      <c r="C16" s="744"/>
      <c r="D16" s="181"/>
      <c r="E16" s="181"/>
      <c r="F16" s="181"/>
      <c r="G16" s="175"/>
      <c r="H16" s="175"/>
      <c r="I16" s="181" t="s">
        <v>60</v>
      </c>
      <c r="J16" s="181"/>
      <c r="K16" s="181"/>
      <c r="L16" s="181"/>
      <c r="M16" s="131"/>
      <c r="N16" s="750"/>
      <c r="O16" s="735"/>
      <c r="P16" s="608"/>
      <c r="Q16" s="611" t="s">
        <v>89</v>
      </c>
      <c r="R16" s="610"/>
      <c r="S16" s="612"/>
      <c r="T16" s="625">
        <f>SUM(T14:T15)</f>
        <v>1705</v>
      </c>
      <c r="U16" s="627"/>
      <c r="V16" s="624"/>
      <c r="W16" s="717" t="s">
        <v>32</v>
      </c>
      <c r="X16" s="643"/>
      <c r="Y16" s="643"/>
      <c r="Z16" s="643"/>
      <c r="AA16" s="643"/>
      <c r="AB16" s="646">
        <f>SUM(AB10:AB15)</f>
        <v>1600</v>
      </c>
      <c r="AC16" s="646">
        <f>SUM(AC10:AC15)</f>
        <v>3000</v>
      </c>
      <c r="AD16" s="647">
        <f>SUM(AD10:AD15)</f>
        <v>4600</v>
      </c>
      <c r="AE16" s="666" t="s">
        <v>261</v>
      </c>
      <c r="AF16" s="608" t="s">
        <v>6</v>
      </c>
      <c r="AG16" s="661">
        <f t="shared" si="6"/>
        <v>-880</v>
      </c>
      <c r="AH16" s="661">
        <f t="shared" si="6"/>
        <v>-290</v>
      </c>
      <c r="AI16" s="661">
        <f t="shared" si="2"/>
        <v>590</v>
      </c>
      <c r="AJ16" s="164"/>
      <c r="AK16" s="164"/>
      <c r="AL16" s="648"/>
      <c r="AM16" s="164" t="s">
        <v>112</v>
      </c>
      <c r="AN16" s="633" t="s">
        <v>150</v>
      </c>
      <c r="AO16" s="642"/>
      <c r="AP16" s="662">
        <f>+AB22</f>
        <v>100</v>
      </c>
      <c r="AQ16" s="735"/>
      <c r="AR16" s="680" t="s">
        <v>6</v>
      </c>
      <c r="AS16" s="661">
        <f t="shared" si="3"/>
        <v>-880</v>
      </c>
      <c r="AT16" s="661">
        <f t="shared" si="1"/>
        <v>-290</v>
      </c>
      <c r="AU16" s="661">
        <f t="shared" si="4"/>
        <v>590</v>
      </c>
      <c r="AV16" s="813">
        <v>0</v>
      </c>
      <c r="AW16" s="813">
        <f>+AP24</f>
        <v>150</v>
      </c>
      <c r="AX16" s="661">
        <f t="shared" si="5"/>
        <v>740</v>
      </c>
      <c r="AY16" s="811"/>
      <c r="AZ16" s="811"/>
      <c r="BA16" s="811"/>
      <c r="BB16" s="811"/>
      <c r="BC16" s="811"/>
      <c r="BD16" s="811"/>
      <c r="BE16" s="811"/>
      <c r="BF16" s="34"/>
      <c r="BG16" s="780"/>
      <c r="BH16" s="706"/>
      <c r="BI16" s="792"/>
      <c r="BJ16" s="792"/>
      <c r="BK16" s="792"/>
      <c r="BL16" s="792"/>
      <c r="BM16" s="705"/>
      <c r="BN16" s="276"/>
    </row>
    <row r="17" spans="1:70" s="42" customFormat="1" x14ac:dyDescent="0.3">
      <c r="A17" s="20"/>
      <c r="B17" s="674"/>
      <c r="C17" s="744" t="s">
        <v>58</v>
      </c>
      <c r="D17" s="181"/>
      <c r="E17" s="181"/>
      <c r="F17" s="181"/>
      <c r="G17" s="175"/>
      <c r="H17" s="175"/>
      <c r="I17" s="131" t="s">
        <v>6</v>
      </c>
      <c r="J17" s="131"/>
      <c r="K17" s="131"/>
      <c r="L17" s="131"/>
      <c r="M17" s="623">
        <v>1800</v>
      </c>
      <c r="N17" s="747">
        <v>2500</v>
      </c>
      <c r="O17" s="735"/>
      <c r="P17" s="608"/>
      <c r="Q17" s="728" t="s">
        <v>15</v>
      </c>
      <c r="R17" s="626"/>
      <c r="S17" s="614"/>
      <c r="T17" s="729">
        <v>-500</v>
      </c>
      <c r="U17" s="627"/>
      <c r="V17" s="624"/>
      <c r="W17" s="648"/>
      <c r="X17" s="633"/>
      <c r="Y17" s="633"/>
      <c r="Z17" s="633"/>
      <c r="AA17" s="638"/>
      <c r="AB17" s="638"/>
      <c r="AC17" s="638"/>
      <c r="AD17" s="649"/>
      <c r="AE17" s="666" t="s">
        <v>261</v>
      </c>
      <c r="AF17" s="608" t="s">
        <v>6</v>
      </c>
      <c r="AG17" s="661">
        <f>-M17</f>
        <v>-1800</v>
      </c>
      <c r="AH17" s="661">
        <f>-N17</f>
        <v>-2500</v>
      </c>
      <c r="AI17" s="661">
        <f t="shared" si="2"/>
        <v>-700</v>
      </c>
      <c r="AJ17" s="164"/>
      <c r="AK17" s="689">
        <f>SUM(AI6:AI28)</f>
        <v>900</v>
      </c>
      <c r="AL17" s="648"/>
      <c r="AM17" s="633"/>
      <c r="AN17" s="633"/>
      <c r="AO17" s="642"/>
      <c r="AP17" s="662"/>
      <c r="AQ17" s="735"/>
      <c r="AR17" s="680" t="s">
        <v>6</v>
      </c>
      <c r="AS17" s="661">
        <f t="shared" si="3"/>
        <v>-1800</v>
      </c>
      <c r="AT17" s="661">
        <f t="shared" si="1"/>
        <v>-2500</v>
      </c>
      <c r="AU17" s="661">
        <f t="shared" si="4"/>
        <v>-700</v>
      </c>
      <c r="AV17" s="813">
        <v>0</v>
      </c>
      <c r="AW17" s="813">
        <v>0</v>
      </c>
      <c r="AX17" s="661">
        <f t="shared" si="5"/>
        <v>-700</v>
      </c>
      <c r="AY17" s="811"/>
      <c r="AZ17" s="811"/>
      <c r="BA17" s="811"/>
      <c r="BB17" s="811"/>
      <c r="BC17" s="811"/>
      <c r="BD17" s="811"/>
      <c r="BE17" s="811"/>
      <c r="BF17" s="34"/>
      <c r="BG17" s="780"/>
      <c r="BH17" s="648"/>
      <c r="BI17" s="633"/>
      <c r="BJ17" s="633"/>
      <c r="BK17" s="633"/>
      <c r="BL17" s="633"/>
      <c r="BM17" s="705"/>
      <c r="BN17" s="276"/>
    </row>
    <row r="18" spans="1:70" s="42" customFormat="1" x14ac:dyDescent="0.3">
      <c r="A18" s="20"/>
      <c r="B18" s="674" t="s">
        <v>259</v>
      </c>
      <c r="C18" s="195" t="s">
        <v>150</v>
      </c>
      <c r="D18" s="131"/>
      <c r="E18" s="131"/>
      <c r="F18" s="131"/>
      <c r="G18" s="175">
        <v>400</v>
      </c>
      <c r="H18" s="175">
        <v>300</v>
      </c>
      <c r="I18" s="181" t="s">
        <v>55</v>
      </c>
      <c r="J18" s="181"/>
      <c r="K18" s="181"/>
      <c r="L18" s="181"/>
      <c r="M18" s="187">
        <f>SUM(M15:M17)</f>
        <v>4046</v>
      </c>
      <c r="N18" s="751">
        <f>SUM(N15:N17)</f>
        <v>5108</v>
      </c>
      <c r="O18" s="735"/>
      <c r="P18" s="608"/>
      <c r="Q18" s="618" t="s">
        <v>16</v>
      </c>
      <c r="R18" s="619"/>
      <c r="S18" s="614"/>
      <c r="T18" s="617">
        <f>+T16+T17</f>
        <v>1205</v>
      </c>
      <c r="U18" s="627"/>
      <c r="V18" s="624"/>
      <c r="W18" s="718" t="s">
        <v>737</v>
      </c>
      <c r="X18" s="600"/>
      <c r="Y18" s="600"/>
      <c r="Z18" s="600"/>
      <c r="AA18" s="600"/>
      <c r="AB18" s="600"/>
      <c r="AC18" s="600"/>
      <c r="AD18" s="737"/>
      <c r="AE18" s="666" t="s">
        <v>261</v>
      </c>
      <c r="AF18" s="608" t="s">
        <v>7</v>
      </c>
      <c r="AG18" s="661">
        <f>-M20</f>
        <v>-1600</v>
      </c>
      <c r="AH18" s="662">
        <f>-N20</f>
        <v>-1240</v>
      </c>
      <c r="AI18" s="661">
        <f t="shared" si="2"/>
        <v>360</v>
      </c>
      <c r="AJ18" s="164"/>
      <c r="AK18" s="164"/>
      <c r="AL18" s="648"/>
      <c r="AM18" s="633"/>
      <c r="AN18" s="685" t="s">
        <v>149</v>
      </c>
      <c r="AO18" s="642"/>
      <c r="AP18" s="662"/>
      <c r="AQ18" s="735"/>
      <c r="AR18" s="680" t="s">
        <v>7</v>
      </c>
      <c r="AS18" s="661">
        <f t="shared" si="3"/>
        <v>-1600</v>
      </c>
      <c r="AT18" s="661">
        <f t="shared" si="1"/>
        <v>-1240</v>
      </c>
      <c r="AU18" s="661">
        <f t="shared" si="4"/>
        <v>360</v>
      </c>
      <c r="AV18" s="813">
        <f>+AO23+AO27</f>
        <v>200</v>
      </c>
      <c r="AW18" s="813">
        <v>0</v>
      </c>
      <c r="AX18" s="661">
        <f t="shared" si="5"/>
        <v>160</v>
      </c>
      <c r="AY18" s="811"/>
      <c r="AZ18" s="811"/>
      <c r="BA18" s="811"/>
      <c r="BB18" s="811"/>
      <c r="BC18" s="811"/>
      <c r="BD18" s="811"/>
      <c r="BE18" s="811"/>
      <c r="BF18" s="34"/>
      <c r="BG18" s="780"/>
      <c r="BH18" s="694" t="s">
        <v>359</v>
      </c>
      <c r="BI18" s="685"/>
      <c r="BJ18" s="685"/>
      <c r="BK18" s="685"/>
      <c r="BL18" s="685"/>
      <c r="BM18" s="655"/>
      <c r="BN18" s="276"/>
    </row>
    <row r="19" spans="1:70" s="42" customFormat="1" ht="19.5" thickBot="1" x14ac:dyDescent="0.35">
      <c r="A19" s="20"/>
      <c r="B19" s="674" t="s">
        <v>260</v>
      </c>
      <c r="C19" s="195" t="s">
        <v>373</v>
      </c>
      <c r="D19" s="131"/>
      <c r="E19" s="131"/>
      <c r="F19" s="131"/>
      <c r="G19" s="623">
        <f>3346</f>
        <v>3346</v>
      </c>
      <c r="H19" s="623">
        <v>2650</v>
      </c>
      <c r="I19" s="131"/>
      <c r="J19" s="131"/>
      <c r="K19" s="131"/>
      <c r="L19" s="131"/>
      <c r="M19" s="131"/>
      <c r="N19" s="194"/>
      <c r="O19" s="735"/>
      <c r="P19" s="189"/>
      <c r="Q19" s="189"/>
      <c r="R19" s="189"/>
      <c r="S19" s="189"/>
      <c r="T19" s="189"/>
      <c r="U19" s="189"/>
      <c r="V19" s="624"/>
      <c r="W19" s="738" t="s">
        <v>738</v>
      </c>
      <c r="X19" s="716"/>
      <c r="Y19" s="716"/>
      <c r="Z19" s="716"/>
      <c r="AA19" s="716"/>
      <c r="AB19" s="633"/>
      <c r="AC19" s="715" t="s">
        <v>734</v>
      </c>
      <c r="AD19" s="655"/>
      <c r="AE19" s="666" t="s">
        <v>261</v>
      </c>
      <c r="AF19" s="608" t="s">
        <v>8</v>
      </c>
      <c r="AG19" s="661">
        <f>-(+M21-T18)</f>
        <v>-1795</v>
      </c>
      <c r="AH19" s="662">
        <f>-N21</f>
        <v>-2382</v>
      </c>
      <c r="AI19" s="661">
        <f t="shared" si="2"/>
        <v>-587</v>
      </c>
      <c r="AJ19" s="164"/>
      <c r="AK19" s="164"/>
      <c r="AL19" s="648"/>
      <c r="AM19" s="164" t="s">
        <v>112</v>
      </c>
      <c r="AN19" s="686" t="s">
        <v>263</v>
      </c>
      <c r="AO19" s="642">
        <f>+AP20</f>
        <v>1080</v>
      </c>
      <c r="AP19" s="662"/>
      <c r="AQ19" s="735"/>
      <c r="AR19" s="808" t="s">
        <v>8</v>
      </c>
      <c r="AS19" s="809">
        <f t="shared" si="3"/>
        <v>-1795</v>
      </c>
      <c r="AT19" s="809">
        <f t="shared" si="1"/>
        <v>-2382</v>
      </c>
      <c r="AU19" s="809">
        <f t="shared" si="4"/>
        <v>-587</v>
      </c>
      <c r="AV19" s="814">
        <v>0</v>
      </c>
      <c r="AW19" s="814">
        <f>+AP28</f>
        <v>50</v>
      </c>
      <c r="AX19" s="809">
        <f t="shared" si="5"/>
        <v>-537</v>
      </c>
      <c r="AY19" s="812"/>
      <c r="AZ19" s="812"/>
      <c r="BA19" s="812"/>
      <c r="BB19" s="812"/>
      <c r="BC19" s="812"/>
      <c r="BD19" s="812"/>
      <c r="BE19" s="812"/>
      <c r="BF19" s="34"/>
      <c r="BG19" s="780"/>
      <c r="BH19" s="704" t="s">
        <v>718</v>
      </c>
      <c r="BI19" s="791"/>
      <c r="BJ19" s="791"/>
      <c r="BK19" s="791"/>
      <c r="BL19" s="791"/>
      <c r="BM19" s="705">
        <f>+AY6</f>
        <v>180</v>
      </c>
      <c r="BN19" s="276"/>
    </row>
    <row r="20" spans="1:70" s="42" customFormat="1" x14ac:dyDescent="0.3">
      <c r="A20" s="20"/>
      <c r="B20" s="674"/>
      <c r="C20" s="195"/>
      <c r="D20" s="131"/>
      <c r="E20" s="131"/>
      <c r="F20" s="131"/>
      <c r="G20" s="187">
        <f>+G18+G19</f>
        <v>3746</v>
      </c>
      <c r="H20" s="187">
        <f>+H18+H19</f>
        <v>2950</v>
      </c>
      <c r="I20" s="131" t="s">
        <v>7</v>
      </c>
      <c r="J20" s="131"/>
      <c r="K20" s="131"/>
      <c r="L20" s="131"/>
      <c r="M20" s="175">
        <v>1600</v>
      </c>
      <c r="N20" s="196">
        <v>1240</v>
      </c>
      <c r="O20" s="735" t="s">
        <v>261</v>
      </c>
      <c r="P20" s="189"/>
      <c r="Q20" s="189"/>
      <c r="R20" s="189"/>
      <c r="S20" s="189"/>
      <c r="T20" s="189"/>
      <c r="U20" s="189"/>
      <c r="V20" s="624"/>
      <c r="W20" s="648" t="s">
        <v>92</v>
      </c>
      <c r="X20" s="633"/>
      <c r="Y20" s="633"/>
      <c r="Z20" s="633"/>
      <c r="AA20" s="633"/>
      <c r="AB20" s="633">
        <v>120</v>
      </c>
      <c r="AC20" s="633" t="s">
        <v>735</v>
      </c>
      <c r="AD20" s="655"/>
      <c r="AE20" s="665" t="s">
        <v>259</v>
      </c>
      <c r="AF20" s="608" t="s">
        <v>9</v>
      </c>
      <c r="AG20" s="661">
        <f>-T7</f>
        <v>-20000</v>
      </c>
      <c r="AH20" s="662"/>
      <c r="AI20" s="661">
        <f t="shared" si="2"/>
        <v>20000</v>
      </c>
      <c r="AJ20" s="164"/>
      <c r="AK20" s="164"/>
      <c r="AL20" s="648"/>
      <c r="AM20" s="164" t="s">
        <v>113</v>
      </c>
      <c r="AN20" s="686" t="s">
        <v>69</v>
      </c>
      <c r="AO20" s="642"/>
      <c r="AP20" s="662">
        <f>+AB23</f>
        <v>1080</v>
      </c>
      <c r="AQ20" s="736"/>
      <c r="AR20" s="680" t="s">
        <v>9</v>
      </c>
      <c r="AS20" s="661">
        <f t="shared" si="3"/>
        <v>-20000</v>
      </c>
      <c r="AT20" s="661">
        <f t="shared" si="1"/>
        <v>0</v>
      </c>
      <c r="AU20" s="661">
        <f t="shared" si="4"/>
        <v>20000</v>
      </c>
      <c r="AV20" s="813">
        <v>0</v>
      </c>
      <c r="AW20" s="813">
        <v>0</v>
      </c>
      <c r="AX20" s="661">
        <f t="shared" si="5"/>
        <v>20000</v>
      </c>
      <c r="AY20" s="810">
        <f>+AX20*(1+18%)</f>
        <v>23600</v>
      </c>
      <c r="AZ20" s="810"/>
      <c r="BA20" s="810"/>
      <c r="BB20" s="810"/>
      <c r="BC20" s="810"/>
      <c r="BD20" s="810"/>
      <c r="BE20" s="810">
        <f>-AX20*18%</f>
        <v>-3600</v>
      </c>
      <c r="BF20" s="34"/>
      <c r="BG20" s="780"/>
      <c r="BH20" s="704" t="s">
        <v>716</v>
      </c>
      <c r="BI20" s="791"/>
      <c r="BJ20" s="791"/>
      <c r="BK20" s="791"/>
      <c r="BL20" s="791"/>
      <c r="BM20" s="705">
        <f>+AZ7</f>
        <v>400</v>
      </c>
      <c r="BN20" s="276"/>
    </row>
    <row r="21" spans="1:70" s="42" customFormat="1" x14ac:dyDescent="0.3">
      <c r="A21" s="20"/>
      <c r="B21" s="674"/>
      <c r="C21" s="195"/>
      <c r="D21" s="131"/>
      <c r="E21" s="131"/>
      <c r="F21" s="131"/>
      <c r="G21" s="131"/>
      <c r="H21" s="131"/>
      <c r="I21" s="131" t="s">
        <v>8</v>
      </c>
      <c r="J21" s="131"/>
      <c r="K21" s="131"/>
      <c r="L21" s="131"/>
      <c r="M21" s="623">
        <v>3000</v>
      </c>
      <c r="N21" s="747">
        <v>2382</v>
      </c>
      <c r="O21" s="735" t="s">
        <v>261</v>
      </c>
      <c r="P21" s="189"/>
      <c r="Q21" s="189"/>
      <c r="R21" s="189"/>
      <c r="S21" s="189"/>
      <c r="T21" s="189"/>
      <c r="U21" s="189"/>
      <c r="V21" s="624"/>
      <c r="W21" s="648" t="s">
        <v>730</v>
      </c>
      <c r="X21" s="633"/>
      <c r="Y21" s="633"/>
      <c r="Z21" s="633"/>
      <c r="AA21" s="633"/>
      <c r="AB21" s="713">
        <v>300</v>
      </c>
      <c r="AC21" s="633" t="s">
        <v>735</v>
      </c>
      <c r="AD21" s="655"/>
      <c r="AE21" s="665" t="s">
        <v>259</v>
      </c>
      <c r="AF21" s="608" t="s">
        <v>10</v>
      </c>
      <c r="AG21" s="661"/>
      <c r="AH21" s="662"/>
      <c r="AI21" s="661"/>
      <c r="AJ21" s="164"/>
      <c r="AK21" s="164"/>
      <c r="AL21" s="648"/>
      <c r="AM21" s="633"/>
      <c r="AN21" s="633"/>
      <c r="AO21" s="633"/>
      <c r="AP21" s="655"/>
      <c r="AQ21" s="736"/>
      <c r="AR21" s="680" t="s">
        <v>714</v>
      </c>
      <c r="AS21" s="661">
        <f t="shared" si="3"/>
        <v>0</v>
      </c>
      <c r="AT21" s="661">
        <f t="shared" si="1"/>
        <v>0</v>
      </c>
      <c r="AU21" s="661"/>
      <c r="AV21" s="813">
        <v>0</v>
      </c>
      <c r="AW21" s="813">
        <v>0</v>
      </c>
      <c r="AX21" s="661">
        <f t="shared" si="5"/>
        <v>0</v>
      </c>
      <c r="AY21" s="810"/>
      <c r="AZ21" s="810"/>
      <c r="BA21" s="810"/>
      <c r="BB21" s="810"/>
      <c r="BC21" s="810"/>
      <c r="BD21" s="810"/>
      <c r="BE21" s="810"/>
      <c r="BF21" s="34"/>
      <c r="BG21" s="780"/>
      <c r="BH21" s="704" t="s">
        <v>733</v>
      </c>
      <c r="BI21" s="791"/>
      <c r="BJ21" s="791"/>
      <c r="BK21" s="791"/>
      <c r="BL21" s="791"/>
      <c r="BM21" s="705">
        <f>+BA8+BE8</f>
        <v>780</v>
      </c>
      <c r="BN21" s="276"/>
    </row>
    <row r="22" spans="1:70" s="42" customFormat="1" x14ac:dyDescent="0.3">
      <c r="A22" s="20"/>
      <c r="B22" s="674"/>
      <c r="C22" s="195"/>
      <c r="D22" s="131"/>
      <c r="E22" s="131"/>
      <c r="F22" s="131"/>
      <c r="G22" s="131"/>
      <c r="H22" s="131"/>
      <c r="I22" s="181" t="s">
        <v>81</v>
      </c>
      <c r="J22" s="181"/>
      <c r="K22" s="181"/>
      <c r="L22" s="181"/>
      <c r="M22" s="752">
        <f>SUM(M20:M21)</f>
        <v>4600</v>
      </c>
      <c r="N22" s="753">
        <f>SUM(N20:N21)</f>
        <v>3622</v>
      </c>
      <c r="O22" s="735"/>
      <c r="P22" s="189"/>
      <c r="Q22" s="189"/>
      <c r="R22" s="189"/>
      <c r="S22" s="189"/>
      <c r="T22" s="189"/>
      <c r="U22" s="189"/>
      <c r="V22" s="731"/>
      <c r="W22" s="648" t="s">
        <v>736</v>
      </c>
      <c r="X22" s="633"/>
      <c r="Y22" s="633"/>
      <c r="Z22" s="633"/>
      <c r="AA22" s="633"/>
      <c r="AB22" s="713">
        <v>100</v>
      </c>
      <c r="AC22" s="633" t="s">
        <v>192</v>
      </c>
      <c r="AD22" s="655"/>
      <c r="AE22" s="665" t="s">
        <v>259</v>
      </c>
      <c r="AF22" s="608" t="s">
        <v>253</v>
      </c>
      <c r="AG22" s="661">
        <f>-T8</f>
        <v>15000</v>
      </c>
      <c r="AH22" s="662"/>
      <c r="AI22" s="661">
        <f t="shared" si="2"/>
        <v>-15000</v>
      </c>
      <c r="AJ22" s="164"/>
      <c r="AK22" s="164"/>
      <c r="AL22" s="648"/>
      <c r="AM22" s="633"/>
      <c r="AN22" s="685" t="s">
        <v>243</v>
      </c>
      <c r="AO22" s="642"/>
      <c r="AP22" s="662"/>
      <c r="AQ22" s="736"/>
      <c r="AR22" s="681" t="s">
        <v>253</v>
      </c>
      <c r="AS22" s="661">
        <f t="shared" si="3"/>
        <v>15000</v>
      </c>
      <c r="AT22" s="661">
        <f t="shared" si="1"/>
        <v>0</v>
      </c>
      <c r="AU22" s="661">
        <f t="shared" ref="AU22:AU28" si="7">+AT22-AS22</f>
        <v>-15000</v>
      </c>
      <c r="AV22" s="813">
        <v>0</v>
      </c>
      <c r="AW22" s="813">
        <f>+AP12</f>
        <v>300</v>
      </c>
      <c r="AX22" s="661">
        <f t="shared" si="5"/>
        <v>-14700</v>
      </c>
      <c r="AY22" s="810"/>
      <c r="AZ22" s="810"/>
      <c r="BA22" s="810">
        <f>+AX22*(1+18%)</f>
        <v>-17346</v>
      </c>
      <c r="BB22" s="810"/>
      <c r="BC22" s="810"/>
      <c r="BD22" s="810"/>
      <c r="BE22" s="810">
        <f>-AX22*18%</f>
        <v>2646</v>
      </c>
      <c r="BF22" s="34"/>
      <c r="BG22" s="780"/>
      <c r="BH22" s="704" t="s">
        <v>526</v>
      </c>
      <c r="BI22" s="791"/>
      <c r="BJ22" s="791"/>
      <c r="BK22" s="791"/>
      <c r="BL22" s="791"/>
      <c r="BM22" s="705">
        <f>+BA11</f>
        <v>-660</v>
      </c>
      <c r="BN22" s="276"/>
    </row>
    <row r="23" spans="1:70" s="42" customFormat="1" x14ac:dyDescent="0.3">
      <c r="A23" s="20"/>
      <c r="B23" s="675"/>
      <c r="C23" s="744" t="s">
        <v>54</v>
      </c>
      <c r="D23" s="181"/>
      <c r="E23" s="181"/>
      <c r="F23" s="181"/>
      <c r="G23" s="187">
        <f>+G14+G20</f>
        <v>8646</v>
      </c>
      <c r="H23" s="187">
        <f>+H14+H20</f>
        <v>8730</v>
      </c>
      <c r="I23" s="181" t="s">
        <v>82</v>
      </c>
      <c r="J23" s="181"/>
      <c r="K23" s="181"/>
      <c r="L23" s="181"/>
      <c r="M23" s="187">
        <f>+M18+M22</f>
        <v>8646</v>
      </c>
      <c r="N23" s="751">
        <f>+N18+N22</f>
        <v>8730</v>
      </c>
      <c r="O23" s="730"/>
      <c r="P23" s="189"/>
      <c r="Q23" s="189"/>
      <c r="R23" s="189"/>
      <c r="S23" s="189"/>
      <c r="T23" s="189"/>
      <c r="U23" s="189"/>
      <c r="V23" s="731"/>
      <c r="W23" s="648" t="s">
        <v>149</v>
      </c>
      <c r="X23" s="633"/>
      <c r="Y23" s="633"/>
      <c r="Z23" s="633"/>
      <c r="AA23" s="633"/>
      <c r="AB23" s="638">
        <v>1080</v>
      </c>
      <c r="AC23" s="633" t="s">
        <v>735</v>
      </c>
      <c r="AD23" s="655"/>
      <c r="AE23" s="665" t="s">
        <v>259</v>
      </c>
      <c r="AF23" s="608" t="s">
        <v>11</v>
      </c>
      <c r="AG23" s="661">
        <f>-T10</f>
        <v>1300</v>
      </c>
      <c r="AH23" s="662"/>
      <c r="AI23" s="661">
        <f t="shared" si="2"/>
        <v>-1300</v>
      </c>
      <c r="AJ23" s="164"/>
      <c r="AK23" s="164"/>
      <c r="AL23" s="648"/>
      <c r="AM23" s="164" t="s">
        <v>112</v>
      </c>
      <c r="AN23" s="686" t="s">
        <v>7</v>
      </c>
      <c r="AO23" s="642">
        <f>+AP24</f>
        <v>150</v>
      </c>
      <c r="AP23" s="662"/>
      <c r="AQ23" s="736"/>
      <c r="AR23" s="680" t="s">
        <v>11</v>
      </c>
      <c r="AS23" s="661">
        <f t="shared" si="3"/>
        <v>1300</v>
      </c>
      <c r="AT23" s="661">
        <f t="shared" si="1"/>
        <v>0</v>
      </c>
      <c r="AU23" s="661">
        <f t="shared" si="7"/>
        <v>-1300</v>
      </c>
      <c r="AV23" s="813">
        <v>0</v>
      </c>
      <c r="AW23" s="813">
        <v>0</v>
      </c>
      <c r="AX23" s="661">
        <f t="shared" si="5"/>
        <v>-1300</v>
      </c>
      <c r="AY23" s="810"/>
      <c r="AZ23" s="810"/>
      <c r="BA23" s="810"/>
      <c r="BB23" s="810">
        <f>+AX23</f>
        <v>-1300</v>
      </c>
      <c r="BC23" s="810"/>
      <c r="BD23" s="810"/>
      <c r="BE23" s="810"/>
      <c r="BF23" s="34"/>
      <c r="BG23" s="780"/>
      <c r="BH23" s="704" t="s">
        <v>527</v>
      </c>
      <c r="BI23" s="791"/>
      <c r="BJ23" s="791"/>
      <c r="BK23" s="791"/>
      <c r="BL23" s="791"/>
      <c r="BM23" s="705">
        <f>+BB12</f>
        <v>-150</v>
      </c>
      <c r="BN23" s="276"/>
    </row>
    <row r="24" spans="1:70" s="42" customFormat="1" x14ac:dyDescent="0.3">
      <c r="A24" s="20"/>
      <c r="B24" s="675"/>
      <c r="C24" s="754"/>
      <c r="D24" s="755"/>
      <c r="E24" s="755"/>
      <c r="F24" s="755"/>
      <c r="G24" s="755"/>
      <c r="H24" s="755"/>
      <c r="I24" s="755"/>
      <c r="J24" s="755"/>
      <c r="K24" s="755"/>
      <c r="L24" s="755"/>
      <c r="M24" s="755"/>
      <c r="N24" s="756"/>
      <c r="O24" s="730"/>
      <c r="P24" s="189"/>
      <c r="Q24" s="189"/>
      <c r="R24" s="189"/>
      <c r="S24" s="189"/>
      <c r="T24" s="189"/>
      <c r="U24" s="189"/>
      <c r="V24" s="731"/>
      <c r="W24" s="738" t="s">
        <v>739</v>
      </c>
      <c r="X24" s="716"/>
      <c r="Y24" s="716"/>
      <c r="Z24" s="716"/>
      <c r="AA24" s="716"/>
      <c r="AB24" s="638"/>
      <c r="AC24" s="633"/>
      <c r="AD24" s="655"/>
      <c r="AE24" s="665" t="s">
        <v>259</v>
      </c>
      <c r="AF24" s="608" t="s">
        <v>38</v>
      </c>
      <c r="AG24" s="661">
        <f>-T11</f>
        <v>1080</v>
      </c>
      <c r="AH24" s="662"/>
      <c r="AI24" s="661">
        <f t="shared" si="2"/>
        <v>-1080</v>
      </c>
      <c r="AJ24" s="164"/>
      <c r="AK24" s="164"/>
      <c r="AL24" s="648"/>
      <c r="AM24" s="164" t="s">
        <v>112</v>
      </c>
      <c r="AN24" s="686" t="s">
        <v>95</v>
      </c>
      <c r="AO24" s="642"/>
      <c r="AP24" s="662">
        <f>+AB25</f>
        <v>150</v>
      </c>
      <c r="AQ24" s="736"/>
      <c r="AR24" s="680" t="s">
        <v>38</v>
      </c>
      <c r="AS24" s="661">
        <f t="shared" si="3"/>
        <v>1080</v>
      </c>
      <c r="AT24" s="661">
        <f t="shared" si="1"/>
        <v>0</v>
      </c>
      <c r="AU24" s="661">
        <f t="shared" si="7"/>
        <v>-1080</v>
      </c>
      <c r="AV24" s="813">
        <v>0</v>
      </c>
      <c r="AW24" s="813">
        <f>+AP20</f>
        <v>1080</v>
      </c>
      <c r="AX24" s="661">
        <f t="shared" si="5"/>
        <v>0</v>
      </c>
      <c r="AY24" s="810"/>
      <c r="AZ24" s="810"/>
      <c r="BA24" s="810"/>
      <c r="BB24" s="810"/>
      <c r="BC24" s="810"/>
      <c r="BD24" s="810"/>
      <c r="BE24" s="810"/>
      <c r="BF24" s="34"/>
      <c r="BG24" s="780"/>
      <c r="BH24" s="704" t="s">
        <v>528</v>
      </c>
      <c r="BI24" s="791"/>
      <c r="BJ24" s="791"/>
      <c r="BK24" s="791"/>
      <c r="BL24" s="791"/>
      <c r="BM24" s="705">
        <f>+BC13</f>
        <v>-12</v>
      </c>
      <c r="BN24" s="276"/>
    </row>
    <row r="25" spans="1:70" s="42" customFormat="1" x14ac:dyDescent="0.3">
      <c r="A25" s="20"/>
      <c r="B25" s="66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730"/>
      <c r="P25" s="189"/>
      <c r="Q25" s="189"/>
      <c r="R25" s="189"/>
      <c r="S25" s="189"/>
      <c r="T25" s="189"/>
      <c r="U25" s="189"/>
      <c r="V25" s="731"/>
      <c r="W25" s="648" t="s">
        <v>740</v>
      </c>
      <c r="X25" s="633"/>
      <c r="Y25" s="633"/>
      <c r="Z25" s="633"/>
      <c r="AA25" s="633"/>
      <c r="AB25" s="638">
        <v>150</v>
      </c>
      <c r="AC25" s="633"/>
      <c r="AD25" s="655"/>
      <c r="AE25" s="665" t="s">
        <v>259</v>
      </c>
      <c r="AF25" s="608" t="s">
        <v>12</v>
      </c>
      <c r="AG25" s="661">
        <f>-T12</f>
        <v>850</v>
      </c>
      <c r="AH25" s="662"/>
      <c r="AI25" s="661">
        <f t="shared" si="2"/>
        <v>-850</v>
      </c>
      <c r="AJ25" s="164"/>
      <c r="AK25" s="164"/>
      <c r="AL25" s="648"/>
      <c r="AM25" s="633"/>
      <c r="AN25" s="642"/>
      <c r="AO25" s="642"/>
      <c r="AP25" s="662"/>
      <c r="AQ25" s="736"/>
      <c r="AR25" s="680" t="s">
        <v>12</v>
      </c>
      <c r="AS25" s="661">
        <f t="shared" si="3"/>
        <v>850</v>
      </c>
      <c r="AT25" s="661">
        <f t="shared" si="1"/>
        <v>0</v>
      </c>
      <c r="AU25" s="661">
        <f t="shared" si="7"/>
        <v>-850</v>
      </c>
      <c r="AV25" s="813">
        <v>0</v>
      </c>
      <c r="AW25" s="813">
        <v>0</v>
      </c>
      <c r="AX25" s="661">
        <f t="shared" si="5"/>
        <v>-850</v>
      </c>
      <c r="AY25" s="810"/>
      <c r="AZ25" s="810"/>
      <c r="BA25" s="810"/>
      <c r="BB25" s="810"/>
      <c r="BC25" s="810"/>
      <c r="BD25" s="810"/>
      <c r="BE25" s="810">
        <f>+AX25</f>
        <v>-850</v>
      </c>
      <c r="BF25" s="34"/>
      <c r="BG25" s="780"/>
      <c r="BH25" s="704" t="s">
        <v>529</v>
      </c>
      <c r="BI25" s="791"/>
      <c r="BJ25" s="791"/>
      <c r="BK25" s="791"/>
      <c r="BL25" s="791"/>
      <c r="BM25" s="705">
        <f>+BD15</f>
        <v>-110</v>
      </c>
      <c r="BN25" s="276"/>
    </row>
    <row r="26" spans="1:70" s="42" customFormat="1" x14ac:dyDescent="0.3">
      <c r="A26" s="20"/>
      <c r="B26" s="760"/>
      <c r="C26" s="676"/>
      <c r="D26" s="676"/>
      <c r="E26" s="676"/>
      <c r="F26" s="676"/>
      <c r="G26" s="676"/>
      <c r="H26" s="676"/>
      <c r="I26" s="676"/>
      <c r="J26" s="676"/>
      <c r="K26" s="676"/>
      <c r="L26" s="676"/>
      <c r="M26" s="757">
        <f>+G23-M23</f>
        <v>0</v>
      </c>
      <c r="N26" s="758">
        <f>+H23-N23</f>
        <v>0</v>
      </c>
      <c r="O26" s="730"/>
      <c r="P26" s="189"/>
      <c r="Q26" s="189"/>
      <c r="R26" s="189"/>
      <c r="S26" s="189"/>
      <c r="T26" s="189"/>
      <c r="U26" s="189"/>
      <c r="V26" s="731"/>
      <c r="W26" s="656" t="s">
        <v>244</v>
      </c>
      <c r="X26" s="657"/>
      <c r="Y26" s="657"/>
      <c r="Z26" s="657"/>
      <c r="AA26" s="657"/>
      <c r="AB26" s="719">
        <v>50</v>
      </c>
      <c r="AC26" s="657"/>
      <c r="AD26" s="658"/>
      <c r="AE26" s="665" t="s">
        <v>259</v>
      </c>
      <c r="AF26" s="608" t="s">
        <v>241</v>
      </c>
      <c r="AG26" s="661">
        <f>-T13</f>
        <v>-40</v>
      </c>
      <c r="AH26" s="662"/>
      <c r="AI26" s="661">
        <f t="shared" si="2"/>
        <v>40</v>
      </c>
      <c r="AJ26" s="164"/>
      <c r="AK26" s="164"/>
      <c r="AL26" s="648"/>
      <c r="AM26" s="633"/>
      <c r="AN26" s="685" t="s">
        <v>244</v>
      </c>
      <c r="AO26" s="642"/>
      <c r="AP26" s="662"/>
      <c r="AQ26" s="736"/>
      <c r="AR26" s="680" t="s">
        <v>241</v>
      </c>
      <c r="AS26" s="661">
        <f t="shared" si="3"/>
        <v>-40</v>
      </c>
      <c r="AT26" s="661">
        <f t="shared" si="1"/>
        <v>0</v>
      </c>
      <c r="AU26" s="661">
        <f t="shared" si="7"/>
        <v>40</v>
      </c>
      <c r="AV26" s="813">
        <v>0</v>
      </c>
      <c r="AW26" s="813">
        <f>+AP8</f>
        <v>120</v>
      </c>
      <c r="AX26" s="661">
        <f t="shared" si="5"/>
        <v>160</v>
      </c>
      <c r="AY26" s="810"/>
      <c r="AZ26" s="810">
        <f>+AX26</f>
        <v>160</v>
      </c>
      <c r="BA26" s="810"/>
      <c r="BB26" s="810"/>
      <c r="BC26" s="810"/>
      <c r="BD26" s="810"/>
      <c r="BE26" s="810"/>
      <c r="BF26" s="34"/>
      <c r="BG26" s="780"/>
      <c r="BH26" s="704" t="s">
        <v>717</v>
      </c>
      <c r="BI26" s="791"/>
      <c r="BJ26" s="791"/>
      <c r="BK26" s="791"/>
      <c r="BL26" s="791"/>
      <c r="BM26" s="705">
        <f>+BE14</f>
        <v>-20</v>
      </c>
      <c r="BN26" s="276"/>
    </row>
    <row r="27" spans="1:70" s="42" customFormat="1" x14ac:dyDescent="0.3">
      <c r="A27" s="7"/>
      <c r="B27" s="761"/>
      <c r="C27" s="739"/>
      <c r="D27" s="739"/>
      <c r="E27" s="739"/>
      <c r="F27" s="739"/>
      <c r="G27" s="739"/>
      <c r="H27" s="739"/>
      <c r="I27" s="739"/>
      <c r="J27" s="739"/>
      <c r="K27" s="739"/>
      <c r="L27" s="739"/>
      <c r="M27" s="759"/>
      <c r="N27" s="762"/>
      <c r="O27" s="730"/>
      <c r="P27" s="189"/>
      <c r="Q27" s="189"/>
      <c r="R27" s="189"/>
      <c r="S27" s="189"/>
      <c r="T27" s="189"/>
      <c r="U27" s="189"/>
      <c r="V27" s="731"/>
      <c r="W27" s="650"/>
      <c r="X27" s="650"/>
      <c r="Y27" s="650"/>
      <c r="Z27" s="650"/>
      <c r="AA27" s="650"/>
      <c r="AB27" s="650"/>
      <c r="AC27" s="650"/>
      <c r="AD27" s="650"/>
      <c r="AE27" s="664" t="s">
        <v>259</v>
      </c>
      <c r="AF27" s="608" t="s">
        <v>45</v>
      </c>
      <c r="AG27" s="661">
        <f>-T15</f>
        <v>105</v>
      </c>
      <c r="AH27" s="662"/>
      <c r="AI27" s="661">
        <f t="shared" si="2"/>
        <v>-105</v>
      </c>
      <c r="AJ27" s="164"/>
      <c r="AK27" s="164"/>
      <c r="AL27" s="648"/>
      <c r="AM27" s="164" t="s">
        <v>112</v>
      </c>
      <c r="AN27" s="686" t="s">
        <v>7</v>
      </c>
      <c r="AO27" s="642">
        <f>+AP28</f>
        <v>50</v>
      </c>
      <c r="AP27" s="662"/>
      <c r="AQ27" s="736"/>
      <c r="AR27" s="680" t="s">
        <v>45</v>
      </c>
      <c r="AS27" s="661">
        <f>+AG27</f>
        <v>105</v>
      </c>
      <c r="AT27" s="661">
        <f>+AH27</f>
        <v>0</v>
      </c>
      <c r="AU27" s="661">
        <f t="shared" si="7"/>
        <v>-105</v>
      </c>
      <c r="AV27" s="813">
        <v>0</v>
      </c>
      <c r="AW27" s="813">
        <f ca="1">SUMIF(AN:AP,#REF!,AP:AP)</f>
        <v>0</v>
      </c>
      <c r="AX27" s="661">
        <f t="shared" ca="1" si="5"/>
        <v>-105</v>
      </c>
      <c r="AY27" s="810"/>
      <c r="AZ27" s="810"/>
      <c r="BA27" s="810"/>
      <c r="BB27" s="810"/>
      <c r="BC27" s="810"/>
      <c r="BD27" s="810">
        <f ca="1">+AX27</f>
        <v>-105</v>
      </c>
      <c r="BE27" s="810"/>
      <c r="BF27" s="34"/>
      <c r="BG27" s="780"/>
      <c r="BH27" s="648"/>
      <c r="BI27" s="633"/>
      <c r="BJ27" s="633"/>
      <c r="BK27" s="633"/>
      <c r="BL27" s="633"/>
      <c r="BM27" s="655"/>
      <c r="BN27" s="276"/>
    </row>
    <row r="28" spans="1:70" x14ac:dyDescent="0.3">
      <c r="A28" s="7"/>
      <c r="B28" s="761"/>
      <c r="C28" s="739"/>
      <c r="D28" s="739"/>
      <c r="E28" s="739"/>
      <c r="F28" s="739"/>
      <c r="G28" s="739"/>
      <c r="H28" s="739"/>
      <c r="I28" s="739"/>
      <c r="J28" s="739"/>
      <c r="K28" s="739"/>
      <c r="L28" s="739"/>
      <c r="M28" s="759"/>
      <c r="N28" s="762"/>
      <c r="O28" s="730"/>
      <c r="P28" s="189"/>
      <c r="Q28" s="189"/>
      <c r="R28" s="189"/>
      <c r="S28" s="189"/>
      <c r="T28" s="189"/>
      <c r="U28" s="189"/>
      <c r="V28" s="731"/>
      <c r="W28" s="20"/>
      <c r="X28" s="20"/>
      <c r="Y28" s="20"/>
      <c r="Z28" s="20"/>
      <c r="AA28" s="20"/>
      <c r="AB28" s="95">
        <f>+AB16-M20</f>
        <v>0</v>
      </c>
      <c r="AC28" s="95">
        <f>+M21-AC16</f>
        <v>0</v>
      </c>
      <c r="AD28" s="95">
        <f>+AD16-M22</f>
        <v>0</v>
      </c>
      <c r="AE28" s="664" t="s">
        <v>259</v>
      </c>
      <c r="AF28" s="608" t="s">
        <v>15</v>
      </c>
      <c r="AG28" s="661">
        <f>-T17</f>
        <v>500</v>
      </c>
      <c r="AH28" s="662"/>
      <c r="AI28" s="661">
        <f t="shared" si="2"/>
        <v>-500</v>
      </c>
      <c r="AJ28" s="164"/>
      <c r="AK28" s="164"/>
      <c r="AL28" s="656"/>
      <c r="AM28" s="213" t="s">
        <v>112</v>
      </c>
      <c r="AN28" s="688" t="s">
        <v>8</v>
      </c>
      <c r="AO28" s="644"/>
      <c r="AP28" s="645">
        <f>+AB26</f>
        <v>50</v>
      </c>
      <c r="AQ28" s="805"/>
      <c r="AR28" s="682" t="s">
        <v>15</v>
      </c>
      <c r="AS28" s="661">
        <f>+AG28</f>
        <v>500</v>
      </c>
      <c r="AT28" s="661">
        <f>+AH28</f>
        <v>0</v>
      </c>
      <c r="AU28" s="661">
        <f t="shared" si="7"/>
        <v>-500</v>
      </c>
      <c r="AV28" s="813">
        <f>+AO15</f>
        <v>100</v>
      </c>
      <c r="AW28" s="813">
        <v>0</v>
      </c>
      <c r="AX28" s="661">
        <f t="shared" si="5"/>
        <v>-600</v>
      </c>
      <c r="AY28" s="810"/>
      <c r="AZ28" s="810"/>
      <c r="BA28" s="810"/>
      <c r="BB28" s="810"/>
      <c r="BC28" s="810">
        <f>+AX28</f>
        <v>-600</v>
      </c>
      <c r="BD28" s="810"/>
      <c r="BE28" s="810"/>
      <c r="BF28" s="34"/>
      <c r="BG28" s="780"/>
      <c r="BH28" s="648"/>
      <c r="BI28" s="633"/>
      <c r="BJ28" s="633"/>
      <c r="BK28" s="633"/>
      <c r="BL28" s="633"/>
      <c r="BM28" s="655"/>
      <c r="BN28" s="276"/>
      <c r="BO28" s="42"/>
      <c r="BP28" s="42"/>
      <c r="BQ28" s="42"/>
      <c r="BR28" s="42"/>
    </row>
    <row r="29" spans="1:70" x14ac:dyDescent="0.3">
      <c r="A29" s="7"/>
      <c r="B29" s="763"/>
      <c r="C29" s="764"/>
      <c r="D29" s="764"/>
      <c r="E29" s="764"/>
      <c r="F29" s="764"/>
      <c r="G29" s="764"/>
      <c r="H29" s="764"/>
      <c r="I29" s="764"/>
      <c r="J29" s="764"/>
      <c r="K29" s="764"/>
      <c r="L29" s="764"/>
      <c r="M29" s="764"/>
      <c r="N29" s="765"/>
      <c r="O29" s="730"/>
      <c r="P29" s="189"/>
      <c r="Q29" s="189"/>
      <c r="R29" s="189"/>
      <c r="S29" s="189"/>
      <c r="T29" s="189"/>
      <c r="U29" s="189"/>
      <c r="V29" s="731"/>
      <c r="W29" s="7"/>
      <c r="X29" s="7"/>
      <c r="Y29" s="7"/>
      <c r="Z29" s="7"/>
      <c r="AA29" s="7"/>
      <c r="AB29" s="7"/>
      <c r="AC29" s="7"/>
      <c r="AD29" s="7"/>
      <c r="AE29" s="678"/>
      <c r="AF29" s="659"/>
      <c r="AG29" s="136">
        <f>SUM(AG5:AG28)</f>
        <v>0</v>
      </c>
      <c r="AH29" s="136">
        <f>SUM(AH5:AH28)</f>
        <v>0</v>
      </c>
      <c r="AI29" s="137">
        <f>SUM(AI5:AI28)</f>
        <v>0</v>
      </c>
      <c r="AJ29" s="215"/>
      <c r="AK29" s="215"/>
      <c r="AL29" s="188"/>
      <c r="AM29" s="687"/>
      <c r="AN29" s="687"/>
      <c r="AO29" s="800">
        <f>SUM(AO7:AO28)</f>
        <v>1800</v>
      </c>
      <c r="AP29" s="800">
        <f>SUM(AP7:AP28)</f>
        <v>1800</v>
      </c>
      <c r="AQ29" s="215"/>
      <c r="AR29" s="774"/>
      <c r="AS29" s="136">
        <f t="shared" ref="AS29:BE29" si="8">SUM(AS5:AS28)</f>
        <v>0</v>
      </c>
      <c r="AT29" s="136">
        <f t="shared" si="8"/>
        <v>0</v>
      </c>
      <c r="AU29" s="137">
        <f t="shared" si="8"/>
        <v>0</v>
      </c>
      <c r="AV29" s="155">
        <f t="shared" si="8"/>
        <v>1800</v>
      </c>
      <c r="AW29" s="155">
        <f t="shared" ca="1" si="8"/>
        <v>1800</v>
      </c>
      <c r="AX29" s="137">
        <f t="shared" ca="1" si="8"/>
        <v>0</v>
      </c>
      <c r="AY29" s="692">
        <f t="shared" si="8"/>
        <v>23780</v>
      </c>
      <c r="AZ29" s="692">
        <f t="shared" si="8"/>
        <v>560</v>
      </c>
      <c r="BA29" s="693">
        <f t="shared" si="8"/>
        <v>-17085.599999999999</v>
      </c>
      <c r="BB29" s="693">
        <f t="shared" si="8"/>
        <v>-1450</v>
      </c>
      <c r="BC29" s="693">
        <f t="shared" si="8"/>
        <v>-612</v>
      </c>
      <c r="BD29" s="693">
        <f t="shared" ca="1" si="8"/>
        <v>-215</v>
      </c>
      <c r="BE29" s="693">
        <f t="shared" si="8"/>
        <v>-1964.4</v>
      </c>
      <c r="BF29" s="34"/>
      <c r="BG29" s="513"/>
      <c r="BH29" s="123" t="s">
        <v>719</v>
      </c>
      <c r="BI29" s="16"/>
      <c r="BJ29" s="16"/>
      <c r="BK29" s="16"/>
      <c r="BL29" s="16"/>
      <c r="BM29" s="695"/>
      <c r="BN29" s="276"/>
    </row>
    <row r="30" spans="1:70" x14ac:dyDescent="0.3">
      <c r="A30" s="7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4"/>
      <c r="AM30" s="215"/>
      <c r="AN30" s="215"/>
      <c r="AO30" s="215"/>
      <c r="AP30" s="215"/>
      <c r="AQ30" s="215"/>
      <c r="AR30" s="513"/>
      <c r="AS30" s="775"/>
      <c r="AT30" s="775"/>
      <c r="AU30" s="775"/>
      <c r="AV30" s="775"/>
      <c r="AW30" s="776"/>
      <c r="AX30" s="775"/>
      <c r="AY30" s="777"/>
      <c r="AZ30" s="777"/>
      <c r="BA30" s="777"/>
      <c r="BB30" s="777"/>
      <c r="BC30" s="777"/>
      <c r="BD30" s="777"/>
      <c r="BE30" s="796">
        <f ca="1">SUM(AY29:BE29)</f>
        <v>3013.0000000000014</v>
      </c>
      <c r="BF30" s="34"/>
      <c r="BG30" s="774"/>
      <c r="BH30" s="470" t="s">
        <v>728</v>
      </c>
      <c r="BI30" s="471"/>
      <c r="BJ30" s="471"/>
      <c r="BK30" s="471"/>
      <c r="BL30" s="471"/>
      <c r="BM30" s="699">
        <f>SUM(BM8:BM26)</f>
        <v>3013</v>
      </c>
      <c r="BN30" s="276"/>
    </row>
    <row r="31" spans="1:70" x14ac:dyDescent="0.3">
      <c r="A31" s="7"/>
      <c r="B31" s="671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71"/>
      <c r="P31" s="3"/>
      <c r="Q31" s="3"/>
      <c r="R31" s="3"/>
      <c r="S31" s="3"/>
      <c r="T31" s="3"/>
      <c r="U31" s="3"/>
      <c r="V31" s="7"/>
      <c r="W31" s="7"/>
      <c r="X31" s="7"/>
      <c r="Y31" s="7"/>
      <c r="Z31" s="7"/>
      <c r="AA31" s="7"/>
      <c r="AB31" s="7"/>
      <c r="AC31" s="7"/>
      <c r="AD31" s="7"/>
      <c r="AE31" s="3"/>
      <c r="AF31" s="3"/>
      <c r="AG31" s="3"/>
      <c r="AH31" s="3"/>
      <c r="AI31" s="3"/>
      <c r="AJ31" s="3"/>
      <c r="AK31" s="3"/>
      <c r="AL31" s="20"/>
      <c r="AQ31" s="670"/>
      <c r="AR31" s="3"/>
      <c r="AS31" s="3"/>
      <c r="AT31" s="3"/>
      <c r="AU31" s="3"/>
      <c r="AV31" s="20"/>
      <c r="AW31" s="20"/>
      <c r="AX31" s="20"/>
      <c r="AY31"/>
      <c r="AZ31"/>
      <c r="BA31"/>
      <c r="BB31"/>
      <c r="BC31"/>
      <c r="BD31"/>
      <c r="BE31"/>
      <c r="BF31" s="34"/>
      <c r="BG31" s="20"/>
      <c r="BN31" s="276"/>
    </row>
    <row r="32" spans="1:70" x14ac:dyDescent="0.3">
      <c r="A32" s="3"/>
      <c r="B32" s="670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71"/>
      <c r="P32" s="3"/>
      <c r="Q32" s="3"/>
      <c r="R32" s="3"/>
      <c r="S32" s="3"/>
      <c r="T32" s="3"/>
      <c r="U32" s="3"/>
      <c r="V32" s="7"/>
      <c r="W32" s="7"/>
      <c r="X32" s="7"/>
      <c r="Y32" s="7"/>
      <c r="Z32" s="7"/>
      <c r="AA32" s="7"/>
      <c r="AB32" s="7"/>
      <c r="AC32" s="7"/>
      <c r="AD32" s="7"/>
      <c r="AE32" s="3"/>
      <c r="AF32" s="3"/>
      <c r="AG32" s="3"/>
      <c r="AH32" s="3"/>
      <c r="AI32" s="3"/>
      <c r="AJ32" s="3"/>
      <c r="AK32" s="3"/>
      <c r="AL32" s="20"/>
      <c r="AQ32" s="670"/>
      <c r="AR32" s="3"/>
      <c r="AS32" s="3"/>
      <c r="AT32" s="3"/>
      <c r="AU32" s="3"/>
      <c r="AV32" s="20"/>
      <c r="AW32" s="20"/>
      <c r="AX32" s="20"/>
      <c r="BE32"/>
      <c r="BF32" s="34"/>
      <c r="BG32" s="20"/>
      <c r="BN32" s="276"/>
    </row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</sheetData>
  <mergeCells count="9">
    <mergeCell ref="C4:N4"/>
    <mergeCell ref="W4:AD4"/>
    <mergeCell ref="AV1:AW1"/>
    <mergeCell ref="C2:N2"/>
    <mergeCell ref="Q2:T2"/>
    <mergeCell ref="W2:AD2"/>
    <mergeCell ref="C3:N3"/>
    <mergeCell ref="Q3:T3"/>
    <mergeCell ref="W3:AD3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A289-092A-4F1D-8F32-E5FCFFEDF926}">
  <sheetPr>
    <tabColor rgb="FF7030A0"/>
  </sheetPr>
  <dimension ref="A1:FF40"/>
  <sheetViews>
    <sheetView showGridLines="0" zoomScale="70" zoomScaleNormal="70" workbookViewId="0">
      <selection activeCell="J9" sqref="J9"/>
    </sheetView>
  </sheetViews>
  <sheetFormatPr baseColWidth="10" defaultColWidth="0" defaultRowHeight="0" customHeight="1" zeroHeight="1" x14ac:dyDescent="0.25"/>
  <cols>
    <col min="1" max="4" width="15.7109375" style="815" customWidth="1"/>
    <col min="5" max="5" width="2.85546875" style="815" customWidth="1"/>
    <col min="6" max="6" width="4.5703125" style="815" customWidth="1"/>
    <col min="7" max="7" width="15.7109375" style="815" customWidth="1"/>
    <col min="8" max="8" width="12.140625" style="815" customWidth="1"/>
    <col min="9" max="9" width="12.28515625" style="815" customWidth="1"/>
    <col min="10" max="10" width="12.5703125" style="815" customWidth="1"/>
    <col min="11" max="11" width="15" style="815" customWidth="1"/>
    <col min="12" max="13" width="12.5703125" style="815" customWidth="1"/>
    <col min="14" max="14" width="14.42578125" style="815" customWidth="1"/>
    <col min="15" max="15" width="14.140625" style="815" customWidth="1"/>
    <col min="16" max="16" width="15.7109375" style="815" customWidth="1"/>
    <col min="17" max="162" width="0" hidden="1" customWidth="1"/>
    <col min="163" max="16384" width="11.42578125" hidden="1"/>
  </cols>
  <sheetData>
    <row r="1" spans="1:15" ht="18" x14ac:dyDescent="0.25">
      <c r="A1" s="835" t="s">
        <v>743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</row>
    <row r="2" spans="1:15" ht="18" x14ac:dyDescent="0.25">
      <c r="A2" s="840"/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</row>
    <row r="3" spans="1:15" ht="18.75" thickBot="1" x14ac:dyDescent="0.3">
      <c r="A3" s="843" t="s">
        <v>746</v>
      </c>
      <c r="B3" s="844"/>
      <c r="C3" s="844"/>
      <c r="D3" s="844"/>
      <c r="E3" s="844"/>
      <c r="F3" s="844"/>
      <c r="G3" s="844"/>
      <c r="H3" s="844"/>
      <c r="I3" s="844"/>
      <c r="J3" s="845"/>
      <c r="K3" s="879" t="s">
        <v>459</v>
      </c>
      <c r="L3" s="902" t="s">
        <v>760</v>
      </c>
      <c r="M3" s="902" t="s">
        <v>761</v>
      </c>
      <c r="N3" s="902" t="s">
        <v>166</v>
      </c>
      <c r="O3" s="879" t="s">
        <v>762</v>
      </c>
    </row>
    <row r="4" spans="1:15" ht="18" x14ac:dyDescent="0.25">
      <c r="A4" s="846" t="s">
        <v>30</v>
      </c>
      <c r="B4" s="847"/>
      <c r="C4" s="847"/>
      <c r="D4" s="848">
        <v>5000</v>
      </c>
      <c r="E4" s="840"/>
      <c r="F4" s="817"/>
      <c r="G4" s="818"/>
      <c r="H4" s="818"/>
      <c r="I4" s="930"/>
      <c r="J4" s="894"/>
      <c r="K4" s="895"/>
      <c r="L4" s="1526" t="s">
        <v>757</v>
      </c>
      <c r="M4" s="1526"/>
      <c r="N4" s="1055" t="s">
        <v>103</v>
      </c>
      <c r="O4" s="951" t="s">
        <v>21</v>
      </c>
    </row>
    <row r="5" spans="1:15" ht="18" x14ac:dyDescent="0.25">
      <c r="A5" s="850" t="s">
        <v>34</v>
      </c>
      <c r="D5" s="816">
        <v>65000</v>
      </c>
      <c r="E5" s="840"/>
      <c r="F5" s="1051"/>
      <c r="G5" s="1008"/>
      <c r="H5" s="1008"/>
      <c r="I5" s="1054">
        <v>2020</v>
      </c>
      <c r="J5" s="998">
        <v>2019</v>
      </c>
      <c r="K5" s="998" t="s">
        <v>103</v>
      </c>
      <c r="L5" s="895" t="s">
        <v>156</v>
      </c>
      <c r="M5" s="1055" t="s">
        <v>233</v>
      </c>
      <c r="N5" s="960" t="s">
        <v>104</v>
      </c>
      <c r="O5" s="952" t="s">
        <v>758</v>
      </c>
    </row>
    <row r="6" spans="1:15" ht="18" x14ac:dyDescent="0.25">
      <c r="A6" s="850" t="s">
        <v>687</v>
      </c>
      <c r="D6" s="816">
        <v>-62000</v>
      </c>
      <c r="E6" s="840"/>
      <c r="F6" s="1052" t="s">
        <v>685</v>
      </c>
      <c r="G6" s="1053"/>
      <c r="H6" s="1053"/>
      <c r="I6" s="956" t="s">
        <v>3</v>
      </c>
      <c r="J6" s="957" t="s">
        <v>3</v>
      </c>
      <c r="K6" s="957" t="s">
        <v>3</v>
      </c>
      <c r="L6" s="957" t="s">
        <v>3</v>
      </c>
      <c r="M6" s="1001" t="s">
        <v>3</v>
      </c>
      <c r="N6" s="999" t="s">
        <v>3</v>
      </c>
      <c r="O6" s="1001" t="s">
        <v>3</v>
      </c>
    </row>
    <row r="7" spans="1:15" ht="18" x14ac:dyDescent="0.25">
      <c r="A7" s="846" t="s">
        <v>32</v>
      </c>
      <c r="B7" s="847"/>
      <c r="C7" s="847"/>
      <c r="D7" s="848">
        <f>SUM(D4:D6)</f>
        <v>8000</v>
      </c>
      <c r="E7" s="840"/>
      <c r="F7" s="912"/>
      <c r="G7" s="827"/>
      <c r="H7" s="827"/>
      <c r="I7" s="958"/>
      <c r="J7" s="853"/>
      <c r="K7" s="855"/>
      <c r="L7" s="1057"/>
      <c r="M7" s="943"/>
      <c r="N7" s="827"/>
      <c r="O7" s="988"/>
    </row>
    <row r="8" spans="1:15" ht="18" x14ac:dyDescent="0.25">
      <c r="A8" s="850"/>
      <c r="E8" s="840"/>
      <c r="F8" s="912"/>
      <c r="G8" s="827"/>
      <c r="H8" s="827"/>
      <c r="I8" s="958"/>
      <c r="J8" s="853"/>
      <c r="K8" s="855"/>
      <c r="L8" s="1057"/>
      <c r="M8" s="943"/>
      <c r="N8" s="827"/>
      <c r="O8" s="988"/>
    </row>
    <row r="9" spans="1:15" ht="18" x14ac:dyDescent="0.25">
      <c r="A9" s="854" t="s">
        <v>751</v>
      </c>
      <c r="E9" s="840"/>
      <c r="F9" s="912" t="s">
        <v>674</v>
      </c>
      <c r="G9" s="827"/>
      <c r="H9" s="827"/>
      <c r="I9" s="958">
        <f>+D7+D13+D22-D32</f>
        <v>4500</v>
      </c>
      <c r="J9" s="853">
        <f>+D4+D10+D16-D30</f>
        <v>8500</v>
      </c>
      <c r="K9" s="853">
        <f>+J9-I9</f>
        <v>4000</v>
      </c>
      <c r="L9" s="1058">
        <f>+D31</f>
        <v>12000</v>
      </c>
      <c r="M9" s="944"/>
      <c r="N9" s="828">
        <f>+K9+M9-L9</f>
        <v>-8000</v>
      </c>
      <c r="O9" s="989">
        <f>+N9*(1+18%)</f>
        <v>-9440</v>
      </c>
    </row>
    <row r="10" spans="1:15" ht="18" x14ac:dyDescent="0.25">
      <c r="A10" s="846" t="s">
        <v>30</v>
      </c>
      <c r="B10" s="847"/>
      <c r="C10" s="847"/>
      <c r="D10" s="848">
        <v>3000</v>
      </c>
      <c r="E10" s="840"/>
      <c r="F10" s="912"/>
      <c r="G10" s="827"/>
      <c r="H10" s="827"/>
      <c r="I10" s="912"/>
      <c r="J10" s="855"/>
      <c r="K10" s="855"/>
      <c r="L10" s="1057"/>
      <c r="M10" s="943"/>
      <c r="N10" s="827"/>
      <c r="O10" s="988"/>
    </row>
    <row r="11" spans="1:15" ht="18" x14ac:dyDescent="0.25">
      <c r="A11" s="850" t="s">
        <v>34</v>
      </c>
      <c r="D11" s="816">
        <v>70000</v>
      </c>
      <c r="E11" s="840"/>
      <c r="F11" s="912" t="s">
        <v>4</v>
      </c>
      <c r="G11" s="827"/>
      <c r="H11" s="827"/>
      <c r="I11" s="958">
        <f>-D38</f>
        <v>-44300</v>
      </c>
      <c r="J11" s="853">
        <f>-D35</f>
        <v>-15000</v>
      </c>
      <c r="K11" s="853">
        <f>+J11-I11</f>
        <v>29300</v>
      </c>
      <c r="L11" s="1057"/>
      <c r="M11" s="943"/>
      <c r="N11" s="828">
        <f>+K11+M11-L11</f>
        <v>29300</v>
      </c>
      <c r="O11" s="989">
        <f>+N11</f>
        <v>29300</v>
      </c>
    </row>
    <row r="12" spans="1:15" ht="18" x14ac:dyDescent="0.25">
      <c r="A12" s="850" t="s">
        <v>752</v>
      </c>
      <c r="D12" s="816">
        <v>-68000</v>
      </c>
      <c r="E12" s="840"/>
      <c r="F12" s="912"/>
      <c r="G12" s="827"/>
      <c r="H12" s="827"/>
      <c r="I12" s="958"/>
      <c r="J12" s="853"/>
      <c r="K12" s="853"/>
      <c r="L12" s="1058"/>
      <c r="M12" s="944"/>
      <c r="N12" s="828"/>
      <c r="O12" s="989"/>
    </row>
    <row r="13" spans="1:15" ht="18" x14ac:dyDescent="0.25">
      <c r="A13" s="846" t="s">
        <v>32</v>
      </c>
      <c r="B13" s="847"/>
      <c r="C13" s="847"/>
      <c r="D13" s="848">
        <f>SUM(D10:D12)</f>
        <v>5000</v>
      </c>
      <c r="E13" s="840"/>
      <c r="F13" s="912"/>
      <c r="G13" s="827"/>
      <c r="H13" s="827"/>
      <c r="I13" s="912"/>
      <c r="J13" s="855"/>
      <c r="K13" s="855"/>
      <c r="L13" s="1057"/>
      <c r="M13" s="943"/>
      <c r="N13" s="827"/>
      <c r="O13" s="988"/>
    </row>
    <row r="14" spans="1:15" ht="18" x14ac:dyDescent="0.25">
      <c r="A14" s="850"/>
      <c r="E14" s="840"/>
      <c r="F14" s="912"/>
      <c r="G14" s="827"/>
      <c r="H14" s="827"/>
      <c r="I14" s="958"/>
      <c r="J14" s="855"/>
      <c r="K14" s="853"/>
      <c r="L14" s="1058"/>
      <c r="M14" s="944"/>
      <c r="N14" s="828"/>
      <c r="O14" s="989"/>
    </row>
    <row r="15" spans="1:15" ht="18" x14ac:dyDescent="0.25">
      <c r="A15" s="854" t="s">
        <v>747</v>
      </c>
      <c r="E15" s="840"/>
      <c r="F15" s="912" t="s">
        <v>714</v>
      </c>
      <c r="G15" s="827"/>
      <c r="H15" s="827"/>
      <c r="I15" s="958"/>
      <c r="J15" s="855"/>
      <c r="K15" s="855"/>
      <c r="L15" s="1057"/>
      <c r="M15" s="943"/>
      <c r="N15" s="827"/>
      <c r="O15" s="988"/>
    </row>
    <row r="16" spans="1:15" ht="18" x14ac:dyDescent="0.25">
      <c r="A16" s="846" t="s">
        <v>30</v>
      </c>
      <c r="B16" s="847"/>
      <c r="C16" s="847"/>
      <c r="D16" s="848">
        <v>4000</v>
      </c>
      <c r="E16" s="840"/>
      <c r="F16" s="912"/>
      <c r="G16" s="827" t="s">
        <v>754</v>
      </c>
      <c r="H16" s="827"/>
      <c r="I16" s="958"/>
      <c r="J16" s="855"/>
      <c r="K16" s="855"/>
      <c r="L16" s="1058"/>
      <c r="M16" s="944"/>
      <c r="N16" s="827"/>
      <c r="O16" s="988"/>
    </row>
    <row r="17" spans="1:15" ht="18" x14ac:dyDescent="0.25">
      <c r="A17" s="850" t="s">
        <v>748</v>
      </c>
      <c r="D17" s="816"/>
      <c r="E17" s="840"/>
      <c r="F17" s="912"/>
      <c r="G17" s="864" t="s">
        <v>749</v>
      </c>
      <c r="H17" s="827"/>
      <c r="I17" s="958">
        <f>+D25</f>
        <v>115000</v>
      </c>
      <c r="J17" s="855"/>
      <c r="K17" s="853">
        <f t="shared" ref="K17:K19" si="0">+J17-I17</f>
        <v>-115000</v>
      </c>
      <c r="L17" s="1058"/>
      <c r="M17" s="944"/>
      <c r="N17" s="828">
        <f t="shared" ref="N17:N19" si="1">+K17+M17-L17</f>
        <v>-115000</v>
      </c>
      <c r="O17" s="988"/>
    </row>
    <row r="18" spans="1:15" ht="18" x14ac:dyDescent="0.25">
      <c r="A18" s="856" t="s">
        <v>749</v>
      </c>
      <c r="D18" s="816">
        <v>120000</v>
      </c>
      <c r="E18" s="840"/>
      <c r="F18" s="912"/>
      <c r="G18" s="864" t="s">
        <v>750</v>
      </c>
      <c r="H18" s="827"/>
      <c r="I18" s="958">
        <f>+D26</f>
        <v>65000</v>
      </c>
      <c r="J18" s="855"/>
      <c r="K18" s="853">
        <f t="shared" si="0"/>
        <v>-65000</v>
      </c>
      <c r="L18" s="1058"/>
      <c r="M18" s="944"/>
      <c r="N18" s="828">
        <f t="shared" si="1"/>
        <v>-65000</v>
      </c>
      <c r="O18" s="989">
        <f>+N18*(1+18%)</f>
        <v>-76700</v>
      </c>
    </row>
    <row r="19" spans="1:15" ht="18" x14ac:dyDescent="0.25">
      <c r="A19" s="856" t="s">
        <v>750</v>
      </c>
      <c r="D19" s="816">
        <f>-D12</f>
        <v>68000</v>
      </c>
      <c r="E19" s="840"/>
      <c r="F19" s="912"/>
      <c r="G19" s="864" t="s">
        <v>753</v>
      </c>
      <c r="H19" s="827"/>
      <c r="I19" s="958">
        <f>+D27</f>
        <v>10000</v>
      </c>
      <c r="J19" s="855"/>
      <c r="K19" s="853">
        <f t="shared" si="0"/>
        <v>-10000</v>
      </c>
      <c r="L19" s="1058"/>
      <c r="M19" s="944"/>
      <c r="N19" s="828">
        <f t="shared" si="1"/>
        <v>-10000</v>
      </c>
      <c r="O19" s="989"/>
    </row>
    <row r="20" spans="1:15" ht="18" x14ac:dyDescent="0.25">
      <c r="A20" s="856" t="s">
        <v>753</v>
      </c>
      <c r="D20" s="816">
        <v>5000</v>
      </c>
      <c r="E20" s="840"/>
      <c r="F20" s="912"/>
      <c r="G20" s="827" t="s">
        <v>755</v>
      </c>
      <c r="H20" s="827"/>
      <c r="I20" s="958">
        <f>-D6</f>
        <v>62000</v>
      </c>
      <c r="J20" s="855"/>
      <c r="K20" s="853">
        <f>+J20-I20</f>
        <v>-62000</v>
      </c>
      <c r="L20" s="1058"/>
      <c r="M20" s="944"/>
      <c r="N20" s="828">
        <f>+K20+M20-L20</f>
        <v>-62000</v>
      </c>
      <c r="O20" s="989">
        <f>+N20*(1+18%)</f>
        <v>-73160</v>
      </c>
    </row>
    <row r="21" spans="1:15" ht="18" x14ac:dyDescent="0.25">
      <c r="A21" s="850" t="s">
        <v>687</v>
      </c>
      <c r="D21" s="816">
        <v>-190000</v>
      </c>
      <c r="E21" s="840"/>
      <c r="F21" s="912"/>
      <c r="G21" s="827" t="s">
        <v>756</v>
      </c>
      <c r="H21" s="827"/>
      <c r="I21" s="958">
        <f>+D31</f>
        <v>12000</v>
      </c>
      <c r="J21" s="855"/>
      <c r="K21" s="853">
        <f>+J21-I21</f>
        <v>-12000</v>
      </c>
      <c r="L21" s="1058"/>
      <c r="M21" s="944">
        <f>+D31</f>
        <v>12000</v>
      </c>
      <c r="N21" s="828">
        <f>+K21+M21-L21</f>
        <v>0</v>
      </c>
      <c r="O21" s="989">
        <f>+N21</f>
        <v>0</v>
      </c>
    </row>
    <row r="22" spans="1:15" ht="18" x14ac:dyDescent="0.25">
      <c r="A22" s="846" t="s">
        <v>32</v>
      </c>
      <c r="B22" s="847"/>
      <c r="C22" s="847"/>
      <c r="D22" s="848">
        <f>SUM(D16:D21)</f>
        <v>7000</v>
      </c>
      <c r="E22" s="840"/>
      <c r="F22" s="913"/>
      <c r="G22" s="914"/>
      <c r="H22" s="914"/>
      <c r="I22" s="913"/>
      <c r="J22" s="916"/>
      <c r="K22" s="917"/>
      <c r="L22" s="1059"/>
      <c r="M22" s="945"/>
      <c r="N22" s="1000"/>
      <c r="O22" s="1056"/>
    </row>
    <row r="23" spans="1:15" ht="18.75" thickBot="1" x14ac:dyDescent="0.3">
      <c r="A23" s="850"/>
      <c r="E23" s="840"/>
      <c r="F23" s="840"/>
      <c r="G23" s="840"/>
      <c r="H23" s="840"/>
      <c r="I23" s="840"/>
      <c r="J23" s="858"/>
      <c r="K23" s="858"/>
      <c r="L23" s="840"/>
      <c r="M23" s="840"/>
      <c r="N23" s="840"/>
      <c r="O23" s="997">
        <f>SUM(O7:O22)</f>
        <v>-130000</v>
      </c>
    </row>
    <row r="24" spans="1:15" ht="18" x14ac:dyDescent="0.25">
      <c r="A24" s="859" t="s">
        <v>759</v>
      </c>
      <c r="E24" s="840"/>
      <c r="F24" s="840"/>
      <c r="G24" s="840"/>
      <c r="H24" s="840"/>
      <c r="I24" s="840"/>
      <c r="J24" s="858"/>
      <c r="K24" s="858"/>
      <c r="L24" s="840"/>
      <c r="M24" s="840"/>
      <c r="N24" s="840"/>
      <c r="O24" s="858"/>
    </row>
    <row r="25" spans="1:15" ht="18.75" customHeight="1" x14ac:dyDescent="0.25">
      <c r="A25" s="856" t="s">
        <v>749</v>
      </c>
      <c r="D25" s="816">
        <f>115736-736</f>
        <v>115000</v>
      </c>
      <c r="E25" s="840"/>
      <c r="F25" s="840"/>
      <c r="G25" s="840"/>
      <c r="H25" s="840"/>
      <c r="I25" s="840"/>
      <c r="J25" s="858"/>
      <c r="K25" s="858"/>
      <c r="L25" s="840"/>
      <c r="M25" s="840"/>
      <c r="N25" s="840"/>
      <c r="O25" s="858"/>
    </row>
    <row r="26" spans="1:15" ht="18.75" customHeight="1" x14ac:dyDescent="0.25">
      <c r="A26" s="856" t="s">
        <v>750</v>
      </c>
      <c r="D26" s="816">
        <v>65000</v>
      </c>
      <c r="E26" s="840"/>
      <c r="F26" s="840"/>
      <c r="G26" s="840"/>
      <c r="H26" s="840"/>
      <c r="I26" s="840"/>
      <c r="J26" s="858"/>
      <c r="K26" s="858"/>
      <c r="L26" s="840"/>
      <c r="M26" s="840"/>
      <c r="N26" s="840"/>
      <c r="O26" s="858"/>
    </row>
    <row r="27" spans="1:15" ht="18.75" customHeight="1" x14ac:dyDescent="0.25">
      <c r="A27" s="856" t="s">
        <v>753</v>
      </c>
      <c r="D27" s="816">
        <f>9264+736</f>
        <v>10000</v>
      </c>
      <c r="E27" s="840"/>
      <c r="F27" s="840"/>
      <c r="G27" s="840"/>
      <c r="H27" s="840"/>
      <c r="I27" s="840"/>
      <c r="J27" s="858"/>
      <c r="K27" s="858"/>
      <c r="L27" s="840"/>
      <c r="M27" s="840"/>
      <c r="N27" s="840"/>
      <c r="O27" s="858"/>
    </row>
    <row r="28" spans="1:15" ht="18.75" customHeight="1" x14ac:dyDescent="0.25">
      <c r="A28" s="856"/>
      <c r="D28" s="816">
        <f>SUM(D25:D27)</f>
        <v>190000</v>
      </c>
      <c r="E28" s="840"/>
      <c r="F28" s="840"/>
      <c r="G28" s="840"/>
      <c r="H28" s="840"/>
      <c r="I28" s="840"/>
      <c r="J28" s="858"/>
      <c r="K28" s="858"/>
      <c r="L28" s="840"/>
      <c r="M28" s="840"/>
      <c r="N28" s="840"/>
      <c r="O28" s="858"/>
    </row>
    <row r="29" spans="1:15" ht="18.75" customHeight="1" x14ac:dyDescent="0.25">
      <c r="A29" s="854" t="s">
        <v>744</v>
      </c>
      <c r="E29" s="840"/>
      <c r="F29" s="840"/>
      <c r="G29" s="840"/>
      <c r="H29" s="840"/>
      <c r="I29" s="840"/>
      <c r="J29" s="858"/>
      <c r="K29" s="858"/>
      <c r="L29" s="840"/>
      <c r="M29" s="840"/>
      <c r="N29" s="840"/>
      <c r="O29" s="858"/>
    </row>
    <row r="30" spans="1:15" ht="18.75" customHeight="1" x14ac:dyDescent="0.25">
      <c r="A30" s="846" t="s">
        <v>30</v>
      </c>
      <c r="B30" s="847"/>
      <c r="C30" s="847"/>
      <c r="D30" s="848">
        <v>3500</v>
      </c>
      <c r="E30" s="840"/>
      <c r="F30" s="840"/>
      <c r="G30" s="840"/>
      <c r="H30" s="840"/>
      <c r="I30" s="840"/>
      <c r="J30" s="858"/>
      <c r="K30" s="858"/>
      <c r="L30" s="840"/>
      <c r="M30" s="840"/>
      <c r="N30" s="840"/>
      <c r="O30" s="858"/>
    </row>
    <row r="31" spans="1:15" ht="18.75" customHeight="1" x14ac:dyDescent="0.25">
      <c r="A31" s="850" t="s">
        <v>745</v>
      </c>
      <c r="D31" s="816">
        <v>12000</v>
      </c>
      <c r="E31" s="840"/>
      <c r="F31" s="840"/>
      <c r="G31" s="840"/>
      <c r="H31" s="840"/>
      <c r="I31" s="840"/>
      <c r="J31" s="858"/>
      <c r="K31" s="858"/>
      <c r="L31" s="840"/>
      <c r="M31" s="840"/>
      <c r="N31" s="840"/>
      <c r="O31" s="858"/>
    </row>
    <row r="32" spans="1:15" ht="18.75" customHeight="1" x14ac:dyDescent="0.25">
      <c r="A32" s="846" t="s">
        <v>32</v>
      </c>
      <c r="B32" s="847"/>
      <c r="C32" s="847"/>
      <c r="D32" s="848">
        <f>SUM(D30:D31)</f>
        <v>15500</v>
      </c>
      <c r="E32" s="840"/>
      <c r="F32" s="840"/>
      <c r="G32" s="840"/>
      <c r="H32" s="840"/>
      <c r="I32" s="840"/>
      <c r="J32" s="858"/>
      <c r="K32" s="858"/>
      <c r="L32" s="840"/>
      <c r="M32" s="840"/>
      <c r="N32" s="840"/>
      <c r="O32" s="858"/>
    </row>
    <row r="33" spans="1:15" ht="18.75" customHeight="1" x14ac:dyDescent="0.25">
      <c r="A33" s="850"/>
      <c r="E33" s="840"/>
      <c r="F33" s="840"/>
      <c r="G33" s="840"/>
      <c r="H33" s="840"/>
      <c r="I33" s="840"/>
      <c r="J33" s="858"/>
      <c r="K33" s="858"/>
      <c r="L33" s="840"/>
      <c r="M33" s="840"/>
      <c r="N33" s="840"/>
      <c r="O33" s="858"/>
    </row>
    <row r="34" spans="1:15" ht="18.75" customHeight="1" x14ac:dyDescent="0.25">
      <c r="A34" s="854" t="s">
        <v>369</v>
      </c>
      <c r="E34" s="840"/>
      <c r="F34" s="840"/>
      <c r="G34" s="840"/>
      <c r="H34" s="840"/>
      <c r="I34" s="840"/>
      <c r="J34" s="858"/>
      <c r="K34" s="858"/>
      <c r="L34" s="840"/>
      <c r="M34" s="840"/>
      <c r="N34" s="840"/>
      <c r="O34" s="858"/>
    </row>
    <row r="35" spans="1:15" ht="18.75" customHeight="1" x14ac:dyDescent="0.25">
      <c r="A35" s="846" t="s">
        <v>30</v>
      </c>
      <c r="B35" s="847"/>
      <c r="C35" s="847"/>
      <c r="D35" s="848">
        <v>15000</v>
      </c>
      <c r="E35" s="840"/>
      <c r="F35" s="840"/>
      <c r="G35" s="840"/>
      <c r="H35" s="840"/>
      <c r="I35" s="840"/>
      <c r="J35" s="858"/>
      <c r="K35" s="858"/>
      <c r="L35" s="840"/>
      <c r="M35" s="840"/>
      <c r="N35" s="840"/>
      <c r="O35" s="858"/>
    </row>
    <row r="36" spans="1:15" ht="18.75" customHeight="1" x14ac:dyDescent="0.25">
      <c r="A36" s="850" t="s">
        <v>34</v>
      </c>
      <c r="D36" s="816">
        <f>+(D5+D11)*(1+18%)</f>
        <v>159300</v>
      </c>
      <c r="E36" s="840"/>
      <c r="F36" s="840"/>
      <c r="G36" s="840"/>
      <c r="H36" s="840"/>
      <c r="I36" s="840"/>
      <c r="J36" s="858"/>
      <c r="K36" s="858"/>
      <c r="L36" s="840"/>
      <c r="M36" s="840"/>
      <c r="N36" s="840"/>
      <c r="O36" s="858"/>
    </row>
    <row r="37" spans="1:15" ht="18.75" customHeight="1" x14ac:dyDescent="0.25">
      <c r="A37" s="850" t="s">
        <v>43</v>
      </c>
      <c r="D37" s="816">
        <v>-130000</v>
      </c>
      <c r="E37" s="840"/>
      <c r="F37" s="840"/>
      <c r="G37" s="840"/>
      <c r="H37" s="840"/>
      <c r="I37" s="840"/>
      <c r="J37" s="858"/>
      <c r="K37" s="858"/>
      <c r="L37" s="840"/>
      <c r="M37" s="840"/>
      <c r="N37" s="840"/>
      <c r="O37" s="858"/>
    </row>
    <row r="38" spans="1:15" ht="18.75" customHeight="1" x14ac:dyDescent="0.25">
      <c r="A38" s="883" t="s">
        <v>32</v>
      </c>
      <c r="B38" s="884"/>
      <c r="C38" s="884"/>
      <c r="D38" s="885">
        <f>SUM(D35:D37)</f>
        <v>44300</v>
      </c>
      <c r="E38" s="861"/>
      <c r="F38" s="861"/>
      <c r="G38" s="861"/>
      <c r="H38" s="861"/>
      <c r="I38" s="861"/>
      <c r="J38" s="862"/>
      <c r="K38" s="862"/>
      <c r="L38" s="861"/>
      <c r="M38" s="861"/>
      <c r="N38" s="861"/>
      <c r="O38" s="862"/>
    </row>
    <row r="39" spans="1:15" ht="18.75" customHeight="1" x14ac:dyDescent="0.25">
      <c r="A39" s="860"/>
      <c r="B39" s="861"/>
      <c r="C39" s="861"/>
      <c r="D39" s="861"/>
      <c r="E39" s="861"/>
      <c r="F39" s="861"/>
      <c r="G39" s="861"/>
      <c r="H39" s="861"/>
      <c r="I39" s="861"/>
      <c r="J39" s="862"/>
      <c r="K39" s="840"/>
      <c r="L39" s="840"/>
      <c r="M39" s="840"/>
      <c r="N39" s="840"/>
      <c r="O39" s="840"/>
    </row>
    <row r="40" spans="1:15" ht="18.75" customHeight="1" x14ac:dyDescent="0.25"/>
  </sheetData>
  <mergeCells count="1">
    <mergeCell ref="L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18C87-CBFB-4F06-BE99-DB32CBE2FFE1}">
  <sheetPr>
    <tabColor rgb="FF7030A0"/>
  </sheetPr>
  <dimension ref="A1:FF46"/>
  <sheetViews>
    <sheetView showGridLines="0" zoomScale="85" zoomScaleNormal="85" workbookViewId="0">
      <selection activeCell="J9" sqref="J9"/>
    </sheetView>
  </sheetViews>
  <sheetFormatPr baseColWidth="10" defaultColWidth="0" defaultRowHeight="0" customHeight="1" zeroHeight="1" x14ac:dyDescent="0.25"/>
  <cols>
    <col min="1" max="2" width="17" style="815" customWidth="1"/>
    <col min="3" max="4" width="15.7109375" style="815" customWidth="1"/>
    <col min="5" max="5" width="2.85546875" style="815" customWidth="1"/>
    <col min="6" max="7" width="15.7109375" style="815" customWidth="1"/>
    <col min="8" max="8" width="12.140625" style="815" customWidth="1"/>
    <col min="9" max="17" width="15.7109375" style="815" customWidth="1"/>
    <col min="18" max="162" width="0" hidden="1" customWidth="1"/>
    <col min="163" max="16384" width="11.42578125" hidden="1"/>
  </cols>
  <sheetData>
    <row r="1" spans="1:15" ht="18" x14ac:dyDescent="0.25">
      <c r="A1" s="835" t="s">
        <v>763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</row>
    <row r="2" spans="1:15" ht="18" x14ac:dyDescent="0.25">
      <c r="A2" s="840"/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</row>
    <row r="3" spans="1:15" ht="18.75" thickBot="1" x14ac:dyDescent="0.3">
      <c r="A3" s="878"/>
      <c r="B3" s="844"/>
      <c r="C3" s="844"/>
      <c r="D3" s="844"/>
      <c r="E3" s="844"/>
      <c r="F3" s="844"/>
      <c r="G3" s="844"/>
      <c r="H3" s="844"/>
      <c r="I3" s="844"/>
      <c r="J3" s="845"/>
      <c r="K3" s="879" t="s">
        <v>459</v>
      </c>
      <c r="L3" s="902" t="s">
        <v>760</v>
      </c>
      <c r="M3" s="902" t="s">
        <v>761</v>
      </c>
      <c r="N3" s="879" t="s">
        <v>166</v>
      </c>
      <c r="O3" s="879" t="s">
        <v>762</v>
      </c>
    </row>
    <row r="4" spans="1:15" ht="18.75" thickBot="1" x14ac:dyDescent="0.3">
      <c r="A4" s="889" t="s">
        <v>773</v>
      </c>
      <c r="B4" s="890"/>
      <c r="C4" s="890"/>
      <c r="D4" s="903"/>
      <c r="E4" s="891"/>
      <c r="F4" s="892"/>
      <c r="G4" s="893"/>
      <c r="H4" s="893"/>
      <c r="I4" s="892"/>
      <c r="J4" s="894"/>
      <c r="K4" s="895"/>
      <c r="L4" s="1527" t="s">
        <v>757</v>
      </c>
      <c r="M4" s="1528"/>
      <c r="N4" s="896" t="s">
        <v>103</v>
      </c>
      <c r="O4" s="880" t="s">
        <v>17</v>
      </c>
    </row>
    <row r="5" spans="1:15" ht="18.75" thickBot="1" x14ac:dyDescent="0.3">
      <c r="A5" s="846" t="s">
        <v>30</v>
      </c>
      <c r="B5" s="847"/>
      <c r="C5" s="847"/>
      <c r="D5" s="904">
        <v>15000</v>
      </c>
      <c r="E5" s="869"/>
      <c r="F5" s="819"/>
      <c r="G5" s="820"/>
      <c r="H5" s="820"/>
      <c r="I5" s="831">
        <v>2020</v>
      </c>
      <c r="J5" s="851">
        <v>2019</v>
      </c>
      <c r="K5" s="851" t="s">
        <v>103</v>
      </c>
      <c r="L5" s="821" t="s">
        <v>156</v>
      </c>
      <c r="M5" s="822" t="s">
        <v>233</v>
      </c>
      <c r="N5" s="897" t="s">
        <v>104</v>
      </c>
      <c r="O5" s="851" t="s">
        <v>121</v>
      </c>
    </row>
    <row r="6" spans="1:15" ht="18" x14ac:dyDescent="0.25">
      <c r="A6" s="850" t="s">
        <v>764</v>
      </c>
      <c r="D6" s="905">
        <f>+D29*1.18</f>
        <v>708000</v>
      </c>
      <c r="E6" s="869"/>
      <c r="F6" s="823" t="s">
        <v>685</v>
      </c>
      <c r="G6" s="824"/>
      <c r="H6" s="824"/>
      <c r="I6" s="832" t="s">
        <v>3</v>
      </c>
      <c r="J6" s="852" t="s">
        <v>3</v>
      </c>
      <c r="K6" s="881" t="s">
        <v>3</v>
      </c>
      <c r="L6" s="842" t="s">
        <v>3</v>
      </c>
      <c r="M6" s="825" t="s">
        <v>3</v>
      </c>
      <c r="N6" s="898" t="s">
        <v>3</v>
      </c>
      <c r="O6" s="881" t="s">
        <v>3</v>
      </c>
    </row>
    <row r="7" spans="1:15" ht="18" x14ac:dyDescent="0.25">
      <c r="A7" s="850" t="s">
        <v>779</v>
      </c>
      <c r="D7" s="905">
        <f>-D14</f>
        <v>80000</v>
      </c>
      <c r="E7" s="869"/>
      <c r="F7" s="826"/>
      <c r="G7" s="827"/>
      <c r="H7" s="827"/>
      <c r="I7" s="833"/>
      <c r="J7" s="853"/>
      <c r="K7" s="855"/>
      <c r="L7" s="875"/>
      <c r="M7" s="837"/>
      <c r="N7" s="899"/>
      <c r="O7" s="921"/>
    </row>
    <row r="8" spans="1:15" ht="18" x14ac:dyDescent="0.25">
      <c r="A8" s="850" t="s">
        <v>33</v>
      </c>
      <c r="D8" s="905">
        <v>-720000</v>
      </c>
      <c r="E8" s="869"/>
      <c r="F8" s="826" t="s">
        <v>252</v>
      </c>
      <c r="G8" s="827"/>
      <c r="H8" s="827"/>
      <c r="I8" s="833"/>
      <c r="J8" s="853"/>
      <c r="K8" s="855"/>
      <c r="L8" s="875"/>
      <c r="M8" s="837"/>
      <c r="N8" s="899"/>
      <c r="O8" s="921"/>
    </row>
    <row r="9" spans="1:15" ht="18" x14ac:dyDescent="0.25">
      <c r="A9" s="846" t="s">
        <v>32</v>
      </c>
      <c r="B9" s="847"/>
      <c r="C9" s="847"/>
      <c r="D9" s="904">
        <f>SUM(D5:D8)</f>
        <v>83000</v>
      </c>
      <c r="E9" s="869"/>
      <c r="F9" s="826" t="s">
        <v>776</v>
      </c>
      <c r="G9" s="827"/>
      <c r="H9" s="827"/>
      <c r="I9" s="833">
        <f>+D9</f>
        <v>83000</v>
      </c>
      <c r="J9" s="853">
        <f>+D5</f>
        <v>15000</v>
      </c>
      <c r="K9" s="853">
        <f>+J9-I9</f>
        <v>-68000</v>
      </c>
      <c r="L9" s="875"/>
      <c r="M9" s="838">
        <f>+D7</f>
        <v>80000</v>
      </c>
      <c r="N9" s="900">
        <f>+K9+M9-L9</f>
        <v>12000</v>
      </c>
      <c r="O9" s="922">
        <f>+N9</f>
        <v>12000</v>
      </c>
    </row>
    <row r="10" spans="1:15" ht="18" x14ac:dyDescent="0.25">
      <c r="A10" s="850"/>
      <c r="D10" s="906"/>
      <c r="E10" s="869"/>
      <c r="F10" s="826" t="s">
        <v>777</v>
      </c>
      <c r="G10" s="827"/>
      <c r="H10" s="827"/>
      <c r="I10" s="833">
        <f>+D15</f>
        <v>35000</v>
      </c>
      <c r="J10" s="853">
        <f>+D12</f>
        <v>25000</v>
      </c>
      <c r="K10" s="853">
        <f>+J10-I10</f>
        <v>-10000</v>
      </c>
      <c r="L10" s="876">
        <f>+D7</f>
        <v>80000</v>
      </c>
      <c r="M10" s="838">
        <f>+D13</f>
        <v>90000</v>
      </c>
      <c r="N10" s="900">
        <f>+K10+M10-L10</f>
        <v>0</v>
      </c>
      <c r="O10" s="922">
        <f>+N10</f>
        <v>0</v>
      </c>
    </row>
    <row r="11" spans="1:15" ht="18" x14ac:dyDescent="0.25">
      <c r="A11" s="854" t="s">
        <v>772</v>
      </c>
      <c r="D11" s="906"/>
      <c r="E11" s="869"/>
      <c r="F11" s="867" t="s">
        <v>92</v>
      </c>
      <c r="G11" s="827"/>
      <c r="H11" s="827"/>
      <c r="I11" s="833">
        <f>-D20</f>
        <v>-5500</v>
      </c>
      <c r="J11" s="853">
        <f>-D18</f>
        <v>-3500</v>
      </c>
      <c r="K11" s="853">
        <f>+J11-I11</f>
        <v>2000</v>
      </c>
      <c r="L11" s="876">
        <f>+D19</f>
        <v>2000</v>
      </c>
      <c r="M11" s="838"/>
      <c r="N11" s="900">
        <f>+K11+M11-L11</f>
        <v>0</v>
      </c>
      <c r="O11" s="922">
        <f>+N11</f>
        <v>0</v>
      </c>
    </row>
    <row r="12" spans="1:15" ht="18" x14ac:dyDescent="0.25">
      <c r="A12" s="846" t="s">
        <v>30</v>
      </c>
      <c r="B12" s="847"/>
      <c r="C12" s="847"/>
      <c r="D12" s="904">
        <v>25000</v>
      </c>
      <c r="E12" s="869"/>
      <c r="F12" s="826"/>
      <c r="G12" s="827"/>
      <c r="H12" s="827"/>
      <c r="I12" s="826"/>
      <c r="J12" s="855"/>
      <c r="K12" s="855"/>
      <c r="L12" s="875"/>
      <c r="M12" s="837"/>
      <c r="N12" s="899"/>
      <c r="O12" s="921"/>
    </row>
    <row r="13" spans="1:15" ht="18" x14ac:dyDescent="0.25">
      <c r="A13" s="850" t="s">
        <v>774</v>
      </c>
      <c r="D13" s="905">
        <f>90000</f>
        <v>90000</v>
      </c>
      <c r="E13" s="869"/>
      <c r="F13" s="826" t="s">
        <v>771</v>
      </c>
      <c r="G13" s="827"/>
      <c r="H13" s="827"/>
      <c r="I13" s="833">
        <f>-D26</f>
        <v>-38000</v>
      </c>
      <c r="J13" s="853">
        <f>-D23</f>
        <v>-18000</v>
      </c>
      <c r="K13" s="853">
        <f>+J13-I13</f>
        <v>20000</v>
      </c>
      <c r="L13" s="876"/>
      <c r="M13" s="838">
        <f>-D25</f>
        <v>100000</v>
      </c>
      <c r="N13" s="900">
        <f>+K13+M13-L13</f>
        <v>120000</v>
      </c>
      <c r="O13" s="922">
        <f>+N13</f>
        <v>120000</v>
      </c>
    </row>
    <row r="14" spans="1:15" ht="18" x14ac:dyDescent="0.25">
      <c r="A14" s="850" t="s">
        <v>778</v>
      </c>
      <c r="D14" s="905">
        <v>-80000</v>
      </c>
      <c r="E14" s="869"/>
      <c r="F14" s="826"/>
      <c r="G14" s="827"/>
      <c r="H14" s="827"/>
      <c r="I14" s="833"/>
      <c r="J14" s="853"/>
      <c r="K14" s="853"/>
      <c r="L14" s="876"/>
      <c r="M14" s="838"/>
      <c r="N14" s="900"/>
      <c r="O14" s="922"/>
    </row>
    <row r="15" spans="1:15" ht="18" x14ac:dyDescent="0.25">
      <c r="A15" s="846" t="s">
        <v>32</v>
      </c>
      <c r="B15" s="847"/>
      <c r="C15" s="847"/>
      <c r="D15" s="904">
        <f>SUM(D12:D14)</f>
        <v>35000</v>
      </c>
      <c r="E15" s="869"/>
      <c r="F15" s="826"/>
      <c r="G15" s="827"/>
      <c r="H15" s="827"/>
      <c r="I15" s="826"/>
      <c r="J15" s="855"/>
      <c r="K15" s="855"/>
      <c r="L15" s="875"/>
      <c r="M15" s="837"/>
      <c r="N15" s="899"/>
      <c r="O15" s="921"/>
    </row>
    <row r="16" spans="1:15" ht="18" x14ac:dyDescent="0.25">
      <c r="A16" s="850"/>
      <c r="D16" s="906"/>
      <c r="E16" s="869"/>
      <c r="F16" s="826"/>
      <c r="G16" s="827"/>
      <c r="H16" s="827"/>
      <c r="I16" s="833"/>
      <c r="J16" s="855"/>
      <c r="K16" s="853"/>
      <c r="L16" s="876"/>
      <c r="M16" s="838"/>
      <c r="N16" s="900"/>
      <c r="O16" s="922"/>
    </row>
    <row r="17" spans="1:15" ht="18" x14ac:dyDescent="0.25">
      <c r="A17" s="854" t="s">
        <v>744</v>
      </c>
      <c r="D17" s="906"/>
      <c r="E17" s="869"/>
      <c r="F17" s="826" t="s">
        <v>765</v>
      </c>
      <c r="G17" s="827"/>
      <c r="H17" s="827"/>
      <c r="I17" s="833"/>
      <c r="J17" s="855"/>
      <c r="K17" s="855"/>
      <c r="L17" s="875"/>
      <c r="M17" s="837"/>
      <c r="N17" s="899"/>
      <c r="O17" s="921"/>
    </row>
    <row r="18" spans="1:15" ht="18" x14ac:dyDescent="0.25">
      <c r="A18" s="846" t="s">
        <v>30</v>
      </c>
      <c r="B18" s="847"/>
      <c r="C18" s="847"/>
      <c r="D18" s="904">
        <v>3500</v>
      </c>
      <c r="E18" s="869"/>
      <c r="F18" s="868" t="s">
        <v>781</v>
      </c>
      <c r="G18" s="827"/>
      <c r="H18" s="827"/>
      <c r="I18" s="833">
        <f>-D29</f>
        <v>-600000</v>
      </c>
      <c r="J18" s="855"/>
      <c r="K18" s="853">
        <f t="shared" ref="K18:K22" si="0">+J18-I18</f>
        <v>600000</v>
      </c>
      <c r="L18" s="876"/>
      <c r="M18" s="838"/>
      <c r="N18" s="900">
        <f t="shared" ref="N18:N22" si="1">+K18+M18-L18</f>
        <v>600000</v>
      </c>
      <c r="O18" s="922">
        <f>+N18*(1+18%)</f>
        <v>708000</v>
      </c>
    </row>
    <row r="19" spans="1:15" ht="18" x14ac:dyDescent="0.25">
      <c r="A19" s="850" t="s">
        <v>745</v>
      </c>
      <c r="D19" s="905">
        <v>2000</v>
      </c>
      <c r="E19" s="869"/>
      <c r="F19" s="868" t="s">
        <v>768</v>
      </c>
      <c r="G19" s="864"/>
      <c r="H19" s="827"/>
      <c r="I19" s="833">
        <f>-D30</f>
        <v>-100000</v>
      </c>
      <c r="J19" s="855"/>
      <c r="K19" s="853">
        <f t="shared" si="0"/>
        <v>100000</v>
      </c>
      <c r="L19" s="876">
        <f>-D25</f>
        <v>100000</v>
      </c>
      <c r="M19" s="838"/>
      <c r="N19" s="900">
        <f t="shared" ref="N19" si="2">+K19+M19-L19</f>
        <v>0</v>
      </c>
      <c r="O19" s="922">
        <f>+N19*(1+18%)</f>
        <v>0</v>
      </c>
    </row>
    <row r="20" spans="1:15" ht="18" x14ac:dyDescent="0.25">
      <c r="A20" s="846" t="s">
        <v>32</v>
      </c>
      <c r="B20" s="847"/>
      <c r="C20" s="847"/>
      <c r="D20" s="904">
        <f>SUM(D18:D19)</f>
        <v>5500</v>
      </c>
      <c r="E20" s="869"/>
      <c r="F20" s="868" t="s">
        <v>775</v>
      </c>
      <c r="G20" s="864"/>
      <c r="H20" s="827"/>
      <c r="I20" s="833">
        <f>-D31</f>
        <v>-90000</v>
      </c>
      <c r="J20" s="855"/>
      <c r="K20" s="853">
        <f t="shared" ref="K20" si="3">+J20-I20</f>
        <v>90000</v>
      </c>
      <c r="L20" s="876">
        <f>+D13</f>
        <v>90000</v>
      </c>
      <c r="M20" s="838"/>
      <c r="N20" s="900">
        <f t="shared" ref="N20" si="4">+K20+M20-L20</f>
        <v>0</v>
      </c>
      <c r="O20" s="922">
        <f>+N20*(1+18%)</f>
        <v>0</v>
      </c>
    </row>
    <row r="21" spans="1:15" ht="18" x14ac:dyDescent="0.25">
      <c r="A21" s="850"/>
      <c r="D21" s="905"/>
      <c r="E21" s="869"/>
      <c r="F21" s="826"/>
      <c r="G21" s="864"/>
      <c r="H21" s="827"/>
      <c r="I21" s="833"/>
      <c r="J21" s="855"/>
      <c r="K21" s="853"/>
      <c r="L21" s="876"/>
      <c r="M21" s="838"/>
      <c r="N21" s="900"/>
      <c r="O21" s="922"/>
    </row>
    <row r="22" spans="1:15" ht="18" x14ac:dyDescent="0.25">
      <c r="A22" s="854" t="s">
        <v>767</v>
      </c>
      <c r="D22" s="906"/>
      <c r="E22" s="869"/>
      <c r="F22" s="826" t="s">
        <v>92</v>
      </c>
      <c r="G22" s="864"/>
      <c r="H22" s="827"/>
      <c r="I22" s="833">
        <f>+D19</f>
        <v>2000</v>
      </c>
      <c r="J22" s="855"/>
      <c r="K22" s="853">
        <f t="shared" si="0"/>
        <v>-2000</v>
      </c>
      <c r="L22" s="876"/>
      <c r="M22" s="838">
        <f>+D19</f>
        <v>2000</v>
      </c>
      <c r="N22" s="900">
        <f t="shared" si="1"/>
        <v>0</v>
      </c>
      <c r="O22" s="922">
        <f t="shared" ref="O22" si="5">+N22</f>
        <v>0</v>
      </c>
    </row>
    <row r="23" spans="1:15" ht="18" x14ac:dyDescent="0.25">
      <c r="A23" s="846" t="s">
        <v>30</v>
      </c>
      <c r="B23" s="847"/>
      <c r="C23" s="847"/>
      <c r="D23" s="904">
        <v>18000</v>
      </c>
      <c r="E23" s="869"/>
      <c r="F23" s="826"/>
      <c r="G23" s="827"/>
      <c r="H23" s="827"/>
      <c r="I23" s="833"/>
      <c r="J23" s="855"/>
      <c r="K23" s="853"/>
      <c r="L23" s="876"/>
      <c r="M23" s="838"/>
      <c r="N23" s="900"/>
      <c r="O23" s="922"/>
    </row>
    <row r="24" spans="1:15" ht="18" x14ac:dyDescent="0.25">
      <c r="A24" s="850" t="s">
        <v>769</v>
      </c>
      <c r="D24" s="905">
        <v>120000</v>
      </c>
      <c r="E24" s="869"/>
      <c r="F24" s="826"/>
      <c r="G24" s="827"/>
      <c r="H24" s="827"/>
      <c r="I24" s="833"/>
      <c r="J24" s="855"/>
      <c r="K24" s="853"/>
      <c r="L24" s="876"/>
      <c r="M24" s="838"/>
      <c r="N24" s="900"/>
      <c r="O24" s="922"/>
    </row>
    <row r="25" spans="1:15" ht="18.75" customHeight="1" thickBot="1" x14ac:dyDescent="0.3">
      <c r="A25" s="850" t="s">
        <v>770</v>
      </c>
      <c r="D25" s="905">
        <v>-100000</v>
      </c>
      <c r="E25" s="869"/>
      <c r="F25" s="829"/>
      <c r="G25" s="830"/>
      <c r="H25" s="830"/>
      <c r="I25" s="829"/>
      <c r="J25" s="857"/>
      <c r="K25" s="882"/>
      <c r="L25" s="877"/>
      <c r="M25" s="839"/>
      <c r="N25" s="901"/>
      <c r="O25" s="923"/>
    </row>
    <row r="26" spans="1:15" s="815" customFormat="1" ht="18.75" customHeight="1" x14ac:dyDescent="0.25">
      <c r="A26" s="846" t="s">
        <v>32</v>
      </c>
      <c r="B26" s="847"/>
      <c r="C26" s="847"/>
      <c r="D26" s="904">
        <f>SUM(D23:D25)</f>
        <v>38000</v>
      </c>
      <c r="E26" s="869"/>
      <c r="F26" s="869"/>
      <c r="G26" s="869"/>
      <c r="H26" s="869"/>
      <c r="I26" s="869"/>
      <c r="J26" s="874"/>
      <c r="K26" s="874"/>
      <c r="L26" s="874"/>
      <c r="M26" s="869"/>
      <c r="N26" s="870"/>
      <c r="O26" s="924">
        <f>SUM(O7:O25)</f>
        <v>840000</v>
      </c>
    </row>
    <row r="27" spans="1:15" s="815" customFormat="1" ht="18.75" customHeight="1" x14ac:dyDescent="0.25">
      <c r="A27" s="850"/>
      <c r="D27" s="906"/>
      <c r="E27" s="869"/>
      <c r="F27" s="869"/>
      <c r="G27" s="869"/>
      <c r="H27" s="869"/>
      <c r="I27" s="869"/>
      <c r="J27" s="869"/>
      <c r="K27" s="869"/>
      <c r="L27" s="869"/>
      <c r="M27" s="869"/>
      <c r="N27" s="869"/>
      <c r="O27" s="870"/>
    </row>
    <row r="28" spans="1:15" s="815" customFormat="1" ht="18.75" customHeight="1" x14ac:dyDescent="0.25">
      <c r="A28" s="866" t="s">
        <v>766</v>
      </c>
      <c r="B28" s="847"/>
      <c r="C28" s="847"/>
      <c r="D28" s="904"/>
      <c r="E28" s="869"/>
      <c r="F28" s="869"/>
      <c r="G28" s="869"/>
      <c r="H28" s="869"/>
      <c r="I28" s="869"/>
      <c r="J28" s="869"/>
      <c r="K28" s="869"/>
      <c r="L28" s="869"/>
      <c r="M28" s="869"/>
      <c r="N28" s="869"/>
      <c r="O28" s="870"/>
    </row>
    <row r="29" spans="1:15" s="815" customFormat="1" ht="18.75" customHeight="1" x14ac:dyDescent="0.25">
      <c r="A29" s="850" t="s">
        <v>781</v>
      </c>
      <c r="D29" s="905">
        <v>600000</v>
      </c>
      <c r="E29" s="869"/>
      <c r="F29" s="869"/>
      <c r="G29" s="869"/>
      <c r="H29" s="869"/>
      <c r="I29" s="869"/>
      <c r="J29" s="869"/>
      <c r="K29" s="869"/>
      <c r="L29" s="869"/>
      <c r="M29" s="869"/>
      <c r="N29" s="869"/>
      <c r="O29" s="870"/>
    </row>
    <row r="30" spans="1:15" s="815" customFormat="1" ht="18.75" customHeight="1" x14ac:dyDescent="0.25">
      <c r="A30" s="850" t="s">
        <v>768</v>
      </c>
      <c r="D30" s="905">
        <f>-D25</f>
        <v>100000</v>
      </c>
      <c r="E30" s="869"/>
      <c r="F30" s="869"/>
      <c r="G30" s="869"/>
      <c r="H30" s="869"/>
      <c r="I30" s="869"/>
      <c r="J30" s="869"/>
      <c r="K30" s="869"/>
      <c r="L30" s="869"/>
      <c r="M30" s="869"/>
      <c r="N30" s="869"/>
      <c r="O30" s="870"/>
    </row>
    <row r="31" spans="1:15" s="815" customFormat="1" ht="18.75" customHeight="1" x14ac:dyDescent="0.25">
      <c r="A31" s="850" t="s">
        <v>780</v>
      </c>
      <c r="D31" s="905">
        <f>+D13</f>
        <v>90000</v>
      </c>
      <c r="E31" s="869"/>
      <c r="F31" s="869"/>
      <c r="G31" s="869"/>
      <c r="H31" s="869"/>
      <c r="I31" s="869"/>
      <c r="J31" s="869"/>
      <c r="K31" s="869"/>
      <c r="L31" s="869"/>
      <c r="M31" s="869"/>
      <c r="N31" s="869"/>
      <c r="O31" s="870"/>
    </row>
    <row r="32" spans="1:15" s="815" customFormat="1" ht="18.75" customHeight="1" x14ac:dyDescent="0.25">
      <c r="A32" s="846"/>
      <c r="B32" s="847"/>
      <c r="C32" s="847"/>
      <c r="D32" s="904">
        <f>SUM(D29:D31)</f>
        <v>790000</v>
      </c>
      <c r="E32" s="869"/>
      <c r="F32" s="869"/>
      <c r="G32" s="869"/>
      <c r="H32" s="869"/>
      <c r="I32" s="869"/>
      <c r="J32" s="869"/>
      <c r="K32" s="869"/>
      <c r="L32" s="869"/>
      <c r="M32" s="869"/>
      <c r="N32" s="869"/>
      <c r="O32" s="870"/>
    </row>
    <row r="33" spans="1:15" s="815" customFormat="1" ht="18.75" customHeight="1" x14ac:dyDescent="0.25">
      <c r="A33" s="850"/>
      <c r="D33" s="906"/>
      <c r="E33" s="869"/>
      <c r="F33" s="869"/>
      <c r="G33" s="869"/>
      <c r="H33" s="869"/>
      <c r="I33" s="869"/>
      <c r="J33" s="869"/>
      <c r="K33" s="869"/>
      <c r="L33" s="869"/>
      <c r="M33" s="869"/>
      <c r="N33" s="869"/>
      <c r="O33" s="870"/>
    </row>
    <row r="34" spans="1:15" s="815" customFormat="1" ht="18.75" customHeight="1" x14ac:dyDescent="0.25">
      <c r="A34" s="883" t="s">
        <v>135</v>
      </c>
      <c r="B34" s="884"/>
      <c r="C34" s="884"/>
      <c r="D34" s="907">
        <f>+D24+-D8</f>
        <v>840000</v>
      </c>
      <c r="E34" s="871"/>
      <c r="F34" s="871"/>
      <c r="G34" s="871"/>
      <c r="H34" s="871"/>
      <c r="I34" s="871"/>
      <c r="J34" s="871"/>
      <c r="K34" s="871"/>
      <c r="L34" s="871"/>
      <c r="M34" s="871"/>
      <c r="N34" s="871"/>
      <c r="O34" s="925"/>
    </row>
    <row r="35" spans="1:15" s="815" customFormat="1" ht="18.75" customHeight="1" x14ac:dyDescent="0.25">
      <c r="A35" s="860"/>
      <c r="B35" s="861"/>
      <c r="C35" s="861"/>
      <c r="D35" s="861"/>
      <c r="E35" s="861"/>
      <c r="F35" s="861"/>
      <c r="G35" s="861"/>
      <c r="H35" s="840"/>
      <c r="I35" s="861"/>
      <c r="J35" s="862"/>
      <c r="K35" s="840"/>
      <c r="L35" s="840"/>
      <c r="M35" s="840"/>
      <c r="N35" s="840"/>
      <c r="O35" s="863">
        <f>+D34-O26</f>
        <v>0</v>
      </c>
    </row>
    <row r="36" spans="1:15" s="815" customFormat="1" ht="0" hidden="1" customHeight="1" x14ac:dyDescent="0.25"/>
    <row r="37" spans="1:15" s="815" customFormat="1" ht="0" hidden="1" customHeight="1" x14ac:dyDescent="0.25"/>
    <row r="38" spans="1:15" s="815" customFormat="1" ht="0" hidden="1" customHeight="1" x14ac:dyDescent="0.25"/>
    <row r="39" spans="1:15" s="815" customFormat="1" ht="0" hidden="1" customHeight="1" x14ac:dyDescent="0.25"/>
    <row r="40" spans="1:15" s="815" customFormat="1" ht="0" hidden="1" customHeight="1" x14ac:dyDescent="0.25"/>
    <row r="41" spans="1:15" s="815" customFormat="1" ht="0" hidden="1" customHeight="1" x14ac:dyDescent="0.25"/>
    <row r="42" spans="1:15" s="815" customFormat="1" ht="0" hidden="1" customHeight="1" x14ac:dyDescent="0.25"/>
    <row r="43" spans="1:15" s="815" customFormat="1" ht="0" hidden="1" customHeight="1" x14ac:dyDescent="0.25"/>
    <row r="44" spans="1:15" s="815" customFormat="1" ht="0" hidden="1" customHeight="1" x14ac:dyDescent="0.25"/>
    <row r="45" spans="1:15" s="815" customFormat="1" ht="0" hidden="1" customHeight="1" x14ac:dyDescent="0.25"/>
    <row r="46" spans="1:15" s="815" customFormat="1" ht="0" hidden="1" customHeight="1" x14ac:dyDescent="0.25"/>
  </sheetData>
  <mergeCells count="1">
    <mergeCell ref="L4:M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B55FB-61C0-4EF3-832C-FFB988CDEE72}">
  <dimension ref="A1:FF90"/>
  <sheetViews>
    <sheetView showGridLines="0" zoomScale="55" zoomScaleNormal="55" workbookViewId="0">
      <selection activeCell="N17" sqref="F3:N17"/>
    </sheetView>
  </sheetViews>
  <sheetFormatPr baseColWidth="10" defaultColWidth="0" defaultRowHeight="0" customHeight="1" zeroHeight="1" x14ac:dyDescent="0.25"/>
  <cols>
    <col min="1" max="2" width="17" style="815" customWidth="1"/>
    <col min="3" max="4" width="15.7109375" style="815" customWidth="1"/>
    <col min="5" max="5" width="2.85546875" style="815" customWidth="1"/>
    <col min="6" max="7" width="15.7109375" style="815" customWidth="1"/>
    <col min="8" max="8" width="12.140625" style="815" customWidth="1"/>
    <col min="9" max="29" width="15.7109375" style="815" customWidth="1"/>
    <col min="30" max="162" width="0" hidden="1" customWidth="1"/>
    <col min="163" max="16384" width="11.42578125" hidden="1"/>
  </cols>
  <sheetData>
    <row r="1" spans="1:15" ht="18" x14ac:dyDescent="0.25">
      <c r="A1" s="835" t="s">
        <v>763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</row>
    <row r="2" spans="1:15" ht="18" x14ac:dyDescent="0.25">
      <c r="A2" s="840"/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</row>
    <row r="3" spans="1:15" ht="18.75" thickBot="1" x14ac:dyDescent="0.3">
      <c r="A3" s="878"/>
      <c r="B3" s="844"/>
      <c r="C3" s="844"/>
      <c r="D3" s="844"/>
      <c r="E3" s="844"/>
      <c r="F3" s="878"/>
      <c r="G3" s="844"/>
      <c r="H3" s="844"/>
      <c r="I3" s="844"/>
      <c r="J3" s="845"/>
      <c r="K3" s="879" t="s">
        <v>459</v>
      </c>
      <c r="L3" s="902" t="s">
        <v>760</v>
      </c>
      <c r="M3" s="902" t="s">
        <v>761</v>
      </c>
      <c r="N3" s="879" t="s">
        <v>166</v>
      </c>
      <c r="O3" s="865" t="s">
        <v>762</v>
      </c>
    </row>
    <row r="4" spans="1:15" ht="18.75" thickBot="1" x14ac:dyDescent="0.3">
      <c r="A4" s="854" t="s">
        <v>773</v>
      </c>
      <c r="E4" s="869"/>
      <c r="F4" s="908"/>
      <c r="G4" s="818"/>
      <c r="H4" s="818"/>
      <c r="I4" s="817"/>
      <c r="J4" s="849"/>
      <c r="K4" s="880"/>
      <c r="L4" s="1529" t="s">
        <v>757</v>
      </c>
      <c r="M4" s="1530"/>
      <c r="N4" s="909" t="s">
        <v>103</v>
      </c>
      <c r="O4" s="841" t="s">
        <v>17</v>
      </c>
    </row>
    <row r="5" spans="1:15" ht="18.75" thickBot="1" x14ac:dyDescent="0.3">
      <c r="A5" s="846" t="s">
        <v>30</v>
      </c>
      <c r="B5" s="847"/>
      <c r="C5" s="847"/>
      <c r="D5" s="848">
        <v>15000</v>
      </c>
      <c r="E5" s="869"/>
      <c r="F5" s="910"/>
      <c r="G5" s="820"/>
      <c r="H5" s="820"/>
      <c r="I5" s="831">
        <v>2020</v>
      </c>
      <c r="J5" s="851">
        <v>2019</v>
      </c>
      <c r="K5" s="851" t="s">
        <v>103</v>
      </c>
      <c r="L5" s="821" t="s">
        <v>156</v>
      </c>
      <c r="M5" s="822" t="s">
        <v>233</v>
      </c>
      <c r="N5" s="897" t="s">
        <v>104</v>
      </c>
      <c r="O5" s="821" t="s">
        <v>121</v>
      </c>
    </row>
    <row r="6" spans="1:15" ht="18" x14ac:dyDescent="0.25">
      <c r="A6" s="850" t="s">
        <v>764</v>
      </c>
      <c r="D6" s="816">
        <f>+D29*1.18</f>
        <v>708000</v>
      </c>
      <c r="E6" s="869"/>
      <c r="F6" s="911" t="s">
        <v>685</v>
      </c>
      <c r="G6" s="824"/>
      <c r="H6" s="824"/>
      <c r="I6" s="832" t="s">
        <v>3</v>
      </c>
      <c r="J6" s="852" t="s">
        <v>3</v>
      </c>
      <c r="K6" s="881" t="s">
        <v>3</v>
      </c>
      <c r="L6" s="842" t="s">
        <v>3</v>
      </c>
      <c r="M6" s="825" t="s">
        <v>3</v>
      </c>
      <c r="N6" s="898" t="s">
        <v>3</v>
      </c>
      <c r="O6" s="842" t="s">
        <v>3</v>
      </c>
    </row>
    <row r="7" spans="1:15" ht="18" x14ac:dyDescent="0.25">
      <c r="A7" s="850" t="s">
        <v>779</v>
      </c>
      <c r="D7" s="816">
        <f>-D14</f>
        <v>80000</v>
      </c>
      <c r="E7" s="869"/>
      <c r="F7" s="912"/>
      <c r="G7" s="827"/>
      <c r="H7" s="827"/>
      <c r="I7" s="833"/>
      <c r="J7" s="853"/>
      <c r="K7" s="855"/>
      <c r="L7" s="875"/>
      <c r="M7" s="837"/>
      <c r="N7" s="899"/>
      <c r="O7" s="886"/>
    </row>
    <row r="8" spans="1:15" ht="18" x14ac:dyDescent="0.25">
      <c r="A8" s="850" t="s">
        <v>33</v>
      </c>
      <c r="D8" s="816">
        <v>-720000</v>
      </c>
      <c r="E8" s="869"/>
      <c r="F8" s="912"/>
      <c r="G8" s="827"/>
      <c r="H8" s="827"/>
      <c r="I8" s="833"/>
      <c r="J8" s="853"/>
      <c r="K8" s="855"/>
      <c r="L8" s="875"/>
      <c r="M8" s="837"/>
      <c r="N8" s="899"/>
      <c r="O8" s="886"/>
    </row>
    <row r="9" spans="1:15" ht="18" x14ac:dyDescent="0.25">
      <c r="A9" s="846" t="s">
        <v>32</v>
      </c>
      <c r="B9" s="847"/>
      <c r="C9" s="847"/>
      <c r="D9" s="848">
        <f>SUM(D5:D8)</f>
        <v>83000</v>
      </c>
      <c r="E9" s="869"/>
      <c r="F9" s="912" t="s">
        <v>252</v>
      </c>
      <c r="G9" s="827"/>
      <c r="H9" s="827"/>
      <c r="I9" s="833">
        <f>+D9+D15-D20</f>
        <v>112500</v>
      </c>
      <c r="J9" s="853">
        <f>+D5+D12-D18</f>
        <v>36500</v>
      </c>
      <c r="K9" s="853">
        <f>+J9-I9</f>
        <v>-76000</v>
      </c>
      <c r="L9" s="876">
        <f>+M16</f>
        <v>2000</v>
      </c>
      <c r="M9" s="838">
        <f>+'-85-'!M10</f>
        <v>90000</v>
      </c>
      <c r="N9" s="900">
        <f>+K9+M9-L9</f>
        <v>12000</v>
      </c>
      <c r="O9" s="887">
        <f>+N9</f>
        <v>12000</v>
      </c>
    </row>
    <row r="10" spans="1:15" ht="18" x14ac:dyDescent="0.25">
      <c r="A10" s="850"/>
      <c r="E10" s="869"/>
      <c r="F10" s="912"/>
      <c r="G10" s="827"/>
      <c r="H10" s="827"/>
      <c r="I10" s="826"/>
      <c r="J10" s="855"/>
      <c r="K10" s="855"/>
      <c r="L10" s="875"/>
      <c r="M10" s="837"/>
      <c r="N10" s="899"/>
      <c r="O10" s="886"/>
    </row>
    <row r="11" spans="1:15" ht="18" x14ac:dyDescent="0.25">
      <c r="A11" s="854" t="s">
        <v>772</v>
      </c>
      <c r="E11" s="869"/>
      <c r="F11" s="912" t="s">
        <v>771</v>
      </c>
      <c r="G11" s="827"/>
      <c r="H11" s="827"/>
      <c r="I11" s="833">
        <f>-D26</f>
        <v>-38000</v>
      </c>
      <c r="J11" s="853">
        <f>-D23</f>
        <v>-18000</v>
      </c>
      <c r="K11" s="853">
        <f>+J11-I11</f>
        <v>20000</v>
      </c>
      <c r="L11" s="876"/>
      <c r="M11" s="838">
        <f>+'-85-'!M13</f>
        <v>100000</v>
      </c>
      <c r="N11" s="900">
        <f>+K11+M11-L11</f>
        <v>120000</v>
      </c>
      <c r="O11" s="887">
        <f>+N11</f>
        <v>120000</v>
      </c>
    </row>
    <row r="12" spans="1:15" ht="18" x14ac:dyDescent="0.25">
      <c r="A12" s="846" t="s">
        <v>30</v>
      </c>
      <c r="B12" s="847"/>
      <c r="C12" s="847"/>
      <c r="D12" s="848">
        <v>25000</v>
      </c>
      <c r="E12" s="869"/>
      <c r="F12" s="912"/>
      <c r="G12" s="827"/>
      <c r="H12" s="827"/>
      <c r="I12" s="833"/>
      <c r="J12" s="855"/>
      <c r="K12" s="853"/>
      <c r="L12" s="876"/>
      <c r="M12" s="838"/>
      <c r="N12" s="900"/>
      <c r="O12" s="887"/>
    </row>
    <row r="13" spans="1:15" ht="18" x14ac:dyDescent="0.25">
      <c r="A13" s="850" t="s">
        <v>774</v>
      </c>
      <c r="D13" s="816">
        <f>90000</f>
        <v>90000</v>
      </c>
      <c r="E13" s="869"/>
      <c r="F13" s="912"/>
      <c r="G13" s="827"/>
      <c r="H13" s="827"/>
      <c r="I13" s="833"/>
      <c r="J13" s="855"/>
      <c r="K13" s="855"/>
      <c r="L13" s="875"/>
      <c r="M13" s="837"/>
      <c r="N13" s="899"/>
      <c r="O13" s="886"/>
    </row>
    <row r="14" spans="1:15" ht="18" x14ac:dyDescent="0.25">
      <c r="A14" s="850" t="s">
        <v>778</v>
      </c>
      <c r="D14" s="816">
        <v>-80000</v>
      </c>
      <c r="E14" s="869"/>
      <c r="F14" s="912" t="s">
        <v>782</v>
      </c>
      <c r="G14" s="827"/>
      <c r="H14" s="827"/>
      <c r="I14" s="833">
        <f>-D29-D30-D31</f>
        <v>-790000</v>
      </c>
      <c r="J14" s="855"/>
      <c r="K14" s="853">
        <f t="shared" ref="K14:K16" si="0">+J14-I14</f>
        <v>790000</v>
      </c>
      <c r="L14" s="876">
        <f>+'-85-'!L19+'-85-'!L20</f>
        <v>190000</v>
      </c>
      <c r="M14" s="838"/>
      <c r="N14" s="900">
        <f t="shared" ref="N14:N16" si="1">+K14+M14-L14</f>
        <v>600000</v>
      </c>
      <c r="O14" s="887">
        <f>+N14*(1+18%)</f>
        <v>708000</v>
      </c>
    </row>
    <row r="15" spans="1:15" ht="18" x14ac:dyDescent="0.25">
      <c r="A15" s="846" t="s">
        <v>32</v>
      </c>
      <c r="B15" s="847"/>
      <c r="C15" s="847"/>
      <c r="D15" s="848">
        <f>SUM(D12:D14)</f>
        <v>35000</v>
      </c>
      <c r="E15" s="869"/>
      <c r="F15" s="912"/>
      <c r="G15" s="864"/>
      <c r="H15" s="827"/>
      <c r="I15" s="833"/>
      <c r="J15" s="855"/>
      <c r="K15" s="853"/>
      <c r="L15" s="876"/>
      <c r="M15" s="838"/>
      <c r="N15" s="900"/>
      <c r="O15" s="887"/>
    </row>
    <row r="16" spans="1:15" ht="18" x14ac:dyDescent="0.25">
      <c r="A16" s="850"/>
      <c r="E16" s="869"/>
      <c r="F16" s="912" t="s">
        <v>92</v>
      </c>
      <c r="G16" s="864"/>
      <c r="H16" s="827"/>
      <c r="I16" s="833">
        <f>+D19</f>
        <v>2000</v>
      </c>
      <c r="J16" s="855"/>
      <c r="K16" s="853">
        <f t="shared" si="0"/>
        <v>-2000</v>
      </c>
      <c r="L16" s="876"/>
      <c r="M16" s="838">
        <f>-K16</f>
        <v>2000</v>
      </c>
      <c r="N16" s="900">
        <f t="shared" si="1"/>
        <v>0</v>
      </c>
      <c r="O16" s="887">
        <f t="shared" ref="O16" si="2">+N16</f>
        <v>0</v>
      </c>
    </row>
    <row r="17" spans="1:162" ht="18.75" thickBot="1" x14ac:dyDescent="0.3">
      <c r="A17" s="854" t="s">
        <v>744</v>
      </c>
      <c r="E17" s="869"/>
      <c r="F17" s="913"/>
      <c r="G17" s="914"/>
      <c r="H17" s="914"/>
      <c r="I17" s="915"/>
      <c r="J17" s="916"/>
      <c r="K17" s="917"/>
      <c r="L17" s="918"/>
      <c r="M17" s="919"/>
      <c r="N17" s="920"/>
      <c r="O17" s="888"/>
    </row>
    <row r="18" spans="1:162" ht="18" x14ac:dyDescent="0.25">
      <c r="A18" s="846" t="s">
        <v>30</v>
      </c>
      <c r="B18" s="847"/>
      <c r="C18" s="847"/>
      <c r="D18" s="848">
        <v>3500</v>
      </c>
      <c r="E18" s="869"/>
      <c r="F18" s="869"/>
      <c r="G18" s="869"/>
      <c r="H18" s="869"/>
      <c r="I18" s="869"/>
      <c r="J18" s="869"/>
      <c r="K18" s="870"/>
      <c r="L18" s="869"/>
      <c r="M18" s="869"/>
      <c r="N18" s="869"/>
      <c r="O18" s="873">
        <f>SUM(O7:O17)</f>
        <v>840000</v>
      </c>
    </row>
    <row r="19" spans="1:162" ht="18" x14ac:dyDescent="0.25">
      <c r="A19" s="850" t="s">
        <v>745</v>
      </c>
      <c r="D19" s="816">
        <v>2000</v>
      </c>
      <c r="E19" s="869"/>
      <c r="F19" s="869"/>
      <c r="G19" s="869"/>
      <c r="H19" s="869"/>
      <c r="I19" s="869"/>
      <c r="J19" s="869"/>
      <c r="K19" s="870"/>
      <c r="L19" s="869"/>
      <c r="M19" s="869"/>
      <c r="N19" s="869"/>
      <c r="O19" s="869"/>
    </row>
    <row r="20" spans="1:162" ht="18" x14ac:dyDescent="0.25">
      <c r="A20" s="846" t="s">
        <v>32</v>
      </c>
      <c r="B20" s="847"/>
      <c r="C20" s="847"/>
      <c r="D20" s="848">
        <f>SUM(D18:D19)</f>
        <v>5500</v>
      </c>
      <c r="E20" s="869"/>
      <c r="F20" s="869"/>
      <c r="G20" s="869"/>
      <c r="H20" s="869"/>
      <c r="I20" s="869"/>
      <c r="J20" s="869"/>
      <c r="K20" s="870"/>
      <c r="L20" s="869"/>
      <c r="M20" s="869"/>
      <c r="N20" s="869"/>
      <c r="O20" s="869"/>
    </row>
    <row r="21" spans="1:162" ht="18" x14ac:dyDescent="0.25">
      <c r="A21" s="850"/>
      <c r="D21" s="816"/>
      <c r="E21" s="869"/>
      <c r="F21" s="869"/>
      <c r="G21" s="869"/>
      <c r="H21" s="869"/>
      <c r="I21" s="869"/>
      <c r="J21" s="869"/>
      <c r="K21" s="870"/>
      <c r="L21" s="869"/>
      <c r="M21" s="869"/>
      <c r="N21" s="869"/>
      <c r="O21" s="869"/>
    </row>
    <row r="22" spans="1:162" ht="18" x14ac:dyDescent="0.25">
      <c r="A22" s="854" t="s">
        <v>767</v>
      </c>
      <c r="E22" s="869"/>
      <c r="F22" s="869"/>
      <c r="G22" s="869"/>
      <c r="H22" s="869"/>
      <c r="I22" s="869"/>
      <c r="J22" s="869"/>
      <c r="K22" s="870"/>
      <c r="L22" s="869"/>
      <c r="M22" s="869"/>
      <c r="N22" s="869"/>
      <c r="O22" s="869"/>
    </row>
    <row r="23" spans="1:162" ht="18" x14ac:dyDescent="0.25">
      <c r="A23" s="846" t="s">
        <v>30</v>
      </c>
      <c r="B23" s="847"/>
      <c r="C23" s="847"/>
      <c r="D23" s="848">
        <v>18000</v>
      </c>
      <c r="E23" s="869"/>
      <c r="F23" s="869"/>
      <c r="G23" s="869"/>
      <c r="H23" s="869"/>
      <c r="I23" s="869"/>
      <c r="J23" s="869"/>
      <c r="K23" s="870"/>
      <c r="L23" s="869"/>
      <c r="M23" s="869"/>
      <c r="N23" s="869"/>
      <c r="O23" s="869"/>
    </row>
    <row r="24" spans="1:162" ht="18" x14ac:dyDescent="0.25">
      <c r="A24" s="850" t="s">
        <v>769</v>
      </c>
      <c r="D24" s="816">
        <v>120000</v>
      </c>
      <c r="E24" s="869"/>
      <c r="F24" s="869"/>
      <c r="G24" s="869"/>
      <c r="H24" s="869"/>
      <c r="I24" s="869"/>
      <c r="J24" s="869"/>
      <c r="K24" s="870"/>
      <c r="L24" s="869"/>
      <c r="M24" s="869"/>
      <c r="N24" s="869"/>
      <c r="O24" s="869"/>
    </row>
    <row r="25" spans="1:162" ht="18.75" customHeight="1" x14ac:dyDescent="0.25">
      <c r="A25" s="850" t="s">
        <v>770</v>
      </c>
      <c r="D25" s="816">
        <v>-100000</v>
      </c>
      <c r="E25" s="869"/>
      <c r="F25" s="869"/>
      <c r="G25" s="869"/>
      <c r="H25" s="869"/>
      <c r="I25" s="869"/>
      <c r="J25" s="869"/>
      <c r="K25" s="870"/>
      <c r="L25" s="869"/>
      <c r="M25" s="869"/>
      <c r="N25" s="869"/>
      <c r="O25" s="869"/>
    </row>
    <row r="26" spans="1:162" s="815" customFormat="1" ht="18.75" customHeight="1" x14ac:dyDescent="0.25">
      <c r="A26" s="846" t="s">
        <v>32</v>
      </c>
      <c r="B26" s="847"/>
      <c r="C26" s="847"/>
      <c r="D26" s="848">
        <f>SUM(D23:D25)</f>
        <v>38000</v>
      </c>
      <c r="E26" s="869"/>
      <c r="F26" s="871"/>
      <c r="G26" s="871"/>
      <c r="H26" s="871"/>
      <c r="I26" s="871"/>
      <c r="J26" s="871"/>
      <c r="K26" s="872"/>
      <c r="L26" s="869"/>
      <c r="M26" s="869"/>
      <c r="N26" s="869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</row>
    <row r="27" spans="1:162" s="815" customFormat="1" ht="18.75" customHeight="1" x14ac:dyDescent="0.25">
      <c r="A27" s="850"/>
      <c r="E27" s="869"/>
      <c r="F27" s="861"/>
      <c r="G27" s="861"/>
      <c r="H27" s="840"/>
      <c r="I27" s="861"/>
      <c r="J27" s="862"/>
      <c r="K27" s="840"/>
      <c r="L27" s="840"/>
      <c r="M27" s="840"/>
      <c r="N27" s="840"/>
      <c r="O27" s="863">
        <f>+D34-O18</f>
        <v>0</v>
      </c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</row>
    <row r="28" spans="1:162" s="815" customFormat="1" ht="18.75" customHeight="1" x14ac:dyDescent="0.25">
      <c r="A28" s="866" t="s">
        <v>766</v>
      </c>
      <c r="B28" s="847"/>
      <c r="C28" s="847"/>
      <c r="D28" s="848"/>
      <c r="E28" s="869"/>
      <c r="F28" s="861"/>
      <c r="G28" s="861"/>
      <c r="H28" s="840"/>
      <c r="I28" s="861"/>
      <c r="J28" s="862"/>
      <c r="K28" s="840"/>
      <c r="L28" s="840"/>
      <c r="M28" s="840"/>
      <c r="N28" s="840"/>
      <c r="O28" s="840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</row>
    <row r="29" spans="1:162" s="815" customFormat="1" ht="18.75" customHeight="1" x14ac:dyDescent="0.25">
      <c r="A29" s="850" t="s">
        <v>781</v>
      </c>
      <c r="D29" s="816">
        <v>600000</v>
      </c>
      <c r="E29" s="869"/>
      <c r="F29" s="861"/>
      <c r="G29" s="861"/>
      <c r="H29" s="840"/>
      <c r="I29" s="861"/>
      <c r="J29" s="862"/>
      <c r="K29" s="840"/>
      <c r="L29" s="840"/>
      <c r="M29" s="840"/>
      <c r="N29" s="840"/>
      <c r="O29" s="840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</row>
    <row r="30" spans="1:162" s="815" customFormat="1" ht="18.75" customHeight="1" x14ac:dyDescent="0.25">
      <c r="A30" s="850" t="s">
        <v>768</v>
      </c>
      <c r="D30" s="816">
        <f>-D25</f>
        <v>100000</v>
      </c>
      <c r="E30" s="869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</row>
    <row r="31" spans="1:162" s="815" customFormat="1" ht="18.75" customHeight="1" x14ac:dyDescent="0.25">
      <c r="A31" s="850" t="s">
        <v>780</v>
      </c>
      <c r="D31" s="816">
        <f>+D13</f>
        <v>90000</v>
      </c>
      <c r="E31" s="869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</row>
    <row r="32" spans="1:162" s="815" customFormat="1" ht="18.75" customHeight="1" x14ac:dyDescent="0.25">
      <c r="A32" s="846"/>
      <c r="B32" s="847"/>
      <c r="C32" s="847"/>
      <c r="D32" s="848">
        <f>SUM(D29:D31)</f>
        <v>790000</v>
      </c>
      <c r="E32" s="869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</row>
    <row r="33" spans="1:162" s="815" customFormat="1" ht="18.75" customHeight="1" x14ac:dyDescent="0.25">
      <c r="A33" s="850"/>
      <c r="E33" s="869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</row>
    <row r="34" spans="1:162" s="815" customFormat="1" ht="18.75" customHeight="1" x14ac:dyDescent="0.25">
      <c r="A34" s="883" t="s">
        <v>135</v>
      </c>
      <c r="B34" s="884"/>
      <c r="C34" s="884"/>
      <c r="D34" s="885">
        <f>+D24+-D8</f>
        <v>840000</v>
      </c>
      <c r="E34" s="871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</row>
    <row r="35" spans="1:162" s="815" customFormat="1" ht="18.75" customHeight="1" x14ac:dyDescent="0.25">
      <c r="A35" s="860"/>
      <c r="B35" s="861"/>
      <c r="C35" s="861"/>
      <c r="D35" s="861"/>
      <c r="E35" s="861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</row>
    <row r="36" spans="1:162" s="815" customFormat="1" ht="18.75" customHeight="1" x14ac:dyDescent="0.25">
      <c r="E36" s="861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</row>
    <row r="37" spans="1:162" s="815" customFormat="1" ht="18.75" customHeight="1" x14ac:dyDescent="0.25"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</row>
    <row r="38" spans="1:162" s="815" customFormat="1" ht="18.75" customHeight="1" x14ac:dyDescent="0.25"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</row>
    <row r="39" spans="1:162" s="815" customFormat="1" ht="18.75" customHeight="1" x14ac:dyDescent="0.25"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</row>
    <row r="40" spans="1:162" s="815" customFormat="1" ht="18.75" customHeight="1" x14ac:dyDescent="0.25"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</row>
    <row r="41" spans="1:162" s="815" customFormat="1" ht="18.75" customHeight="1" x14ac:dyDescent="0.25"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</row>
    <row r="42" spans="1:162" s="815" customFormat="1" ht="18.75" customHeight="1" x14ac:dyDescent="0.25"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</row>
    <row r="43" spans="1:162" s="815" customFormat="1" ht="18.75" customHeight="1" x14ac:dyDescent="0.25"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</row>
    <row r="44" spans="1:162" s="815" customFormat="1" ht="18.75" customHeight="1" x14ac:dyDescent="0.25"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</row>
    <row r="45" spans="1:162" s="815" customFormat="1" ht="18.75" customHeight="1" x14ac:dyDescent="0.25"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</row>
    <row r="46" spans="1:162" s="815" customFormat="1" ht="18.75" customHeight="1" x14ac:dyDescent="0.25"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</row>
    <row r="47" spans="1:162" s="815" customFormat="1" ht="18.75" customHeight="1" x14ac:dyDescent="0.25"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</row>
    <row r="48" spans="1:162" s="815" customFormat="1" ht="18.75" customHeight="1" x14ac:dyDescent="0.25"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</row>
    <row r="49" spans="30:162" s="815" customFormat="1" ht="18.75" customHeight="1" x14ac:dyDescent="0.25"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</row>
    <row r="50" spans="30:162" s="815" customFormat="1" ht="18.75" customHeight="1" x14ac:dyDescent="0.25"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</row>
    <row r="51" spans="30:162" s="815" customFormat="1" ht="18.75" customHeight="1" x14ac:dyDescent="0.25"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</row>
    <row r="52" spans="30:162" s="815" customFormat="1" ht="18.75" customHeight="1" x14ac:dyDescent="0.25"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</row>
    <row r="53" spans="30:162" s="815" customFormat="1" ht="18.75" customHeight="1" x14ac:dyDescent="0.25"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</row>
    <row r="54" spans="30:162" s="815" customFormat="1" ht="18.75" customHeight="1" x14ac:dyDescent="0.25"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</row>
    <row r="55" spans="30:162" s="815" customFormat="1" ht="18.75" customHeight="1" x14ac:dyDescent="0.25"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</row>
    <row r="56" spans="30:162" s="815" customFormat="1" ht="18.75" customHeight="1" x14ac:dyDescent="0.25"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</row>
    <row r="57" spans="30:162" s="815" customFormat="1" ht="18.75" customHeight="1" x14ac:dyDescent="0.25"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</row>
    <row r="58" spans="30:162" s="815" customFormat="1" ht="18.75" customHeight="1" x14ac:dyDescent="0.25"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</row>
    <row r="59" spans="30:162" s="815" customFormat="1" ht="18.75" customHeight="1" x14ac:dyDescent="0.25"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</row>
    <row r="60" spans="30:162" s="815" customFormat="1" ht="18.75" customHeight="1" x14ac:dyDescent="0.25"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</row>
    <row r="61" spans="30:162" s="815" customFormat="1" ht="18.75" customHeight="1" x14ac:dyDescent="0.25"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</row>
    <row r="62" spans="30:162" s="815" customFormat="1" ht="18.75" customHeight="1" x14ac:dyDescent="0.25"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</row>
    <row r="63" spans="30:162" s="815" customFormat="1" ht="18.75" customHeight="1" x14ac:dyDescent="0.25"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</row>
    <row r="64" spans="30:162" s="815" customFormat="1" ht="18.75" customHeight="1" x14ac:dyDescent="0.25"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</row>
    <row r="65" spans="30:162" s="815" customFormat="1" ht="18.75" customHeight="1" x14ac:dyDescent="0.25"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</row>
    <row r="66" spans="30:162" s="815" customFormat="1" ht="18.75" customHeight="1" x14ac:dyDescent="0.25"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</row>
    <row r="67" spans="30:162" s="815" customFormat="1" ht="18.75" customHeight="1" x14ac:dyDescent="0.25"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</row>
    <row r="68" spans="30:162" s="815" customFormat="1" ht="18.75" customHeight="1" x14ac:dyDescent="0.25"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</row>
    <row r="69" spans="30:162" s="815" customFormat="1" ht="18.75" customHeight="1" x14ac:dyDescent="0.25"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</row>
    <row r="70" spans="30:162" s="815" customFormat="1" ht="18.75" customHeight="1" x14ac:dyDescent="0.25"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</row>
    <row r="71" spans="30:162" s="815" customFormat="1" ht="18.75" customHeight="1" x14ac:dyDescent="0.25"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</row>
    <row r="72" spans="30:162" s="815" customFormat="1" ht="18.75" customHeight="1" x14ac:dyDescent="0.25"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</row>
    <row r="73" spans="30:162" s="815" customFormat="1" ht="18.75" customHeight="1" x14ac:dyDescent="0.25"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</row>
    <row r="74" spans="30:162" s="815" customFormat="1" ht="18.75" customHeight="1" x14ac:dyDescent="0.25"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</row>
    <row r="75" spans="30:162" s="815" customFormat="1" ht="18.75" customHeight="1" x14ac:dyDescent="0.25"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</row>
    <row r="76" spans="30:162" s="815" customFormat="1" ht="18.75" customHeight="1" x14ac:dyDescent="0.25"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</row>
    <row r="77" spans="30:162" s="815" customFormat="1" ht="18.75" customHeight="1" x14ac:dyDescent="0.25"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</row>
    <row r="78" spans="30:162" s="815" customFormat="1" ht="18.75" customHeight="1" x14ac:dyDescent="0.25"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</row>
    <row r="79" spans="30:162" s="815" customFormat="1" ht="18.75" customHeight="1" x14ac:dyDescent="0.25"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</row>
    <row r="80" spans="30:162" s="815" customFormat="1" ht="0" hidden="1" customHeight="1" x14ac:dyDescent="0.25"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</row>
    <row r="81" spans="30:162" s="815" customFormat="1" ht="0" hidden="1" customHeight="1" x14ac:dyDescent="0.25"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</row>
    <row r="82" spans="30:162" s="815" customFormat="1" ht="0" hidden="1" customHeight="1" x14ac:dyDescent="0.25"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</row>
    <row r="83" spans="30:162" s="815" customFormat="1" ht="0" hidden="1" customHeight="1" x14ac:dyDescent="0.25"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</row>
    <row r="84" spans="30:162" s="815" customFormat="1" ht="0" hidden="1" customHeight="1" x14ac:dyDescent="0.25"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</row>
    <row r="85" spans="30:162" s="815" customFormat="1" ht="0" hidden="1" customHeight="1" x14ac:dyDescent="0.25"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</row>
    <row r="86" spans="30:162" s="815" customFormat="1" ht="0" hidden="1" customHeight="1" x14ac:dyDescent="0.25"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</row>
    <row r="87" spans="30:162" s="815" customFormat="1" ht="0" hidden="1" customHeight="1" x14ac:dyDescent="0.25"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</row>
    <row r="88" spans="30:162" s="815" customFormat="1" ht="0" hidden="1" customHeight="1" x14ac:dyDescent="0.25"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</row>
    <row r="89" spans="30:162" s="815" customFormat="1" ht="0" hidden="1" customHeight="1" x14ac:dyDescent="0.25"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</row>
    <row r="90" spans="30:162" s="815" customFormat="1" ht="0" hidden="1" customHeight="1" x14ac:dyDescent="0.25"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</row>
  </sheetData>
  <mergeCells count="1">
    <mergeCell ref="L4:M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4CB81-1A6F-4D8F-BBDB-83A78D013A96}">
  <sheetPr>
    <tabColor rgb="FF7030A0"/>
  </sheetPr>
  <dimension ref="A1:FI41"/>
  <sheetViews>
    <sheetView showGridLines="0" zoomScale="85" zoomScaleNormal="85" workbookViewId="0">
      <selection activeCell="J9" sqref="J9"/>
    </sheetView>
  </sheetViews>
  <sheetFormatPr baseColWidth="10" defaultColWidth="0" defaultRowHeight="0" customHeight="1" zeroHeight="1" x14ac:dyDescent="0.25"/>
  <cols>
    <col min="1" max="2" width="17" style="815" customWidth="1"/>
    <col min="3" max="3" width="16.42578125" style="815" customWidth="1"/>
    <col min="4" max="4" width="15.7109375" style="815" customWidth="1"/>
    <col min="5" max="5" width="2.85546875" style="815" customWidth="1"/>
    <col min="6" max="6" width="21.42578125" style="815" customWidth="1"/>
    <col min="7" max="7" width="12.85546875" style="815" customWidth="1"/>
    <col min="8" max="8" width="5.28515625" style="815" customWidth="1"/>
    <col min="9" max="9" width="15.42578125" style="815" customWidth="1"/>
    <col min="10" max="10" width="15" style="815" bestFit="1" customWidth="1"/>
    <col min="11" max="11" width="13.140625" style="815" bestFit="1" customWidth="1"/>
    <col min="12" max="13" width="11.85546875" style="815" bestFit="1" customWidth="1"/>
    <col min="14" max="14" width="13.140625" style="815" bestFit="1" customWidth="1"/>
    <col min="15" max="15" width="16.5703125" style="815" bestFit="1" customWidth="1"/>
    <col min="16" max="16" width="14.140625" style="815" customWidth="1"/>
    <col min="17" max="17" width="11.85546875" style="815" bestFit="1" customWidth="1"/>
    <col min="18" max="18" width="14.140625" style="815" customWidth="1"/>
    <col min="19" max="19" width="15.7109375" style="815" customWidth="1"/>
    <col min="20" max="165" width="0" hidden="1" customWidth="1"/>
    <col min="166" max="16384" width="11.42578125" hidden="1"/>
  </cols>
  <sheetData>
    <row r="1" spans="1:18" ht="18" x14ac:dyDescent="0.25">
      <c r="A1" s="835" t="s">
        <v>783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  <c r="P1" s="835"/>
      <c r="Q1" s="835"/>
      <c r="R1" s="835"/>
    </row>
    <row r="2" spans="1:18" ht="18" x14ac:dyDescent="0.25">
      <c r="A2" s="840"/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  <c r="P2" s="840"/>
      <c r="Q2" s="840"/>
      <c r="R2" s="840"/>
    </row>
    <row r="3" spans="1:18" ht="18" x14ac:dyDescent="0.25">
      <c r="A3" s="1050"/>
      <c r="B3" s="1014"/>
      <c r="C3" s="1014"/>
      <c r="D3" s="1014"/>
      <c r="E3" s="1014"/>
      <c r="F3" s="1014"/>
      <c r="G3" s="1014"/>
      <c r="H3" s="1014"/>
      <c r="I3" s="1014"/>
      <c r="J3" s="1015"/>
      <c r="K3" s="1016" t="s">
        <v>459</v>
      </c>
      <c r="L3" s="1017" t="s">
        <v>760</v>
      </c>
      <c r="M3" s="1017" t="s">
        <v>761</v>
      </c>
      <c r="N3" s="1016" t="s">
        <v>166</v>
      </c>
      <c r="O3" s="1016" t="s">
        <v>762</v>
      </c>
      <c r="P3" s="1016" t="s">
        <v>762</v>
      </c>
      <c r="Q3" s="1016" t="s">
        <v>762</v>
      </c>
      <c r="R3" s="1016" t="s">
        <v>762</v>
      </c>
    </row>
    <row r="4" spans="1:18" ht="18" x14ac:dyDescent="0.25">
      <c r="A4" s="889" t="s">
        <v>784</v>
      </c>
      <c r="B4" s="890"/>
      <c r="C4" s="890"/>
      <c r="D4" s="903"/>
      <c r="E4" s="891"/>
      <c r="F4" s="930"/>
      <c r="G4" s="893"/>
      <c r="H4" s="894"/>
      <c r="I4" s="930"/>
      <c r="J4" s="894"/>
      <c r="K4" s="895"/>
      <c r="L4" s="1531" t="s">
        <v>757</v>
      </c>
      <c r="M4" s="1531"/>
      <c r="N4" s="951" t="s">
        <v>103</v>
      </c>
      <c r="O4" s="951" t="s">
        <v>798</v>
      </c>
      <c r="P4" s="895" t="s">
        <v>841</v>
      </c>
      <c r="Q4" s="951" t="s">
        <v>22</v>
      </c>
      <c r="R4" s="895" t="s">
        <v>22</v>
      </c>
    </row>
    <row r="5" spans="1:18" ht="18" x14ac:dyDescent="0.25">
      <c r="A5" s="846" t="s">
        <v>30</v>
      </c>
      <c r="B5" s="847"/>
      <c r="C5" s="847"/>
      <c r="D5" s="904">
        <v>1000000</v>
      </c>
      <c r="E5" s="869"/>
      <c r="F5" s="931"/>
      <c r="G5" s="932"/>
      <c r="H5" s="937"/>
      <c r="I5" s="960">
        <v>2020</v>
      </c>
      <c r="J5" s="934">
        <v>2019</v>
      </c>
      <c r="K5" s="934" t="s">
        <v>103</v>
      </c>
      <c r="L5" s="941" t="s">
        <v>156</v>
      </c>
      <c r="M5" s="946" t="s">
        <v>233</v>
      </c>
      <c r="N5" s="952" t="s">
        <v>104</v>
      </c>
      <c r="O5" s="952" t="s">
        <v>799</v>
      </c>
      <c r="P5" s="934" t="s">
        <v>842</v>
      </c>
      <c r="Q5" s="934" t="s">
        <v>337</v>
      </c>
      <c r="R5" s="934" t="s">
        <v>203</v>
      </c>
    </row>
    <row r="6" spans="1:18" ht="18" x14ac:dyDescent="0.25">
      <c r="A6" s="850" t="s">
        <v>785</v>
      </c>
      <c r="D6" s="905">
        <v>100000</v>
      </c>
      <c r="E6" s="869"/>
      <c r="F6" s="938" t="s">
        <v>685</v>
      </c>
      <c r="G6" s="929"/>
      <c r="H6" s="939"/>
      <c r="I6" s="947" t="s">
        <v>3</v>
      </c>
      <c r="J6" s="881" t="s">
        <v>3</v>
      </c>
      <c r="K6" s="881" t="s">
        <v>3</v>
      </c>
      <c r="L6" s="942" t="s">
        <v>3</v>
      </c>
      <c r="M6" s="947" t="s">
        <v>3</v>
      </c>
      <c r="N6" s="942" t="s">
        <v>3</v>
      </c>
      <c r="O6" s="942" t="s">
        <v>3</v>
      </c>
      <c r="P6" s="942" t="s">
        <v>3</v>
      </c>
      <c r="Q6" s="942" t="s">
        <v>3</v>
      </c>
      <c r="R6" s="942" t="s">
        <v>3</v>
      </c>
    </row>
    <row r="7" spans="1:18" ht="18" x14ac:dyDescent="0.25">
      <c r="A7" s="850" t="s">
        <v>786</v>
      </c>
      <c r="D7" s="905">
        <v>120000</v>
      </c>
      <c r="E7" s="869"/>
      <c r="F7" s="912"/>
      <c r="G7" s="827"/>
      <c r="H7" s="855"/>
      <c r="I7" s="958"/>
      <c r="J7" s="853"/>
      <c r="K7" s="855"/>
      <c r="L7" s="943"/>
      <c r="M7" s="948"/>
      <c r="N7" s="953"/>
      <c r="O7" s="988"/>
      <c r="P7" s="921"/>
      <c r="Q7" s="921"/>
      <c r="R7" s="921"/>
    </row>
    <row r="8" spans="1:18" ht="18" x14ac:dyDescent="0.25">
      <c r="A8" s="850" t="s">
        <v>787</v>
      </c>
      <c r="D8" s="905">
        <v>80000</v>
      </c>
      <c r="E8" s="869"/>
      <c r="F8" s="912" t="s">
        <v>789</v>
      </c>
      <c r="G8" s="827"/>
      <c r="H8" s="855"/>
      <c r="I8" s="958">
        <f>+D20</f>
        <v>1150500</v>
      </c>
      <c r="J8" s="853">
        <f>+D19</f>
        <v>600000</v>
      </c>
      <c r="K8" s="853">
        <f>+J8-I8</f>
        <v>-550500</v>
      </c>
      <c r="L8" s="943"/>
      <c r="M8" s="948"/>
      <c r="N8" s="954">
        <f>+K8+M9+M10+M11-L12-L11-L9</f>
        <v>-100000</v>
      </c>
      <c r="O8" s="989">
        <f>+N8</f>
        <v>-100000</v>
      </c>
      <c r="P8" s="922"/>
      <c r="Q8" s="922"/>
      <c r="R8" s="922"/>
    </row>
    <row r="9" spans="1:18" ht="18" x14ac:dyDescent="0.25">
      <c r="A9" s="850" t="s">
        <v>788</v>
      </c>
      <c r="D9" s="905">
        <v>500000</v>
      </c>
      <c r="E9" s="869"/>
      <c r="F9" s="912"/>
      <c r="G9" s="827"/>
      <c r="H9" s="855"/>
      <c r="I9" s="958"/>
      <c r="J9" s="853"/>
      <c r="K9" s="853"/>
      <c r="L9" s="944">
        <f>+M19</f>
        <v>5000</v>
      </c>
      <c r="M9" s="949">
        <f>+D7</f>
        <v>120000</v>
      </c>
      <c r="N9" s="954"/>
      <c r="O9" s="989"/>
      <c r="P9" s="922"/>
      <c r="Q9" s="922"/>
      <c r="R9" s="922"/>
    </row>
    <row r="10" spans="1:18" ht="18" x14ac:dyDescent="0.25">
      <c r="A10" s="850" t="s">
        <v>839</v>
      </c>
      <c r="D10" s="905">
        <v>-80000</v>
      </c>
      <c r="E10" s="869"/>
      <c r="F10" s="912"/>
      <c r="G10" s="827"/>
      <c r="H10" s="855"/>
      <c r="I10" s="958"/>
      <c r="J10" s="853"/>
      <c r="K10" s="853"/>
      <c r="L10" s="943"/>
      <c r="M10" s="949">
        <f>+D8</f>
        <v>80000</v>
      </c>
      <c r="N10" s="954"/>
      <c r="O10" s="989"/>
      <c r="P10" s="922"/>
      <c r="Q10" s="922"/>
      <c r="R10" s="922"/>
    </row>
    <row r="11" spans="1:18" ht="18" x14ac:dyDescent="0.25">
      <c r="A11" s="846" t="s">
        <v>32</v>
      </c>
      <c r="B11" s="847"/>
      <c r="C11" s="847"/>
      <c r="D11" s="904">
        <f>SUM(D5:D10)</f>
        <v>1720000</v>
      </c>
      <c r="E11" s="869"/>
      <c r="F11" s="912"/>
      <c r="G11" s="827"/>
      <c r="H11" s="855"/>
      <c r="I11" s="958"/>
      <c r="J11" s="853"/>
      <c r="K11" s="853"/>
      <c r="L11" s="944">
        <f>+M22</f>
        <v>4500</v>
      </c>
      <c r="M11" s="949">
        <f>+D9</f>
        <v>500000</v>
      </c>
      <c r="N11" s="954"/>
      <c r="O11" s="989"/>
      <c r="P11" s="922"/>
      <c r="Q11" s="922"/>
      <c r="R11" s="922"/>
    </row>
    <row r="12" spans="1:18" ht="18" x14ac:dyDescent="0.25">
      <c r="A12" s="854" t="s">
        <v>790</v>
      </c>
      <c r="D12" s="906"/>
      <c r="E12" s="869"/>
      <c r="F12" s="912"/>
      <c r="G12" s="827"/>
      <c r="H12" s="855"/>
      <c r="I12" s="958"/>
      <c r="J12" s="853"/>
      <c r="K12" s="853"/>
      <c r="L12" s="944">
        <f>+M20</f>
        <v>240000</v>
      </c>
      <c r="M12" s="949"/>
      <c r="N12" s="954"/>
      <c r="O12" s="989"/>
      <c r="P12" s="922"/>
      <c r="Q12" s="922"/>
      <c r="R12" s="922"/>
    </row>
    <row r="13" spans="1:18" ht="18" x14ac:dyDescent="0.25">
      <c r="A13" s="846" t="s">
        <v>30</v>
      </c>
      <c r="B13" s="847"/>
      <c r="C13" s="847"/>
      <c r="D13" s="904">
        <v>400000</v>
      </c>
      <c r="E13" s="869"/>
      <c r="F13" s="912"/>
      <c r="G13" s="827"/>
      <c r="H13" s="855"/>
      <c r="I13" s="958"/>
      <c r="J13" s="853"/>
      <c r="K13" s="853"/>
      <c r="L13" s="944"/>
      <c r="M13" s="949"/>
      <c r="N13" s="954"/>
      <c r="O13" s="989"/>
      <c r="P13" s="922"/>
      <c r="Q13" s="922"/>
      <c r="R13" s="922"/>
    </row>
    <row r="14" spans="1:18" ht="18" x14ac:dyDescent="0.25">
      <c r="A14" s="850" t="s">
        <v>791</v>
      </c>
      <c r="D14" s="905">
        <v>240000</v>
      </c>
      <c r="E14" s="869"/>
      <c r="F14" s="912" t="s">
        <v>797</v>
      </c>
      <c r="G14" s="827"/>
      <c r="H14" s="855"/>
      <c r="I14" s="958">
        <f>+-D26</f>
        <v>-90000</v>
      </c>
      <c r="J14" s="853">
        <f>+D22</f>
        <v>0</v>
      </c>
      <c r="K14" s="853">
        <f>+J14-I14</f>
        <v>90000</v>
      </c>
      <c r="L14" s="944">
        <f>+M9</f>
        <v>120000</v>
      </c>
      <c r="M14" s="948"/>
      <c r="N14" s="954">
        <f>+K14+M14-L14</f>
        <v>-30000</v>
      </c>
      <c r="O14" s="989"/>
      <c r="P14" s="922"/>
      <c r="Q14" s="922">
        <f>+N14</f>
        <v>-30000</v>
      </c>
      <c r="R14" s="922"/>
    </row>
    <row r="15" spans="1:18" ht="18" x14ac:dyDescent="0.25">
      <c r="A15" s="850" t="s">
        <v>839</v>
      </c>
      <c r="D15" s="905">
        <v>-75000</v>
      </c>
      <c r="E15" s="869"/>
      <c r="F15" s="912"/>
      <c r="G15" s="827"/>
      <c r="H15" s="855"/>
      <c r="I15" s="958"/>
      <c r="J15" s="853"/>
      <c r="K15" s="853"/>
      <c r="L15" s="944"/>
      <c r="M15" s="949"/>
      <c r="N15" s="954"/>
      <c r="O15" s="989"/>
      <c r="P15" s="922"/>
      <c r="Q15" s="922"/>
      <c r="R15" s="922"/>
    </row>
    <row r="16" spans="1:18" ht="18" x14ac:dyDescent="0.25">
      <c r="A16" s="846" t="s">
        <v>32</v>
      </c>
      <c r="B16" s="847"/>
      <c r="C16" s="847"/>
      <c r="D16" s="904">
        <f>SUM(D13:D15)</f>
        <v>565000</v>
      </c>
      <c r="E16" s="869"/>
      <c r="F16" s="912" t="s">
        <v>7</v>
      </c>
      <c r="G16" s="827"/>
      <c r="H16" s="855"/>
      <c r="I16" s="958">
        <v>-2080000</v>
      </c>
      <c r="J16" s="853">
        <v>-1900000</v>
      </c>
      <c r="K16" s="853">
        <f t="shared" ref="K16:K21" si="0">+J16-I16</f>
        <v>180000</v>
      </c>
      <c r="L16" s="944">
        <f>+D8</f>
        <v>80000</v>
      </c>
      <c r="M16" s="948"/>
      <c r="N16" s="954">
        <f t="shared" ref="N16:N22" si="1">+K16+M16-L16</f>
        <v>100000</v>
      </c>
      <c r="O16" s="988"/>
      <c r="P16" s="921"/>
      <c r="Q16" s="921"/>
      <c r="R16" s="921"/>
    </row>
    <row r="17" spans="1:152" ht="18" x14ac:dyDescent="0.25">
      <c r="A17" s="854" t="s">
        <v>826</v>
      </c>
      <c r="D17" s="976">
        <v>4500</v>
      </c>
      <c r="E17" s="869"/>
      <c r="F17" s="912" t="s">
        <v>185</v>
      </c>
      <c r="G17" s="827"/>
      <c r="H17" s="855"/>
      <c r="I17" s="958">
        <f>-D9*0.7</f>
        <v>-350000</v>
      </c>
      <c r="J17" s="855">
        <v>0</v>
      </c>
      <c r="K17" s="853">
        <f t="shared" si="0"/>
        <v>350000</v>
      </c>
      <c r="L17" s="944">
        <f>+D9</f>
        <v>500000</v>
      </c>
      <c r="M17" s="949"/>
      <c r="N17" s="954">
        <f t="shared" si="1"/>
        <v>-150000</v>
      </c>
      <c r="O17" s="989"/>
      <c r="P17" s="922"/>
      <c r="Q17" s="922"/>
      <c r="R17" s="922"/>
    </row>
    <row r="18" spans="1:152" ht="18" x14ac:dyDescent="0.25">
      <c r="A18" s="846" t="s">
        <v>460</v>
      </c>
      <c r="B18" s="847"/>
      <c r="C18" s="847"/>
      <c r="D18" s="904"/>
      <c r="E18" s="869"/>
      <c r="F18" s="940"/>
      <c r="G18" s="864"/>
      <c r="H18" s="855"/>
      <c r="I18" s="958"/>
      <c r="J18" s="855"/>
      <c r="K18" s="853"/>
      <c r="L18" s="944"/>
      <c r="M18" s="949"/>
      <c r="N18" s="954"/>
      <c r="O18" s="989"/>
      <c r="P18" s="922"/>
      <c r="Q18" s="922"/>
      <c r="R18" s="922"/>
    </row>
    <row r="19" spans="1:152" ht="18" x14ac:dyDescent="0.25">
      <c r="A19" s="846" t="s">
        <v>792</v>
      </c>
      <c r="B19" s="847"/>
      <c r="C19" s="847"/>
      <c r="D19" s="904">
        <f>+D5-D13</f>
        <v>600000</v>
      </c>
      <c r="E19" s="869"/>
      <c r="F19" s="912" t="s">
        <v>840</v>
      </c>
      <c r="G19" s="864"/>
      <c r="H19" s="855"/>
      <c r="I19" s="958">
        <v>-1000</v>
      </c>
      <c r="J19" s="855"/>
      <c r="K19" s="853">
        <f t="shared" si="0"/>
        <v>1000</v>
      </c>
      <c r="L19" s="944"/>
      <c r="M19" s="949">
        <f>-D10+D15</f>
        <v>5000</v>
      </c>
      <c r="N19" s="954">
        <f t="shared" si="1"/>
        <v>6000</v>
      </c>
      <c r="O19" s="989"/>
      <c r="P19" s="922">
        <f>+N19</f>
        <v>6000</v>
      </c>
      <c r="Q19" s="922"/>
      <c r="R19" s="922"/>
    </row>
    <row r="20" spans="1:152" ht="18" x14ac:dyDescent="0.25">
      <c r="A20" s="846" t="s">
        <v>793</v>
      </c>
      <c r="B20" s="847"/>
      <c r="C20" s="847"/>
      <c r="D20" s="904">
        <f>+D11-D16-D17</f>
        <v>1150500</v>
      </c>
      <c r="E20" s="869"/>
      <c r="F20" s="912" t="s">
        <v>69</v>
      </c>
      <c r="G20" s="864"/>
      <c r="H20" s="855"/>
      <c r="I20" s="958">
        <f>+D14</f>
        <v>240000</v>
      </c>
      <c r="J20" s="855"/>
      <c r="K20" s="853">
        <f t="shared" si="0"/>
        <v>-240000</v>
      </c>
      <c r="L20" s="944"/>
      <c r="M20" s="949">
        <f>+D14</f>
        <v>240000</v>
      </c>
      <c r="N20" s="954">
        <f t="shared" si="1"/>
        <v>0</v>
      </c>
      <c r="O20" s="989"/>
      <c r="P20" s="922"/>
      <c r="Q20" s="922"/>
      <c r="R20" s="922"/>
    </row>
    <row r="21" spans="1:152" ht="18" x14ac:dyDescent="0.25">
      <c r="A21" s="854" t="s">
        <v>794</v>
      </c>
      <c r="D21" s="906"/>
      <c r="E21" s="869"/>
      <c r="F21" s="912" t="s">
        <v>466</v>
      </c>
      <c r="G21" s="864"/>
      <c r="H21" s="855"/>
      <c r="I21" s="958">
        <f>+D24</f>
        <v>4200</v>
      </c>
      <c r="J21" s="855"/>
      <c r="K21" s="853">
        <f t="shared" si="0"/>
        <v>-4200</v>
      </c>
      <c r="L21" s="944"/>
      <c r="M21" s="949"/>
      <c r="N21" s="954">
        <f t="shared" si="1"/>
        <v>-4200</v>
      </c>
      <c r="O21" s="989"/>
      <c r="P21" s="922"/>
      <c r="Q21" s="922"/>
      <c r="R21" s="922">
        <f>+N21</f>
        <v>-4200</v>
      </c>
    </row>
    <row r="22" spans="1:152" ht="18" x14ac:dyDescent="0.25">
      <c r="A22" s="846" t="s">
        <v>30</v>
      </c>
      <c r="B22" s="847"/>
      <c r="C22" s="847"/>
      <c r="D22" s="904">
        <v>0</v>
      </c>
      <c r="E22" s="869"/>
      <c r="F22" s="913" t="s">
        <v>827</v>
      </c>
      <c r="G22" s="914"/>
      <c r="H22" s="916"/>
      <c r="I22" s="959">
        <f>+D17</f>
        <v>4500</v>
      </c>
      <c r="J22" s="916"/>
      <c r="K22" s="917">
        <f>+J22-I22</f>
        <v>-4500</v>
      </c>
      <c r="L22" s="945"/>
      <c r="M22" s="950">
        <f>+D17</f>
        <v>4500</v>
      </c>
      <c r="N22" s="955">
        <f t="shared" si="1"/>
        <v>0</v>
      </c>
      <c r="O22" s="989"/>
      <c r="P22" s="922"/>
      <c r="Q22" s="922"/>
      <c r="R22" s="922"/>
    </row>
    <row r="23" spans="1:152" ht="18" x14ac:dyDescent="0.25">
      <c r="A23" s="850" t="s">
        <v>795</v>
      </c>
      <c r="D23" s="905">
        <f>+D7</f>
        <v>120000</v>
      </c>
      <c r="E23" s="869"/>
      <c r="F23" s="869"/>
      <c r="G23" s="869"/>
      <c r="H23" s="869"/>
      <c r="I23" s="869"/>
      <c r="J23" s="869"/>
      <c r="K23" s="869"/>
      <c r="L23" s="962">
        <f>SUM(L7:L22)</f>
        <v>949500</v>
      </c>
      <c r="M23" s="963">
        <f>SUM(M7:M22)</f>
        <v>949500</v>
      </c>
      <c r="N23" s="870"/>
      <c r="O23" s="961">
        <f>SUM(O7:O22)</f>
        <v>-100000</v>
      </c>
      <c r="P23" s="961">
        <f>SUM(P7:P22)</f>
        <v>6000</v>
      </c>
      <c r="Q23" s="961">
        <f>SUM(Q7:Q22)</f>
        <v>-30000</v>
      </c>
      <c r="R23" s="961">
        <f>SUM(R7:R22)</f>
        <v>-4200</v>
      </c>
    </row>
    <row r="24" spans="1:152" ht="18" x14ac:dyDescent="0.25">
      <c r="A24" s="850" t="s">
        <v>923</v>
      </c>
      <c r="D24" s="905">
        <v>4200</v>
      </c>
      <c r="E24" s="869"/>
      <c r="F24" s="869"/>
      <c r="G24" s="869"/>
      <c r="H24" s="869"/>
      <c r="I24" s="869"/>
      <c r="J24" s="869"/>
      <c r="K24" s="869"/>
      <c r="L24" s="869"/>
      <c r="M24" s="869"/>
      <c r="N24" s="869"/>
    </row>
    <row r="25" spans="1:152" ht="18" x14ac:dyDescent="0.25">
      <c r="A25" s="850" t="s">
        <v>796</v>
      </c>
      <c r="D25" s="905">
        <v>-34200</v>
      </c>
      <c r="E25" s="869"/>
      <c r="F25" s="869"/>
      <c r="G25" s="869"/>
      <c r="H25" s="869"/>
      <c r="I25" s="869"/>
      <c r="J25" s="869"/>
      <c r="K25" s="869"/>
      <c r="L25" s="869"/>
      <c r="M25" s="869"/>
      <c r="N25" s="869"/>
    </row>
    <row r="26" spans="1:152" ht="18.75" customHeight="1" x14ac:dyDescent="0.25">
      <c r="A26" s="846" t="s">
        <v>32</v>
      </c>
      <c r="B26" s="847"/>
      <c r="C26" s="847"/>
      <c r="D26" s="904">
        <f>SUM(D22:D25)</f>
        <v>90000</v>
      </c>
      <c r="E26" s="869"/>
      <c r="F26" s="869"/>
      <c r="G26" s="869"/>
      <c r="H26" s="869"/>
      <c r="I26" s="869"/>
      <c r="J26" s="869"/>
      <c r="K26" s="869"/>
      <c r="L26" s="869"/>
      <c r="M26" s="869"/>
      <c r="N26" s="869"/>
    </row>
    <row r="27" spans="1:152" s="815" customFormat="1" ht="18.75" customHeight="1" x14ac:dyDescent="0.25">
      <c r="A27" s="883" t="s">
        <v>280</v>
      </c>
      <c r="B27" s="884"/>
      <c r="C27" s="884"/>
      <c r="D27" s="907">
        <f>+D6</f>
        <v>100000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</row>
    <row r="28" spans="1:152" s="815" customFormat="1" ht="18.75" customHeight="1" x14ac:dyDescent="0.25">
      <c r="F28" s="816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</row>
    <row r="29" spans="1:152" s="815" customFormat="1" ht="18.75" customHeight="1" x14ac:dyDescent="0.25"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</row>
    <row r="30" spans="1:152" s="815" customFormat="1" ht="18.75" customHeight="1" x14ac:dyDescent="0.25"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</row>
    <row r="31" spans="1:152" s="815" customFormat="1" ht="0" hidden="1" customHeight="1" x14ac:dyDescent="0.25"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</row>
    <row r="32" spans="1:152" s="815" customFormat="1" ht="0" hidden="1" customHeight="1" x14ac:dyDescent="0.25"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</row>
    <row r="33" spans="20:152" s="815" customFormat="1" ht="0" hidden="1" customHeight="1" x14ac:dyDescent="0.25"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</row>
    <row r="34" spans="20:152" s="815" customFormat="1" ht="0" hidden="1" customHeight="1" x14ac:dyDescent="0.25"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</row>
    <row r="35" spans="20:152" s="815" customFormat="1" ht="0" hidden="1" customHeight="1" x14ac:dyDescent="0.25"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</row>
    <row r="36" spans="20:152" s="815" customFormat="1" ht="0" hidden="1" customHeight="1" x14ac:dyDescent="0.25"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</row>
    <row r="37" spans="20:152" s="815" customFormat="1" ht="0" hidden="1" customHeight="1" x14ac:dyDescent="0.25"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</row>
    <row r="38" spans="20:152" s="815" customFormat="1" ht="0" hidden="1" customHeight="1" x14ac:dyDescent="0.25"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</row>
    <row r="39" spans="20:152" s="815" customFormat="1" ht="0" hidden="1" customHeight="1" x14ac:dyDescent="0.25"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</row>
    <row r="40" spans="20:152" s="815" customFormat="1" ht="0" hidden="1" customHeight="1" x14ac:dyDescent="0.25"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</row>
    <row r="41" spans="20:152" s="815" customFormat="1" ht="0" hidden="1" customHeight="1" x14ac:dyDescent="0.25"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</row>
  </sheetData>
  <mergeCells count="1">
    <mergeCell ref="L4:M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88E4-D41B-4159-9464-A2BE6A173A9E}">
  <sheetPr>
    <tabColor rgb="FF7030A0"/>
  </sheetPr>
  <dimension ref="A1:FF49"/>
  <sheetViews>
    <sheetView showGridLines="0" zoomScale="70" zoomScaleNormal="70" workbookViewId="0">
      <selection activeCell="J9" sqref="J9"/>
    </sheetView>
  </sheetViews>
  <sheetFormatPr baseColWidth="10" defaultColWidth="0" defaultRowHeight="0" customHeight="1" zeroHeight="1" x14ac:dyDescent="0.25"/>
  <cols>
    <col min="1" max="1" width="19.5703125" style="815" customWidth="1"/>
    <col min="2" max="2" width="22.7109375" style="815" customWidth="1"/>
    <col min="3" max="3" width="16.42578125" style="815" customWidth="1"/>
    <col min="4" max="4" width="15.7109375" style="815" customWidth="1"/>
    <col min="5" max="5" width="2.85546875" style="815" customWidth="1"/>
    <col min="6" max="7" width="15.7109375" style="815" customWidth="1"/>
    <col min="8" max="8" width="6.140625" style="815" customWidth="1"/>
    <col min="9" max="9" width="14.7109375" style="815" customWidth="1"/>
    <col min="10" max="10" width="14.140625" style="815" customWidth="1"/>
    <col min="11" max="13" width="13.85546875" style="815" customWidth="1"/>
    <col min="14" max="14" width="14.140625" style="815" customWidth="1"/>
    <col min="15" max="15" width="15.140625" style="815" customWidth="1"/>
    <col min="16" max="16" width="15.42578125" style="815" customWidth="1"/>
    <col min="17" max="18" width="15.7109375" style="815" customWidth="1"/>
    <col min="19" max="162" width="0" hidden="1" customWidth="1"/>
    <col min="163" max="16384" width="11.42578125" hidden="1"/>
  </cols>
  <sheetData>
    <row r="1" spans="1:16" ht="18" x14ac:dyDescent="0.25">
      <c r="A1" s="835" t="s">
        <v>800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  <c r="P1" s="835"/>
    </row>
    <row r="2" spans="1:16" ht="18" x14ac:dyDescent="0.25">
      <c r="A2" s="840"/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  <c r="P2" s="840"/>
    </row>
    <row r="3" spans="1:16" ht="18" x14ac:dyDescent="0.25">
      <c r="A3" s="878" t="s">
        <v>812</v>
      </c>
      <c r="B3" s="844"/>
      <c r="C3" s="844"/>
      <c r="D3" s="844"/>
      <c r="E3" s="844"/>
      <c r="F3" s="844"/>
      <c r="G3" s="844"/>
      <c r="H3" s="844"/>
      <c r="I3" s="844"/>
      <c r="J3" s="845"/>
      <c r="K3" s="879" t="s">
        <v>459</v>
      </c>
      <c r="L3" s="902" t="s">
        <v>760</v>
      </c>
      <c r="M3" s="902" t="s">
        <v>761</v>
      </c>
      <c r="N3" s="879" t="s">
        <v>166</v>
      </c>
      <c r="O3" s="879" t="s">
        <v>762</v>
      </c>
      <c r="P3" s="879" t="s">
        <v>762</v>
      </c>
    </row>
    <row r="4" spans="1:16" ht="18" x14ac:dyDescent="0.25">
      <c r="A4" s="889" t="s">
        <v>784</v>
      </c>
      <c r="B4" s="890"/>
      <c r="C4" s="890"/>
      <c r="D4" s="903"/>
      <c r="E4" s="891"/>
      <c r="F4" s="930"/>
      <c r="G4" s="893"/>
      <c r="H4" s="894"/>
      <c r="I4" s="930"/>
      <c r="J4" s="894"/>
      <c r="K4" s="895"/>
      <c r="L4" s="1531" t="s">
        <v>757</v>
      </c>
      <c r="M4" s="1531"/>
      <c r="N4" s="951" t="s">
        <v>103</v>
      </c>
      <c r="O4" s="895" t="s">
        <v>798</v>
      </c>
      <c r="P4" s="895" t="s">
        <v>380</v>
      </c>
    </row>
    <row r="5" spans="1:16" ht="18" x14ac:dyDescent="0.25">
      <c r="A5" s="846" t="s">
        <v>30</v>
      </c>
      <c r="B5" s="847"/>
      <c r="C5" s="847"/>
      <c r="D5" s="904">
        <v>600000</v>
      </c>
      <c r="E5" s="869"/>
      <c r="F5" s="931"/>
      <c r="G5" s="932"/>
      <c r="H5" s="937"/>
      <c r="I5" s="960">
        <v>2020</v>
      </c>
      <c r="J5" s="934">
        <v>2019</v>
      </c>
      <c r="K5" s="934" t="s">
        <v>103</v>
      </c>
      <c r="L5" s="941" t="s">
        <v>156</v>
      </c>
      <c r="M5" s="946" t="s">
        <v>233</v>
      </c>
      <c r="N5" s="952" t="s">
        <v>104</v>
      </c>
      <c r="O5" s="934" t="s">
        <v>806</v>
      </c>
      <c r="P5" s="934" t="s">
        <v>807</v>
      </c>
    </row>
    <row r="6" spans="1:16" ht="18" x14ac:dyDescent="0.25">
      <c r="A6" s="850" t="s">
        <v>801</v>
      </c>
      <c r="D6" s="905">
        <v>170000</v>
      </c>
      <c r="E6" s="869"/>
      <c r="F6" s="938" t="s">
        <v>685</v>
      </c>
      <c r="G6" s="929"/>
      <c r="H6" s="939"/>
      <c r="I6" s="947" t="s">
        <v>3</v>
      </c>
      <c r="J6" s="881" t="s">
        <v>3</v>
      </c>
      <c r="K6" s="881" t="s">
        <v>3</v>
      </c>
      <c r="L6" s="942" t="s">
        <v>3</v>
      </c>
      <c r="M6" s="947" t="s">
        <v>3</v>
      </c>
      <c r="N6" s="942" t="s">
        <v>3</v>
      </c>
      <c r="O6" s="881" t="s">
        <v>3</v>
      </c>
      <c r="P6" s="881" t="s">
        <v>3</v>
      </c>
    </row>
    <row r="7" spans="1:16" ht="18" x14ac:dyDescent="0.25">
      <c r="A7" s="846" t="s">
        <v>32</v>
      </c>
      <c r="B7" s="847"/>
      <c r="C7" s="847"/>
      <c r="D7" s="904">
        <f>SUM(D5:D6)</f>
        <v>770000</v>
      </c>
      <c r="E7" s="869"/>
      <c r="F7" s="912"/>
      <c r="G7" s="827"/>
      <c r="H7" s="855"/>
      <c r="I7" s="958"/>
      <c r="J7" s="853"/>
      <c r="K7" s="855"/>
      <c r="L7" s="943"/>
      <c r="M7" s="948"/>
      <c r="N7" s="953"/>
      <c r="O7" s="921"/>
      <c r="P7" s="921"/>
    </row>
    <row r="8" spans="1:16" ht="18" x14ac:dyDescent="0.25">
      <c r="A8" s="850"/>
      <c r="D8" s="906"/>
      <c r="E8" s="869"/>
      <c r="F8" s="912" t="s">
        <v>804</v>
      </c>
      <c r="G8" s="827"/>
      <c r="H8" s="855"/>
      <c r="I8" s="958">
        <f>+D7+D13</f>
        <v>1083000</v>
      </c>
      <c r="J8" s="853">
        <f>+D5+D10</f>
        <v>820000</v>
      </c>
      <c r="K8" s="853">
        <f>+J8-I8</f>
        <v>-263000</v>
      </c>
      <c r="L8" s="943"/>
      <c r="M8" s="949">
        <f>+L11</f>
        <v>135000</v>
      </c>
      <c r="N8" s="954">
        <f>+K8+M8-L8</f>
        <v>-128000</v>
      </c>
      <c r="O8" s="922">
        <f>-D6</f>
        <v>-170000</v>
      </c>
      <c r="P8" s="922">
        <f>+-D12</f>
        <v>42000</v>
      </c>
    </row>
    <row r="9" spans="1:16" ht="18" x14ac:dyDescent="0.25">
      <c r="A9" s="854" t="s">
        <v>802</v>
      </c>
      <c r="D9" s="906"/>
      <c r="E9" s="869"/>
      <c r="F9" s="912"/>
      <c r="G9" s="827"/>
      <c r="H9" s="855"/>
      <c r="I9" s="958"/>
      <c r="J9" s="853"/>
      <c r="K9" s="853"/>
      <c r="L9" s="944"/>
      <c r="M9" s="949"/>
      <c r="N9" s="954"/>
      <c r="O9" s="922"/>
      <c r="P9" s="922"/>
    </row>
    <row r="10" spans="1:16" ht="18" x14ac:dyDescent="0.25">
      <c r="A10" s="846" t="s">
        <v>30</v>
      </c>
      <c r="B10" s="847"/>
      <c r="C10" s="847"/>
      <c r="D10" s="904">
        <v>220000</v>
      </c>
      <c r="E10" s="869"/>
      <c r="F10" s="912"/>
      <c r="G10" s="827"/>
      <c r="H10" s="855"/>
      <c r="I10" s="958"/>
      <c r="J10" s="853"/>
      <c r="K10" s="853"/>
      <c r="L10" s="944"/>
      <c r="M10" s="949"/>
      <c r="N10" s="954"/>
      <c r="O10" s="922"/>
      <c r="P10" s="922"/>
    </row>
    <row r="11" spans="1:16" ht="18" x14ac:dyDescent="0.25">
      <c r="A11" s="850" t="s">
        <v>805</v>
      </c>
      <c r="D11" s="905">
        <v>135000</v>
      </c>
      <c r="E11" s="869"/>
      <c r="F11" s="912" t="s">
        <v>813</v>
      </c>
      <c r="G11" s="827"/>
      <c r="H11" s="855"/>
      <c r="I11" s="958">
        <f>-D11</f>
        <v>-135000</v>
      </c>
      <c r="J11" s="853"/>
      <c r="K11" s="853">
        <f>+J11-I11</f>
        <v>135000</v>
      </c>
      <c r="L11" s="944">
        <f>+K11</f>
        <v>135000</v>
      </c>
      <c r="M11" s="948"/>
      <c r="N11" s="954"/>
      <c r="O11" s="922"/>
      <c r="P11" s="922"/>
    </row>
    <row r="12" spans="1:16" ht="18" x14ac:dyDescent="0.25">
      <c r="A12" s="850" t="s">
        <v>803</v>
      </c>
      <c r="D12" s="905">
        <v>-42000</v>
      </c>
      <c r="E12" s="869"/>
      <c r="F12" s="912" t="s">
        <v>810</v>
      </c>
      <c r="G12" s="864"/>
      <c r="H12" s="855"/>
      <c r="I12" s="958"/>
      <c r="J12" s="855"/>
      <c r="K12" s="853"/>
      <c r="L12" s="944"/>
      <c r="M12" s="949"/>
      <c r="N12" s="954"/>
      <c r="O12" s="922"/>
      <c r="P12" s="922"/>
    </row>
    <row r="13" spans="1:16" ht="18" x14ac:dyDescent="0.25">
      <c r="A13" s="846" t="s">
        <v>32</v>
      </c>
      <c r="B13" s="847"/>
      <c r="C13" s="847"/>
      <c r="D13" s="904">
        <f>SUM(D10:D12)</f>
        <v>313000</v>
      </c>
      <c r="E13" s="869"/>
      <c r="F13" s="913"/>
      <c r="G13" s="914"/>
      <c r="H13" s="916"/>
      <c r="I13" s="913"/>
      <c r="J13" s="916"/>
      <c r="K13" s="917"/>
      <c r="L13" s="945"/>
      <c r="M13" s="950"/>
      <c r="N13" s="955"/>
      <c r="O13" s="922"/>
      <c r="P13" s="922"/>
    </row>
    <row r="14" spans="1:16" ht="18" x14ac:dyDescent="0.25">
      <c r="A14" s="846" t="s">
        <v>808</v>
      </c>
      <c r="B14" s="847"/>
      <c r="C14" s="847"/>
      <c r="D14" s="904"/>
      <c r="E14" s="869"/>
      <c r="F14" s="869"/>
      <c r="G14" s="869"/>
      <c r="H14" s="869"/>
      <c r="I14" s="869"/>
      <c r="J14" s="869"/>
      <c r="K14" s="869"/>
      <c r="L14" s="962">
        <f>SUM(L7:L13)</f>
        <v>135000</v>
      </c>
      <c r="M14" s="963">
        <f>SUM(M7:M13)</f>
        <v>135000</v>
      </c>
      <c r="N14" s="870"/>
      <c r="O14" s="961">
        <f>SUM(O7:O13)</f>
        <v>-170000</v>
      </c>
      <c r="P14" s="961">
        <f>SUM(P7:P13)</f>
        <v>42000</v>
      </c>
    </row>
    <row r="15" spans="1:16" ht="18" x14ac:dyDescent="0.25">
      <c r="A15" s="850" t="s">
        <v>809</v>
      </c>
      <c r="D15" s="905">
        <f>-D6</f>
        <v>-170000</v>
      </c>
      <c r="E15" s="869"/>
      <c r="F15" s="869"/>
      <c r="G15" s="869"/>
      <c r="H15" s="869"/>
      <c r="I15" s="869"/>
      <c r="J15" s="869"/>
      <c r="K15" s="869"/>
      <c r="L15" s="869"/>
      <c r="M15" s="869"/>
      <c r="N15" s="869"/>
      <c r="P15" s="906"/>
    </row>
    <row r="16" spans="1:16" ht="18" x14ac:dyDescent="0.25">
      <c r="A16" s="964" t="s">
        <v>219</v>
      </c>
      <c r="B16" s="965"/>
      <c r="C16" s="965"/>
      <c r="D16" s="966">
        <f>+-D12</f>
        <v>42000</v>
      </c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965"/>
      <c r="P16" s="925"/>
    </row>
    <row r="17" spans="1:151" ht="18" x14ac:dyDescent="0.25">
      <c r="A17" s="869"/>
      <c r="B17" s="869"/>
      <c r="C17" s="869"/>
      <c r="D17" s="869"/>
      <c r="E17" s="869"/>
      <c r="F17" s="869"/>
      <c r="G17" s="869"/>
      <c r="H17" s="869"/>
      <c r="I17" s="869"/>
      <c r="J17" s="869"/>
      <c r="K17" s="869"/>
      <c r="L17" s="869"/>
      <c r="M17" s="869"/>
      <c r="N17" s="869"/>
    </row>
    <row r="18" spans="1:151" ht="18" x14ac:dyDescent="0.25">
      <c r="A18" s="889" t="s">
        <v>784</v>
      </c>
      <c r="B18" s="890"/>
      <c r="C18" s="890"/>
      <c r="D18" s="903"/>
      <c r="E18" s="869"/>
      <c r="F18" s="869"/>
      <c r="G18" s="869"/>
      <c r="H18" s="869"/>
      <c r="I18" s="869"/>
      <c r="J18" s="869"/>
      <c r="K18" s="869"/>
      <c r="L18" s="869"/>
      <c r="M18" s="869"/>
      <c r="N18" s="869"/>
    </row>
    <row r="19" spans="1:151" ht="18" x14ac:dyDescent="0.25">
      <c r="A19" s="846" t="s">
        <v>30</v>
      </c>
      <c r="B19" s="847"/>
      <c r="C19" s="847"/>
      <c r="D19" s="904">
        <f>+D5+D10</f>
        <v>820000</v>
      </c>
      <c r="E19" s="869"/>
      <c r="F19" s="869"/>
      <c r="G19" s="869"/>
      <c r="H19" s="869"/>
      <c r="I19" s="869"/>
      <c r="J19" s="869"/>
      <c r="K19" s="869"/>
      <c r="L19" s="869"/>
      <c r="M19" s="869"/>
      <c r="N19" s="869"/>
    </row>
    <row r="20" spans="1:151" ht="18.75" customHeight="1" x14ac:dyDescent="0.25">
      <c r="A20" s="850" t="s">
        <v>801</v>
      </c>
      <c r="D20" s="905">
        <f>+D6</f>
        <v>170000</v>
      </c>
      <c r="E20" s="869"/>
      <c r="F20" s="869"/>
      <c r="G20" s="869"/>
      <c r="H20" s="869"/>
      <c r="I20" s="869"/>
      <c r="J20" s="869"/>
      <c r="K20" s="869"/>
      <c r="L20" s="869"/>
      <c r="M20" s="869"/>
      <c r="N20" s="869"/>
    </row>
    <row r="21" spans="1:151" ht="18.75" customHeight="1" x14ac:dyDescent="0.25">
      <c r="A21" s="850" t="s">
        <v>805</v>
      </c>
      <c r="D21" s="905">
        <f>+D11</f>
        <v>135000</v>
      </c>
      <c r="E21" s="869"/>
      <c r="F21" s="869"/>
      <c r="G21" s="869"/>
      <c r="H21" s="869"/>
      <c r="I21" s="869"/>
      <c r="J21" s="869"/>
      <c r="K21" s="869"/>
      <c r="L21" s="869"/>
      <c r="M21" s="869"/>
      <c r="N21" s="869"/>
    </row>
    <row r="22" spans="1:151" ht="18.75" customHeight="1" x14ac:dyDescent="0.25">
      <c r="A22" s="850" t="s">
        <v>803</v>
      </c>
      <c r="D22" s="905">
        <f>+D12</f>
        <v>-42000</v>
      </c>
      <c r="E22" s="869"/>
      <c r="F22" s="869"/>
      <c r="G22" s="869"/>
      <c r="H22" s="869"/>
      <c r="I22" s="869"/>
      <c r="J22" s="869"/>
      <c r="K22" s="869"/>
      <c r="L22" s="869"/>
      <c r="M22" s="869"/>
      <c r="N22" s="869"/>
    </row>
    <row r="23" spans="1:151" s="815" customFormat="1" ht="18.75" customHeight="1" x14ac:dyDescent="0.25">
      <c r="A23" s="883" t="s">
        <v>32</v>
      </c>
      <c r="B23" s="884"/>
      <c r="C23" s="884"/>
      <c r="D23" s="907">
        <f>SUM(D19:D22)</f>
        <v>1083000</v>
      </c>
      <c r="E23" s="869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</row>
    <row r="24" spans="1:151" s="815" customFormat="1" ht="18.75" customHeight="1" x14ac:dyDescent="0.25">
      <c r="E24" s="869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</row>
    <row r="25" spans="1:151" s="815" customFormat="1" ht="18.75" customHeight="1" x14ac:dyDescent="0.25">
      <c r="A25" s="878" t="s">
        <v>811</v>
      </c>
      <c r="B25" s="844"/>
      <c r="C25" s="844"/>
      <c r="D25" s="844"/>
      <c r="E25" s="844"/>
      <c r="F25" s="844"/>
      <c r="G25" s="844"/>
      <c r="H25" s="844"/>
      <c r="I25" s="844"/>
      <c r="J25" s="845"/>
      <c r="K25" s="879" t="s">
        <v>459</v>
      </c>
      <c r="L25" s="902" t="s">
        <v>760</v>
      </c>
      <c r="M25" s="902" t="s">
        <v>761</v>
      </c>
      <c r="N25" s="879" t="s">
        <v>166</v>
      </c>
      <c r="O25" s="879" t="s">
        <v>762</v>
      </c>
      <c r="P25" s="879" t="s">
        <v>762</v>
      </c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</row>
    <row r="26" spans="1:151" s="815" customFormat="1" ht="18.75" customHeight="1" x14ac:dyDescent="0.25">
      <c r="A26" s="889" t="s">
        <v>784</v>
      </c>
      <c r="B26" s="890"/>
      <c r="C26" s="890"/>
      <c r="D26" s="903"/>
      <c r="E26" s="891"/>
      <c r="F26" s="930"/>
      <c r="G26" s="893"/>
      <c r="H26" s="894"/>
      <c r="I26" s="930"/>
      <c r="J26" s="894"/>
      <c r="K26" s="895"/>
      <c r="L26" s="1531" t="s">
        <v>757</v>
      </c>
      <c r="M26" s="1531"/>
      <c r="N26" s="951" t="s">
        <v>103</v>
      </c>
      <c r="O26" s="895" t="s">
        <v>798</v>
      </c>
      <c r="P26" s="895" t="s">
        <v>380</v>
      </c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</row>
    <row r="27" spans="1:151" s="815" customFormat="1" ht="18.75" customHeight="1" x14ac:dyDescent="0.25">
      <c r="A27" s="846" t="s">
        <v>30</v>
      </c>
      <c r="B27" s="847"/>
      <c r="C27" s="847"/>
      <c r="D27" s="904">
        <v>600000</v>
      </c>
      <c r="E27" s="869"/>
      <c r="F27" s="931"/>
      <c r="G27" s="932"/>
      <c r="H27" s="937"/>
      <c r="I27" s="960">
        <v>2020</v>
      </c>
      <c r="J27" s="934">
        <v>2019</v>
      </c>
      <c r="K27" s="934" t="s">
        <v>103</v>
      </c>
      <c r="L27" s="941" t="s">
        <v>156</v>
      </c>
      <c r="M27" s="946" t="s">
        <v>233</v>
      </c>
      <c r="N27" s="952" t="s">
        <v>104</v>
      </c>
      <c r="O27" s="934" t="s">
        <v>806</v>
      </c>
      <c r="P27" s="934" t="s">
        <v>807</v>
      </c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</row>
    <row r="28" spans="1:151" s="815" customFormat="1" ht="18.75" customHeight="1" x14ac:dyDescent="0.25">
      <c r="A28" s="850" t="s">
        <v>801</v>
      </c>
      <c r="D28" s="905">
        <v>170000</v>
      </c>
      <c r="E28" s="869"/>
      <c r="F28" s="938" t="s">
        <v>685</v>
      </c>
      <c r="G28" s="929"/>
      <c r="H28" s="939"/>
      <c r="I28" s="947" t="s">
        <v>3</v>
      </c>
      <c r="J28" s="881" t="s">
        <v>3</v>
      </c>
      <c r="K28" s="881" t="s">
        <v>3</v>
      </c>
      <c r="L28" s="942" t="s">
        <v>3</v>
      </c>
      <c r="M28" s="947" t="s">
        <v>3</v>
      </c>
      <c r="N28" s="942" t="s">
        <v>3</v>
      </c>
      <c r="O28" s="881" t="s">
        <v>3</v>
      </c>
      <c r="P28" s="881" t="s">
        <v>3</v>
      </c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</row>
    <row r="29" spans="1:151" s="815" customFormat="1" ht="18.75" customHeight="1" x14ac:dyDescent="0.25">
      <c r="A29" s="846" t="s">
        <v>32</v>
      </c>
      <c r="B29" s="847"/>
      <c r="C29" s="847"/>
      <c r="D29" s="904">
        <f>SUM(D27:D28)</f>
        <v>770000</v>
      </c>
      <c r="E29" s="869"/>
      <c r="F29" s="912"/>
      <c r="G29" s="827"/>
      <c r="H29" s="855"/>
      <c r="I29" s="958"/>
      <c r="J29" s="853"/>
      <c r="K29" s="855"/>
      <c r="L29" s="943"/>
      <c r="M29" s="948"/>
      <c r="N29" s="953"/>
      <c r="O29" s="921"/>
      <c r="P29" s="921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</row>
    <row r="30" spans="1:151" s="815" customFormat="1" ht="18.75" customHeight="1" x14ac:dyDescent="0.25">
      <c r="A30" s="850"/>
      <c r="D30" s="906"/>
      <c r="E30" s="869"/>
      <c r="F30" s="912" t="s">
        <v>804</v>
      </c>
      <c r="G30" s="827"/>
      <c r="H30" s="855"/>
      <c r="I30" s="958">
        <f>+D29+D34</f>
        <v>770000</v>
      </c>
      <c r="J30" s="853">
        <f>+D27+D32</f>
        <v>600000</v>
      </c>
      <c r="K30" s="853">
        <f>+J30-I30</f>
        <v>-170000</v>
      </c>
      <c r="L30" s="943"/>
      <c r="M30" s="949"/>
      <c r="N30" s="954">
        <f>+K30+M30-L30</f>
        <v>-170000</v>
      </c>
      <c r="O30" s="922">
        <f>-D28</f>
        <v>-170000</v>
      </c>
      <c r="P30" s="921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</row>
    <row r="31" spans="1:151" s="815" customFormat="1" ht="18.75" customHeight="1" x14ac:dyDescent="0.25">
      <c r="A31" s="850" t="s">
        <v>415</v>
      </c>
      <c r="D31" s="905">
        <f>+D16</f>
        <v>42000</v>
      </c>
      <c r="E31" s="869"/>
      <c r="F31" s="912"/>
      <c r="G31" s="827"/>
      <c r="H31" s="855"/>
      <c r="I31" s="958"/>
      <c r="J31" s="853"/>
      <c r="K31" s="853"/>
      <c r="L31" s="944"/>
      <c r="M31" s="949"/>
      <c r="N31" s="954"/>
      <c r="O31" s="922"/>
      <c r="P31" s="922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</row>
    <row r="32" spans="1:151" s="815" customFormat="1" ht="18.75" customHeight="1" x14ac:dyDescent="0.25">
      <c r="A32" s="850"/>
      <c r="D32" s="906"/>
      <c r="E32" s="869"/>
      <c r="F32" s="912"/>
      <c r="G32" s="827"/>
      <c r="H32" s="855"/>
      <c r="I32" s="958"/>
      <c r="J32" s="853"/>
      <c r="K32" s="853"/>
      <c r="L32" s="944"/>
      <c r="M32" s="949"/>
      <c r="N32" s="954"/>
      <c r="O32" s="922"/>
      <c r="P32" s="92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</row>
    <row r="33" spans="1:151" s="815" customFormat="1" ht="18.75" customHeight="1" x14ac:dyDescent="0.25">
      <c r="A33" s="850"/>
      <c r="D33" s="906"/>
      <c r="E33" s="869"/>
      <c r="F33" s="912" t="s">
        <v>814</v>
      </c>
      <c r="G33" s="827"/>
      <c r="H33" s="855"/>
      <c r="I33" s="958">
        <f>-D31</f>
        <v>-42000</v>
      </c>
      <c r="J33" s="853"/>
      <c r="K33" s="853">
        <f>+J33-I33</f>
        <v>42000</v>
      </c>
      <c r="L33" s="944"/>
      <c r="M33" s="948"/>
      <c r="N33" s="954">
        <f>+K33+M33-L33</f>
        <v>42000</v>
      </c>
      <c r="O33" s="922"/>
      <c r="P33" s="922">
        <f>+N33</f>
        <v>42000</v>
      </c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</row>
    <row r="34" spans="1:151" s="815" customFormat="1" ht="18.75" customHeight="1" x14ac:dyDescent="0.25">
      <c r="A34" s="964"/>
      <c r="B34" s="965"/>
      <c r="C34" s="965"/>
      <c r="D34" s="925"/>
      <c r="E34" s="871"/>
      <c r="F34" s="913"/>
      <c r="G34" s="914"/>
      <c r="H34" s="916"/>
      <c r="I34" s="913"/>
      <c r="J34" s="916"/>
      <c r="K34" s="917"/>
      <c r="L34" s="945"/>
      <c r="M34" s="950"/>
      <c r="N34" s="955"/>
      <c r="O34" s="968"/>
      <c r="P34" s="968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</row>
    <row r="35" spans="1:151" s="815" customFormat="1" ht="18.75" customHeight="1" x14ac:dyDescent="0.25">
      <c r="A35" s="869"/>
      <c r="B35" s="869"/>
      <c r="C35" s="869"/>
      <c r="D35" s="869"/>
      <c r="E35" s="869"/>
      <c r="F35" s="869"/>
      <c r="G35" s="869"/>
      <c r="H35" s="869"/>
      <c r="I35" s="869"/>
      <c r="J35" s="869"/>
      <c r="K35" s="869"/>
      <c r="L35" s="950">
        <f>SUM(L29:L34)</f>
        <v>0</v>
      </c>
      <c r="M35" s="945">
        <f>SUM(M29:M34)</f>
        <v>0</v>
      </c>
      <c r="N35" s="870"/>
      <c r="O35" s="967">
        <f>SUM(O29:O34)</f>
        <v>-170000</v>
      </c>
      <c r="P35" s="967">
        <f>SUM(P29:P34)</f>
        <v>42000</v>
      </c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</row>
    <row r="36" spans="1:151" s="815" customFormat="1" ht="18.75" customHeight="1" x14ac:dyDescent="0.25">
      <c r="A36" s="869"/>
      <c r="B36" s="869"/>
      <c r="C36" s="869"/>
      <c r="D36" s="869"/>
      <c r="E36" s="869"/>
      <c r="F36" s="869"/>
      <c r="G36" s="869"/>
      <c r="H36" s="869"/>
      <c r="I36" s="869"/>
      <c r="J36" s="869"/>
      <c r="K36" s="869"/>
      <c r="L36" s="869"/>
      <c r="M36" s="869"/>
      <c r="N36" s="869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</row>
    <row r="37" spans="1:151" s="815" customFormat="1" ht="18.75" customHeight="1" x14ac:dyDescent="0.25"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</row>
    <row r="38" spans="1:151" s="815" customFormat="1" ht="18.75" customHeight="1" x14ac:dyDescent="0.25"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</row>
    <row r="39" spans="1:151" s="815" customFormat="1" ht="0" hidden="1" customHeight="1" x14ac:dyDescent="0.25"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</row>
    <row r="40" spans="1:151" s="815" customFormat="1" ht="0" hidden="1" customHeight="1" x14ac:dyDescent="0.25"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</row>
    <row r="41" spans="1:151" s="815" customFormat="1" ht="0" hidden="1" customHeight="1" x14ac:dyDescent="0.25"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</row>
    <row r="42" spans="1:151" s="815" customFormat="1" ht="0" hidden="1" customHeight="1" x14ac:dyDescent="0.25"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</row>
    <row r="43" spans="1:151" s="815" customFormat="1" ht="0" hidden="1" customHeight="1" x14ac:dyDescent="0.25"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</row>
    <row r="44" spans="1:151" s="815" customFormat="1" ht="0" hidden="1" customHeight="1" x14ac:dyDescent="0.25"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</row>
    <row r="45" spans="1:151" s="815" customFormat="1" ht="0" hidden="1" customHeight="1" x14ac:dyDescent="0.25"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</row>
    <row r="46" spans="1:151" s="815" customFormat="1" ht="0" hidden="1" customHeight="1" x14ac:dyDescent="0.25"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</row>
    <row r="47" spans="1:151" s="815" customFormat="1" ht="0" hidden="1" customHeight="1" x14ac:dyDescent="0.25"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</row>
    <row r="48" spans="1:151" s="815" customFormat="1" ht="0" hidden="1" customHeight="1" x14ac:dyDescent="0.25"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</row>
    <row r="49" spans="19:151" s="815" customFormat="1" ht="0" hidden="1" customHeight="1" x14ac:dyDescent="0.25"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</row>
  </sheetData>
  <mergeCells count="2">
    <mergeCell ref="L4:M4"/>
    <mergeCell ref="L26:M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5FA19-9BC4-4AE7-89FA-CF37464D1DD0}">
  <sheetPr>
    <tabColor rgb="FFFF0000"/>
  </sheetPr>
  <dimension ref="A1:XFD47"/>
  <sheetViews>
    <sheetView tabSelected="1" topLeftCell="I1" zoomScale="90" zoomScaleNormal="90" workbookViewId="0">
      <pane xSplit="2" ySplit="5" topLeftCell="K21" activePane="bottomRight" state="frozen"/>
      <selection activeCell="Q132" sqref="Q132"/>
      <selection pane="topRight" activeCell="Q132" sqref="Q132"/>
      <selection pane="bottomLeft" activeCell="Q132" sqref="Q132"/>
      <selection pane="bottomRight" activeCell="Q132" sqref="Q132"/>
    </sheetView>
  </sheetViews>
  <sheetFormatPr baseColWidth="10" defaultColWidth="0" defaultRowHeight="18" customHeight="1" x14ac:dyDescent="0.3"/>
  <cols>
    <col min="1" max="1" width="4.42578125" customWidth="1"/>
    <col min="2" max="6" width="9.7109375" customWidth="1"/>
    <col min="7" max="7" width="13" customWidth="1"/>
    <col min="8" max="8" width="14.140625" customWidth="1"/>
    <col min="9" max="9" width="4.7109375" customWidth="1"/>
    <col min="10" max="10" width="38.28515625" style="42" customWidth="1"/>
    <col min="11" max="12" width="14.7109375" style="42" customWidth="1"/>
    <col min="13" max="13" width="17.7109375" style="42" customWidth="1"/>
    <col min="14" max="14" width="15.5703125" style="42" bestFit="1" customWidth="1"/>
    <col min="15" max="15" width="13" style="42" bestFit="1" customWidth="1"/>
    <col min="16" max="16" width="16.28515625" style="672" bestFit="1" customWidth="1"/>
    <col min="17" max="17" width="16.5703125" style="42" bestFit="1" customWidth="1"/>
    <col min="18" max="18" width="14.28515625" style="42" customWidth="1"/>
    <col min="19" max="19" width="13.7109375" style="42" bestFit="1" customWidth="1"/>
    <col min="20" max="20" width="11.85546875" style="42" customWidth="1"/>
    <col min="21" max="21" width="10.85546875" style="42" customWidth="1"/>
    <col min="22" max="24" width="13.7109375" style="42" customWidth="1"/>
    <col min="25" max="25" width="17.28515625" style="42" customWidth="1"/>
    <col min="26" max="26" width="17.5703125" bestFit="1" customWidth="1"/>
    <col min="27" max="56" width="11.42578125" customWidth="1"/>
    <col min="177" max="16384" width="11.42578125" hidden="1"/>
  </cols>
  <sheetData>
    <row r="1" spans="1:21" ht="18" customHeight="1" x14ac:dyDescent="0.3">
      <c r="K1" s="1613" t="s">
        <v>1325</v>
      </c>
      <c r="L1" s="1614">
        <f>+L5</f>
        <v>800</v>
      </c>
      <c r="M1" s="1615" t="s">
        <v>1327</v>
      </c>
      <c r="N1" s="692">
        <f>+L2-L1</f>
        <v>1057</v>
      </c>
      <c r="O1" s="1616" t="s">
        <v>1328</v>
      </c>
      <c r="P1" s="1617"/>
    </row>
    <row r="2" spans="1:21" s="42" customFormat="1" ht="18" customHeight="1" thickBot="1" x14ac:dyDescent="0.35">
      <c r="A2" s="1093"/>
      <c r="B2" s="1093"/>
      <c r="C2" s="1093"/>
      <c r="D2" s="1093"/>
      <c r="E2" s="1093"/>
      <c r="F2" s="1093"/>
      <c r="G2" s="1093"/>
      <c r="H2" s="1093"/>
      <c r="I2" s="1093"/>
      <c r="J2" s="1093"/>
      <c r="K2" s="1618" t="s">
        <v>1326</v>
      </c>
      <c r="L2" s="1619">
        <f>+K5</f>
        <v>1857</v>
      </c>
      <c r="M2" s="1620"/>
      <c r="N2" s="1621"/>
      <c r="O2" s="1622"/>
      <c r="P2" s="1623"/>
    </row>
    <row r="3" spans="1:21" s="42" customFormat="1" ht="18" customHeight="1" x14ac:dyDescent="0.3">
      <c r="A3" s="20"/>
      <c r="B3" s="1330" t="s">
        <v>368</v>
      </c>
      <c r="C3" s="1330"/>
      <c r="D3" s="1330"/>
      <c r="E3" s="1330"/>
      <c r="F3" s="1330"/>
      <c r="G3" s="1330"/>
      <c r="H3" s="1330"/>
      <c r="I3" s="7"/>
      <c r="J3" s="207"/>
      <c r="M3" s="7" t="s">
        <v>1324</v>
      </c>
      <c r="N3" s="1338"/>
    </row>
    <row r="4" spans="1:21" s="42" customFormat="1" ht="18" customHeight="1" thickBot="1" x14ac:dyDescent="0.35">
      <c r="A4" s="20"/>
      <c r="B4" s="629" t="s">
        <v>62</v>
      </c>
      <c r="C4" s="629"/>
      <c r="D4" s="629"/>
      <c r="E4" s="629"/>
      <c r="F4" s="1329"/>
      <c r="G4" s="1329"/>
      <c r="H4" s="1329"/>
      <c r="I4" s="7"/>
      <c r="J4" s="173"/>
      <c r="K4" s="1340">
        <f>+G5</f>
        <v>2024</v>
      </c>
      <c r="L4" s="1340">
        <v>2023</v>
      </c>
      <c r="M4" s="573" t="s">
        <v>571</v>
      </c>
      <c r="N4" s="1336" t="s">
        <v>289</v>
      </c>
      <c r="O4" s="1336" t="s">
        <v>21</v>
      </c>
      <c r="P4" s="1336" t="s">
        <v>21</v>
      </c>
      <c r="Q4" s="1336" t="s">
        <v>22</v>
      </c>
      <c r="R4" s="1336" t="s">
        <v>1198</v>
      </c>
      <c r="S4" s="1336" t="s">
        <v>24</v>
      </c>
      <c r="T4" s="1336" t="s">
        <v>26</v>
      </c>
    </row>
    <row r="5" spans="1:21" s="42" customFormat="1" ht="18" customHeight="1" x14ac:dyDescent="0.3">
      <c r="A5" s="20"/>
      <c r="B5" s="629"/>
      <c r="C5" s="629"/>
      <c r="D5" s="629"/>
      <c r="E5" s="629"/>
      <c r="F5" s="1329"/>
      <c r="G5" s="1600">
        <v>2024</v>
      </c>
      <c r="H5" s="1600">
        <v>2023</v>
      </c>
      <c r="I5" s="7"/>
      <c r="J5" s="1608" t="s">
        <v>1</v>
      </c>
      <c r="K5" s="1609">
        <f>+G9</f>
        <v>1857</v>
      </c>
      <c r="L5" s="1609">
        <f>+H9</f>
        <v>800</v>
      </c>
      <c r="M5" s="1222">
        <f>+L5-K5</f>
        <v>-1057</v>
      </c>
      <c r="N5" s="1337" t="s">
        <v>121</v>
      </c>
      <c r="O5" s="1337" t="s">
        <v>130</v>
      </c>
      <c r="P5" s="1337" t="s">
        <v>695</v>
      </c>
      <c r="Q5" s="1337" t="s">
        <v>1196</v>
      </c>
      <c r="R5" s="1337" t="s">
        <v>729</v>
      </c>
      <c r="S5" s="1337" t="s">
        <v>334</v>
      </c>
      <c r="T5" s="1337" t="s">
        <v>1197</v>
      </c>
    </row>
    <row r="6" spans="1:21" s="42" customFormat="1" ht="18" customHeight="1" x14ac:dyDescent="0.3">
      <c r="A6" s="20"/>
      <c r="B6" s="629"/>
      <c r="C6" s="629"/>
      <c r="D6" s="629"/>
      <c r="E6" s="629"/>
      <c r="F6" s="1331"/>
      <c r="G6" s="1601" t="s">
        <v>3</v>
      </c>
      <c r="H6" s="1601" t="s">
        <v>3</v>
      </c>
      <c r="I6" s="7"/>
      <c r="J6" s="1608" t="s">
        <v>252</v>
      </c>
      <c r="K6" s="1609">
        <f>+G10</f>
        <v>790</v>
      </c>
      <c r="L6" s="1609">
        <f>+H10</f>
        <v>1300</v>
      </c>
      <c r="M6" s="1627">
        <f>+L6-K6</f>
        <v>510</v>
      </c>
      <c r="N6" s="1651">
        <f>+M6</f>
        <v>510</v>
      </c>
      <c r="O6" s="1624"/>
      <c r="P6" s="1651"/>
      <c r="Q6" s="1625"/>
      <c r="R6" s="1626"/>
      <c r="S6" s="83"/>
      <c r="T6" s="1609"/>
    </row>
    <row r="7" spans="1:21" s="310" customFormat="1" ht="18" customHeight="1" thickBot="1" x14ac:dyDescent="0.35">
      <c r="B7" s="1668" t="s">
        <v>56</v>
      </c>
      <c r="C7" s="1668"/>
      <c r="D7" s="1668"/>
      <c r="E7" s="1668"/>
      <c r="F7" s="1669"/>
      <c r="G7" s="1670"/>
      <c r="H7" s="1670"/>
      <c r="I7" s="1671"/>
      <c r="J7" s="1672" t="s">
        <v>674</v>
      </c>
      <c r="K7" s="772">
        <f>+G11</f>
        <v>800</v>
      </c>
      <c r="L7" s="772">
        <f>+H11</f>
        <v>780</v>
      </c>
      <c r="M7" s="1651">
        <f>+L7-K7</f>
        <v>-20</v>
      </c>
      <c r="N7" s="772"/>
      <c r="O7" s="772">
        <f>+M7</f>
        <v>-20</v>
      </c>
      <c r="P7" s="772"/>
      <c r="Q7" s="772"/>
      <c r="R7" s="305"/>
      <c r="S7" s="772"/>
      <c r="T7" s="772"/>
    </row>
    <row r="8" spans="1:21" s="42" customFormat="1" ht="18" customHeight="1" thickBot="1" x14ac:dyDescent="0.35">
      <c r="A8" s="20"/>
      <c r="B8" s="181" t="s">
        <v>57</v>
      </c>
      <c r="C8" s="181"/>
      <c r="D8" s="181"/>
      <c r="E8" s="181"/>
      <c r="F8" s="745"/>
      <c r="G8" s="1602"/>
      <c r="H8" s="1602"/>
      <c r="I8" s="7"/>
      <c r="J8" s="1630" t="s">
        <v>373</v>
      </c>
      <c r="K8" s="1631">
        <f>+G14</f>
        <v>3500</v>
      </c>
      <c r="L8" s="1632">
        <f>+H14</f>
        <v>2432</v>
      </c>
      <c r="M8" s="1633">
        <f>+L8-K8</f>
        <v>-1068</v>
      </c>
      <c r="N8" s="305"/>
      <c r="O8" s="1624"/>
      <c r="P8" s="305"/>
      <c r="Q8" s="1625"/>
      <c r="R8" s="1643">
        <f>+M8</f>
        <v>-1068</v>
      </c>
      <c r="S8" s="83"/>
      <c r="T8" s="1609"/>
      <c r="U8" s="241"/>
    </row>
    <row r="9" spans="1:21" s="42" customFormat="1" ht="18" customHeight="1" x14ac:dyDescent="0.3">
      <c r="A9" s="20"/>
      <c r="B9" s="131" t="s">
        <v>1</v>
      </c>
      <c r="C9" s="131"/>
      <c r="D9" s="131"/>
      <c r="E9" s="131"/>
      <c r="F9" s="175"/>
      <c r="G9" s="1603">
        <f>+'168'!J9</f>
        <v>1857</v>
      </c>
      <c r="H9" s="1603">
        <v>800</v>
      </c>
      <c r="I9" s="7"/>
      <c r="J9" s="1608" t="s">
        <v>1322</v>
      </c>
      <c r="K9" s="1609">
        <f>+G15</f>
        <v>210</v>
      </c>
      <c r="L9" s="1609">
        <f>+H15</f>
        <v>300</v>
      </c>
      <c r="M9" s="1627">
        <f>+L9-K9</f>
        <v>90</v>
      </c>
      <c r="N9" s="772"/>
      <c r="O9" s="1624"/>
      <c r="P9" s="772"/>
      <c r="Q9" s="1625">
        <f>+M9</f>
        <v>90</v>
      </c>
      <c r="R9" s="1626"/>
      <c r="S9" s="83"/>
      <c r="T9" s="1609"/>
      <c r="U9" s="241"/>
    </row>
    <row r="10" spans="1:21" s="310" customFormat="1" ht="18" customHeight="1" x14ac:dyDescent="0.3">
      <c r="B10" s="1673" t="s">
        <v>252</v>
      </c>
      <c r="C10" s="1673"/>
      <c r="D10" s="1673"/>
      <c r="E10" s="1673"/>
      <c r="F10" s="1674"/>
      <c r="G10" s="1675">
        <v>790</v>
      </c>
      <c r="H10" s="1675">
        <v>1300</v>
      </c>
      <c r="I10" s="1671"/>
      <c r="J10" s="1672" t="s">
        <v>369</v>
      </c>
      <c r="K10" s="772">
        <f>-G19</f>
        <v>-1360</v>
      </c>
      <c r="L10" s="772">
        <f>-H19</f>
        <v>-1400</v>
      </c>
      <c r="M10" s="1651">
        <f>+L10-K10</f>
        <v>-40</v>
      </c>
      <c r="N10" s="772"/>
      <c r="O10" s="772">
        <f>+M10</f>
        <v>-40</v>
      </c>
      <c r="P10" s="772"/>
      <c r="Q10" s="772"/>
      <c r="R10" s="305"/>
      <c r="S10" s="772"/>
      <c r="T10" s="772"/>
      <c r="U10" s="1676"/>
    </row>
    <row r="11" spans="1:21" s="42" customFormat="1" ht="18" customHeight="1" x14ac:dyDescent="0.3">
      <c r="A11" s="20"/>
      <c r="B11" s="131" t="s">
        <v>674</v>
      </c>
      <c r="C11" s="131"/>
      <c r="D11" s="131"/>
      <c r="E11" s="131"/>
      <c r="F11" s="175"/>
      <c r="G11" s="1603">
        <f>+'168'!J11</f>
        <v>800</v>
      </c>
      <c r="H11" s="1603">
        <v>780</v>
      </c>
      <c r="I11" s="7"/>
      <c r="J11" s="1608" t="s">
        <v>5</v>
      </c>
      <c r="K11" s="1609">
        <f>-G20</f>
        <v>-530</v>
      </c>
      <c r="L11" s="1609">
        <f>-H20</f>
        <v>-500</v>
      </c>
      <c r="M11" s="1627">
        <f>+L11-K11</f>
        <v>30</v>
      </c>
      <c r="N11" s="772"/>
      <c r="O11" s="1624"/>
      <c r="P11" s="772">
        <f>+M11</f>
        <v>30</v>
      </c>
      <c r="Q11" s="1625"/>
      <c r="R11" s="1626"/>
      <c r="S11" s="83"/>
      <c r="T11" s="1609"/>
      <c r="U11" s="241"/>
    </row>
    <row r="12" spans="1:21" s="42" customFormat="1" ht="18" customHeight="1" x14ac:dyDescent="0.3">
      <c r="A12" s="20"/>
      <c r="B12" s="1333"/>
      <c r="C12" s="1333"/>
      <c r="D12" s="1333"/>
      <c r="E12" s="1333"/>
      <c r="F12" s="1334"/>
      <c r="G12" s="1361">
        <f>SUM(G9:G11)</f>
        <v>3447</v>
      </c>
      <c r="H12" s="1361">
        <f>SUM(H9:H11)</f>
        <v>2880</v>
      </c>
      <c r="I12" s="7"/>
      <c r="J12" s="1608" t="s">
        <v>23</v>
      </c>
      <c r="K12" s="1609">
        <f>-G21</f>
        <v>-75</v>
      </c>
      <c r="L12" s="1609">
        <f>-H21</f>
        <v>-90</v>
      </c>
      <c r="M12" s="1627">
        <f>+L12-K12</f>
        <v>-15</v>
      </c>
      <c r="N12" s="772"/>
      <c r="O12" s="1624"/>
      <c r="P12" s="772"/>
      <c r="Q12" s="1625">
        <f>+M12</f>
        <v>-15</v>
      </c>
      <c r="R12" s="1626"/>
      <c r="S12" s="83"/>
      <c r="T12" s="1609"/>
      <c r="U12" s="241"/>
    </row>
    <row r="13" spans="1:21" s="42" customFormat="1" ht="18" customHeight="1" x14ac:dyDescent="0.3">
      <c r="A13" s="20"/>
      <c r="B13" s="181" t="s">
        <v>58</v>
      </c>
      <c r="C13" s="181"/>
      <c r="D13" s="181"/>
      <c r="E13" s="181"/>
      <c r="F13" s="175"/>
      <c r="G13" s="1603"/>
      <c r="H13" s="1603"/>
      <c r="I13" s="7"/>
      <c r="J13" s="1608" t="s">
        <v>7</v>
      </c>
      <c r="K13" s="1609">
        <f>-G24</f>
        <v>-1650</v>
      </c>
      <c r="L13" s="1609">
        <f>-H24</f>
        <v>-1600</v>
      </c>
      <c r="M13" s="1627">
        <f>+L13-K13</f>
        <v>50</v>
      </c>
      <c r="N13" s="772"/>
      <c r="O13" s="1624"/>
      <c r="P13" s="772"/>
      <c r="Q13" s="1625"/>
      <c r="R13" s="1626"/>
      <c r="S13" s="83">
        <f>+M13</f>
        <v>50</v>
      </c>
      <c r="T13" s="1609"/>
      <c r="U13" s="241"/>
    </row>
    <row r="14" spans="1:21" s="42" customFormat="1" ht="18" customHeight="1" x14ac:dyDescent="0.3">
      <c r="A14" s="20"/>
      <c r="B14" s="131" t="s">
        <v>373</v>
      </c>
      <c r="C14" s="131"/>
      <c r="D14" s="131"/>
      <c r="E14" s="131"/>
      <c r="F14" s="175"/>
      <c r="G14" s="1603">
        <f>+'168'!J14</f>
        <v>3500</v>
      </c>
      <c r="H14" s="1603">
        <v>2432</v>
      </c>
      <c r="I14" s="7"/>
      <c r="J14" s="1608" t="s">
        <v>8</v>
      </c>
      <c r="K14" s="1609">
        <f>-(+G25-H44)</f>
        <v>-1942</v>
      </c>
      <c r="L14" s="1609">
        <f>-H25</f>
        <v>-2022</v>
      </c>
      <c r="M14" s="1644">
        <f>+L14-K14</f>
        <v>-80</v>
      </c>
      <c r="N14" s="1612"/>
      <c r="O14" s="1624"/>
      <c r="P14" s="1612"/>
      <c r="Q14" s="1612"/>
      <c r="R14" s="1643"/>
      <c r="S14" s="1612"/>
      <c r="T14" s="1612">
        <f>+M14</f>
        <v>-80</v>
      </c>
      <c r="U14" s="241"/>
    </row>
    <row r="15" spans="1:21" s="42" customFormat="1" ht="18" customHeight="1" x14ac:dyDescent="0.3">
      <c r="A15" s="20"/>
      <c r="B15" s="131" t="s">
        <v>1321</v>
      </c>
      <c r="C15" s="131"/>
      <c r="D15" s="131"/>
      <c r="E15" s="131"/>
      <c r="F15" s="175"/>
      <c r="G15" s="1603">
        <v>210</v>
      </c>
      <c r="H15" s="1603">
        <v>300</v>
      </c>
      <c r="I15" s="7"/>
      <c r="J15" s="1608" t="s">
        <v>9</v>
      </c>
      <c r="K15" s="1609">
        <f>-H34</f>
        <v>-6326</v>
      </c>
      <c r="L15" s="1609"/>
      <c r="M15" s="1627">
        <f>+L15-K15</f>
        <v>6326</v>
      </c>
      <c r="N15" s="1651">
        <f>+M15</f>
        <v>6326</v>
      </c>
      <c r="O15" s="1624"/>
      <c r="P15" s="1651"/>
      <c r="Q15" s="1625"/>
      <c r="R15" s="1626"/>
      <c r="S15" s="83"/>
      <c r="T15" s="1609"/>
      <c r="U15" s="241"/>
    </row>
    <row r="16" spans="1:21" s="42" customFormat="1" ht="18" customHeight="1" x14ac:dyDescent="0.3">
      <c r="A16" s="20"/>
      <c r="B16" s="1333" t="s">
        <v>54</v>
      </c>
      <c r="C16" s="1333"/>
      <c r="D16" s="1333"/>
      <c r="E16" s="1333"/>
      <c r="F16" s="1334"/>
      <c r="G16" s="1361">
        <f>SUM(G12:G15)</f>
        <v>7157</v>
      </c>
      <c r="H16" s="1361">
        <f>SUM(H12:H15)</f>
        <v>5612</v>
      </c>
      <c r="I16" s="7"/>
      <c r="J16" s="1608" t="s">
        <v>10</v>
      </c>
      <c r="K16" s="1609"/>
      <c r="L16" s="1609"/>
      <c r="M16" s="1627">
        <f>+L16-K16</f>
        <v>0</v>
      </c>
      <c r="N16" s="772"/>
      <c r="O16" s="1624"/>
      <c r="P16" s="772"/>
      <c r="Q16" s="1625"/>
      <c r="R16" s="1626"/>
      <c r="S16" s="83"/>
      <c r="T16" s="1609"/>
      <c r="U16" s="241"/>
    </row>
    <row r="17" spans="1:56" s="310" customFormat="1" ht="18" customHeight="1" x14ac:dyDescent="0.3">
      <c r="B17" s="1668" t="s">
        <v>59</v>
      </c>
      <c r="C17" s="1668"/>
      <c r="D17" s="1668"/>
      <c r="E17" s="1668"/>
      <c r="F17" s="1677"/>
      <c r="G17" s="1678"/>
      <c r="H17" s="1678"/>
      <c r="I17" s="1671"/>
      <c r="J17" s="1672" t="s">
        <v>253</v>
      </c>
      <c r="K17" s="772">
        <f>-H35</f>
        <v>3500</v>
      </c>
      <c r="L17" s="772"/>
      <c r="M17" s="1651">
        <f>+L17-K17</f>
        <v>-3500</v>
      </c>
      <c r="N17" s="772"/>
      <c r="O17" s="772">
        <f>+M17</f>
        <v>-3500</v>
      </c>
      <c r="P17" s="772"/>
      <c r="Q17" s="772"/>
      <c r="R17" s="305"/>
      <c r="S17" s="772"/>
      <c r="T17" s="772"/>
      <c r="U17" s="1676"/>
    </row>
    <row r="18" spans="1:56" s="42" customFormat="1" ht="18" customHeight="1" x14ac:dyDescent="0.3">
      <c r="A18" s="20"/>
      <c r="B18" s="181" t="s">
        <v>61</v>
      </c>
      <c r="C18" s="181"/>
      <c r="D18" s="181"/>
      <c r="E18" s="181"/>
      <c r="F18" s="745"/>
      <c r="G18" s="1604"/>
      <c r="H18" s="1602"/>
      <c r="I18" s="7"/>
      <c r="J18" s="1608" t="s">
        <v>11</v>
      </c>
      <c r="K18" s="1609">
        <f>-H38</f>
        <v>426</v>
      </c>
      <c r="L18" s="1609"/>
      <c r="M18" s="1627">
        <f>+L18-K18</f>
        <v>-426</v>
      </c>
      <c r="N18" s="772"/>
      <c r="O18" s="1624"/>
      <c r="P18" s="772">
        <f>+M18</f>
        <v>-426</v>
      </c>
      <c r="Q18" s="1625"/>
      <c r="R18" s="1626"/>
      <c r="S18" s="83"/>
      <c r="T18" s="1609"/>
      <c r="U18" s="241"/>
    </row>
    <row r="19" spans="1:56" s="42" customFormat="1" ht="18" customHeight="1" x14ac:dyDescent="0.3">
      <c r="A19" s="7"/>
      <c r="B19" s="131" t="s">
        <v>4</v>
      </c>
      <c r="C19" s="131"/>
      <c r="D19" s="131"/>
      <c r="E19" s="131"/>
      <c r="F19" s="175"/>
      <c r="G19" s="1603">
        <v>1360</v>
      </c>
      <c r="H19" s="1603">
        <v>1400</v>
      </c>
      <c r="I19" s="7"/>
      <c r="J19" s="1608" t="s">
        <v>38</v>
      </c>
      <c r="K19" s="1609">
        <f>-H39</f>
        <v>360</v>
      </c>
      <c r="L19" s="1609"/>
      <c r="M19" s="1627">
        <f>+L19-K19</f>
        <v>-360</v>
      </c>
      <c r="N19" s="772"/>
      <c r="O19" s="1624"/>
      <c r="P19" s="772"/>
      <c r="Q19" s="1625"/>
      <c r="R19" s="1643">
        <f>+M19</f>
        <v>-360</v>
      </c>
      <c r="S19" s="83"/>
      <c r="T19" s="1609"/>
      <c r="U19" s="241"/>
    </row>
    <row r="20" spans="1:56" s="42" customFormat="1" ht="18" customHeight="1" x14ac:dyDescent="0.3">
      <c r="A20" s="7"/>
      <c r="B20" s="131" t="s">
        <v>5</v>
      </c>
      <c r="C20" s="131"/>
      <c r="D20" s="131"/>
      <c r="E20" s="131"/>
      <c r="F20" s="175"/>
      <c r="G20" s="1603">
        <v>530</v>
      </c>
      <c r="H20" s="1603">
        <v>500</v>
      </c>
      <c r="I20" s="7"/>
      <c r="J20" s="1608" t="s">
        <v>12</v>
      </c>
      <c r="K20" s="1609">
        <f>-H40</f>
        <v>290</v>
      </c>
      <c r="L20" s="1609"/>
      <c r="M20" s="1627">
        <f>+L20-K20</f>
        <v>-290</v>
      </c>
      <c r="N20" s="772">
        <f>+M20</f>
        <v>-290</v>
      </c>
      <c r="O20" s="1624"/>
      <c r="P20" s="772"/>
      <c r="Q20" s="1625"/>
      <c r="R20" s="1626"/>
      <c r="S20" s="83"/>
      <c r="T20" s="1609"/>
      <c r="U20" s="241"/>
    </row>
    <row r="21" spans="1:56" s="42" customFormat="1" ht="18" customHeight="1" x14ac:dyDescent="0.3">
      <c r="A21" s="7"/>
      <c r="B21" s="131" t="s">
        <v>23</v>
      </c>
      <c r="C21" s="131"/>
      <c r="D21" s="131"/>
      <c r="E21" s="131"/>
      <c r="F21" s="175"/>
      <c r="G21" s="1603">
        <f>+'168'!J20</f>
        <v>75</v>
      </c>
      <c r="H21" s="1603">
        <v>90</v>
      </c>
      <c r="I21" s="7"/>
      <c r="J21" s="1608" t="s">
        <v>15</v>
      </c>
      <c r="K21" s="1609">
        <f>-H43</f>
        <v>150</v>
      </c>
      <c r="L21" s="1609"/>
      <c r="M21" s="1627">
        <f>+L21-K21</f>
        <v>-150</v>
      </c>
      <c r="N21" s="772"/>
      <c r="O21" s="1624"/>
      <c r="P21" s="772"/>
      <c r="Q21" s="1625">
        <f>+M21</f>
        <v>-150</v>
      </c>
      <c r="R21" s="1626"/>
      <c r="S21" s="83"/>
      <c r="T21" s="1609"/>
      <c r="U21" s="241"/>
    </row>
    <row r="22" spans="1:56" s="42" customFormat="1" ht="18" customHeight="1" x14ac:dyDescent="0.3">
      <c r="A22" s="3"/>
      <c r="B22" s="1333" t="s">
        <v>55</v>
      </c>
      <c r="C22" s="1333"/>
      <c r="D22" s="1333"/>
      <c r="E22" s="1333"/>
      <c r="F22" s="1334"/>
      <c r="G22" s="1361">
        <f>SUM(G19:G21)</f>
        <v>1965</v>
      </c>
      <c r="H22" s="1361">
        <f>SUM(H19:H21)</f>
        <v>1990</v>
      </c>
      <c r="I22" s="1093"/>
      <c r="J22" s="774"/>
      <c r="K22" s="137">
        <f>SUM(K5:K21)</f>
        <v>0</v>
      </c>
      <c r="L22" s="137">
        <f>SUM(L5:L21)</f>
        <v>0</v>
      </c>
      <c r="M22" s="137">
        <f>SUM(M5:M21)</f>
        <v>0</v>
      </c>
      <c r="N22" s="1629">
        <f>SUM(N6:N21)</f>
        <v>6546</v>
      </c>
      <c r="O22" s="1628">
        <f>SUM(O6:O21)</f>
        <v>-3560</v>
      </c>
      <c r="P22" s="1628">
        <f>SUM(P6:P21)</f>
        <v>-396</v>
      </c>
      <c r="Q22" s="1628">
        <f>SUM(Q6:Q21)</f>
        <v>-75</v>
      </c>
      <c r="R22" s="1628">
        <f>SUM(R6:R21)</f>
        <v>-1428</v>
      </c>
      <c r="S22" s="1629">
        <f>SUM(S6:S21)</f>
        <v>50</v>
      </c>
      <c r="T22" s="1628">
        <f>SUM(T6:T21)</f>
        <v>-80</v>
      </c>
      <c r="U22" s="241"/>
    </row>
    <row r="23" spans="1:56" s="42" customFormat="1" ht="18" customHeight="1" x14ac:dyDescent="0.3">
      <c r="A23" s="3"/>
      <c r="B23" s="131"/>
      <c r="C23" s="131"/>
      <c r="D23" s="131"/>
      <c r="E23" s="131"/>
      <c r="F23" s="175"/>
      <c r="G23" s="1605"/>
      <c r="H23" s="1603"/>
      <c r="I23" s="1093"/>
      <c r="J23"/>
      <c r="K23" s="1610" t="s">
        <v>1323</v>
      </c>
      <c r="L23" s="1610" t="s">
        <v>1323</v>
      </c>
      <c r="M23" s="1610" t="s">
        <v>1323</v>
      </c>
      <c r="N23"/>
      <c r="O23"/>
      <c r="P23"/>
      <c r="Q23"/>
      <c r="R23"/>
      <c r="S23"/>
      <c r="T23"/>
      <c r="U23"/>
    </row>
    <row r="24" spans="1:56" s="42" customFormat="1" ht="18" customHeight="1" x14ac:dyDescent="0.3">
      <c r="A24" s="3"/>
      <c r="B24" s="131" t="s">
        <v>7</v>
      </c>
      <c r="C24" s="131"/>
      <c r="D24" s="131"/>
      <c r="E24" s="131"/>
      <c r="F24" s="175"/>
      <c r="G24" s="1603">
        <f>+'168'!J23</f>
        <v>1650</v>
      </c>
      <c r="H24" s="1603">
        <v>1600</v>
      </c>
      <c r="I24" s="1093"/>
      <c r="N24" s="692">
        <f>SUM(N22:T22)</f>
        <v>1057</v>
      </c>
      <c r="P24" s="672"/>
      <c r="Q24"/>
      <c r="R24"/>
      <c r="T24"/>
    </row>
    <row r="25" spans="1:56" s="42" customFormat="1" ht="18" customHeight="1" x14ac:dyDescent="0.3">
      <c r="A25" s="3"/>
      <c r="B25" s="131" t="s">
        <v>8</v>
      </c>
      <c r="C25" s="131"/>
      <c r="D25" s="131"/>
      <c r="E25" s="131"/>
      <c r="F25" s="175"/>
      <c r="G25" s="1611">
        <f>+'168'!J24</f>
        <v>3542</v>
      </c>
      <c r="H25" s="1603">
        <v>2022</v>
      </c>
      <c r="I25" s="1093"/>
      <c r="P25" s="672"/>
      <c r="Q25"/>
      <c r="R25"/>
    </row>
    <row r="26" spans="1:56" s="42" customFormat="1" ht="18" customHeight="1" x14ac:dyDescent="0.3">
      <c r="A26" s="3"/>
      <c r="B26" s="1333" t="s">
        <v>81</v>
      </c>
      <c r="C26" s="1333"/>
      <c r="D26" s="1333"/>
      <c r="E26" s="1333"/>
      <c r="F26" s="1334"/>
      <c r="G26" s="1361">
        <f>SUM(G24:G25)</f>
        <v>5192</v>
      </c>
      <c r="H26" s="1361">
        <f>SUM(H24:H25)</f>
        <v>3622</v>
      </c>
      <c r="I26" s="1093"/>
      <c r="L26" s="1236" t="s">
        <v>1337</v>
      </c>
      <c r="P26" s="672"/>
      <c r="Q26"/>
      <c r="R26"/>
      <c r="Z26"/>
    </row>
    <row r="27" spans="1:56" s="42" customFormat="1" ht="18" customHeight="1" thickBot="1" x14ac:dyDescent="0.35">
      <c r="A27" s="3"/>
      <c r="B27" s="1333" t="s">
        <v>82</v>
      </c>
      <c r="C27" s="1333"/>
      <c r="D27" s="1333"/>
      <c r="E27" s="1333"/>
      <c r="F27" s="1334"/>
      <c r="G27" s="1362">
        <f>+G22+G26</f>
        <v>7157</v>
      </c>
      <c r="H27" s="1362">
        <f>+H22+H26</f>
        <v>5612</v>
      </c>
      <c r="I27" s="1093"/>
      <c r="J27" s="270" t="s">
        <v>368</v>
      </c>
      <c r="K27" s="1236"/>
      <c r="L27" s="1236" t="s">
        <v>729</v>
      </c>
      <c r="M27" s="1236"/>
      <c r="N27" s="1236"/>
      <c r="O27" s="1236"/>
      <c r="P27" s="1236"/>
      <c r="Q27" s="1236"/>
      <c r="R27" s="1236"/>
      <c r="Z27"/>
    </row>
    <row r="28" spans="1:56" s="42" customFormat="1" ht="18" customHeight="1" x14ac:dyDescent="0.3">
      <c r="A28" s="3"/>
      <c r="B28" s="3"/>
      <c r="C28" s="3"/>
      <c r="D28" s="3"/>
      <c r="E28" s="4">
        <f>+G25-H44</f>
        <v>1942</v>
      </c>
      <c r="F28" s="3"/>
      <c r="G28" s="180">
        <f>+G16-G27</f>
        <v>0</v>
      </c>
      <c r="H28" s="180">
        <f>+H16-H27</f>
        <v>0</v>
      </c>
      <c r="I28" s="1093"/>
      <c r="J28" s="270" t="s">
        <v>1199</v>
      </c>
      <c r="K28" s="1236" t="s">
        <v>3</v>
      </c>
      <c r="L28" s="1236" t="s">
        <v>3</v>
      </c>
      <c r="M28" s="1236" t="s">
        <v>3</v>
      </c>
      <c r="N28" s="1236" t="s">
        <v>3</v>
      </c>
      <c r="O28" s="1236" t="s">
        <v>3</v>
      </c>
      <c r="P28" s="1236" t="s">
        <v>3</v>
      </c>
      <c r="Q28" s="1236" t="s">
        <v>3</v>
      </c>
      <c r="R28" s="1236" t="s">
        <v>3</v>
      </c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</row>
    <row r="29" spans="1:56" s="42" customFormat="1" ht="18" customHeight="1" thickBot="1" x14ac:dyDescent="0.35">
      <c r="A29" s="3"/>
      <c r="B29" s="3"/>
      <c r="C29" s="3"/>
      <c r="D29" s="3"/>
      <c r="E29" s="3"/>
      <c r="F29" s="3"/>
      <c r="G29" s="3"/>
      <c r="H29" s="3"/>
      <c r="J29" s="685" t="s">
        <v>51</v>
      </c>
      <c r="K29" s="633"/>
      <c r="P29" s="672"/>
      <c r="Q29"/>
      <c r="R29" s="633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</row>
    <row r="30" spans="1:56" ht="18" customHeight="1" x14ac:dyDescent="0.3">
      <c r="B30" s="1328" t="s">
        <v>372</v>
      </c>
      <c r="C30" s="1328"/>
      <c r="D30" s="1328"/>
      <c r="E30" s="1328"/>
      <c r="F30" s="1328"/>
      <c r="G30" s="1328"/>
      <c r="H30" s="1600"/>
      <c r="I30" s="42"/>
      <c r="J30" s="633" t="s">
        <v>248</v>
      </c>
      <c r="K30" s="642">
        <f>+N22</f>
        <v>6546</v>
      </c>
      <c r="Q30"/>
      <c r="R30" s="642">
        <f>SUM(K30:Q30)</f>
        <v>6546</v>
      </c>
    </row>
    <row r="31" spans="1:56" ht="18" customHeight="1" x14ac:dyDescent="0.3">
      <c r="B31" s="1328"/>
      <c r="C31" s="1328"/>
      <c r="D31" s="1328"/>
      <c r="E31" s="1328"/>
      <c r="F31" s="1328"/>
      <c r="G31" s="1328"/>
      <c r="H31" s="1606">
        <v>2024</v>
      </c>
      <c r="I31" s="42"/>
      <c r="J31" s="633" t="s">
        <v>138</v>
      </c>
      <c r="K31" s="642">
        <f>+O22</f>
        <v>-3560</v>
      </c>
      <c r="N31" s="42">
        <f>-N41</f>
        <v>20</v>
      </c>
      <c r="Q31"/>
      <c r="R31" s="642">
        <f>SUM(K31:Q31)</f>
        <v>-3540</v>
      </c>
    </row>
    <row r="32" spans="1:56" ht="18" customHeight="1" x14ac:dyDescent="0.3">
      <c r="B32" s="1328"/>
      <c r="C32" s="1328"/>
      <c r="D32" s="1328"/>
      <c r="E32" s="1328"/>
      <c r="F32" s="1328"/>
      <c r="G32" s="1328"/>
      <c r="H32" s="1601" t="s">
        <v>3</v>
      </c>
      <c r="I32" s="42"/>
      <c r="J32" s="633" t="s">
        <v>1200</v>
      </c>
      <c r="K32" s="642">
        <f>+P22</f>
        <v>-396</v>
      </c>
      <c r="Q32"/>
      <c r="R32" s="642">
        <f>SUM(K32:Q32)</f>
        <v>-396</v>
      </c>
    </row>
    <row r="33" spans="2:25" ht="18" customHeight="1" x14ac:dyDescent="0.3">
      <c r="B33" s="175"/>
      <c r="C33" s="175"/>
      <c r="D33" s="175"/>
      <c r="E33" s="175"/>
      <c r="F33" s="175"/>
      <c r="G33" s="175"/>
      <c r="H33" s="1603"/>
      <c r="I33" s="42"/>
      <c r="J33" s="633" t="s">
        <v>137</v>
      </c>
      <c r="K33" s="642">
        <f>+Q22</f>
        <v>-75</v>
      </c>
      <c r="Q33"/>
      <c r="R33" s="642">
        <f>SUM(K33:Q33)</f>
        <v>-75</v>
      </c>
    </row>
    <row r="34" spans="2:25" ht="18" customHeight="1" x14ac:dyDescent="0.3">
      <c r="B34" s="131" t="s">
        <v>9</v>
      </c>
      <c r="C34" s="131"/>
      <c r="D34" s="175"/>
      <c r="E34" s="175"/>
      <c r="F34" s="175"/>
      <c r="G34" s="175"/>
      <c r="H34" s="1360">
        <f>+'168'!J33</f>
        <v>6326</v>
      </c>
      <c r="J34" s="16" t="s">
        <v>719</v>
      </c>
      <c r="K34" s="48"/>
      <c r="Q34"/>
      <c r="R34" s="48"/>
    </row>
    <row r="35" spans="2:25" ht="18" customHeight="1" x14ac:dyDescent="0.3">
      <c r="B35" s="131" t="s">
        <v>10</v>
      </c>
      <c r="C35" s="131"/>
      <c r="D35" s="175"/>
      <c r="E35" s="175"/>
      <c r="F35" s="175"/>
      <c r="G35" s="175"/>
      <c r="H35" s="1360">
        <f>+'168'!J34</f>
        <v>-3500</v>
      </c>
      <c r="J35" s="16" t="s">
        <v>1205</v>
      </c>
      <c r="K35" s="48">
        <f>SUM(K30:K33)</f>
        <v>2515</v>
      </c>
      <c r="Q35"/>
      <c r="R35" s="48">
        <f>SUM(R30:R33)</f>
        <v>2535</v>
      </c>
    </row>
    <row r="36" spans="2:25" ht="18" customHeight="1" x14ac:dyDescent="0.3">
      <c r="B36" s="1333" t="s">
        <v>13</v>
      </c>
      <c r="C36" s="1333"/>
      <c r="D36" s="1335"/>
      <c r="E36" s="1335"/>
      <c r="F36" s="1335"/>
      <c r="G36" s="1335"/>
      <c r="H36" s="1361">
        <f>+H34+H35</f>
        <v>2826</v>
      </c>
      <c r="J36" s="685" t="s">
        <v>52</v>
      </c>
      <c r="K36" s="633"/>
      <c r="Q36"/>
      <c r="R36" s="633"/>
    </row>
    <row r="37" spans="2:25" ht="18" customHeight="1" x14ac:dyDescent="0.3">
      <c r="B37" s="181"/>
      <c r="C37" s="181"/>
      <c r="D37" s="175"/>
      <c r="E37" s="175"/>
      <c r="F37" s="175"/>
      <c r="G37" s="175"/>
      <c r="H37" s="1607"/>
      <c r="J37" s="633" t="s">
        <v>280</v>
      </c>
      <c r="K37" s="642">
        <f>+R22</f>
        <v>-1428</v>
      </c>
      <c r="L37" s="42">
        <v>10</v>
      </c>
      <c r="Q37"/>
      <c r="R37" s="642">
        <f>SUM(K37:Q37)</f>
        <v>-1418</v>
      </c>
    </row>
    <row r="38" spans="2:25" ht="18" customHeight="1" x14ac:dyDescent="0.3">
      <c r="B38" s="131" t="s">
        <v>44</v>
      </c>
      <c r="C38" s="131"/>
      <c r="D38" s="175"/>
      <c r="E38" s="175"/>
      <c r="F38" s="175"/>
      <c r="G38" s="175"/>
      <c r="H38" s="1360">
        <f>+'168'!J37</f>
        <v>-426</v>
      </c>
      <c r="J38" s="16" t="s">
        <v>719</v>
      </c>
      <c r="K38" s="48"/>
      <c r="Q38"/>
      <c r="R38" s="48"/>
    </row>
    <row r="39" spans="2:25" ht="18" customHeight="1" x14ac:dyDescent="0.3">
      <c r="B39" s="131" t="s">
        <v>38</v>
      </c>
      <c r="C39" s="131"/>
      <c r="D39" s="175"/>
      <c r="E39" s="175"/>
      <c r="F39" s="175"/>
      <c r="G39" s="175"/>
      <c r="H39" s="1360">
        <f>+'168'!J38</f>
        <v>-360</v>
      </c>
      <c r="J39" s="16" t="s">
        <v>1206</v>
      </c>
      <c r="K39" s="48">
        <f>+K37</f>
        <v>-1428</v>
      </c>
      <c r="Q39"/>
      <c r="R39" s="48">
        <f>+R37</f>
        <v>-1418</v>
      </c>
    </row>
    <row r="40" spans="2:25" ht="18" customHeight="1" x14ac:dyDescent="0.3">
      <c r="B40" s="131" t="s">
        <v>12</v>
      </c>
      <c r="C40" s="131"/>
      <c r="D40" s="180"/>
      <c r="E40" s="180"/>
      <c r="F40" s="180"/>
      <c r="G40" s="180"/>
      <c r="H40" s="1360">
        <f>+'168'!J39</f>
        <v>-290</v>
      </c>
      <c r="J40" s="685" t="s">
        <v>74</v>
      </c>
      <c r="K40" s="633"/>
      <c r="Q40"/>
      <c r="R40" s="633"/>
    </row>
    <row r="41" spans="2:25" ht="18" customHeight="1" x14ac:dyDescent="0.3">
      <c r="B41" s="1333" t="s">
        <v>14</v>
      </c>
      <c r="C41" s="1333"/>
      <c r="D41" s="1335"/>
      <c r="E41" s="1335"/>
      <c r="F41" s="1335"/>
      <c r="G41" s="1335"/>
      <c r="H41" s="1361">
        <f>SUM(H36:H40)</f>
        <v>1750</v>
      </c>
      <c r="J41" s="633" t="s">
        <v>283</v>
      </c>
      <c r="K41" s="642">
        <f>+S22</f>
        <v>50</v>
      </c>
      <c r="L41" s="42">
        <f>-L37</f>
        <v>-10</v>
      </c>
      <c r="M41" s="42">
        <f>-M42</f>
        <v>-20</v>
      </c>
      <c r="N41" s="42">
        <v>-20</v>
      </c>
      <c r="Q41"/>
      <c r="R41" s="642">
        <f t="shared" ref="R41:R42" si="0">SUM(K41:Q41)</f>
        <v>0</v>
      </c>
    </row>
    <row r="42" spans="2:25" ht="18" customHeight="1" x14ac:dyDescent="0.3">
      <c r="B42" s="131"/>
      <c r="C42" s="131"/>
      <c r="D42" s="131"/>
      <c r="E42" s="131"/>
      <c r="F42" s="131"/>
      <c r="G42" s="131"/>
      <c r="H42" s="1360"/>
      <c r="J42" s="633" t="s">
        <v>142</v>
      </c>
      <c r="K42" s="642">
        <f>+T22</f>
        <v>-80</v>
      </c>
      <c r="M42" s="42">
        <v>20</v>
      </c>
      <c r="Q42"/>
      <c r="R42" s="642">
        <f t="shared" si="0"/>
        <v>-60</v>
      </c>
    </row>
    <row r="43" spans="2:25" ht="18" customHeight="1" x14ac:dyDescent="0.3">
      <c r="B43" s="131" t="s">
        <v>15</v>
      </c>
      <c r="C43" s="131"/>
      <c r="D43" s="175"/>
      <c r="E43" s="175"/>
      <c r="F43" s="175"/>
      <c r="G43" s="175"/>
      <c r="H43" s="1360">
        <f>+'168'!J42</f>
        <v>-150</v>
      </c>
      <c r="J43" s="16" t="s">
        <v>719</v>
      </c>
      <c r="K43" s="48"/>
      <c r="Q43"/>
      <c r="R43" s="48"/>
    </row>
    <row r="44" spans="2:25" ht="18" customHeight="1" thickBot="1" x14ac:dyDescent="0.35">
      <c r="B44" s="1333" t="s">
        <v>16</v>
      </c>
      <c r="C44" s="1333"/>
      <c r="D44" s="1335"/>
      <c r="E44" s="1335"/>
      <c r="F44" s="1335"/>
      <c r="G44" s="1335"/>
      <c r="H44" s="1362">
        <f>+H41+H43</f>
        <v>1600</v>
      </c>
      <c r="J44" s="16" t="s">
        <v>1207</v>
      </c>
      <c r="K44" s="48">
        <f>SUM(K41:K42)</f>
        <v>-30</v>
      </c>
      <c r="Q44"/>
      <c r="R44" s="48">
        <f>SUM(R41:R42)</f>
        <v>-60</v>
      </c>
      <c r="V44"/>
      <c r="W44"/>
      <c r="X44"/>
      <c r="Y44" s="1168">
        <f>+K47-K5</f>
        <v>0</v>
      </c>
    </row>
    <row r="45" spans="2:25" ht="18" customHeight="1" x14ac:dyDescent="0.3">
      <c r="J45" s="522" t="s">
        <v>286</v>
      </c>
      <c r="K45" s="1341">
        <f>+K35+K39+K44</f>
        <v>1057</v>
      </c>
      <c r="Q45"/>
      <c r="R45" s="1341">
        <f>+R35+R39+R44</f>
        <v>1057</v>
      </c>
      <c r="U45"/>
      <c r="W45"/>
      <c r="X45"/>
      <c r="Y45"/>
    </row>
    <row r="46" spans="2:25" ht="18" customHeight="1" x14ac:dyDescent="0.3">
      <c r="J46" s="1342" t="s">
        <v>47</v>
      </c>
      <c r="K46" s="1345">
        <f>+H9</f>
        <v>800</v>
      </c>
      <c r="Q46"/>
      <c r="R46" s="1345">
        <f>+K46</f>
        <v>800</v>
      </c>
      <c r="W46"/>
      <c r="X46"/>
      <c r="Y46"/>
    </row>
    <row r="47" spans="2:25" ht="18" customHeight="1" x14ac:dyDescent="0.3">
      <c r="J47" s="1344" t="s">
        <v>49</v>
      </c>
      <c r="K47" s="1343">
        <f>+K45+K46</f>
        <v>1857</v>
      </c>
      <c r="L47" s="1640">
        <f>SUM(L29:L46)</f>
        <v>0</v>
      </c>
      <c r="M47" s="1640">
        <f t="shared" ref="M47:Q47" si="1">SUM(M29:M46)</f>
        <v>0</v>
      </c>
      <c r="N47" s="1640">
        <f t="shared" si="1"/>
        <v>0</v>
      </c>
      <c r="O47" s="1640">
        <f t="shared" si="1"/>
        <v>0</v>
      </c>
      <c r="P47" s="1640">
        <f t="shared" si="1"/>
        <v>0</v>
      </c>
      <c r="Q47" s="1640">
        <f t="shared" si="1"/>
        <v>0</v>
      </c>
      <c r="R47" s="1343">
        <f>+R45+R46</f>
        <v>1857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6B09C-C1F0-4F43-BF62-E150A67E9ACE}">
  <sheetPr>
    <tabColor rgb="FF7030A0"/>
  </sheetPr>
  <dimension ref="A1:FG37"/>
  <sheetViews>
    <sheetView showGridLines="0" zoomScale="85" zoomScaleNormal="85" workbookViewId="0">
      <selection activeCell="J9" sqref="J9"/>
    </sheetView>
  </sheetViews>
  <sheetFormatPr baseColWidth="10" defaultColWidth="0" defaultRowHeight="0" customHeight="1" zeroHeight="1" x14ac:dyDescent="0.25"/>
  <cols>
    <col min="1" max="1" width="17" style="815" customWidth="1"/>
    <col min="2" max="2" width="17.7109375" style="815" customWidth="1"/>
    <col min="3" max="3" width="10.7109375" style="815" customWidth="1"/>
    <col min="4" max="4" width="15.7109375" style="815" customWidth="1"/>
    <col min="5" max="5" width="2.85546875" style="815" customWidth="1"/>
    <col min="6" max="7" width="15.7109375" style="815" customWidth="1"/>
    <col min="8" max="8" width="6.140625" style="815" customWidth="1"/>
    <col min="9" max="10" width="13.7109375" style="815" bestFit="1" customWidth="1"/>
    <col min="11" max="11" width="13.140625" style="815" bestFit="1" customWidth="1"/>
    <col min="12" max="12" width="13.42578125" style="815" customWidth="1"/>
    <col min="13" max="13" width="13.140625" style="815" customWidth="1"/>
    <col min="14" max="14" width="13.85546875" style="815" customWidth="1"/>
    <col min="15" max="15" width="14.7109375" style="815" customWidth="1"/>
    <col min="16" max="16" width="14.140625" style="815" customWidth="1"/>
    <col min="17" max="17" width="15.7109375" style="815" customWidth="1"/>
    <col min="18" max="163" width="0" hidden="1" customWidth="1"/>
    <col min="164" max="16384" width="11.42578125" hidden="1"/>
  </cols>
  <sheetData>
    <row r="1" spans="1:16" ht="18" x14ac:dyDescent="0.25">
      <c r="A1" s="835" t="s">
        <v>828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  <c r="P1" s="835"/>
    </row>
    <row r="2" spans="1:16" ht="18" x14ac:dyDescent="0.25">
      <c r="A2" s="840"/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  <c r="P2" s="840"/>
    </row>
    <row r="3" spans="1:16" ht="18" x14ac:dyDescent="0.25">
      <c r="A3" s="878"/>
      <c r="B3" s="844"/>
      <c r="C3" s="844"/>
      <c r="D3" s="844"/>
      <c r="E3" s="844"/>
      <c r="F3" s="844"/>
      <c r="G3" s="844"/>
      <c r="H3" s="844"/>
      <c r="I3" s="844"/>
      <c r="J3" s="845"/>
      <c r="K3" s="879" t="s">
        <v>459</v>
      </c>
      <c r="L3" s="902" t="s">
        <v>760</v>
      </c>
      <c r="M3" s="902" t="s">
        <v>761</v>
      </c>
      <c r="N3" s="879" t="s">
        <v>166</v>
      </c>
      <c r="O3" s="879" t="s">
        <v>762</v>
      </c>
      <c r="P3" s="879" t="s">
        <v>762</v>
      </c>
    </row>
    <row r="4" spans="1:16" ht="18" x14ac:dyDescent="0.25">
      <c r="A4" s="843" t="s">
        <v>829</v>
      </c>
      <c r="B4" s="981"/>
      <c r="C4" s="981"/>
      <c r="D4" s="982"/>
      <c r="E4" s="869"/>
      <c r="F4" s="930"/>
      <c r="G4" s="893"/>
      <c r="H4" s="894"/>
      <c r="I4" s="930"/>
      <c r="J4" s="894"/>
      <c r="K4" s="895"/>
      <c r="L4" s="1531" t="s">
        <v>757</v>
      </c>
      <c r="M4" s="1531"/>
      <c r="N4" s="951" t="s">
        <v>103</v>
      </c>
      <c r="O4" s="895" t="s">
        <v>19</v>
      </c>
      <c r="P4" s="895" t="s">
        <v>19</v>
      </c>
    </row>
    <row r="5" spans="1:16" ht="18" x14ac:dyDescent="0.25">
      <c r="A5" s="846" t="s">
        <v>35</v>
      </c>
      <c r="B5" s="847"/>
      <c r="C5" s="969"/>
      <c r="D5" s="972"/>
      <c r="E5" s="869"/>
      <c r="F5" s="931"/>
      <c r="G5" s="932"/>
      <c r="H5" s="937"/>
      <c r="I5" s="960">
        <v>2020</v>
      </c>
      <c r="J5" s="934">
        <v>2019</v>
      </c>
      <c r="K5" s="934" t="s">
        <v>103</v>
      </c>
      <c r="L5" s="941" t="s">
        <v>156</v>
      </c>
      <c r="M5" s="946" t="s">
        <v>233</v>
      </c>
      <c r="N5" s="952" t="s">
        <v>104</v>
      </c>
      <c r="O5" s="934" t="s">
        <v>837</v>
      </c>
      <c r="P5" s="934" t="s">
        <v>838</v>
      </c>
    </row>
    <row r="6" spans="1:16" ht="18" x14ac:dyDescent="0.25">
      <c r="A6" s="977" t="s">
        <v>30</v>
      </c>
      <c r="B6" s="978"/>
      <c r="C6" s="979"/>
      <c r="D6" s="980">
        <v>890000</v>
      </c>
      <c r="E6" s="869"/>
      <c r="F6" s="938" t="s">
        <v>685</v>
      </c>
      <c r="G6" s="929"/>
      <c r="H6" s="939"/>
      <c r="I6" s="947" t="s">
        <v>3</v>
      </c>
      <c r="J6" s="881" t="s">
        <v>3</v>
      </c>
      <c r="K6" s="881" t="s">
        <v>3</v>
      </c>
      <c r="L6" s="942" t="s">
        <v>3</v>
      </c>
      <c r="M6" s="947" t="s">
        <v>3</v>
      </c>
      <c r="N6" s="942" t="s">
        <v>3</v>
      </c>
      <c r="O6" s="881" t="s">
        <v>3</v>
      </c>
      <c r="P6" s="881" t="s">
        <v>3</v>
      </c>
    </row>
    <row r="7" spans="1:16" ht="18" x14ac:dyDescent="0.25">
      <c r="A7" s="850" t="s">
        <v>833</v>
      </c>
      <c r="C7" s="816"/>
      <c r="D7" s="905">
        <v>50000</v>
      </c>
      <c r="E7" s="869"/>
      <c r="F7" s="912"/>
      <c r="G7" s="827"/>
      <c r="H7" s="855"/>
      <c r="I7" s="958"/>
      <c r="J7" s="853"/>
      <c r="K7" s="855"/>
      <c r="L7" s="943"/>
      <c r="M7" s="948"/>
      <c r="N7" s="953"/>
      <c r="O7" s="921"/>
      <c r="P7" s="921"/>
    </row>
    <row r="8" spans="1:16" ht="18" x14ac:dyDescent="0.25">
      <c r="A8" s="977" t="s">
        <v>32</v>
      </c>
      <c r="B8" s="978"/>
      <c r="C8" s="979"/>
      <c r="D8" s="980">
        <f>SUM(D6:D7)</f>
        <v>940000</v>
      </c>
      <c r="E8" s="869"/>
      <c r="F8" s="912" t="s">
        <v>834</v>
      </c>
      <c r="G8" s="827"/>
      <c r="H8" s="855"/>
      <c r="I8" s="958">
        <f>+D8+D12</f>
        <v>1170000</v>
      </c>
      <c r="J8" s="853">
        <f>+D6+D10</f>
        <v>1058000</v>
      </c>
      <c r="K8" s="853">
        <f>+J8-I8</f>
        <v>-112000</v>
      </c>
      <c r="L8" s="943"/>
      <c r="M8" s="949">
        <f>+L19</f>
        <v>62000</v>
      </c>
      <c r="N8" s="954">
        <f>+K8+M8-L8</f>
        <v>-50000</v>
      </c>
      <c r="O8" s="922">
        <f>+N8</f>
        <v>-50000</v>
      </c>
      <c r="P8" s="922"/>
    </row>
    <row r="9" spans="1:16" ht="18" x14ac:dyDescent="0.25">
      <c r="A9" s="846" t="s">
        <v>830</v>
      </c>
      <c r="B9" s="847"/>
      <c r="C9" s="969"/>
      <c r="D9" s="972"/>
      <c r="E9" s="869"/>
      <c r="F9" s="912" t="s">
        <v>835</v>
      </c>
      <c r="G9" s="827"/>
      <c r="H9" s="855"/>
      <c r="I9" s="958">
        <f>+D18+D22</f>
        <v>1070000</v>
      </c>
      <c r="J9" s="853">
        <f>+D16+D20</f>
        <v>1033000</v>
      </c>
      <c r="K9" s="853">
        <f>+J9-I9</f>
        <v>-37000</v>
      </c>
      <c r="L9" s="943"/>
      <c r="M9" s="949">
        <f>+L20</f>
        <v>22000</v>
      </c>
      <c r="N9" s="954">
        <f>+K9+M9-L9</f>
        <v>-15000</v>
      </c>
      <c r="O9" s="922"/>
      <c r="P9" s="922">
        <f>+N9</f>
        <v>-15000</v>
      </c>
    </row>
    <row r="10" spans="1:16" ht="18" x14ac:dyDescent="0.25">
      <c r="A10" s="977" t="s">
        <v>30</v>
      </c>
      <c r="B10" s="978"/>
      <c r="C10" s="979"/>
      <c r="D10" s="980">
        <v>168000</v>
      </c>
      <c r="E10" s="869"/>
      <c r="F10" s="912"/>
      <c r="G10" s="827"/>
      <c r="H10" s="855"/>
      <c r="I10" s="958"/>
      <c r="J10" s="853"/>
      <c r="K10" s="853"/>
      <c r="L10" s="943"/>
      <c r="M10" s="948"/>
      <c r="N10" s="954"/>
      <c r="O10" s="922"/>
      <c r="P10" s="922"/>
    </row>
    <row r="11" spans="1:16" ht="18" x14ac:dyDescent="0.25">
      <c r="A11" s="850" t="s">
        <v>831</v>
      </c>
      <c r="C11" s="816"/>
      <c r="D11" s="905">
        <v>62000</v>
      </c>
      <c r="E11" s="869"/>
      <c r="F11" s="912"/>
      <c r="G11" s="827"/>
      <c r="H11" s="855"/>
      <c r="I11" s="958"/>
      <c r="J11" s="853"/>
      <c r="K11" s="853"/>
      <c r="L11" s="943"/>
      <c r="M11" s="949"/>
      <c r="N11" s="954"/>
      <c r="O11" s="922"/>
      <c r="P11" s="922"/>
    </row>
    <row r="12" spans="1:16" ht="18" x14ac:dyDescent="0.25">
      <c r="A12" s="977" t="s">
        <v>32</v>
      </c>
      <c r="B12" s="978"/>
      <c r="C12" s="979"/>
      <c r="D12" s="980">
        <f>SUM(D10:D11)</f>
        <v>230000</v>
      </c>
      <c r="E12" s="869"/>
      <c r="F12" s="912"/>
      <c r="G12" s="827"/>
      <c r="H12" s="855"/>
      <c r="I12" s="958"/>
      <c r="J12" s="853"/>
      <c r="K12" s="853"/>
      <c r="L12" s="944"/>
      <c r="M12" s="949"/>
      <c r="N12" s="954"/>
      <c r="O12" s="922"/>
      <c r="P12" s="922"/>
    </row>
    <row r="13" spans="1:16" ht="18" x14ac:dyDescent="0.25">
      <c r="A13" s="850"/>
      <c r="D13" s="905"/>
      <c r="E13" s="869"/>
      <c r="F13" s="912"/>
      <c r="G13" s="827"/>
      <c r="H13" s="855"/>
      <c r="I13" s="958"/>
      <c r="J13" s="853"/>
      <c r="K13" s="853"/>
      <c r="L13" s="944"/>
      <c r="M13" s="949"/>
      <c r="N13" s="954"/>
      <c r="O13" s="922"/>
      <c r="P13" s="922"/>
    </row>
    <row r="14" spans="1:16" ht="18" x14ac:dyDescent="0.25">
      <c r="A14" s="973" t="s">
        <v>832</v>
      </c>
      <c r="B14" s="970"/>
      <c r="C14" s="970"/>
      <c r="D14" s="971"/>
      <c r="E14" s="869"/>
      <c r="F14" s="912"/>
      <c r="G14" s="827"/>
      <c r="H14" s="855"/>
      <c r="I14" s="958"/>
      <c r="J14" s="853"/>
      <c r="K14" s="853"/>
      <c r="L14" s="944"/>
      <c r="M14" s="948"/>
      <c r="N14" s="954"/>
      <c r="O14" s="922"/>
      <c r="P14" s="922"/>
    </row>
    <row r="15" spans="1:16" ht="18" x14ac:dyDescent="0.25">
      <c r="A15" s="846" t="s">
        <v>35</v>
      </c>
      <c r="B15" s="847"/>
      <c r="C15" s="969"/>
      <c r="D15" s="972"/>
      <c r="E15" s="869"/>
      <c r="F15" s="912"/>
      <c r="G15" s="827"/>
      <c r="H15" s="855"/>
      <c r="I15" s="958"/>
      <c r="J15" s="853"/>
      <c r="K15" s="853"/>
      <c r="L15" s="944"/>
      <c r="M15" s="949"/>
      <c r="N15" s="954"/>
      <c r="O15" s="922"/>
      <c r="P15" s="922"/>
    </row>
    <row r="16" spans="1:16" ht="18" x14ac:dyDescent="0.25">
      <c r="A16" s="977" t="s">
        <v>30</v>
      </c>
      <c r="B16" s="978"/>
      <c r="C16" s="979"/>
      <c r="D16" s="980">
        <v>965000</v>
      </c>
      <c r="E16" s="869"/>
      <c r="F16" s="912"/>
      <c r="G16" s="827"/>
      <c r="H16" s="855"/>
      <c r="I16" s="958"/>
      <c r="J16" s="853"/>
      <c r="K16" s="853"/>
      <c r="L16" s="944"/>
      <c r="M16" s="949"/>
      <c r="N16" s="954"/>
      <c r="O16" s="922"/>
      <c r="P16" s="922"/>
    </row>
    <row r="17" spans="1:150" ht="18" x14ac:dyDescent="0.25">
      <c r="A17" s="850" t="s">
        <v>34</v>
      </c>
      <c r="C17" s="816"/>
      <c r="D17" s="905">
        <v>15000</v>
      </c>
      <c r="E17" s="869"/>
      <c r="F17" s="912"/>
      <c r="G17" s="827"/>
      <c r="H17" s="855"/>
      <c r="I17" s="958"/>
      <c r="J17" s="853"/>
      <c r="K17" s="853"/>
      <c r="L17" s="944"/>
      <c r="M17" s="948"/>
      <c r="N17" s="954"/>
      <c r="O17" s="921"/>
      <c r="P17" s="921"/>
    </row>
    <row r="18" spans="1:150" ht="18" x14ac:dyDescent="0.25">
      <c r="A18" s="977" t="s">
        <v>32</v>
      </c>
      <c r="B18" s="978"/>
      <c r="C18" s="979"/>
      <c r="D18" s="980">
        <f>SUM(D16:D17)</f>
        <v>980000</v>
      </c>
      <c r="E18" s="869"/>
      <c r="F18" s="912" t="s">
        <v>836</v>
      </c>
      <c r="G18" s="827"/>
      <c r="H18" s="855"/>
      <c r="I18" s="958"/>
      <c r="J18" s="855"/>
      <c r="K18" s="853"/>
      <c r="L18" s="944"/>
      <c r="M18" s="949"/>
      <c r="N18" s="954"/>
      <c r="O18" s="922"/>
      <c r="P18" s="922"/>
    </row>
    <row r="19" spans="1:150" ht="18" x14ac:dyDescent="0.25">
      <c r="A19" s="846" t="s">
        <v>830</v>
      </c>
      <c r="B19" s="847"/>
      <c r="C19" s="969"/>
      <c r="D19" s="972"/>
      <c r="F19" s="975" t="s">
        <v>834</v>
      </c>
      <c r="G19" s="864"/>
      <c r="H19" s="855"/>
      <c r="I19" s="958">
        <f>-D11</f>
        <v>-62000</v>
      </c>
      <c r="J19" s="855"/>
      <c r="K19" s="853">
        <f>+J19-I19</f>
        <v>62000</v>
      </c>
      <c r="L19" s="944">
        <f>+K19</f>
        <v>62000</v>
      </c>
      <c r="M19" s="949"/>
      <c r="N19" s="954"/>
      <c r="O19" s="922"/>
      <c r="P19" s="922"/>
    </row>
    <row r="20" spans="1:150" ht="18" x14ac:dyDescent="0.25">
      <c r="A20" s="977" t="s">
        <v>30</v>
      </c>
      <c r="B20" s="978"/>
      <c r="C20" s="979"/>
      <c r="D20" s="980">
        <v>68000</v>
      </c>
      <c r="F20" s="975" t="s">
        <v>835</v>
      </c>
      <c r="G20" s="864"/>
      <c r="H20" s="855"/>
      <c r="I20" s="958">
        <f>-D21</f>
        <v>-22000</v>
      </c>
      <c r="J20" s="855"/>
      <c r="K20" s="853">
        <f>+J20-I20</f>
        <v>22000</v>
      </c>
      <c r="L20" s="944">
        <f>+K20</f>
        <v>22000</v>
      </c>
      <c r="M20" s="949"/>
      <c r="N20" s="954"/>
      <c r="O20" s="922"/>
      <c r="P20" s="922"/>
    </row>
    <row r="21" spans="1:150" ht="18" x14ac:dyDescent="0.25">
      <c r="A21" s="850" t="s">
        <v>831</v>
      </c>
      <c r="C21" s="816"/>
      <c r="D21" s="905">
        <v>22000</v>
      </c>
      <c r="F21" s="913"/>
      <c r="G21" s="914"/>
      <c r="H21" s="916"/>
      <c r="I21" s="913"/>
      <c r="J21" s="916"/>
      <c r="K21" s="917"/>
      <c r="L21" s="945"/>
      <c r="M21" s="950"/>
      <c r="N21" s="955"/>
      <c r="O21" s="922"/>
      <c r="P21" s="922"/>
    </row>
    <row r="22" spans="1:150" ht="18" x14ac:dyDescent="0.25">
      <c r="A22" s="983" t="s">
        <v>32</v>
      </c>
      <c r="B22" s="984"/>
      <c r="C22" s="985"/>
      <c r="D22" s="986">
        <f>SUM(D20:D21)</f>
        <v>90000</v>
      </c>
      <c r="F22" s="869"/>
      <c r="G22" s="869"/>
      <c r="H22" s="869"/>
      <c r="I22" s="869"/>
      <c r="J22" s="869"/>
      <c r="K22" s="869"/>
      <c r="L22" s="962">
        <f>SUM(L7:L21)</f>
        <v>84000</v>
      </c>
      <c r="M22" s="963">
        <f>SUM(M7:M21)</f>
        <v>84000</v>
      </c>
      <c r="N22" s="870"/>
      <c r="O22" s="961">
        <f>SUM(O7:O21)</f>
        <v>-50000</v>
      </c>
      <c r="P22" s="961">
        <f>SUM(P7:P21)</f>
        <v>-15000</v>
      </c>
    </row>
    <row r="23" spans="1:150" ht="18" x14ac:dyDescent="0.25">
      <c r="F23" s="869"/>
      <c r="G23" s="869"/>
      <c r="H23" s="869"/>
      <c r="I23" s="869"/>
      <c r="J23" s="869"/>
      <c r="K23" s="869"/>
      <c r="L23" s="869"/>
      <c r="M23" s="869"/>
      <c r="N23" s="869"/>
    </row>
    <row r="24" spans="1:150" ht="18" x14ac:dyDescent="0.25">
      <c r="F24" s="869"/>
      <c r="G24" s="869"/>
      <c r="H24" s="869"/>
      <c r="I24" s="869"/>
      <c r="J24" s="869"/>
      <c r="K24" s="869"/>
      <c r="L24" s="869"/>
      <c r="M24" s="869"/>
      <c r="N24" s="869"/>
    </row>
    <row r="25" spans="1:150" ht="18.75" customHeight="1" x14ac:dyDescent="0.25">
      <c r="F25" s="869"/>
      <c r="G25" s="869"/>
      <c r="H25" s="869"/>
      <c r="I25" s="869"/>
      <c r="J25" s="869"/>
      <c r="K25" s="869"/>
      <c r="L25" s="869"/>
      <c r="M25" s="869"/>
      <c r="N25" s="869"/>
    </row>
    <row r="26" spans="1:150" s="815" customFormat="1" ht="18.75" customHeight="1" x14ac:dyDescent="0.25">
      <c r="F26" s="869"/>
      <c r="G26" s="869"/>
      <c r="H26" s="869"/>
      <c r="I26" s="869"/>
      <c r="J26" s="869"/>
      <c r="K26" s="869"/>
      <c r="L26" s="869"/>
      <c r="M26" s="869"/>
      <c r="N26" s="869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</row>
    <row r="27" spans="1:150" s="815" customFormat="1" ht="0" hidden="1" customHeight="1" x14ac:dyDescent="0.25"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</row>
    <row r="28" spans="1:150" s="815" customFormat="1" ht="0" hidden="1" customHeight="1" x14ac:dyDescent="0.25"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</row>
    <row r="29" spans="1:150" s="815" customFormat="1" ht="0" hidden="1" customHeight="1" x14ac:dyDescent="0.25"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</row>
    <row r="30" spans="1:150" s="815" customFormat="1" ht="0" hidden="1" customHeight="1" x14ac:dyDescent="0.25"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</row>
    <row r="31" spans="1:150" s="815" customFormat="1" ht="0" hidden="1" customHeight="1" x14ac:dyDescent="0.25"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</row>
    <row r="32" spans="1:150" s="815" customFormat="1" ht="0" hidden="1" customHeight="1" x14ac:dyDescent="0.25"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</row>
    <row r="33" spans="18:150" s="815" customFormat="1" ht="0" hidden="1" customHeight="1" x14ac:dyDescent="0.25"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</row>
    <row r="34" spans="18:150" s="815" customFormat="1" ht="0" hidden="1" customHeight="1" x14ac:dyDescent="0.25"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</row>
    <row r="35" spans="18:150" s="815" customFormat="1" ht="0" hidden="1" customHeight="1" x14ac:dyDescent="0.25"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</row>
    <row r="36" spans="18:150" s="815" customFormat="1" ht="0" hidden="1" customHeight="1" x14ac:dyDescent="0.25"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</row>
    <row r="37" spans="18:150" s="815" customFormat="1" ht="0" hidden="1" customHeight="1" x14ac:dyDescent="0.25"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</row>
  </sheetData>
  <mergeCells count="1">
    <mergeCell ref="L4:M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9B76-5447-4139-B7BB-CEDF663318A0}">
  <sheetPr>
    <tabColor rgb="FF7030A0"/>
  </sheetPr>
  <dimension ref="A1:FG33"/>
  <sheetViews>
    <sheetView showGridLines="0" zoomScaleNormal="100" workbookViewId="0">
      <selection activeCell="J9" sqref="J9"/>
    </sheetView>
  </sheetViews>
  <sheetFormatPr baseColWidth="10" defaultColWidth="0" defaultRowHeight="0" customHeight="1" zeroHeight="1" x14ac:dyDescent="0.25"/>
  <cols>
    <col min="1" max="1" width="17" style="815" customWidth="1"/>
    <col min="2" max="2" width="17.7109375" style="815" customWidth="1"/>
    <col min="3" max="3" width="13.140625" style="815" customWidth="1"/>
    <col min="4" max="4" width="15.7109375" style="815" customWidth="1"/>
    <col min="5" max="5" width="2.85546875" style="815" customWidth="1"/>
    <col min="6" max="7" width="15.7109375" style="815" customWidth="1"/>
    <col min="8" max="8" width="7.85546875" style="815" customWidth="1"/>
    <col min="9" max="9" width="12.7109375" style="815" customWidth="1"/>
    <col min="10" max="10" width="12.42578125" style="815" customWidth="1"/>
    <col min="11" max="11" width="13.140625" style="815" bestFit="1" customWidth="1"/>
    <col min="12" max="12" width="12.42578125" style="815" customWidth="1"/>
    <col min="13" max="13" width="11.85546875" style="815" customWidth="1"/>
    <col min="14" max="14" width="12.85546875" style="815" customWidth="1"/>
    <col min="15" max="15" width="15.28515625" style="815" customWidth="1"/>
    <col min="16" max="17" width="14.140625" style="815" customWidth="1"/>
    <col min="18" max="19" width="15.7109375" style="815" customWidth="1"/>
    <col min="20" max="163" width="0" hidden="1" customWidth="1"/>
    <col min="164" max="16384" width="11.42578125" hidden="1"/>
  </cols>
  <sheetData>
    <row r="1" spans="1:17" ht="18" x14ac:dyDescent="0.25">
      <c r="A1" s="835" t="s">
        <v>849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  <c r="P1" s="835"/>
      <c r="Q1" s="835"/>
    </row>
    <row r="2" spans="1:17" ht="18" x14ac:dyDescent="0.25">
      <c r="A2" s="840"/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  <c r="P2" s="840"/>
      <c r="Q2" s="840"/>
    </row>
    <row r="3" spans="1:17" ht="18" x14ac:dyDescent="0.25">
      <c r="A3" s="843" t="s">
        <v>850</v>
      </c>
      <c r="B3" s="981"/>
      <c r="C3" s="981"/>
      <c r="D3" s="982"/>
      <c r="E3" s="844"/>
      <c r="F3" s="844"/>
      <c r="G3" s="844"/>
      <c r="H3" s="844"/>
      <c r="I3" s="844"/>
      <c r="J3" s="845"/>
      <c r="K3" s="879" t="s">
        <v>459</v>
      </c>
      <c r="L3" s="902" t="s">
        <v>760</v>
      </c>
      <c r="M3" s="902" t="s">
        <v>761</v>
      </c>
      <c r="N3" s="879" t="s">
        <v>166</v>
      </c>
      <c r="O3" s="879" t="s">
        <v>762</v>
      </c>
      <c r="P3" s="879" t="s">
        <v>762</v>
      </c>
      <c r="Q3" s="879" t="s">
        <v>762</v>
      </c>
    </row>
    <row r="4" spans="1:17" ht="18" x14ac:dyDescent="0.25">
      <c r="A4" s="846" t="s">
        <v>35</v>
      </c>
      <c r="B4" s="847"/>
      <c r="C4" s="969"/>
      <c r="D4" s="972"/>
      <c r="E4" s="869"/>
      <c r="F4" s="930"/>
      <c r="G4" s="893"/>
      <c r="H4" s="894"/>
      <c r="I4" s="930"/>
      <c r="J4" s="894"/>
      <c r="K4" s="895"/>
      <c r="L4" s="1531" t="s">
        <v>757</v>
      </c>
      <c r="M4" s="1531"/>
      <c r="N4" s="951" t="s">
        <v>103</v>
      </c>
      <c r="O4" s="895" t="s">
        <v>128</v>
      </c>
      <c r="P4" s="895" t="s">
        <v>380</v>
      </c>
      <c r="Q4" s="895" t="s">
        <v>859</v>
      </c>
    </row>
    <row r="5" spans="1:17" ht="18" x14ac:dyDescent="0.25">
      <c r="A5" s="977" t="s">
        <v>30</v>
      </c>
      <c r="B5" s="978"/>
      <c r="C5" s="979"/>
      <c r="D5" s="980">
        <v>92000</v>
      </c>
      <c r="E5" s="869"/>
      <c r="F5" s="931"/>
      <c r="G5" s="932"/>
      <c r="H5" s="937"/>
      <c r="I5" s="960">
        <v>2020</v>
      </c>
      <c r="J5" s="934">
        <v>2019</v>
      </c>
      <c r="K5" s="934" t="s">
        <v>103</v>
      </c>
      <c r="L5" s="941" t="s">
        <v>156</v>
      </c>
      <c r="M5" s="946" t="s">
        <v>233</v>
      </c>
      <c r="N5" s="952" t="s">
        <v>104</v>
      </c>
      <c r="O5" s="934" t="s">
        <v>858</v>
      </c>
      <c r="P5" s="934" t="s">
        <v>807</v>
      </c>
      <c r="Q5" s="934" t="s">
        <v>860</v>
      </c>
    </row>
    <row r="6" spans="1:17" ht="18" x14ac:dyDescent="0.25">
      <c r="A6" s="850" t="s">
        <v>34</v>
      </c>
      <c r="C6" s="816"/>
      <c r="D6" s="905">
        <v>50000</v>
      </c>
      <c r="E6" s="869"/>
      <c r="F6" s="938" t="s">
        <v>685</v>
      </c>
      <c r="G6" s="929"/>
      <c r="H6" s="939"/>
      <c r="I6" s="947" t="s">
        <v>3</v>
      </c>
      <c r="J6" s="881" t="s">
        <v>3</v>
      </c>
      <c r="K6" s="881" t="s">
        <v>3</v>
      </c>
      <c r="L6" s="942" t="s">
        <v>3</v>
      </c>
      <c r="M6" s="947" t="s">
        <v>3</v>
      </c>
      <c r="N6" s="942" t="s">
        <v>3</v>
      </c>
      <c r="O6" s="881" t="s">
        <v>3</v>
      </c>
      <c r="P6" s="881" t="s">
        <v>3</v>
      </c>
      <c r="Q6" s="881" t="s">
        <v>3</v>
      </c>
    </row>
    <row r="7" spans="1:17" ht="18" x14ac:dyDescent="0.25">
      <c r="A7" s="850" t="s">
        <v>855</v>
      </c>
      <c r="C7" s="816"/>
      <c r="D7" s="905">
        <v>-40000</v>
      </c>
      <c r="E7" s="869"/>
      <c r="F7" s="912"/>
      <c r="G7" s="827"/>
      <c r="H7" s="855"/>
      <c r="I7" s="958"/>
      <c r="J7" s="853"/>
      <c r="K7" s="855"/>
      <c r="L7" s="943"/>
      <c r="M7" s="948"/>
      <c r="N7" s="953"/>
      <c r="O7" s="921"/>
      <c r="P7" s="921"/>
      <c r="Q7" s="921"/>
    </row>
    <row r="8" spans="1:17" ht="18" x14ac:dyDescent="0.25">
      <c r="A8" s="977" t="s">
        <v>32</v>
      </c>
      <c r="B8" s="978"/>
      <c r="C8" s="979"/>
      <c r="D8" s="980">
        <f>SUM(D5:D7)</f>
        <v>102000</v>
      </c>
      <c r="E8" s="869"/>
      <c r="F8" s="912" t="s">
        <v>852</v>
      </c>
      <c r="G8" s="827"/>
      <c r="H8" s="855"/>
      <c r="I8" s="958">
        <f>+D8+D12</f>
        <v>113400</v>
      </c>
      <c r="J8" s="853">
        <f>+D5+D10</f>
        <v>100000</v>
      </c>
      <c r="K8" s="853">
        <f>+J8-I8</f>
        <v>-13400</v>
      </c>
      <c r="L8" s="944">
        <f>+M15</f>
        <v>40000</v>
      </c>
      <c r="M8" s="949">
        <f>+L14</f>
        <v>3400</v>
      </c>
      <c r="N8" s="954">
        <f>+K8+M8-L8</f>
        <v>-50000</v>
      </c>
      <c r="O8" s="922">
        <f>+N8</f>
        <v>-50000</v>
      </c>
      <c r="P8" s="922"/>
      <c r="Q8" s="922"/>
    </row>
    <row r="9" spans="1:17" ht="18" x14ac:dyDescent="0.25">
      <c r="A9" s="846" t="s">
        <v>830</v>
      </c>
      <c r="B9" s="847"/>
      <c r="C9" s="969"/>
      <c r="D9" s="972"/>
      <c r="E9" s="869"/>
      <c r="F9" s="912"/>
      <c r="G9" s="827"/>
      <c r="H9" s="855"/>
      <c r="I9" s="958"/>
      <c r="J9" s="853"/>
      <c r="K9" s="853"/>
      <c r="L9" s="943"/>
      <c r="M9" s="949"/>
      <c r="N9" s="954"/>
      <c r="O9" s="922"/>
      <c r="P9" s="922"/>
      <c r="Q9" s="922"/>
    </row>
    <row r="10" spans="1:17" ht="18" x14ac:dyDescent="0.25">
      <c r="A10" s="977" t="s">
        <v>30</v>
      </c>
      <c r="B10" s="978"/>
      <c r="C10" s="979"/>
      <c r="D10" s="980">
        <v>8000</v>
      </c>
      <c r="E10" s="869"/>
      <c r="F10" s="912"/>
      <c r="G10" s="827"/>
      <c r="H10" s="855"/>
      <c r="I10" s="958"/>
      <c r="J10" s="853"/>
      <c r="K10" s="853"/>
      <c r="L10" s="943"/>
      <c r="M10" s="948"/>
      <c r="N10" s="954"/>
      <c r="O10" s="922"/>
      <c r="P10" s="922"/>
      <c r="Q10" s="922"/>
    </row>
    <row r="11" spans="1:17" ht="18" x14ac:dyDescent="0.25">
      <c r="A11" s="850" t="s">
        <v>831</v>
      </c>
      <c r="C11" s="816"/>
      <c r="D11" s="905">
        <v>3400</v>
      </c>
      <c r="E11" s="869"/>
      <c r="F11" s="912"/>
      <c r="G11" s="827"/>
      <c r="H11" s="855"/>
      <c r="I11" s="958"/>
      <c r="J11" s="853"/>
      <c r="K11" s="853"/>
      <c r="L11" s="943"/>
      <c r="M11" s="949"/>
      <c r="N11" s="954"/>
      <c r="O11" s="922"/>
      <c r="P11" s="922"/>
      <c r="Q11" s="922"/>
    </row>
    <row r="12" spans="1:17" ht="18" x14ac:dyDescent="0.25">
      <c r="A12" s="977" t="s">
        <v>32</v>
      </c>
      <c r="B12" s="978"/>
      <c r="C12" s="979"/>
      <c r="D12" s="980">
        <f>SUM(D10:D11)</f>
        <v>11400</v>
      </c>
      <c r="E12" s="869"/>
      <c r="F12" s="912" t="s">
        <v>854</v>
      </c>
      <c r="G12" s="827"/>
      <c r="H12" s="855"/>
      <c r="I12" s="958">
        <f>+D16</f>
        <v>1000</v>
      </c>
      <c r="J12" s="853"/>
      <c r="K12" s="853">
        <f t="shared" ref="K12:K15" si="0">+J12-I12</f>
        <v>-1000</v>
      </c>
      <c r="L12" s="944"/>
      <c r="M12" s="948"/>
      <c r="N12" s="954">
        <f t="shared" ref="N12:N15" si="1">+K12+M12-L12</f>
        <v>-1000</v>
      </c>
      <c r="O12" s="922">
        <f>+N12</f>
        <v>-1000</v>
      </c>
      <c r="P12" s="921"/>
      <c r="Q12" s="921"/>
    </row>
    <row r="13" spans="1:17" ht="18" x14ac:dyDescent="0.25">
      <c r="A13" s="850"/>
      <c r="D13" s="905"/>
      <c r="E13" s="869"/>
      <c r="F13" s="912" t="s">
        <v>250</v>
      </c>
      <c r="G13" s="827"/>
      <c r="H13" s="855"/>
      <c r="I13" s="958">
        <f>-D15</f>
        <v>-2300</v>
      </c>
      <c r="J13" s="853"/>
      <c r="K13" s="853">
        <f t="shared" si="0"/>
        <v>2300</v>
      </c>
      <c r="L13" s="944"/>
      <c r="M13" s="948"/>
      <c r="N13" s="954">
        <f t="shared" si="1"/>
        <v>2300</v>
      </c>
      <c r="O13" s="921"/>
      <c r="P13" s="922">
        <f>+N13</f>
        <v>2300</v>
      </c>
      <c r="Q13" s="921"/>
    </row>
    <row r="14" spans="1:17" ht="18" x14ac:dyDescent="0.25">
      <c r="A14" s="850" t="s">
        <v>856</v>
      </c>
      <c r="D14" s="905">
        <v>43200</v>
      </c>
      <c r="E14" s="869"/>
      <c r="F14" s="912" t="s">
        <v>836</v>
      </c>
      <c r="G14" s="827"/>
      <c r="H14" s="855"/>
      <c r="I14" s="958">
        <f>+-D11</f>
        <v>-3400</v>
      </c>
      <c r="J14" s="855"/>
      <c r="K14" s="853">
        <f t="shared" si="0"/>
        <v>3400</v>
      </c>
      <c r="L14" s="944">
        <f>+D11</f>
        <v>3400</v>
      </c>
      <c r="M14" s="949"/>
      <c r="N14" s="954">
        <f t="shared" si="1"/>
        <v>0</v>
      </c>
      <c r="O14" s="922"/>
      <c r="P14" s="922"/>
      <c r="Q14" s="921"/>
    </row>
    <row r="15" spans="1:17" ht="18" x14ac:dyDescent="0.25">
      <c r="A15" s="850" t="s">
        <v>853</v>
      </c>
      <c r="D15" s="905">
        <v>2300</v>
      </c>
      <c r="E15" s="869"/>
      <c r="F15" s="912" t="s">
        <v>857</v>
      </c>
      <c r="G15" s="827"/>
      <c r="H15" s="855"/>
      <c r="I15" s="958">
        <f>-(D14+D7)</f>
        <v>-3200</v>
      </c>
      <c r="J15" s="855"/>
      <c r="K15" s="853">
        <f t="shared" si="0"/>
        <v>3200</v>
      </c>
      <c r="L15" s="944"/>
      <c r="M15" s="949">
        <f>-D7</f>
        <v>40000</v>
      </c>
      <c r="N15" s="954">
        <f t="shared" si="1"/>
        <v>43200</v>
      </c>
      <c r="O15" s="922"/>
      <c r="P15" s="922"/>
      <c r="Q15" s="922">
        <f>+N15</f>
        <v>43200</v>
      </c>
    </row>
    <row r="16" spans="1:17" ht="18" x14ac:dyDescent="0.25">
      <c r="A16" s="964" t="s">
        <v>851</v>
      </c>
      <c r="B16" s="965"/>
      <c r="C16" s="965"/>
      <c r="D16" s="1003">
        <f>+D6*2%</f>
        <v>1000</v>
      </c>
      <c r="E16" s="869"/>
      <c r="F16" s="913"/>
      <c r="G16" s="914"/>
      <c r="H16" s="916"/>
      <c r="I16" s="913"/>
      <c r="J16" s="916"/>
      <c r="K16" s="917"/>
      <c r="L16" s="945"/>
      <c r="M16" s="950"/>
      <c r="N16" s="955"/>
      <c r="O16" s="922"/>
      <c r="P16" s="922"/>
      <c r="Q16" s="922"/>
    </row>
    <row r="17" spans="5:152" ht="18" x14ac:dyDescent="0.25">
      <c r="E17" s="869"/>
      <c r="F17" s="869"/>
      <c r="G17" s="869"/>
      <c r="H17" s="869"/>
      <c r="I17" s="869"/>
      <c r="J17" s="869"/>
      <c r="K17" s="869"/>
      <c r="L17" s="962">
        <f>SUM(L7:L16)</f>
        <v>43400</v>
      </c>
      <c r="M17" s="963">
        <f>SUM(M7:M16)</f>
        <v>43400</v>
      </c>
      <c r="N17" s="870"/>
      <c r="O17" s="961">
        <f>SUM(O7:O16)</f>
        <v>-51000</v>
      </c>
      <c r="P17" s="961">
        <f>SUM(P7:P16)</f>
        <v>2300</v>
      </c>
      <c r="Q17" s="961">
        <f>SUM(Q7:Q16)</f>
        <v>43200</v>
      </c>
    </row>
    <row r="18" spans="5:152" ht="18" x14ac:dyDescent="0.25">
      <c r="E18" s="869"/>
      <c r="F18" s="869"/>
      <c r="G18" s="869"/>
      <c r="H18" s="869"/>
      <c r="I18" s="869"/>
      <c r="J18" s="869"/>
      <c r="K18" s="869"/>
      <c r="L18" s="869"/>
      <c r="M18" s="869"/>
      <c r="N18" s="869"/>
    </row>
    <row r="19" spans="5:152" ht="18" x14ac:dyDescent="0.25">
      <c r="E19" s="869"/>
      <c r="F19" s="869"/>
      <c r="G19" s="869"/>
      <c r="H19" s="869"/>
      <c r="I19" s="869"/>
      <c r="J19" s="869"/>
      <c r="K19" s="869"/>
      <c r="L19" s="869"/>
      <c r="M19" s="869"/>
      <c r="N19" s="869"/>
    </row>
    <row r="20" spans="5:152" ht="18" x14ac:dyDescent="0.25">
      <c r="E20" s="869"/>
      <c r="F20" s="869"/>
      <c r="G20" s="869"/>
      <c r="H20" s="869"/>
      <c r="I20" s="869"/>
      <c r="J20" s="869"/>
      <c r="K20" s="869"/>
      <c r="L20" s="869"/>
      <c r="M20" s="869"/>
      <c r="N20" s="869"/>
    </row>
    <row r="21" spans="5:152" ht="18" x14ac:dyDescent="0.25">
      <c r="F21" s="869"/>
      <c r="G21" s="869"/>
      <c r="H21" s="869"/>
      <c r="I21" s="869"/>
      <c r="J21" s="869"/>
      <c r="K21" s="869"/>
      <c r="L21" s="869"/>
      <c r="M21" s="869"/>
      <c r="N21" s="869"/>
    </row>
    <row r="22" spans="5:152" ht="18" x14ac:dyDescent="0.25">
      <c r="F22" s="869"/>
      <c r="G22" s="869"/>
      <c r="H22" s="869"/>
      <c r="I22" s="869"/>
      <c r="J22" s="869"/>
      <c r="K22" s="869"/>
      <c r="L22" s="869"/>
      <c r="M22" s="869"/>
      <c r="N22" s="869"/>
    </row>
    <row r="23" spans="5:152" s="815" customFormat="1" ht="0" hidden="1" customHeight="1" x14ac:dyDescent="0.25"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</row>
    <row r="24" spans="5:152" s="815" customFormat="1" ht="0" hidden="1" customHeight="1" x14ac:dyDescent="0.25"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</row>
    <row r="25" spans="5:152" s="815" customFormat="1" ht="0" hidden="1" customHeight="1" x14ac:dyDescent="0.25"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</row>
    <row r="26" spans="5:152" s="815" customFormat="1" ht="0" hidden="1" customHeight="1" x14ac:dyDescent="0.25"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</row>
    <row r="27" spans="5:152" s="815" customFormat="1" ht="0" hidden="1" customHeight="1" x14ac:dyDescent="0.25"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</row>
    <row r="28" spans="5:152" s="815" customFormat="1" ht="0" hidden="1" customHeight="1" x14ac:dyDescent="0.25"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</row>
    <row r="29" spans="5:152" s="815" customFormat="1" ht="0" hidden="1" customHeight="1" x14ac:dyDescent="0.25"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</row>
    <row r="30" spans="5:152" s="815" customFormat="1" ht="0" hidden="1" customHeight="1" x14ac:dyDescent="0.25"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</row>
    <row r="31" spans="5:152" s="815" customFormat="1" ht="0" hidden="1" customHeight="1" x14ac:dyDescent="0.25"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</row>
    <row r="32" spans="5:152" s="815" customFormat="1" ht="0" hidden="1" customHeight="1" x14ac:dyDescent="0.25"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</row>
    <row r="33" spans="20:152" s="815" customFormat="1" ht="0" hidden="1" customHeight="1" x14ac:dyDescent="0.25"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</row>
  </sheetData>
  <mergeCells count="1">
    <mergeCell ref="L4:M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57387-40B4-4C09-8697-C17ABBBD2483}">
  <sheetPr>
    <tabColor rgb="FF7030A0"/>
  </sheetPr>
  <dimension ref="A1:FG72"/>
  <sheetViews>
    <sheetView showGridLines="0" zoomScaleNormal="100" workbookViewId="0">
      <selection activeCell="J9" sqref="J9"/>
    </sheetView>
  </sheetViews>
  <sheetFormatPr baseColWidth="10" defaultColWidth="0" defaultRowHeight="0" customHeight="1" zeroHeight="1" x14ac:dyDescent="0.25"/>
  <cols>
    <col min="1" max="1" width="17" style="815" customWidth="1"/>
    <col min="2" max="2" width="12.5703125" style="815" customWidth="1"/>
    <col min="3" max="3" width="11.5703125" style="815" customWidth="1"/>
    <col min="4" max="4" width="10.28515625" style="815" bestFit="1" customWidth="1"/>
    <col min="5" max="5" width="4.85546875" style="815" bestFit="1" customWidth="1"/>
    <col min="6" max="7" width="15.7109375" style="815" customWidth="1"/>
    <col min="8" max="8" width="12.140625" style="815" bestFit="1" customWidth="1"/>
    <col min="9" max="9" width="13.140625" style="815" bestFit="1" customWidth="1"/>
    <col min="10" max="10" width="13.7109375" style="815" customWidth="1"/>
    <col min="11" max="11" width="13.140625" style="815" bestFit="1" customWidth="1"/>
    <col min="12" max="12" width="12.42578125" style="815" customWidth="1"/>
    <col min="13" max="13" width="11.85546875" style="815" customWidth="1"/>
    <col min="14" max="14" width="12.85546875" style="815" customWidth="1"/>
    <col min="15" max="15" width="15.28515625" style="815" customWidth="1"/>
    <col min="16" max="16" width="15.7109375" style="815" customWidth="1"/>
    <col min="17" max="17" width="4.85546875" style="815" bestFit="1" customWidth="1"/>
    <col min="18" max="163" width="0" hidden="1" customWidth="1"/>
    <col min="164" max="16384" width="11.42578125" hidden="1"/>
  </cols>
  <sheetData>
    <row r="1" spans="1:15" ht="18" x14ac:dyDescent="0.25">
      <c r="A1" s="835" t="s">
        <v>871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</row>
    <row r="2" spans="1:15" ht="18" x14ac:dyDescent="0.25">
      <c r="A2" s="840"/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</row>
    <row r="3" spans="1:15" ht="18" x14ac:dyDescent="0.25">
      <c r="A3" s="1011" t="s">
        <v>861</v>
      </c>
      <c r="B3" s="1012"/>
      <c r="C3" s="1012"/>
      <c r="D3" s="1013"/>
      <c r="E3" s="1014"/>
      <c r="F3" s="1014"/>
      <c r="G3" s="1014"/>
      <c r="H3" s="1014"/>
      <c r="I3" s="1014"/>
      <c r="J3" s="1015"/>
      <c r="K3" s="1016" t="s">
        <v>459</v>
      </c>
      <c r="L3" s="1017" t="s">
        <v>760</v>
      </c>
      <c r="M3" s="1017" t="s">
        <v>761</v>
      </c>
      <c r="N3" s="1016" t="s">
        <v>166</v>
      </c>
      <c r="O3" s="1016" t="s">
        <v>762</v>
      </c>
    </row>
    <row r="4" spans="1:15" ht="18" x14ac:dyDescent="0.25">
      <c r="A4" s="846" t="s">
        <v>862</v>
      </c>
      <c r="B4" s="847"/>
      <c r="C4" s="969"/>
      <c r="D4" s="972"/>
      <c r="E4" s="869"/>
      <c r="F4" s="1007"/>
      <c r="G4" s="1008"/>
      <c r="H4" s="1009"/>
      <c r="I4" s="1007"/>
      <c r="J4" s="1009"/>
      <c r="K4" s="998"/>
      <c r="L4" s="1532" t="s">
        <v>757</v>
      </c>
      <c r="M4" s="1532"/>
      <c r="N4" s="1010" t="s">
        <v>103</v>
      </c>
      <c r="O4" s="998" t="s">
        <v>380</v>
      </c>
    </row>
    <row r="5" spans="1:15" ht="18" x14ac:dyDescent="0.25">
      <c r="A5" s="850" t="s">
        <v>863</v>
      </c>
      <c r="C5" s="816"/>
      <c r="D5" s="905">
        <v>92000</v>
      </c>
      <c r="E5" s="869"/>
      <c r="F5" s="931"/>
      <c r="G5" s="932"/>
      <c r="H5" s="937"/>
      <c r="I5" s="960">
        <v>2020</v>
      </c>
      <c r="J5" s="934">
        <v>2019</v>
      </c>
      <c r="K5" s="934" t="s">
        <v>103</v>
      </c>
      <c r="L5" s="941" t="s">
        <v>156</v>
      </c>
      <c r="M5" s="946" t="s">
        <v>233</v>
      </c>
      <c r="N5" s="952" t="s">
        <v>104</v>
      </c>
      <c r="O5" s="934" t="s">
        <v>258</v>
      </c>
    </row>
    <row r="6" spans="1:15" ht="18" x14ac:dyDescent="0.25">
      <c r="A6" s="850" t="s">
        <v>865</v>
      </c>
      <c r="C6" s="816"/>
      <c r="D6" s="905">
        <v>90000</v>
      </c>
      <c r="E6" s="869"/>
      <c r="F6" s="938" t="s">
        <v>685</v>
      </c>
      <c r="G6" s="929"/>
      <c r="H6" s="939"/>
      <c r="I6" s="947" t="s">
        <v>3</v>
      </c>
      <c r="J6" s="881" t="s">
        <v>3</v>
      </c>
      <c r="K6" s="881" t="s">
        <v>3</v>
      </c>
      <c r="L6" s="942" t="s">
        <v>3</v>
      </c>
      <c r="M6" s="947" t="s">
        <v>3</v>
      </c>
      <c r="N6" s="942" t="s">
        <v>3</v>
      </c>
      <c r="O6" s="881" t="s">
        <v>3</v>
      </c>
    </row>
    <row r="7" spans="1:15" ht="18" x14ac:dyDescent="0.25">
      <c r="A7" s="850" t="s">
        <v>864</v>
      </c>
      <c r="C7" s="816"/>
      <c r="D7" s="1004">
        <v>0.01</v>
      </c>
      <c r="E7" s="869"/>
      <c r="F7" s="912"/>
      <c r="G7" s="827"/>
      <c r="H7" s="855"/>
      <c r="I7" s="958"/>
      <c r="J7" s="853"/>
      <c r="K7" s="855"/>
      <c r="L7" s="943"/>
      <c r="M7" s="948"/>
      <c r="N7" s="953"/>
      <c r="O7" s="921"/>
    </row>
    <row r="8" spans="1:15" ht="18" x14ac:dyDescent="0.25">
      <c r="A8" s="850" t="s">
        <v>866</v>
      </c>
      <c r="C8" s="816"/>
      <c r="D8" s="1005" t="s">
        <v>867</v>
      </c>
      <c r="E8" s="869"/>
      <c r="F8" s="912" t="s">
        <v>870</v>
      </c>
      <c r="G8" s="827"/>
      <c r="H8" s="855"/>
      <c r="I8" s="958">
        <f>+J37</f>
        <v>90540.858066262372</v>
      </c>
      <c r="J8" s="853">
        <f>+G26</f>
        <v>91539.425405193528</v>
      </c>
      <c r="K8" s="853">
        <f>+J8-I8</f>
        <v>998.56733893115597</v>
      </c>
      <c r="L8" s="944"/>
      <c r="M8" s="949"/>
      <c r="N8" s="954">
        <f>+K8+M8-L8</f>
        <v>998.56733893115597</v>
      </c>
      <c r="O8" s="922">
        <f>+N8</f>
        <v>998.56733893115597</v>
      </c>
    </row>
    <row r="9" spans="1:15" ht="18" x14ac:dyDescent="0.25">
      <c r="A9" s="850" t="s">
        <v>629</v>
      </c>
      <c r="C9" s="816"/>
      <c r="D9" s="905">
        <v>24</v>
      </c>
      <c r="E9" s="869"/>
      <c r="F9" s="912"/>
      <c r="G9" s="827"/>
      <c r="H9" s="855"/>
      <c r="I9" s="958"/>
      <c r="J9" s="853"/>
      <c r="K9" s="853"/>
      <c r="L9" s="943"/>
      <c r="M9" s="949"/>
      <c r="N9" s="954"/>
      <c r="O9" s="922"/>
    </row>
    <row r="10" spans="1:15" ht="18" x14ac:dyDescent="0.25">
      <c r="A10" s="850"/>
      <c r="C10" s="816"/>
      <c r="D10" s="905"/>
      <c r="E10" s="869"/>
      <c r="F10" s="912"/>
      <c r="G10" s="827"/>
      <c r="H10" s="855"/>
      <c r="I10" s="958"/>
      <c r="J10" s="853"/>
      <c r="K10" s="853"/>
      <c r="L10" s="943"/>
      <c r="M10" s="948"/>
      <c r="N10" s="954"/>
      <c r="O10" s="922"/>
    </row>
    <row r="11" spans="1:15" ht="18" x14ac:dyDescent="0.25">
      <c r="A11" s="850"/>
      <c r="C11" s="816"/>
      <c r="D11" s="905"/>
      <c r="E11" s="869"/>
      <c r="F11" s="912"/>
      <c r="G11" s="827"/>
      <c r="H11" s="855"/>
      <c r="I11" s="958"/>
      <c r="J11" s="853"/>
      <c r="K11" s="853"/>
      <c r="L11" s="943"/>
      <c r="M11" s="949"/>
      <c r="N11" s="954"/>
      <c r="O11" s="922"/>
    </row>
    <row r="12" spans="1:15" ht="18" x14ac:dyDescent="0.25">
      <c r="A12" s="850"/>
      <c r="C12" s="816"/>
      <c r="D12" s="905"/>
      <c r="E12" s="869"/>
      <c r="F12" s="912"/>
      <c r="G12" s="827"/>
      <c r="H12" s="855"/>
      <c r="I12" s="958"/>
      <c r="J12" s="853"/>
      <c r="K12" s="853"/>
      <c r="L12" s="943"/>
      <c r="M12" s="949"/>
      <c r="N12" s="954"/>
      <c r="O12" s="922"/>
    </row>
    <row r="13" spans="1:15" ht="18" x14ac:dyDescent="0.25">
      <c r="A13" s="850"/>
      <c r="D13" s="905"/>
      <c r="E13" s="869"/>
      <c r="F13" s="912" t="s">
        <v>250</v>
      </c>
      <c r="G13" s="827"/>
      <c r="H13" s="855"/>
      <c r="I13" s="958">
        <f>-SUM(H26:H37)</f>
        <v>-9801.4326610688258</v>
      </c>
      <c r="J13" s="853"/>
      <c r="K13" s="853">
        <f t="shared" ref="K13" si="0">+J13-I13</f>
        <v>9801.4326610688258</v>
      </c>
      <c r="L13" s="944"/>
      <c r="M13" s="948"/>
      <c r="N13" s="954">
        <f t="shared" ref="N13" si="1">+K13+M13-L13</f>
        <v>9801.4326610688258</v>
      </c>
      <c r="O13" s="922">
        <f>+N13</f>
        <v>9801.4326610688258</v>
      </c>
    </row>
    <row r="14" spans="1:15" ht="18" x14ac:dyDescent="0.25">
      <c r="A14" s="850"/>
      <c r="D14" s="905"/>
      <c r="E14" s="869"/>
      <c r="F14" s="912"/>
      <c r="G14" s="827"/>
      <c r="H14" s="855"/>
      <c r="I14" s="958"/>
      <c r="J14" s="855"/>
      <c r="K14" s="853"/>
      <c r="L14" s="944"/>
      <c r="M14" s="949"/>
      <c r="N14" s="954"/>
      <c r="O14" s="922"/>
    </row>
    <row r="15" spans="1:15" ht="18" x14ac:dyDescent="0.25">
      <c r="A15" s="850"/>
      <c r="D15" s="905"/>
      <c r="E15" s="869"/>
      <c r="F15" s="912"/>
      <c r="G15" s="827"/>
      <c r="H15" s="855"/>
      <c r="I15" s="958"/>
      <c r="J15" s="855"/>
      <c r="K15" s="853"/>
      <c r="L15" s="944"/>
      <c r="M15" s="949"/>
      <c r="N15" s="954"/>
      <c r="O15" s="922"/>
    </row>
    <row r="16" spans="1:15" ht="18" x14ac:dyDescent="0.25">
      <c r="A16" s="964"/>
      <c r="B16" s="965"/>
      <c r="C16" s="965"/>
      <c r="D16" s="1003"/>
      <c r="E16" s="869"/>
      <c r="F16" s="913"/>
      <c r="G16" s="914"/>
      <c r="H16" s="916"/>
      <c r="I16" s="913"/>
      <c r="J16" s="916"/>
      <c r="K16" s="917"/>
      <c r="L16" s="945"/>
      <c r="M16" s="950"/>
      <c r="N16" s="955"/>
      <c r="O16" s="922"/>
    </row>
    <row r="17" spans="5:150" ht="18" x14ac:dyDescent="0.25">
      <c r="E17" s="869"/>
      <c r="F17" s="869"/>
      <c r="G17" s="869"/>
      <c r="H17" s="869"/>
      <c r="I17" s="869"/>
      <c r="J17" s="869"/>
      <c r="K17" s="869"/>
      <c r="L17" s="962">
        <f>SUM(L7:L16)</f>
        <v>0</v>
      </c>
      <c r="M17" s="963">
        <f>SUM(M7:M16)</f>
        <v>0</v>
      </c>
      <c r="N17" s="870"/>
      <c r="O17" s="961">
        <f>SUM(O7:O16)</f>
        <v>10799.999999999982</v>
      </c>
    </row>
    <row r="18" spans="5:150" ht="18" x14ac:dyDescent="0.25">
      <c r="E18" s="1018"/>
      <c r="F18" s="879"/>
      <c r="G18" s="879" t="s">
        <v>620</v>
      </c>
      <c r="H18" s="879" t="s">
        <v>869</v>
      </c>
      <c r="I18" s="879" t="s">
        <v>868</v>
      </c>
      <c r="J18" s="879" t="s">
        <v>621</v>
      </c>
      <c r="K18" s="869"/>
      <c r="L18" s="869"/>
      <c r="M18" s="869"/>
      <c r="N18" s="869"/>
    </row>
    <row r="19" spans="5:150" ht="18" x14ac:dyDescent="0.25">
      <c r="E19" s="850">
        <v>0</v>
      </c>
      <c r="F19" s="816">
        <f>-D5</f>
        <v>-92000</v>
      </c>
      <c r="J19" s="906"/>
      <c r="K19" s="869"/>
      <c r="L19" s="869"/>
      <c r="M19" s="869"/>
      <c r="N19" s="869"/>
    </row>
    <row r="20" spans="5:150" ht="18" x14ac:dyDescent="0.25">
      <c r="E20" s="850">
        <v>1</v>
      </c>
      <c r="F20" s="815">
        <f>+D6*D7</f>
        <v>900</v>
      </c>
      <c r="G20" s="816">
        <f>+D5</f>
        <v>92000</v>
      </c>
      <c r="H20" s="816">
        <f t="shared" ref="H20:H43" si="2">+G20*$F$44</f>
        <v>824.94041993524547</v>
      </c>
      <c r="I20" s="816">
        <f>-F20</f>
        <v>-900</v>
      </c>
      <c r="J20" s="905">
        <f>+G20+H20+I20</f>
        <v>91924.940419935243</v>
      </c>
      <c r="K20" s="869"/>
      <c r="L20" s="869"/>
      <c r="M20" s="869"/>
      <c r="N20" s="869"/>
    </row>
    <row r="21" spans="5:150" ht="18" x14ac:dyDescent="0.25">
      <c r="E21" s="850">
        <f>+E20+1</f>
        <v>2</v>
      </c>
      <c r="F21" s="815">
        <f>+F20</f>
        <v>900</v>
      </c>
      <c r="G21" s="816">
        <f>+J20</f>
        <v>91924.940419935243</v>
      </c>
      <c r="H21" s="816">
        <f t="shared" si="2"/>
        <v>824.26737991895436</v>
      </c>
      <c r="I21" s="816">
        <f>-F21</f>
        <v>-900</v>
      </c>
      <c r="J21" s="905">
        <f>+G21+H21+I21</f>
        <v>91849.207799854194</v>
      </c>
      <c r="K21" s="869"/>
      <c r="L21" s="869"/>
      <c r="M21" s="869"/>
      <c r="N21" s="869"/>
    </row>
    <row r="22" spans="5:150" ht="18" x14ac:dyDescent="0.25">
      <c r="E22" s="850">
        <f t="shared" ref="E22:E43" si="3">+E21+1</f>
        <v>3</v>
      </c>
      <c r="F22" s="815">
        <f t="shared" ref="F22:F42" si="4">+F21</f>
        <v>900</v>
      </c>
      <c r="G22" s="816">
        <f t="shared" ref="G22:G43" si="5">+J21</f>
        <v>91849.207799854194</v>
      </c>
      <c r="H22" s="816">
        <f t="shared" si="2"/>
        <v>823.58830492534071</v>
      </c>
      <c r="I22" s="816">
        <f t="shared" ref="I22:I43" si="6">-F22</f>
        <v>-900</v>
      </c>
      <c r="J22" s="905">
        <f t="shared" ref="J22:J43" si="7">+G22+H22+I22</f>
        <v>91772.79610477954</v>
      </c>
      <c r="K22" s="869"/>
      <c r="L22" s="869"/>
      <c r="M22" s="869"/>
      <c r="N22" s="869"/>
    </row>
    <row r="23" spans="5:150" ht="18" x14ac:dyDescent="0.25">
      <c r="E23" s="850">
        <f t="shared" si="3"/>
        <v>4</v>
      </c>
      <c r="F23" s="815">
        <f t="shared" si="4"/>
        <v>900</v>
      </c>
      <c r="G23" s="816">
        <f t="shared" si="5"/>
        <v>91772.79610477954</v>
      </c>
      <c r="H23" s="816">
        <f t="shared" si="2"/>
        <v>822.90314084030967</v>
      </c>
      <c r="I23" s="816">
        <f t="shared" si="6"/>
        <v>-900</v>
      </c>
      <c r="J23" s="905">
        <f t="shared" si="7"/>
        <v>91695.69924561985</v>
      </c>
    </row>
    <row r="24" spans="5:150" ht="18.75" customHeight="1" x14ac:dyDescent="0.25">
      <c r="E24" s="850">
        <f t="shared" si="3"/>
        <v>5</v>
      </c>
      <c r="F24" s="815">
        <f t="shared" si="4"/>
        <v>900</v>
      </c>
      <c r="G24" s="816">
        <f t="shared" si="5"/>
        <v>91695.69924561985</v>
      </c>
      <c r="H24" s="816">
        <f t="shared" si="2"/>
        <v>822.21183306453929</v>
      </c>
      <c r="I24" s="816">
        <f t="shared" si="6"/>
        <v>-900</v>
      </c>
      <c r="J24" s="905">
        <f t="shared" si="7"/>
        <v>91617.911078684396</v>
      </c>
    </row>
    <row r="25" spans="5:150" s="815" customFormat="1" ht="18.75" customHeight="1" x14ac:dyDescent="0.25">
      <c r="E25" s="850">
        <f t="shared" si="3"/>
        <v>6</v>
      </c>
      <c r="F25" s="815">
        <f t="shared" si="4"/>
        <v>900</v>
      </c>
      <c r="G25" s="816">
        <f t="shared" si="5"/>
        <v>91617.911078684396</v>
      </c>
      <c r="H25" s="816">
        <f t="shared" si="2"/>
        <v>821.51432650912921</v>
      </c>
      <c r="I25" s="816">
        <f t="shared" si="6"/>
        <v>-900</v>
      </c>
      <c r="J25" s="905">
        <f t="shared" si="7"/>
        <v>91539.425405193528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</row>
    <row r="26" spans="5:150" s="815" customFormat="1" ht="18.75" customHeight="1" x14ac:dyDescent="0.25">
      <c r="E26" s="1019">
        <f t="shared" si="3"/>
        <v>7</v>
      </c>
      <c r="F26" s="1020">
        <f t="shared" si="4"/>
        <v>900</v>
      </c>
      <c r="G26" s="1021">
        <f t="shared" si="5"/>
        <v>91539.425405193528</v>
      </c>
      <c r="H26" s="1021">
        <f t="shared" si="2"/>
        <v>820.81056559121112</v>
      </c>
      <c r="I26" s="1021">
        <f t="shared" si="6"/>
        <v>-900</v>
      </c>
      <c r="J26" s="1022">
        <f t="shared" si="7"/>
        <v>91460.235970784735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</row>
    <row r="27" spans="5:150" s="815" customFormat="1" ht="18.75" customHeight="1" x14ac:dyDescent="0.25">
      <c r="E27" s="1023">
        <f t="shared" si="3"/>
        <v>8</v>
      </c>
      <c r="F27" s="1024">
        <f t="shared" si="4"/>
        <v>900</v>
      </c>
      <c r="G27" s="1025">
        <f t="shared" si="5"/>
        <v>91460.235970784735</v>
      </c>
      <c r="H27" s="1025">
        <f t="shared" si="2"/>
        <v>820.10049422951965</v>
      </c>
      <c r="I27" s="1025">
        <f t="shared" si="6"/>
        <v>-900</v>
      </c>
      <c r="J27" s="1026">
        <f t="shared" si="7"/>
        <v>91380.336465014261</v>
      </c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</row>
    <row r="28" spans="5:150" s="815" customFormat="1" ht="18.75" customHeight="1" x14ac:dyDescent="0.25">
      <c r="E28" s="1023">
        <f t="shared" si="3"/>
        <v>9</v>
      </c>
      <c r="F28" s="1024">
        <f t="shared" si="4"/>
        <v>900</v>
      </c>
      <c r="G28" s="1025">
        <f t="shared" si="5"/>
        <v>91380.336465014261</v>
      </c>
      <c r="H28" s="1025">
        <f t="shared" si="2"/>
        <v>819.38405583992267</v>
      </c>
      <c r="I28" s="1025">
        <f t="shared" si="6"/>
        <v>-900</v>
      </c>
      <c r="J28" s="1026">
        <f t="shared" si="7"/>
        <v>91299.720520854185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</row>
    <row r="29" spans="5:150" s="815" customFormat="1" ht="18.75" customHeight="1" x14ac:dyDescent="0.25">
      <c r="E29" s="1023">
        <f t="shared" si="3"/>
        <v>10</v>
      </c>
      <c r="F29" s="1024">
        <f t="shared" si="4"/>
        <v>900</v>
      </c>
      <c r="G29" s="1025">
        <f t="shared" si="5"/>
        <v>91299.720520854185</v>
      </c>
      <c r="H29" s="1025">
        <f t="shared" si="2"/>
        <v>818.66119333091308</v>
      </c>
      <c r="I29" s="1025">
        <f t="shared" si="6"/>
        <v>-900</v>
      </c>
      <c r="J29" s="1026">
        <f t="shared" si="7"/>
        <v>91218.381714185103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</row>
    <row r="30" spans="5:150" s="815" customFormat="1" ht="18.75" customHeight="1" x14ac:dyDescent="0.25">
      <c r="E30" s="1023">
        <f t="shared" si="3"/>
        <v>11</v>
      </c>
      <c r="F30" s="1024">
        <f t="shared" si="4"/>
        <v>900</v>
      </c>
      <c r="G30" s="1025">
        <f t="shared" si="5"/>
        <v>91218.381714185103</v>
      </c>
      <c r="H30" s="1025">
        <f t="shared" si="2"/>
        <v>817.93184909905847</v>
      </c>
      <c r="I30" s="1025">
        <f t="shared" si="6"/>
        <v>-900</v>
      </c>
      <c r="J30" s="1026">
        <f t="shared" si="7"/>
        <v>91136.313563284159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</row>
    <row r="31" spans="5:150" s="815" customFormat="1" ht="18.75" customHeight="1" x14ac:dyDescent="0.25">
      <c r="E31" s="1023">
        <f t="shared" si="3"/>
        <v>12</v>
      </c>
      <c r="F31" s="1024">
        <f t="shared" si="4"/>
        <v>900</v>
      </c>
      <c r="G31" s="1025">
        <f t="shared" si="5"/>
        <v>91136.313563284159</v>
      </c>
      <c r="H31" s="1025">
        <f t="shared" si="2"/>
        <v>817.19596502441129</v>
      </c>
      <c r="I31" s="1025">
        <f t="shared" si="6"/>
        <v>-900</v>
      </c>
      <c r="J31" s="1026">
        <f t="shared" si="7"/>
        <v>91053.509528308568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</row>
    <row r="32" spans="5:150" s="815" customFormat="1" ht="18.75" customHeight="1" x14ac:dyDescent="0.25">
      <c r="E32" s="1023">
        <f t="shared" si="3"/>
        <v>13</v>
      </c>
      <c r="F32" s="1024">
        <f t="shared" si="4"/>
        <v>900</v>
      </c>
      <c r="G32" s="1025">
        <f t="shared" si="5"/>
        <v>91053.509528308568</v>
      </c>
      <c r="H32" s="1025">
        <f t="shared" si="2"/>
        <v>816.45348246587764</v>
      </c>
      <c r="I32" s="1025">
        <f t="shared" si="6"/>
        <v>-900</v>
      </c>
      <c r="J32" s="1026">
        <f t="shared" si="7"/>
        <v>90969.963010774445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</row>
    <row r="33" spans="5:150" s="815" customFormat="1" ht="18.75" customHeight="1" x14ac:dyDescent="0.25">
      <c r="E33" s="1023">
        <f t="shared" si="3"/>
        <v>14</v>
      </c>
      <c r="F33" s="1024">
        <f t="shared" si="4"/>
        <v>900</v>
      </c>
      <c r="G33" s="1025">
        <f t="shared" si="5"/>
        <v>90969.963010774445</v>
      </c>
      <c r="H33" s="1025">
        <f t="shared" si="2"/>
        <v>815.70434225654367</v>
      </c>
      <c r="I33" s="1025">
        <f t="shared" si="6"/>
        <v>-900</v>
      </c>
      <c r="J33" s="1026">
        <f t="shared" si="7"/>
        <v>90885.667353030993</v>
      </c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</row>
    <row r="34" spans="5:150" s="815" customFormat="1" ht="18.75" customHeight="1" x14ac:dyDescent="0.25">
      <c r="E34" s="1023">
        <f t="shared" si="3"/>
        <v>15</v>
      </c>
      <c r="F34" s="1024">
        <f t="shared" si="4"/>
        <v>900</v>
      </c>
      <c r="G34" s="1025">
        <f t="shared" si="5"/>
        <v>90885.667353030993</v>
      </c>
      <c r="H34" s="1025">
        <f t="shared" si="2"/>
        <v>814.94848469896101</v>
      </c>
      <c r="I34" s="1025">
        <f t="shared" si="6"/>
        <v>-900</v>
      </c>
      <c r="J34" s="1026">
        <f t="shared" si="7"/>
        <v>90800.615837729958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</row>
    <row r="35" spans="5:150" s="815" customFormat="1" ht="18.75" customHeight="1" x14ac:dyDescent="0.25">
      <c r="E35" s="1023">
        <f t="shared" si="3"/>
        <v>16</v>
      </c>
      <c r="F35" s="1024">
        <f t="shared" si="4"/>
        <v>900</v>
      </c>
      <c r="G35" s="1025">
        <f t="shared" si="5"/>
        <v>90800.615837729958</v>
      </c>
      <c r="H35" s="1025">
        <f t="shared" si="2"/>
        <v>814.18584956038967</v>
      </c>
      <c r="I35" s="1025">
        <f t="shared" si="6"/>
        <v>-900</v>
      </c>
      <c r="J35" s="1026">
        <f t="shared" si="7"/>
        <v>90714.801687290354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</row>
    <row r="36" spans="5:150" s="815" customFormat="1" ht="18.75" customHeight="1" x14ac:dyDescent="0.25">
      <c r="E36" s="1023">
        <f t="shared" si="3"/>
        <v>17</v>
      </c>
      <c r="F36" s="1024">
        <f t="shared" si="4"/>
        <v>900</v>
      </c>
      <c r="G36" s="1025">
        <f t="shared" si="5"/>
        <v>90714.801687290354</v>
      </c>
      <c r="H36" s="1025">
        <f t="shared" si="2"/>
        <v>813.41637606799804</v>
      </c>
      <c r="I36" s="1025">
        <f t="shared" si="6"/>
        <v>-900</v>
      </c>
      <c r="J36" s="1026">
        <f t="shared" si="7"/>
        <v>90628.218063358348</v>
      </c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</row>
    <row r="37" spans="5:150" s="815" customFormat="1" ht="18.75" customHeight="1" x14ac:dyDescent="0.25">
      <c r="E37" s="1027">
        <f t="shared" si="3"/>
        <v>18</v>
      </c>
      <c r="F37" s="1028">
        <f t="shared" si="4"/>
        <v>900</v>
      </c>
      <c r="G37" s="1029">
        <f t="shared" si="5"/>
        <v>90628.218063358348</v>
      </c>
      <c r="H37" s="1029">
        <f t="shared" si="2"/>
        <v>812.64000290401998</v>
      </c>
      <c r="I37" s="1029">
        <f t="shared" si="6"/>
        <v>-900</v>
      </c>
      <c r="J37" s="1030">
        <f t="shared" si="7"/>
        <v>90540.858066262372</v>
      </c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</row>
    <row r="38" spans="5:150" s="815" customFormat="1" ht="18.75" customHeight="1" x14ac:dyDescent="0.25">
      <c r="E38" s="850">
        <f t="shared" si="3"/>
        <v>19</v>
      </c>
      <c r="F38" s="815">
        <f t="shared" si="4"/>
        <v>900</v>
      </c>
      <c r="G38" s="816">
        <f t="shared" si="5"/>
        <v>90540.858066262372</v>
      </c>
      <c r="H38" s="816">
        <f t="shared" si="2"/>
        <v>811.85666820086885</v>
      </c>
      <c r="I38" s="816">
        <f t="shared" si="6"/>
        <v>-900</v>
      </c>
      <c r="J38" s="905">
        <f t="shared" si="7"/>
        <v>90452.714734463239</v>
      </c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</row>
    <row r="39" spans="5:150" s="815" customFormat="1" ht="18.75" customHeight="1" x14ac:dyDescent="0.25">
      <c r="E39" s="850">
        <f t="shared" si="3"/>
        <v>20</v>
      </c>
      <c r="F39" s="815">
        <f t="shared" si="4"/>
        <v>900</v>
      </c>
      <c r="G39" s="816">
        <f t="shared" si="5"/>
        <v>90452.714734463239</v>
      </c>
      <c r="H39" s="816">
        <f t="shared" si="2"/>
        <v>811.06630953620731</v>
      </c>
      <c r="I39" s="816">
        <f t="shared" si="6"/>
        <v>-900</v>
      </c>
      <c r="J39" s="905">
        <f t="shared" si="7"/>
        <v>90363.78104399945</v>
      </c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</row>
    <row r="40" spans="5:150" s="815" customFormat="1" ht="18.75" customHeight="1" x14ac:dyDescent="0.25">
      <c r="E40" s="850">
        <f t="shared" si="3"/>
        <v>21</v>
      </c>
      <c r="F40" s="815">
        <f t="shared" si="4"/>
        <v>900</v>
      </c>
      <c r="G40" s="816">
        <f t="shared" si="5"/>
        <v>90363.78104399945</v>
      </c>
      <c r="H40" s="816">
        <f t="shared" si="2"/>
        <v>810.26886392797257</v>
      </c>
      <c r="I40" s="816">
        <f t="shared" si="6"/>
        <v>-900</v>
      </c>
      <c r="J40" s="905">
        <f t="shared" si="7"/>
        <v>90274.049907927416</v>
      </c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</row>
    <row r="41" spans="5:150" s="815" customFormat="1" ht="18.75" customHeight="1" x14ac:dyDescent="0.25">
      <c r="E41" s="850">
        <f t="shared" si="3"/>
        <v>22</v>
      </c>
      <c r="F41" s="815">
        <f t="shared" si="4"/>
        <v>900</v>
      </c>
      <c r="G41" s="816">
        <f t="shared" si="5"/>
        <v>90274.049907927416</v>
      </c>
      <c r="H41" s="816">
        <f t="shared" si="2"/>
        <v>809.46426782935816</v>
      </c>
      <c r="I41" s="816">
        <f t="shared" si="6"/>
        <v>-900</v>
      </c>
      <c r="J41" s="905">
        <f t="shared" si="7"/>
        <v>90183.514175756776</v>
      </c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</row>
    <row r="42" spans="5:150" s="815" customFormat="1" ht="18.75" customHeight="1" x14ac:dyDescent="0.25">
      <c r="E42" s="850">
        <f t="shared" si="3"/>
        <v>23</v>
      </c>
      <c r="F42" s="815">
        <f t="shared" si="4"/>
        <v>900</v>
      </c>
      <c r="G42" s="816">
        <f t="shared" si="5"/>
        <v>90183.514175756776</v>
      </c>
      <c r="H42" s="816">
        <f t="shared" si="2"/>
        <v>808.65245712374951</v>
      </c>
      <c r="I42" s="816">
        <f t="shared" si="6"/>
        <v>-900</v>
      </c>
      <c r="J42" s="905">
        <f t="shared" si="7"/>
        <v>90092.16663288053</v>
      </c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</row>
    <row r="43" spans="5:150" s="815" customFormat="1" ht="18.75" customHeight="1" x14ac:dyDescent="0.25">
      <c r="E43" s="964">
        <f t="shared" si="3"/>
        <v>24</v>
      </c>
      <c r="F43" s="1006">
        <f>+F42+D6</f>
        <v>90900</v>
      </c>
      <c r="G43" s="1006">
        <f t="shared" si="5"/>
        <v>90092.16663288053</v>
      </c>
      <c r="H43" s="1006">
        <f t="shared" si="2"/>
        <v>807.83336711961499</v>
      </c>
      <c r="I43" s="1006">
        <f t="shared" si="6"/>
        <v>-90900</v>
      </c>
      <c r="J43" s="966">
        <f t="shared" si="7"/>
        <v>1.4551915228366852E-10</v>
      </c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</row>
    <row r="44" spans="5:150" s="815" customFormat="1" ht="18.75" customHeight="1" x14ac:dyDescent="0.25">
      <c r="F44" s="1031">
        <f>IRR(F19:F43)</f>
        <v>8.9667436949483204E-3</v>
      </c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</row>
    <row r="45" spans="5:150" s="815" customFormat="1" ht="18.75" customHeight="1" x14ac:dyDescent="0.25"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</row>
    <row r="46" spans="5:150" s="815" customFormat="1" ht="18.75" customHeight="1" x14ac:dyDescent="0.25"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</row>
    <row r="47" spans="5:150" s="815" customFormat="1" ht="0" hidden="1" customHeight="1" x14ac:dyDescent="0.25"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</row>
    <row r="48" spans="5:150" s="815" customFormat="1" ht="0" hidden="1" customHeight="1" x14ac:dyDescent="0.25"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</row>
    <row r="49" spans="18:150" s="815" customFormat="1" ht="0" hidden="1" customHeight="1" x14ac:dyDescent="0.25"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</row>
    <row r="50" spans="18:150" s="815" customFormat="1" ht="0" hidden="1" customHeight="1" x14ac:dyDescent="0.25"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</row>
    <row r="51" spans="18:150" s="815" customFormat="1" ht="0" hidden="1" customHeight="1" x14ac:dyDescent="0.25"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</row>
    <row r="52" spans="18:150" s="815" customFormat="1" ht="0" hidden="1" customHeight="1" x14ac:dyDescent="0.25"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</row>
    <row r="53" spans="18:150" s="815" customFormat="1" ht="0" hidden="1" customHeight="1" x14ac:dyDescent="0.25"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</row>
    <row r="54" spans="18:150" s="815" customFormat="1" ht="0" hidden="1" customHeight="1" x14ac:dyDescent="0.25"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</row>
    <row r="55" spans="18:150" s="815" customFormat="1" ht="0" hidden="1" customHeight="1" x14ac:dyDescent="0.25"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</row>
    <row r="56" spans="18:150" s="815" customFormat="1" ht="0" hidden="1" customHeight="1" x14ac:dyDescent="0.25"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</row>
    <row r="57" spans="18:150" s="815" customFormat="1" ht="0" hidden="1" customHeight="1" x14ac:dyDescent="0.25"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</row>
    <row r="71" spans="18:152" s="815" customFormat="1" ht="0" hidden="1" customHeight="1" x14ac:dyDescent="0.25"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</row>
    <row r="72" spans="18:152" s="815" customFormat="1" ht="0" hidden="1" customHeight="1" x14ac:dyDescent="0.25"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</row>
  </sheetData>
  <mergeCells count="1">
    <mergeCell ref="L4:M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D753A-9551-4C8B-B3AE-1BAA841270BE}">
  <sheetPr>
    <tabColor rgb="FF7030A0"/>
  </sheetPr>
  <dimension ref="A1:FG74"/>
  <sheetViews>
    <sheetView showGridLines="0" zoomScale="85" zoomScaleNormal="85" workbookViewId="0">
      <selection activeCell="J9" sqref="J9"/>
    </sheetView>
  </sheetViews>
  <sheetFormatPr baseColWidth="10" defaultColWidth="0" defaultRowHeight="0" customHeight="1" zeroHeight="1" x14ac:dyDescent="0.25"/>
  <cols>
    <col min="1" max="1" width="17" style="815" customWidth="1"/>
    <col min="2" max="2" width="12.5703125" style="815" customWidth="1"/>
    <col min="3" max="3" width="11.5703125" style="815" customWidth="1"/>
    <col min="4" max="4" width="10.28515625" style="815" bestFit="1" customWidth="1"/>
    <col min="5" max="5" width="4.85546875" style="815" bestFit="1" customWidth="1"/>
    <col min="6" max="7" width="15.7109375" style="815" customWidth="1"/>
    <col min="8" max="8" width="12.140625" style="815" bestFit="1" customWidth="1"/>
    <col min="9" max="9" width="13.140625" style="815" bestFit="1" customWidth="1"/>
    <col min="10" max="10" width="13.7109375" style="815" customWidth="1"/>
    <col min="11" max="11" width="13.140625" style="815" bestFit="1" customWidth="1"/>
    <col min="12" max="12" width="12.42578125" style="815" customWidth="1"/>
    <col min="13" max="13" width="11.85546875" style="815" customWidth="1"/>
    <col min="14" max="14" width="12.85546875" style="815" customWidth="1"/>
    <col min="15" max="15" width="15.28515625" style="815" customWidth="1"/>
    <col min="16" max="16" width="15.7109375" style="815" customWidth="1"/>
    <col min="17" max="17" width="4.85546875" style="815" bestFit="1" customWidth="1"/>
    <col min="18" max="18" width="15.7109375" style="815" customWidth="1"/>
    <col min="19" max="163" width="0" hidden="1" customWidth="1"/>
    <col min="164" max="16384" width="11.42578125" hidden="1"/>
  </cols>
  <sheetData>
    <row r="1" spans="1:15" ht="18" x14ac:dyDescent="0.25">
      <c r="A1" s="835" t="s">
        <v>872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</row>
    <row r="2" spans="1:15" ht="18" x14ac:dyDescent="0.25">
      <c r="A2" s="840"/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</row>
    <row r="3" spans="1:15" ht="18" x14ac:dyDescent="0.25">
      <c r="A3" s="1011" t="s">
        <v>861</v>
      </c>
      <c r="B3" s="1012"/>
      <c r="C3" s="1012"/>
      <c r="D3" s="1013"/>
      <c r="E3" s="1014"/>
      <c r="F3" s="1014"/>
      <c r="G3" s="1014"/>
      <c r="H3" s="1014"/>
      <c r="I3" s="1014"/>
      <c r="J3" s="1015"/>
      <c r="K3" s="1016" t="s">
        <v>459</v>
      </c>
      <c r="L3" s="1017" t="s">
        <v>760</v>
      </c>
      <c r="M3" s="1017" t="s">
        <v>761</v>
      </c>
      <c r="N3" s="1016" t="s">
        <v>166</v>
      </c>
      <c r="O3" s="1016" t="s">
        <v>762</v>
      </c>
    </row>
    <row r="4" spans="1:15" ht="18" x14ac:dyDescent="0.25">
      <c r="A4" s="846" t="s">
        <v>862</v>
      </c>
      <c r="B4" s="847"/>
      <c r="C4" s="969"/>
      <c r="D4" s="972"/>
      <c r="E4" s="869"/>
      <c r="F4" s="1007"/>
      <c r="G4" s="1008"/>
      <c r="H4" s="1009"/>
      <c r="I4" s="1007"/>
      <c r="J4" s="1009"/>
      <c r="K4" s="998"/>
      <c r="L4" s="1532" t="s">
        <v>757</v>
      </c>
      <c r="M4" s="1532"/>
      <c r="N4" s="1010" t="s">
        <v>103</v>
      </c>
      <c r="O4" s="998" t="s">
        <v>380</v>
      </c>
    </row>
    <row r="5" spans="1:15" ht="18" x14ac:dyDescent="0.25">
      <c r="A5" s="850" t="s">
        <v>863</v>
      </c>
      <c r="C5" s="816"/>
      <c r="D5" s="905">
        <v>92000</v>
      </c>
      <c r="E5" s="869"/>
      <c r="F5" s="931"/>
      <c r="G5" s="932"/>
      <c r="H5" s="937"/>
      <c r="I5" s="960">
        <v>2020</v>
      </c>
      <c r="J5" s="934">
        <v>2019</v>
      </c>
      <c r="K5" s="934" t="s">
        <v>103</v>
      </c>
      <c r="L5" s="941" t="s">
        <v>156</v>
      </c>
      <c r="M5" s="946" t="s">
        <v>233</v>
      </c>
      <c r="N5" s="952" t="s">
        <v>104</v>
      </c>
      <c r="O5" s="934" t="s">
        <v>258</v>
      </c>
    </row>
    <row r="6" spans="1:15" ht="18" x14ac:dyDescent="0.25">
      <c r="A6" s="850" t="s">
        <v>865</v>
      </c>
      <c r="C6" s="816"/>
      <c r="D6" s="905">
        <v>90000</v>
      </c>
      <c r="E6" s="869"/>
      <c r="F6" s="938" t="s">
        <v>685</v>
      </c>
      <c r="G6" s="929"/>
      <c r="H6" s="939"/>
      <c r="I6" s="947" t="s">
        <v>3</v>
      </c>
      <c r="J6" s="881" t="s">
        <v>3</v>
      </c>
      <c r="K6" s="881" t="s">
        <v>3</v>
      </c>
      <c r="L6" s="942" t="s">
        <v>3</v>
      </c>
      <c r="M6" s="947" t="s">
        <v>3</v>
      </c>
      <c r="N6" s="942" t="s">
        <v>3</v>
      </c>
      <c r="O6" s="881" t="s">
        <v>3</v>
      </c>
    </row>
    <row r="7" spans="1:15" ht="18" x14ac:dyDescent="0.25">
      <c r="A7" s="850" t="s">
        <v>864</v>
      </c>
      <c r="C7" s="816"/>
      <c r="D7" s="1004">
        <v>0.01</v>
      </c>
      <c r="E7" s="869"/>
      <c r="F7" s="912"/>
      <c r="G7" s="827"/>
      <c r="H7" s="855"/>
      <c r="I7" s="958"/>
      <c r="J7" s="853"/>
      <c r="K7" s="855"/>
      <c r="L7" s="943"/>
      <c r="M7" s="948"/>
      <c r="N7" s="953"/>
      <c r="O7" s="921"/>
    </row>
    <row r="8" spans="1:15" ht="18" x14ac:dyDescent="0.25">
      <c r="A8" s="850" t="s">
        <v>866</v>
      </c>
      <c r="C8" s="816"/>
      <c r="D8" s="1005" t="s">
        <v>867</v>
      </c>
      <c r="E8" s="869"/>
      <c r="F8" s="912" t="s">
        <v>876</v>
      </c>
      <c r="G8" s="827"/>
      <c r="H8" s="855"/>
      <c r="I8" s="958">
        <f>+J38</f>
        <v>90540.858066262372</v>
      </c>
      <c r="J8" s="853">
        <f>+G27</f>
        <v>91539.425405193528</v>
      </c>
      <c r="K8" s="853">
        <f>+J8-I8</f>
        <v>998.56733893115597</v>
      </c>
      <c r="L8" s="944"/>
      <c r="M8" s="949"/>
      <c r="N8" s="954">
        <f>+K8+M8-L8</f>
        <v>998.56733893115597</v>
      </c>
      <c r="O8" s="922">
        <f>+N8</f>
        <v>998.56733893115597</v>
      </c>
    </row>
    <row r="9" spans="1:15" ht="18" x14ac:dyDescent="0.25">
      <c r="A9" s="850" t="s">
        <v>629</v>
      </c>
      <c r="C9" s="816"/>
      <c r="D9" s="905">
        <v>24</v>
      </c>
      <c r="E9" s="869"/>
      <c r="F9" s="912" t="s">
        <v>877</v>
      </c>
      <c r="G9" s="827"/>
      <c r="H9" s="855"/>
      <c r="I9" s="958">
        <f>+D13-I8-J9</f>
        <v>898.56733893115597</v>
      </c>
      <c r="J9" s="853">
        <f>+D12-J8</f>
        <v>460.57459480647231</v>
      </c>
      <c r="K9" s="853">
        <f>+J9-I9</f>
        <v>-437.99274412468367</v>
      </c>
      <c r="L9" s="943"/>
      <c r="M9" s="949">
        <f>+L16</f>
        <v>438</v>
      </c>
      <c r="N9" s="954">
        <f>+K9+M9-L9</f>
        <v>7.2558753163320944E-3</v>
      </c>
      <c r="O9" s="922">
        <f>+N9</f>
        <v>7.2558753163320944E-3</v>
      </c>
    </row>
    <row r="10" spans="1:15" ht="18" x14ac:dyDescent="0.25">
      <c r="A10" s="850"/>
      <c r="C10" s="816"/>
      <c r="D10" s="905"/>
      <c r="E10" s="869"/>
      <c r="F10" s="912"/>
      <c r="G10" s="827"/>
      <c r="H10" s="855"/>
      <c r="I10" s="958"/>
      <c r="J10" s="853"/>
      <c r="K10" s="853"/>
      <c r="L10" s="943"/>
      <c r="M10" s="948"/>
      <c r="N10" s="954"/>
      <c r="O10" s="922"/>
    </row>
    <row r="11" spans="1:15" ht="18" x14ac:dyDescent="0.25">
      <c r="A11" s="850" t="s">
        <v>873</v>
      </c>
      <c r="C11" s="816"/>
      <c r="D11" s="905"/>
      <c r="E11" s="869"/>
      <c r="F11" s="912"/>
      <c r="G11" s="827"/>
      <c r="H11" s="855"/>
      <c r="I11" s="958"/>
      <c r="J11" s="853"/>
      <c r="K11" s="853"/>
      <c r="L11" s="943"/>
      <c r="M11" s="949"/>
      <c r="N11" s="954"/>
      <c r="O11" s="922"/>
    </row>
    <row r="12" spans="1:15" ht="18" x14ac:dyDescent="0.25">
      <c r="A12" s="850" t="s">
        <v>874</v>
      </c>
      <c r="C12" s="816"/>
      <c r="D12" s="905">
        <v>92000</v>
      </c>
      <c r="E12" s="869"/>
      <c r="F12" s="912" t="s">
        <v>878</v>
      </c>
      <c r="G12" s="827"/>
      <c r="H12" s="855"/>
      <c r="I12" s="958"/>
      <c r="J12" s="853"/>
      <c r="K12" s="853"/>
      <c r="L12" s="943"/>
      <c r="M12" s="949"/>
      <c r="N12" s="954"/>
      <c r="O12" s="922"/>
    </row>
    <row r="13" spans="1:15" ht="18" x14ac:dyDescent="0.25">
      <c r="A13" s="850" t="s">
        <v>875</v>
      </c>
      <c r="D13" s="905">
        <v>91900</v>
      </c>
      <c r="E13" s="869"/>
      <c r="F13" s="974" t="s">
        <v>250</v>
      </c>
      <c r="G13" s="827"/>
      <c r="H13" s="855"/>
      <c r="I13" s="958">
        <f>-SUM(H27:H38)</f>
        <v>-9801.4326610688258</v>
      </c>
      <c r="J13" s="853"/>
      <c r="K13" s="853">
        <f t="shared" ref="K13" si="0">+J13-I13</f>
        <v>9801.4326610688258</v>
      </c>
      <c r="L13" s="944"/>
      <c r="M13" s="948"/>
      <c r="N13" s="954">
        <f t="shared" ref="N13" si="1">+K13+M13-L13</f>
        <v>9801.4326610688258</v>
      </c>
      <c r="O13" s="922">
        <f>+N13</f>
        <v>9801.4326610688258</v>
      </c>
    </row>
    <row r="14" spans="1:15" ht="18" x14ac:dyDescent="0.25">
      <c r="A14" s="850"/>
      <c r="D14" s="905"/>
      <c r="E14" s="869"/>
      <c r="F14" s="912"/>
      <c r="G14" s="827"/>
      <c r="H14" s="855"/>
      <c r="I14" s="958"/>
      <c r="J14" s="855"/>
      <c r="K14" s="853"/>
      <c r="L14" s="944"/>
      <c r="M14" s="949"/>
      <c r="N14" s="954"/>
      <c r="O14" s="922"/>
    </row>
    <row r="15" spans="1:15" ht="18" x14ac:dyDescent="0.25">
      <c r="A15" s="850"/>
      <c r="D15" s="905"/>
      <c r="E15" s="869"/>
      <c r="F15" s="912" t="s">
        <v>879</v>
      </c>
      <c r="G15" s="827"/>
      <c r="H15" s="855"/>
      <c r="I15" s="958"/>
      <c r="J15" s="855"/>
      <c r="K15" s="853"/>
      <c r="L15" s="944"/>
      <c r="M15" s="949"/>
      <c r="N15" s="954"/>
      <c r="O15" s="922"/>
    </row>
    <row r="16" spans="1:15" ht="18" x14ac:dyDescent="0.25">
      <c r="A16" s="964"/>
      <c r="B16" s="965"/>
      <c r="C16" s="965"/>
      <c r="D16" s="1003"/>
      <c r="E16" s="869"/>
      <c r="F16" s="1032" t="s">
        <v>880</v>
      </c>
      <c r="G16" s="914"/>
      <c r="H16" s="916"/>
      <c r="I16" s="913">
        <v>-899</v>
      </c>
      <c r="J16" s="916">
        <v>-461</v>
      </c>
      <c r="K16" s="917">
        <f>+J16-I16</f>
        <v>438</v>
      </c>
      <c r="L16" s="945">
        <f>+K16</f>
        <v>438</v>
      </c>
      <c r="M16" s="950"/>
      <c r="N16" s="955"/>
      <c r="O16" s="922"/>
    </row>
    <row r="17" spans="5:151" ht="18" x14ac:dyDescent="0.25">
      <c r="E17" s="869"/>
      <c r="F17" s="869"/>
      <c r="G17" s="869"/>
      <c r="H17" s="869"/>
      <c r="I17" s="869"/>
      <c r="J17" s="869"/>
      <c r="K17" s="869"/>
      <c r="L17" s="962">
        <f>SUM(L7:L16)</f>
        <v>438</v>
      </c>
      <c r="M17" s="963">
        <f>SUM(M7:M16)</f>
        <v>438</v>
      </c>
      <c r="N17" s="870"/>
      <c r="O17" s="961">
        <f>SUM(O7:O16)</f>
        <v>10800.007255875298</v>
      </c>
    </row>
    <row r="18" spans="5:151" ht="18" x14ac:dyDescent="0.25">
      <c r="K18" s="869"/>
      <c r="L18" s="869"/>
      <c r="M18" s="869"/>
      <c r="N18" s="869"/>
    </row>
    <row r="19" spans="5:151" ht="18" x14ac:dyDescent="0.25">
      <c r="E19" s="1018"/>
      <c r="F19" s="879"/>
      <c r="G19" s="879" t="s">
        <v>620</v>
      </c>
      <c r="H19" s="879" t="s">
        <v>869</v>
      </c>
      <c r="I19" s="879" t="s">
        <v>868</v>
      </c>
      <c r="J19" s="879" t="s">
        <v>621</v>
      </c>
      <c r="K19" s="869"/>
      <c r="L19" s="869"/>
      <c r="M19" s="869"/>
      <c r="N19" s="869"/>
    </row>
    <row r="20" spans="5:151" ht="18" x14ac:dyDescent="0.25">
      <c r="E20" s="850">
        <v>0</v>
      </c>
      <c r="F20" s="816">
        <f>-D5</f>
        <v>-92000</v>
      </c>
      <c r="J20" s="906"/>
      <c r="K20" s="869"/>
      <c r="L20" s="869"/>
      <c r="M20" s="869"/>
      <c r="N20" s="869"/>
    </row>
    <row r="21" spans="5:151" ht="18" x14ac:dyDescent="0.25">
      <c r="E21" s="850">
        <v>1</v>
      </c>
      <c r="F21" s="815">
        <f>+D6*D7</f>
        <v>900</v>
      </c>
      <c r="G21" s="816">
        <f>+D5</f>
        <v>92000</v>
      </c>
      <c r="H21" s="816">
        <f t="shared" ref="H21:H44" si="2">+G21*$F$45</f>
        <v>824.94041993524547</v>
      </c>
      <c r="I21" s="816">
        <f>-F21</f>
        <v>-900</v>
      </c>
      <c r="J21" s="905">
        <f>+G21+H21+I21</f>
        <v>91924.940419935243</v>
      </c>
      <c r="K21" s="869"/>
      <c r="L21" s="869"/>
      <c r="M21" s="869"/>
      <c r="N21" s="869"/>
    </row>
    <row r="22" spans="5:151" ht="18" x14ac:dyDescent="0.25">
      <c r="E22" s="850">
        <f>+E21+1</f>
        <v>2</v>
      </c>
      <c r="F22" s="815">
        <f>+F21</f>
        <v>900</v>
      </c>
      <c r="G22" s="816">
        <f>+J21</f>
        <v>91924.940419935243</v>
      </c>
      <c r="H22" s="816">
        <f t="shared" si="2"/>
        <v>824.26737991895436</v>
      </c>
      <c r="I22" s="816">
        <f>-F22</f>
        <v>-900</v>
      </c>
      <c r="J22" s="905">
        <f>+G22+H22+I22</f>
        <v>91849.207799854194</v>
      </c>
      <c r="K22" s="869"/>
      <c r="L22" s="869"/>
      <c r="M22" s="869"/>
      <c r="N22" s="869"/>
    </row>
    <row r="23" spans="5:151" ht="18" x14ac:dyDescent="0.25">
      <c r="E23" s="850">
        <f t="shared" ref="E23:E44" si="3">+E22+1</f>
        <v>3</v>
      </c>
      <c r="F23" s="815">
        <f t="shared" ref="F23:F43" si="4">+F22</f>
        <v>900</v>
      </c>
      <c r="G23" s="816">
        <f t="shared" ref="G23:G44" si="5">+J22</f>
        <v>91849.207799854194</v>
      </c>
      <c r="H23" s="816">
        <f t="shared" si="2"/>
        <v>823.58830492534071</v>
      </c>
      <c r="I23" s="816">
        <f t="shared" ref="I23:I44" si="6">-F23</f>
        <v>-900</v>
      </c>
      <c r="J23" s="905">
        <f t="shared" ref="J23:J44" si="7">+G23+H23+I23</f>
        <v>91772.79610477954</v>
      </c>
    </row>
    <row r="24" spans="5:151" ht="18.75" customHeight="1" x14ac:dyDescent="0.25">
      <c r="E24" s="850">
        <f t="shared" si="3"/>
        <v>4</v>
      </c>
      <c r="F24" s="815">
        <f t="shared" si="4"/>
        <v>900</v>
      </c>
      <c r="G24" s="816">
        <f t="shared" si="5"/>
        <v>91772.79610477954</v>
      </c>
      <c r="H24" s="816">
        <f t="shared" si="2"/>
        <v>822.90314084030967</v>
      </c>
      <c r="I24" s="816">
        <f t="shared" si="6"/>
        <v>-900</v>
      </c>
      <c r="J24" s="905">
        <f t="shared" si="7"/>
        <v>91695.69924561985</v>
      </c>
    </row>
    <row r="25" spans="5:151" s="815" customFormat="1" ht="18.75" customHeight="1" x14ac:dyDescent="0.25">
      <c r="E25" s="850">
        <f t="shared" si="3"/>
        <v>5</v>
      </c>
      <c r="F25" s="815">
        <f t="shared" si="4"/>
        <v>900</v>
      </c>
      <c r="G25" s="816">
        <f t="shared" si="5"/>
        <v>91695.69924561985</v>
      </c>
      <c r="H25" s="816">
        <f t="shared" si="2"/>
        <v>822.21183306453929</v>
      </c>
      <c r="I25" s="816">
        <f t="shared" si="6"/>
        <v>-900</v>
      </c>
      <c r="J25" s="905">
        <f t="shared" si="7"/>
        <v>91617.911078684396</v>
      </c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</row>
    <row r="26" spans="5:151" s="815" customFormat="1" ht="18.75" customHeight="1" x14ac:dyDescent="0.25">
      <c r="E26" s="850">
        <f t="shared" si="3"/>
        <v>6</v>
      </c>
      <c r="F26" s="815">
        <f t="shared" si="4"/>
        <v>900</v>
      </c>
      <c r="G26" s="816">
        <f t="shared" si="5"/>
        <v>91617.911078684396</v>
      </c>
      <c r="H26" s="816">
        <f t="shared" si="2"/>
        <v>821.51432650912921</v>
      </c>
      <c r="I26" s="816">
        <f t="shared" si="6"/>
        <v>-900</v>
      </c>
      <c r="J26" s="905">
        <f t="shared" si="7"/>
        <v>91539.425405193528</v>
      </c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</row>
    <row r="27" spans="5:151" s="815" customFormat="1" ht="18.75" customHeight="1" x14ac:dyDescent="0.25">
      <c r="E27" s="1019">
        <f t="shared" si="3"/>
        <v>7</v>
      </c>
      <c r="F27" s="1020">
        <f t="shared" si="4"/>
        <v>900</v>
      </c>
      <c r="G27" s="1021">
        <f t="shared" si="5"/>
        <v>91539.425405193528</v>
      </c>
      <c r="H27" s="1021">
        <f t="shared" si="2"/>
        <v>820.81056559121112</v>
      </c>
      <c r="I27" s="1021">
        <f t="shared" si="6"/>
        <v>-900</v>
      </c>
      <c r="J27" s="1022">
        <f t="shared" si="7"/>
        <v>91460.235970784735</v>
      </c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</row>
    <row r="28" spans="5:151" s="815" customFormat="1" ht="18.75" customHeight="1" x14ac:dyDescent="0.25">
      <c r="E28" s="1023">
        <f t="shared" si="3"/>
        <v>8</v>
      </c>
      <c r="F28" s="1024">
        <f t="shared" si="4"/>
        <v>900</v>
      </c>
      <c r="G28" s="1025">
        <f t="shared" si="5"/>
        <v>91460.235970784735</v>
      </c>
      <c r="H28" s="1025">
        <f t="shared" si="2"/>
        <v>820.10049422951965</v>
      </c>
      <c r="I28" s="1025">
        <f t="shared" si="6"/>
        <v>-900</v>
      </c>
      <c r="J28" s="1026">
        <f t="shared" si="7"/>
        <v>91380.336465014261</v>
      </c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</row>
    <row r="29" spans="5:151" s="815" customFormat="1" ht="18.75" customHeight="1" x14ac:dyDescent="0.25">
      <c r="E29" s="1023">
        <f t="shared" si="3"/>
        <v>9</v>
      </c>
      <c r="F29" s="1024">
        <f t="shared" si="4"/>
        <v>900</v>
      </c>
      <c r="G29" s="1025">
        <f t="shared" si="5"/>
        <v>91380.336465014261</v>
      </c>
      <c r="H29" s="1025">
        <f t="shared" si="2"/>
        <v>819.38405583992267</v>
      </c>
      <c r="I29" s="1025">
        <f t="shared" si="6"/>
        <v>-900</v>
      </c>
      <c r="J29" s="1026">
        <f t="shared" si="7"/>
        <v>91299.720520854185</v>
      </c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</row>
    <row r="30" spans="5:151" s="815" customFormat="1" ht="18.75" customHeight="1" x14ac:dyDescent="0.25">
      <c r="E30" s="1023">
        <f t="shared" si="3"/>
        <v>10</v>
      </c>
      <c r="F30" s="1024">
        <f t="shared" si="4"/>
        <v>900</v>
      </c>
      <c r="G30" s="1025">
        <f t="shared" si="5"/>
        <v>91299.720520854185</v>
      </c>
      <c r="H30" s="1025">
        <f t="shared" si="2"/>
        <v>818.66119333091308</v>
      </c>
      <c r="I30" s="1025">
        <f t="shared" si="6"/>
        <v>-900</v>
      </c>
      <c r="J30" s="1026">
        <f t="shared" si="7"/>
        <v>91218.381714185103</v>
      </c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</row>
    <row r="31" spans="5:151" s="815" customFormat="1" ht="18.75" customHeight="1" x14ac:dyDescent="0.25">
      <c r="E31" s="1023">
        <f t="shared" si="3"/>
        <v>11</v>
      </c>
      <c r="F31" s="1024">
        <f t="shared" si="4"/>
        <v>900</v>
      </c>
      <c r="G31" s="1025">
        <f t="shared" si="5"/>
        <v>91218.381714185103</v>
      </c>
      <c r="H31" s="1025">
        <f t="shared" si="2"/>
        <v>817.93184909905847</v>
      </c>
      <c r="I31" s="1025">
        <f t="shared" si="6"/>
        <v>-900</v>
      </c>
      <c r="J31" s="1026">
        <f t="shared" si="7"/>
        <v>91136.313563284159</v>
      </c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</row>
    <row r="32" spans="5:151" s="815" customFormat="1" ht="18.75" customHeight="1" x14ac:dyDescent="0.25">
      <c r="E32" s="1023">
        <f t="shared" si="3"/>
        <v>12</v>
      </c>
      <c r="F32" s="1024">
        <f t="shared" si="4"/>
        <v>900</v>
      </c>
      <c r="G32" s="1025">
        <f t="shared" si="5"/>
        <v>91136.313563284159</v>
      </c>
      <c r="H32" s="1025">
        <f t="shared" si="2"/>
        <v>817.19596502441129</v>
      </c>
      <c r="I32" s="1025">
        <f t="shared" si="6"/>
        <v>-900</v>
      </c>
      <c r="J32" s="1026">
        <f t="shared" si="7"/>
        <v>91053.509528308568</v>
      </c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</row>
    <row r="33" spans="5:151" s="815" customFormat="1" ht="18.75" customHeight="1" x14ac:dyDescent="0.25">
      <c r="E33" s="1023">
        <f t="shared" si="3"/>
        <v>13</v>
      </c>
      <c r="F33" s="1024">
        <f t="shared" si="4"/>
        <v>900</v>
      </c>
      <c r="G33" s="1025">
        <f t="shared" si="5"/>
        <v>91053.509528308568</v>
      </c>
      <c r="H33" s="1025">
        <f t="shared" si="2"/>
        <v>816.45348246587764</v>
      </c>
      <c r="I33" s="1025">
        <f t="shared" si="6"/>
        <v>-900</v>
      </c>
      <c r="J33" s="1026">
        <f t="shared" si="7"/>
        <v>90969.963010774445</v>
      </c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</row>
    <row r="34" spans="5:151" s="815" customFormat="1" ht="18.75" customHeight="1" x14ac:dyDescent="0.25">
      <c r="E34" s="1023">
        <f t="shared" si="3"/>
        <v>14</v>
      </c>
      <c r="F34" s="1024">
        <f t="shared" si="4"/>
        <v>900</v>
      </c>
      <c r="G34" s="1025">
        <f t="shared" si="5"/>
        <v>90969.963010774445</v>
      </c>
      <c r="H34" s="1025">
        <f t="shared" si="2"/>
        <v>815.70434225654367</v>
      </c>
      <c r="I34" s="1025">
        <f t="shared" si="6"/>
        <v>-900</v>
      </c>
      <c r="J34" s="1026">
        <f t="shared" si="7"/>
        <v>90885.667353030993</v>
      </c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</row>
    <row r="35" spans="5:151" s="815" customFormat="1" ht="18.75" customHeight="1" x14ac:dyDescent="0.25">
      <c r="E35" s="1023">
        <f t="shared" si="3"/>
        <v>15</v>
      </c>
      <c r="F35" s="1024">
        <f t="shared" si="4"/>
        <v>900</v>
      </c>
      <c r="G35" s="1025">
        <f t="shared" si="5"/>
        <v>90885.667353030993</v>
      </c>
      <c r="H35" s="1025">
        <f t="shared" si="2"/>
        <v>814.94848469896101</v>
      </c>
      <c r="I35" s="1025">
        <f t="shared" si="6"/>
        <v>-900</v>
      </c>
      <c r="J35" s="1026">
        <f t="shared" si="7"/>
        <v>90800.615837729958</v>
      </c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</row>
    <row r="36" spans="5:151" s="815" customFormat="1" ht="18.75" customHeight="1" x14ac:dyDescent="0.25">
      <c r="E36" s="1023">
        <f t="shared" si="3"/>
        <v>16</v>
      </c>
      <c r="F36" s="1024">
        <f t="shared" si="4"/>
        <v>900</v>
      </c>
      <c r="G36" s="1025">
        <f t="shared" si="5"/>
        <v>90800.615837729958</v>
      </c>
      <c r="H36" s="1025">
        <f t="shared" si="2"/>
        <v>814.18584956038967</v>
      </c>
      <c r="I36" s="1025">
        <f t="shared" si="6"/>
        <v>-900</v>
      </c>
      <c r="J36" s="1026">
        <f t="shared" si="7"/>
        <v>90714.801687290354</v>
      </c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</row>
    <row r="37" spans="5:151" s="815" customFormat="1" ht="18.75" customHeight="1" x14ac:dyDescent="0.25">
      <c r="E37" s="1023">
        <f t="shared" si="3"/>
        <v>17</v>
      </c>
      <c r="F37" s="1024">
        <f t="shared" si="4"/>
        <v>900</v>
      </c>
      <c r="G37" s="1025">
        <f t="shared" si="5"/>
        <v>90714.801687290354</v>
      </c>
      <c r="H37" s="1025">
        <f t="shared" si="2"/>
        <v>813.41637606799804</v>
      </c>
      <c r="I37" s="1025">
        <f t="shared" si="6"/>
        <v>-900</v>
      </c>
      <c r="J37" s="1026">
        <f t="shared" si="7"/>
        <v>90628.218063358348</v>
      </c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</row>
    <row r="38" spans="5:151" s="815" customFormat="1" ht="18.75" customHeight="1" x14ac:dyDescent="0.25">
      <c r="E38" s="1027">
        <f t="shared" si="3"/>
        <v>18</v>
      </c>
      <c r="F38" s="1028">
        <f t="shared" si="4"/>
        <v>900</v>
      </c>
      <c r="G38" s="1029">
        <f t="shared" si="5"/>
        <v>90628.218063358348</v>
      </c>
      <c r="H38" s="1029">
        <f t="shared" si="2"/>
        <v>812.64000290401998</v>
      </c>
      <c r="I38" s="1029">
        <f t="shared" si="6"/>
        <v>-900</v>
      </c>
      <c r="J38" s="1030">
        <f t="shared" si="7"/>
        <v>90540.858066262372</v>
      </c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</row>
    <row r="39" spans="5:151" s="815" customFormat="1" ht="18.75" customHeight="1" x14ac:dyDescent="0.25">
      <c r="E39" s="850">
        <f t="shared" si="3"/>
        <v>19</v>
      </c>
      <c r="F39" s="815">
        <f t="shared" si="4"/>
        <v>900</v>
      </c>
      <c r="G39" s="816">
        <f t="shared" si="5"/>
        <v>90540.858066262372</v>
      </c>
      <c r="H39" s="816">
        <f t="shared" si="2"/>
        <v>811.85666820086885</v>
      </c>
      <c r="I39" s="816">
        <f t="shared" si="6"/>
        <v>-900</v>
      </c>
      <c r="J39" s="905">
        <f t="shared" si="7"/>
        <v>90452.714734463239</v>
      </c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</row>
    <row r="40" spans="5:151" s="815" customFormat="1" ht="18.75" customHeight="1" x14ac:dyDescent="0.25">
      <c r="E40" s="850">
        <f t="shared" si="3"/>
        <v>20</v>
      </c>
      <c r="F40" s="815">
        <f t="shared" si="4"/>
        <v>900</v>
      </c>
      <c r="G40" s="816">
        <f t="shared" si="5"/>
        <v>90452.714734463239</v>
      </c>
      <c r="H40" s="816">
        <f t="shared" si="2"/>
        <v>811.06630953620731</v>
      </c>
      <c r="I40" s="816">
        <f t="shared" si="6"/>
        <v>-900</v>
      </c>
      <c r="J40" s="905">
        <f t="shared" si="7"/>
        <v>90363.78104399945</v>
      </c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</row>
    <row r="41" spans="5:151" s="815" customFormat="1" ht="18.75" customHeight="1" x14ac:dyDescent="0.25">
      <c r="E41" s="850">
        <f t="shared" si="3"/>
        <v>21</v>
      </c>
      <c r="F41" s="815">
        <f t="shared" si="4"/>
        <v>900</v>
      </c>
      <c r="G41" s="816">
        <f t="shared" si="5"/>
        <v>90363.78104399945</v>
      </c>
      <c r="H41" s="816">
        <f t="shared" si="2"/>
        <v>810.26886392797257</v>
      </c>
      <c r="I41" s="816">
        <f t="shared" si="6"/>
        <v>-900</v>
      </c>
      <c r="J41" s="905">
        <f t="shared" si="7"/>
        <v>90274.049907927416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</row>
    <row r="42" spans="5:151" s="815" customFormat="1" ht="18.75" customHeight="1" x14ac:dyDescent="0.25">
      <c r="E42" s="850">
        <f t="shared" si="3"/>
        <v>22</v>
      </c>
      <c r="F42" s="815">
        <f t="shared" si="4"/>
        <v>900</v>
      </c>
      <c r="G42" s="816">
        <f t="shared" si="5"/>
        <v>90274.049907927416</v>
      </c>
      <c r="H42" s="816">
        <f t="shared" si="2"/>
        <v>809.46426782935816</v>
      </c>
      <c r="I42" s="816">
        <f t="shared" si="6"/>
        <v>-900</v>
      </c>
      <c r="J42" s="905">
        <f t="shared" si="7"/>
        <v>90183.514175756776</v>
      </c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</row>
    <row r="43" spans="5:151" s="815" customFormat="1" ht="18.75" customHeight="1" x14ac:dyDescent="0.25">
      <c r="E43" s="850">
        <f t="shared" si="3"/>
        <v>23</v>
      </c>
      <c r="F43" s="815">
        <f t="shared" si="4"/>
        <v>900</v>
      </c>
      <c r="G43" s="816">
        <f t="shared" si="5"/>
        <v>90183.514175756776</v>
      </c>
      <c r="H43" s="816">
        <f t="shared" si="2"/>
        <v>808.65245712374951</v>
      </c>
      <c r="I43" s="816">
        <f t="shared" si="6"/>
        <v>-900</v>
      </c>
      <c r="J43" s="905">
        <f t="shared" si="7"/>
        <v>90092.16663288053</v>
      </c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</row>
    <row r="44" spans="5:151" s="815" customFormat="1" ht="18.75" customHeight="1" x14ac:dyDescent="0.25">
      <c r="E44" s="964">
        <f t="shared" si="3"/>
        <v>24</v>
      </c>
      <c r="F44" s="1006">
        <f>+F43+D6</f>
        <v>90900</v>
      </c>
      <c r="G44" s="1006">
        <f t="shared" si="5"/>
        <v>90092.16663288053</v>
      </c>
      <c r="H44" s="1006">
        <f t="shared" si="2"/>
        <v>807.83336711961499</v>
      </c>
      <c r="I44" s="1006">
        <f t="shared" si="6"/>
        <v>-90900</v>
      </c>
      <c r="J44" s="966">
        <f t="shared" si="7"/>
        <v>1.4551915228366852E-10</v>
      </c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</row>
    <row r="45" spans="5:151" s="815" customFormat="1" ht="18.75" customHeight="1" x14ac:dyDescent="0.25">
      <c r="F45" s="1031">
        <f>IRR(F20:F44)</f>
        <v>8.9667436949483204E-3</v>
      </c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</row>
    <row r="46" spans="5:151" s="815" customFormat="1" ht="18.75" customHeight="1" x14ac:dyDescent="0.25"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</row>
    <row r="47" spans="5:151" s="815" customFormat="1" ht="18.75" customHeight="1" x14ac:dyDescent="0.25"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</row>
    <row r="48" spans="5:151" s="815" customFormat="1" ht="18.75" customHeight="1" x14ac:dyDescent="0.25"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</row>
    <row r="49" spans="19:151" s="815" customFormat="1" ht="0" hidden="1" customHeight="1" x14ac:dyDescent="0.25"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</row>
    <row r="50" spans="19:151" s="815" customFormat="1" ht="0" hidden="1" customHeight="1" x14ac:dyDescent="0.25"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</row>
    <row r="51" spans="19:151" s="815" customFormat="1" ht="0" hidden="1" customHeight="1" x14ac:dyDescent="0.25"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</row>
    <row r="52" spans="19:151" s="815" customFormat="1" ht="0" hidden="1" customHeight="1" x14ac:dyDescent="0.25"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</row>
    <row r="53" spans="19:151" s="815" customFormat="1" ht="0" hidden="1" customHeight="1" x14ac:dyDescent="0.25"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</row>
    <row r="54" spans="19:151" s="815" customFormat="1" ht="0" hidden="1" customHeight="1" x14ac:dyDescent="0.25"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</row>
    <row r="55" spans="19:151" s="815" customFormat="1" ht="0" hidden="1" customHeight="1" x14ac:dyDescent="0.25"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</row>
    <row r="56" spans="19:151" s="815" customFormat="1" ht="0" hidden="1" customHeight="1" x14ac:dyDescent="0.25"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</row>
    <row r="57" spans="19:151" s="815" customFormat="1" ht="0" hidden="1" customHeight="1" x14ac:dyDescent="0.25"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</row>
    <row r="58" spans="19:151" s="815" customFormat="1" ht="0" hidden="1" customHeight="1" x14ac:dyDescent="0.25"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</row>
    <row r="59" spans="19:151" s="815" customFormat="1" ht="0" hidden="1" customHeight="1" x14ac:dyDescent="0.25"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</row>
    <row r="73" spans="19:153" s="815" customFormat="1" ht="0" hidden="1" customHeight="1" x14ac:dyDescent="0.25"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</row>
    <row r="74" spans="19:153" s="815" customFormat="1" ht="0" hidden="1" customHeight="1" x14ac:dyDescent="0.25"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</row>
  </sheetData>
  <mergeCells count="1">
    <mergeCell ref="L4:M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2A5E-DDB1-470F-A3B5-FD353037A720}">
  <sheetPr>
    <tabColor rgb="FF7030A0"/>
  </sheetPr>
  <dimension ref="A1:FF76"/>
  <sheetViews>
    <sheetView showGridLines="0" topLeftCell="A4" zoomScale="85" zoomScaleNormal="85" workbookViewId="0">
      <selection activeCell="J9" sqref="J9"/>
    </sheetView>
  </sheetViews>
  <sheetFormatPr baseColWidth="10" defaultColWidth="0" defaultRowHeight="0" customHeight="1" zeroHeight="1" x14ac:dyDescent="0.25"/>
  <cols>
    <col min="1" max="2" width="15.7109375" style="815" customWidth="1"/>
    <col min="3" max="3" width="13.42578125" style="815" customWidth="1"/>
    <col min="4" max="4" width="15.7109375" style="815" customWidth="1"/>
    <col min="5" max="5" width="2.85546875" style="815" customWidth="1"/>
    <col min="6" max="6" width="23" style="815" customWidth="1"/>
    <col min="7" max="7" width="15.7109375" style="815" customWidth="1"/>
    <col min="8" max="8" width="9.85546875" style="815" customWidth="1"/>
    <col min="9" max="10" width="15.7109375" style="815" customWidth="1"/>
    <col min="11" max="11" width="14.7109375" style="815" customWidth="1"/>
    <col min="12" max="17" width="15.7109375" style="815" customWidth="1"/>
    <col min="18" max="162" width="0" hidden="1" customWidth="1"/>
    <col min="163" max="16384" width="11.42578125" hidden="1"/>
  </cols>
  <sheetData>
    <row r="1" spans="1:15" ht="18" x14ac:dyDescent="0.25">
      <c r="A1" s="835" t="s">
        <v>843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</row>
    <row r="2" spans="1:15" ht="18" x14ac:dyDescent="0.25">
      <c r="A2" s="840"/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</row>
    <row r="3" spans="1:15" ht="18" x14ac:dyDescent="0.25">
      <c r="A3" s="843" t="s">
        <v>848</v>
      </c>
      <c r="B3" s="844"/>
      <c r="C3" s="844"/>
      <c r="D3" s="844"/>
      <c r="E3" s="844"/>
      <c r="F3" s="844"/>
      <c r="G3" s="844"/>
      <c r="H3" s="844"/>
      <c r="I3" s="844"/>
      <c r="J3" s="845"/>
      <c r="K3" s="902" t="s">
        <v>459</v>
      </c>
      <c r="L3" s="902" t="s">
        <v>760</v>
      </c>
      <c r="M3" s="902" t="s">
        <v>761</v>
      </c>
      <c r="N3" s="902" t="s">
        <v>166</v>
      </c>
      <c r="O3" s="879" t="s">
        <v>762</v>
      </c>
    </row>
    <row r="4" spans="1:15" ht="18" x14ac:dyDescent="0.25">
      <c r="A4" s="846" t="s">
        <v>30</v>
      </c>
      <c r="B4" s="847"/>
      <c r="C4" s="847"/>
      <c r="D4" s="848">
        <v>0</v>
      </c>
      <c r="E4" s="840"/>
      <c r="F4" s="930"/>
      <c r="G4" s="893"/>
      <c r="H4" s="894"/>
      <c r="I4" s="893"/>
      <c r="J4" s="894"/>
      <c r="K4" s="1002"/>
      <c r="L4" s="1533" t="s">
        <v>757</v>
      </c>
      <c r="M4" s="1534"/>
      <c r="N4" s="951" t="s">
        <v>103</v>
      </c>
      <c r="O4" s="895" t="s">
        <v>21</v>
      </c>
    </row>
    <row r="5" spans="1:15" ht="18" x14ac:dyDescent="0.25">
      <c r="A5" s="850" t="s">
        <v>844</v>
      </c>
      <c r="D5" s="816">
        <v>127000</v>
      </c>
      <c r="E5" s="840"/>
      <c r="F5" s="931"/>
      <c r="G5" s="932"/>
      <c r="H5" s="937"/>
      <c r="I5" s="935">
        <v>2020</v>
      </c>
      <c r="J5" s="934">
        <v>2019</v>
      </c>
      <c r="K5" s="935" t="s">
        <v>103</v>
      </c>
      <c r="L5" s="941" t="s">
        <v>156</v>
      </c>
      <c r="M5" s="941" t="s">
        <v>233</v>
      </c>
      <c r="N5" s="952" t="s">
        <v>104</v>
      </c>
      <c r="O5" s="934" t="s">
        <v>695</v>
      </c>
    </row>
    <row r="6" spans="1:15" ht="18" x14ac:dyDescent="0.25">
      <c r="A6" s="850" t="s">
        <v>43</v>
      </c>
      <c r="D6" s="816">
        <f>-D5</f>
        <v>-127000</v>
      </c>
      <c r="E6" s="840"/>
      <c r="F6" s="938" t="s">
        <v>685</v>
      </c>
      <c r="G6" s="929"/>
      <c r="H6" s="929"/>
      <c r="I6" s="947" t="s">
        <v>3</v>
      </c>
      <c r="J6" s="881" t="s">
        <v>3</v>
      </c>
      <c r="K6" s="936" t="s">
        <v>3</v>
      </c>
      <c r="L6" s="947" t="s">
        <v>3</v>
      </c>
      <c r="M6" s="942" t="s">
        <v>3</v>
      </c>
      <c r="N6" s="881" t="s">
        <v>3</v>
      </c>
      <c r="O6" s="881" t="s">
        <v>3</v>
      </c>
    </row>
    <row r="7" spans="1:15" ht="18" x14ac:dyDescent="0.25">
      <c r="A7" s="846" t="s">
        <v>32</v>
      </c>
      <c r="B7" s="847"/>
      <c r="C7" s="847"/>
      <c r="D7" s="848">
        <f>SUM(D4:D6)</f>
        <v>0</v>
      </c>
      <c r="E7" s="840"/>
      <c r="F7" s="912"/>
      <c r="G7" s="827"/>
      <c r="H7" s="827"/>
      <c r="I7" s="958"/>
      <c r="J7" s="853"/>
      <c r="K7" s="827"/>
      <c r="L7" s="948"/>
      <c r="M7" s="943"/>
      <c r="N7" s="855"/>
      <c r="O7" s="921"/>
    </row>
    <row r="8" spans="1:15" ht="18" x14ac:dyDescent="0.25">
      <c r="A8" s="850"/>
      <c r="E8" s="840"/>
      <c r="F8" s="912"/>
      <c r="G8" s="827"/>
      <c r="H8" s="827"/>
      <c r="I8" s="958"/>
      <c r="J8" s="853"/>
      <c r="K8" s="827"/>
      <c r="L8" s="948"/>
      <c r="M8" s="943"/>
      <c r="N8" s="855"/>
      <c r="O8" s="921"/>
    </row>
    <row r="9" spans="1:15" ht="18" x14ac:dyDescent="0.25">
      <c r="A9" s="843" t="s">
        <v>845</v>
      </c>
      <c r="B9" s="844"/>
      <c r="C9" s="844"/>
      <c r="D9" s="844"/>
      <c r="E9" s="840"/>
      <c r="F9" s="912"/>
      <c r="G9" s="827"/>
      <c r="H9" s="827"/>
      <c r="I9" s="958"/>
      <c r="J9" s="853"/>
      <c r="K9" s="828"/>
      <c r="L9" s="948"/>
      <c r="M9" s="944"/>
      <c r="N9" s="853"/>
      <c r="O9" s="922"/>
    </row>
    <row r="10" spans="1:15" ht="18" x14ac:dyDescent="0.25">
      <c r="A10" s="846" t="s">
        <v>30</v>
      </c>
      <c r="B10" s="847"/>
      <c r="C10" s="847"/>
      <c r="D10" s="848">
        <v>3200</v>
      </c>
      <c r="E10" s="840"/>
      <c r="F10" s="912"/>
      <c r="G10" s="827"/>
      <c r="H10" s="827"/>
      <c r="I10" s="912"/>
      <c r="J10" s="855"/>
      <c r="K10" s="827"/>
      <c r="L10" s="948"/>
      <c r="M10" s="943"/>
      <c r="N10" s="855"/>
      <c r="O10" s="921"/>
    </row>
    <row r="11" spans="1:15" ht="18" x14ac:dyDescent="0.25">
      <c r="A11" s="850" t="s">
        <v>844</v>
      </c>
      <c r="D11" s="816">
        <v>6000</v>
      </c>
      <c r="E11" s="840"/>
      <c r="F11" s="912" t="s">
        <v>846</v>
      </c>
      <c r="G11" s="827"/>
      <c r="H11" s="827"/>
      <c r="I11" s="958">
        <f>-D28</f>
        <v>-12000</v>
      </c>
      <c r="J11" s="853">
        <f>-D25</f>
        <v>-6000</v>
      </c>
      <c r="K11" s="828">
        <f>+J11-I11</f>
        <v>6000</v>
      </c>
      <c r="L11" s="948"/>
      <c r="M11" s="943"/>
      <c r="N11" s="853">
        <f>+K11+M11-L11</f>
        <v>6000</v>
      </c>
      <c r="O11" s="922">
        <f>+N11</f>
        <v>6000</v>
      </c>
    </row>
    <row r="12" spans="1:15" ht="18" x14ac:dyDescent="0.25">
      <c r="A12" s="850" t="s">
        <v>43</v>
      </c>
      <c r="D12" s="816">
        <v>-4000</v>
      </c>
      <c r="E12" s="840"/>
      <c r="F12" s="912"/>
      <c r="G12" s="827"/>
      <c r="H12" s="827"/>
      <c r="I12" s="958"/>
      <c r="J12" s="853"/>
      <c r="K12" s="828"/>
      <c r="L12" s="949"/>
      <c r="M12" s="944"/>
      <c r="N12" s="853"/>
      <c r="O12" s="922"/>
    </row>
    <row r="13" spans="1:15" ht="18" x14ac:dyDescent="0.25">
      <c r="A13" s="846" t="s">
        <v>32</v>
      </c>
      <c r="B13" s="847"/>
      <c r="C13" s="847"/>
      <c r="D13" s="848">
        <f>SUM(D10:D12)</f>
        <v>5200</v>
      </c>
      <c r="E13" s="840"/>
      <c r="F13" s="912"/>
      <c r="G13" s="827"/>
      <c r="H13" s="827"/>
      <c r="I13" s="912"/>
      <c r="J13" s="855"/>
      <c r="K13" s="827"/>
      <c r="L13" s="948"/>
      <c r="M13" s="943"/>
      <c r="N13" s="855"/>
      <c r="O13" s="921"/>
    </row>
    <row r="14" spans="1:15" ht="18" x14ac:dyDescent="0.25">
      <c r="A14" s="850"/>
      <c r="E14" s="840"/>
      <c r="F14" s="912"/>
      <c r="G14" s="827"/>
      <c r="H14" s="827"/>
      <c r="I14" s="958"/>
      <c r="J14" s="855"/>
      <c r="K14" s="828"/>
      <c r="L14" s="949"/>
      <c r="M14" s="944"/>
      <c r="N14" s="853"/>
      <c r="O14" s="922"/>
    </row>
    <row r="15" spans="1:15" ht="18" x14ac:dyDescent="0.25">
      <c r="A15" s="843" t="s">
        <v>25</v>
      </c>
      <c r="B15" s="844"/>
      <c r="C15" s="844"/>
      <c r="D15" s="844"/>
      <c r="E15" s="840"/>
      <c r="F15" s="912"/>
      <c r="G15" s="827"/>
      <c r="H15" s="827"/>
      <c r="I15" s="958"/>
      <c r="J15" s="855"/>
      <c r="K15" s="827"/>
      <c r="L15" s="948"/>
      <c r="M15" s="943"/>
      <c r="N15" s="855"/>
      <c r="O15" s="921"/>
    </row>
    <row r="16" spans="1:15" ht="18" x14ac:dyDescent="0.25">
      <c r="A16" s="846" t="s">
        <v>30</v>
      </c>
      <c r="B16" s="847"/>
      <c r="C16" s="847"/>
      <c r="D16" s="848">
        <v>2800</v>
      </c>
      <c r="E16" s="840"/>
      <c r="F16" s="912" t="s">
        <v>11</v>
      </c>
      <c r="G16" s="827"/>
      <c r="H16" s="827"/>
      <c r="I16" s="958"/>
      <c r="J16" s="855"/>
      <c r="K16" s="827"/>
      <c r="L16" s="949"/>
      <c r="M16" s="944"/>
      <c r="N16" s="855"/>
      <c r="O16" s="921"/>
    </row>
    <row r="17" spans="1:15" ht="18" x14ac:dyDescent="0.25">
      <c r="A17" s="850" t="s">
        <v>844</v>
      </c>
      <c r="D17" s="816">
        <v>10000</v>
      </c>
      <c r="E17" s="840"/>
      <c r="F17" s="940" t="s">
        <v>10</v>
      </c>
      <c r="G17" s="864"/>
      <c r="H17" s="827"/>
      <c r="I17" s="958">
        <f>+I25</f>
        <v>115000</v>
      </c>
      <c r="J17" s="855"/>
      <c r="K17" s="828">
        <f t="shared" ref="K17:K19" si="0">+J17-I17</f>
        <v>-115000</v>
      </c>
      <c r="L17" s="949"/>
      <c r="M17" s="944"/>
      <c r="N17" s="853">
        <f t="shared" ref="N17:N19" si="1">+K17+M17-L17</f>
        <v>-115000</v>
      </c>
      <c r="O17" s="922">
        <f>-I25</f>
        <v>-115000</v>
      </c>
    </row>
    <row r="18" spans="1:15" ht="18" x14ac:dyDescent="0.25">
      <c r="A18" s="850" t="s">
        <v>43</v>
      </c>
      <c r="D18" s="816">
        <v>-6000</v>
      </c>
      <c r="E18" s="840"/>
      <c r="F18" s="940" t="s">
        <v>85</v>
      </c>
      <c r="G18" s="864"/>
      <c r="H18" s="827"/>
      <c r="I18" s="958">
        <f>+I26</f>
        <v>20000</v>
      </c>
      <c r="J18" s="855"/>
      <c r="K18" s="828">
        <f t="shared" si="0"/>
        <v>-20000</v>
      </c>
      <c r="L18" s="949"/>
      <c r="M18" s="944"/>
      <c r="N18" s="853">
        <f t="shared" si="1"/>
        <v>-20000</v>
      </c>
      <c r="O18" s="922">
        <f>-I26</f>
        <v>-20000</v>
      </c>
    </row>
    <row r="19" spans="1:15" ht="18" x14ac:dyDescent="0.25">
      <c r="A19" s="846" t="s">
        <v>32</v>
      </c>
      <c r="B19" s="847"/>
      <c r="C19" s="847"/>
      <c r="D19" s="848">
        <f>SUM(D16:D18)</f>
        <v>6800</v>
      </c>
      <c r="E19" s="840"/>
      <c r="F19" s="940" t="s">
        <v>86</v>
      </c>
      <c r="G19" s="864"/>
      <c r="H19" s="827"/>
      <c r="I19" s="958">
        <f>+I27</f>
        <v>8000</v>
      </c>
      <c r="J19" s="855"/>
      <c r="K19" s="828">
        <f t="shared" si="0"/>
        <v>-8000</v>
      </c>
      <c r="L19" s="949"/>
      <c r="M19" s="944"/>
      <c r="N19" s="853">
        <f t="shared" si="1"/>
        <v>-8000</v>
      </c>
      <c r="O19" s="922">
        <f>-I27</f>
        <v>-8000</v>
      </c>
    </row>
    <row r="20" spans="1:15" ht="18" x14ac:dyDescent="0.25">
      <c r="A20" s="843"/>
      <c r="B20" s="844"/>
      <c r="C20" s="844"/>
      <c r="D20" s="844"/>
      <c r="E20" s="840"/>
      <c r="F20" s="912"/>
      <c r="G20" s="827"/>
      <c r="H20" s="827"/>
      <c r="I20" s="958"/>
      <c r="J20" s="855"/>
      <c r="K20" s="828"/>
      <c r="L20" s="949"/>
      <c r="M20" s="944"/>
      <c r="N20" s="853"/>
      <c r="O20" s="922"/>
    </row>
    <row r="21" spans="1:15" ht="18" x14ac:dyDescent="0.25">
      <c r="A21" s="843"/>
      <c r="B21" s="844"/>
      <c r="C21" s="844"/>
      <c r="D21" s="844"/>
      <c r="E21" s="840"/>
      <c r="F21" s="912"/>
      <c r="G21" s="827"/>
      <c r="H21" s="827"/>
      <c r="I21" s="958"/>
      <c r="J21" s="855"/>
      <c r="K21" s="828"/>
      <c r="L21" s="949"/>
      <c r="M21" s="944"/>
      <c r="N21" s="853"/>
      <c r="O21" s="922"/>
    </row>
    <row r="22" spans="1:15" ht="18" x14ac:dyDescent="0.25">
      <c r="A22" s="843"/>
      <c r="B22" s="844"/>
      <c r="C22" s="844"/>
      <c r="D22" s="844"/>
      <c r="E22" s="840"/>
      <c r="F22" s="913"/>
      <c r="G22" s="914"/>
      <c r="H22" s="914"/>
      <c r="I22" s="913"/>
      <c r="J22" s="916"/>
      <c r="K22" s="1000"/>
      <c r="L22" s="950"/>
      <c r="M22" s="945"/>
      <c r="N22" s="917"/>
      <c r="O22" s="968"/>
    </row>
    <row r="23" spans="1:15" s="815" customFormat="1" ht="18.75" thickBot="1" x14ac:dyDescent="0.3">
      <c r="A23" s="843" t="s">
        <v>928</v>
      </c>
      <c r="B23" s="844"/>
      <c r="C23" s="844"/>
      <c r="D23" s="844"/>
      <c r="E23" s="840"/>
      <c r="F23" s="840"/>
      <c r="G23" s="840"/>
      <c r="H23" s="840"/>
      <c r="I23" s="840"/>
      <c r="J23" s="858"/>
      <c r="K23" s="840"/>
      <c r="L23" s="840"/>
      <c r="M23" s="840"/>
      <c r="N23" s="840"/>
      <c r="O23" s="997">
        <f>SUM(O7:O22)</f>
        <v>-137000</v>
      </c>
    </row>
    <row r="24" spans="1:15" s="815" customFormat="1" ht="18.75" customHeight="1" x14ac:dyDescent="0.25">
      <c r="A24" s="843" t="s">
        <v>846</v>
      </c>
      <c r="B24" s="844"/>
      <c r="C24" s="844"/>
      <c r="D24" s="844"/>
      <c r="E24" s="861"/>
      <c r="F24" s="861" t="s">
        <v>847</v>
      </c>
      <c r="G24" s="861"/>
      <c r="H24" s="861"/>
      <c r="I24" s="996" t="s">
        <v>3</v>
      </c>
      <c r="J24" s="862"/>
      <c r="K24" s="840"/>
      <c r="L24" s="840"/>
      <c r="M24" s="840"/>
      <c r="N24" s="840"/>
      <c r="O24" s="858"/>
    </row>
    <row r="25" spans="1:15" s="815" customFormat="1" ht="18.75" customHeight="1" x14ac:dyDescent="0.25">
      <c r="A25" s="846" t="s">
        <v>30</v>
      </c>
      <c r="B25" s="847"/>
      <c r="C25" s="847"/>
      <c r="D25" s="848">
        <f>+D4+D10+D16</f>
        <v>6000</v>
      </c>
      <c r="E25" s="861"/>
      <c r="F25" s="990" t="s">
        <v>10</v>
      </c>
      <c r="G25" s="861"/>
      <c r="H25" s="861"/>
      <c r="I25" s="991">
        <v>115000</v>
      </c>
      <c r="J25" s="862"/>
      <c r="K25" s="840"/>
      <c r="L25" s="840"/>
      <c r="M25" s="840"/>
      <c r="N25" s="840"/>
      <c r="O25" s="858"/>
    </row>
    <row r="26" spans="1:15" s="815" customFormat="1" ht="18.75" customHeight="1" x14ac:dyDescent="0.25">
      <c r="A26" s="850" t="s">
        <v>844</v>
      </c>
      <c r="D26" s="816">
        <f>+D5+D11+D17</f>
        <v>143000</v>
      </c>
      <c r="E26" s="840"/>
      <c r="F26" s="990" t="s">
        <v>85</v>
      </c>
      <c r="G26" s="840"/>
      <c r="H26" s="840"/>
      <c r="I26" s="991">
        <v>20000</v>
      </c>
      <c r="J26" s="840"/>
      <c r="K26" s="840"/>
      <c r="L26" s="840"/>
      <c r="M26" s="840"/>
      <c r="N26" s="840"/>
      <c r="O26" s="858"/>
    </row>
    <row r="27" spans="1:15" s="815" customFormat="1" ht="18.75" customHeight="1" x14ac:dyDescent="0.25">
      <c r="A27" s="850" t="s">
        <v>43</v>
      </c>
      <c r="D27" s="816">
        <f>+D6+D12+D18</f>
        <v>-137000</v>
      </c>
      <c r="E27" s="840"/>
      <c r="F27" s="992" t="s">
        <v>86</v>
      </c>
      <c r="G27" s="840"/>
      <c r="H27" s="840"/>
      <c r="I27" s="863">
        <v>8000</v>
      </c>
      <c r="J27" s="840"/>
      <c r="K27" s="840"/>
      <c r="L27" s="840"/>
      <c r="M27" s="840"/>
      <c r="N27" s="840"/>
      <c r="O27" s="858"/>
    </row>
    <row r="28" spans="1:15" s="815" customFormat="1" ht="18.75" customHeight="1" x14ac:dyDescent="0.25">
      <c r="A28" s="846" t="s">
        <v>32</v>
      </c>
      <c r="B28" s="847"/>
      <c r="C28" s="847"/>
      <c r="D28" s="848">
        <f>SUM(D25:D27)</f>
        <v>12000</v>
      </c>
      <c r="E28" s="840"/>
      <c r="F28" s="993"/>
      <c r="G28" s="994"/>
      <c r="H28" s="994"/>
      <c r="I28" s="995">
        <f>SUM(I25:I27)</f>
        <v>143000</v>
      </c>
      <c r="J28" s="840"/>
      <c r="K28" s="840"/>
      <c r="L28" s="840"/>
      <c r="M28" s="840"/>
      <c r="N28" s="840"/>
      <c r="O28" s="858"/>
    </row>
    <row r="29" spans="1:15" s="815" customFormat="1" ht="18.75" customHeight="1" x14ac:dyDescent="0.25"/>
    <row r="30" spans="1:15" s="815" customFormat="1" ht="18.75" customHeight="1" x14ac:dyDescent="0.25"/>
    <row r="31" spans="1:15" s="815" customFormat="1" ht="18.75" customHeight="1" x14ac:dyDescent="0.25">
      <c r="A31" s="835" t="s">
        <v>843</v>
      </c>
      <c r="B31" s="835"/>
      <c r="C31" s="835"/>
      <c r="D31" s="835"/>
      <c r="E31" s="835"/>
      <c r="F31" s="835"/>
      <c r="G31" s="835"/>
      <c r="H31" s="835"/>
      <c r="I31" s="835"/>
      <c r="J31" s="835"/>
      <c r="K31" s="835"/>
      <c r="L31" s="835"/>
      <c r="M31" s="835"/>
      <c r="N31" s="835"/>
      <c r="O31" s="835"/>
    </row>
    <row r="32" spans="1:15" s="815" customFormat="1" ht="18.75" customHeight="1" x14ac:dyDescent="0.25">
      <c r="A32" s="840"/>
      <c r="B32" s="840"/>
      <c r="C32" s="840"/>
      <c r="D32" s="840"/>
      <c r="E32" s="840"/>
      <c r="F32" s="840"/>
      <c r="G32" s="840"/>
      <c r="H32" s="840"/>
      <c r="I32" s="840"/>
      <c r="J32" s="840"/>
      <c r="K32" s="840"/>
      <c r="L32" s="840"/>
      <c r="M32" s="840"/>
      <c r="N32" s="840"/>
      <c r="O32" s="840"/>
    </row>
    <row r="33" spans="1:15" s="815" customFormat="1" ht="18.75" customHeight="1" x14ac:dyDescent="0.25">
      <c r="A33" s="843" t="s">
        <v>848</v>
      </c>
      <c r="B33" s="844"/>
      <c r="C33" s="844"/>
      <c r="D33" s="844"/>
      <c r="E33" s="844"/>
      <c r="F33" s="844"/>
      <c r="G33" s="844"/>
      <c r="H33" s="844"/>
      <c r="I33" s="844"/>
      <c r="J33" s="845"/>
      <c r="K33" s="902" t="s">
        <v>459</v>
      </c>
      <c r="L33" s="902" t="s">
        <v>760</v>
      </c>
      <c r="M33" s="902" t="s">
        <v>761</v>
      </c>
      <c r="N33" s="902" t="s">
        <v>166</v>
      </c>
      <c r="O33" s="879" t="s">
        <v>762</v>
      </c>
    </row>
    <row r="34" spans="1:15" s="815" customFormat="1" ht="18.75" customHeight="1" x14ac:dyDescent="0.25">
      <c r="A34" s="846" t="s">
        <v>30</v>
      </c>
      <c r="B34" s="847"/>
      <c r="C34" s="847"/>
      <c r="D34" s="848">
        <v>0</v>
      </c>
      <c r="E34" s="840"/>
      <c r="F34" s="930"/>
      <c r="G34" s="893"/>
      <c r="H34" s="893"/>
      <c r="I34" s="892"/>
      <c r="J34" s="894"/>
      <c r="K34" s="1002"/>
      <c r="L34" s="1533" t="s">
        <v>757</v>
      </c>
      <c r="M34" s="1534"/>
      <c r="N34" s="951" t="s">
        <v>103</v>
      </c>
      <c r="O34" s="895" t="s">
        <v>21</v>
      </c>
    </row>
    <row r="35" spans="1:15" s="815" customFormat="1" ht="18.75" customHeight="1" x14ac:dyDescent="0.25">
      <c r="A35" s="850" t="s">
        <v>844</v>
      </c>
      <c r="D35" s="816">
        <v>127000</v>
      </c>
      <c r="E35" s="840"/>
      <c r="F35" s="931"/>
      <c r="G35" s="932"/>
      <c r="H35" s="932"/>
      <c r="I35" s="933">
        <v>2020</v>
      </c>
      <c r="J35" s="934">
        <v>2019</v>
      </c>
      <c r="K35" s="935" t="s">
        <v>103</v>
      </c>
      <c r="L35" s="941" t="s">
        <v>156</v>
      </c>
      <c r="M35" s="941" t="s">
        <v>233</v>
      </c>
      <c r="N35" s="952" t="s">
        <v>104</v>
      </c>
      <c r="O35" s="934" t="s">
        <v>758</v>
      </c>
    </row>
    <row r="36" spans="1:15" s="815" customFormat="1" ht="18.75" customHeight="1" x14ac:dyDescent="0.25">
      <c r="A36" s="850" t="s">
        <v>43</v>
      </c>
      <c r="D36" s="816">
        <f>-D35</f>
        <v>-127000</v>
      </c>
      <c r="E36" s="840"/>
      <c r="F36" s="938" t="s">
        <v>685</v>
      </c>
      <c r="G36" s="929"/>
      <c r="H36" s="929"/>
      <c r="I36" s="947" t="s">
        <v>3</v>
      </c>
      <c r="J36" s="881" t="s">
        <v>3</v>
      </c>
      <c r="K36" s="936" t="s">
        <v>3</v>
      </c>
      <c r="L36" s="947" t="s">
        <v>3</v>
      </c>
      <c r="M36" s="942" t="s">
        <v>3</v>
      </c>
      <c r="N36" s="881" t="s">
        <v>3</v>
      </c>
      <c r="O36" s="881" t="s">
        <v>3</v>
      </c>
    </row>
    <row r="37" spans="1:15" s="815" customFormat="1" ht="18.75" customHeight="1" x14ac:dyDescent="0.25">
      <c r="A37" s="846" t="s">
        <v>32</v>
      </c>
      <c r="B37" s="847"/>
      <c r="C37" s="847"/>
      <c r="D37" s="848">
        <f>SUM(D34:D36)</f>
        <v>0</v>
      </c>
      <c r="E37" s="840"/>
      <c r="F37" s="912"/>
      <c r="G37" s="827"/>
      <c r="H37" s="827"/>
      <c r="I37" s="958"/>
      <c r="J37" s="853"/>
      <c r="K37" s="827"/>
      <c r="L37" s="948"/>
      <c r="M37" s="943"/>
      <c r="N37" s="855"/>
      <c r="O37" s="921"/>
    </row>
    <row r="38" spans="1:15" s="815" customFormat="1" ht="18.75" customHeight="1" x14ac:dyDescent="0.25">
      <c r="A38" s="850"/>
      <c r="E38" s="840"/>
      <c r="F38" s="912"/>
      <c r="G38" s="827"/>
      <c r="H38" s="827"/>
      <c r="I38" s="958"/>
      <c r="J38" s="853"/>
      <c r="K38" s="827"/>
      <c r="L38" s="948"/>
      <c r="M38" s="943"/>
      <c r="N38" s="855"/>
      <c r="O38" s="921"/>
    </row>
    <row r="39" spans="1:15" s="815" customFormat="1" ht="18.75" customHeight="1" x14ac:dyDescent="0.25">
      <c r="A39" s="843" t="s">
        <v>845</v>
      </c>
      <c r="B39" s="844"/>
      <c r="C39" s="844"/>
      <c r="D39" s="844"/>
      <c r="E39" s="840"/>
      <c r="F39" s="912"/>
      <c r="G39" s="827"/>
      <c r="H39" s="827"/>
      <c r="I39" s="958"/>
      <c r="J39" s="853"/>
      <c r="K39" s="828"/>
      <c r="L39" s="948"/>
      <c r="M39" s="944"/>
      <c r="N39" s="853"/>
      <c r="O39" s="922"/>
    </row>
    <row r="40" spans="1:15" s="815" customFormat="1" ht="18.75" customHeight="1" x14ac:dyDescent="0.25">
      <c r="A40" s="846" t="s">
        <v>30</v>
      </c>
      <c r="B40" s="847"/>
      <c r="C40" s="847"/>
      <c r="D40" s="848">
        <v>3200</v>
      </c>
      <c r="E40" s="840"/>
      <c r="F40" s="912"/>
      <c r="G40" s="827"/>
      <c r="H40" s="827"/>
      <c r="I40" s="912"/>
      <c r="J40" s="855"/>
      <c r="K40" s="827"/>
      <c r="L40" s="948"/>
      <c r="M40" s="943"/>
      <c r="N40" s="855"/>
      <c r="O40" s="921"/>
    </row>
    <row r="41" spans="1:15" s="815" customFormat="1" ht="18.75" customHeight="1" x14ac:dyDescent="0.25">
      <c r="A41" s="850" t="s">
        <v>844</v>
      </c>
      <c r="D41" s="816">
        <v>6000</v>
      </c>
      <c r="E41" s="840"/>
      <c r="F41" s="912" t="s">
        <v>846</v>
      </c>
      <c r="G41" s="827"/>
      <c r="H41" s="827"/>
      <c r="I41" s="958">
        <f>-D55</f>
        <v>-6000</v>
      </c>
      <c r="J41" s="853">
        <f>-D52</f>
        <v>0</v>
      </c>
      <c r="K41" s="828">
        <f>+J41-I41</f>
        <v>6000</v>
      </c>
      <c r="L41" s="948"/>
      <c r="M41" s="943"/>
      <c r="N41" s="853">
        <f>+K41+M41-L41</f>
        <v>6000</v>
      </c>
      <c r="O41" s="922">
        <f>+N41</f>
        <v>6000</v>
      </c>
    </row>
    <row r="42" spans="1:15" s="815" customFormat="1" ht="18.75" customHeight="1" x14ac:dyDescent="0.25">
      <c r="A42" s="850" t="s">
        <v>43</v>
      </c>
      <c r="D42" s="816">
        <v>-4000</v>
      </c>
      <c r="E42" s="840"/>
      <c r="F42" s="912"/>
      <c r="G42" s="827"/>
      <c r="H42" s="827"/>
      <c r="I42" s="958"/>
      <c r="J42" s="853"/>
      <c r="K42" s="828"/>
      <c r="L42" s="949"/>
      <c r="M42" s="944"/>
      <c r="N42" s="853"/>
      <c r="O42" s="922"/>
    </row>
    <row r="43" spans="1:15" s="815" customFormat="1" ht="18.75" customHeight="1" x14ac:dyDescent="0.25">
      <c r="A43" s="846" t="s">
        <v>32</v>
      </c>
      <c r="B43" s="847"/>
      <c r="C43" s="847"/>
      <c r="D43" s="848">
        <f>SUM(D40:D42)</f>
        <v>5200</v>
      </c>
      <c r="E43" s="840"/>
      <c r="F43" s="912"/>
      <c r="G43" s="827"/>
      <c r="H43" s="827"/>
      <c r="I43" s="912"/>
      <c r="J43" s="855"/>
      <c r="K43" s="827"/>
      <c r="L43" s="948"/>
      <c r="M43" s="943"/>
      <c r="N43" s="855"/>
      <c r="O43" s="921"/>
    </row>
    <row r="44" spans="1:15" s="815" customFormat="1" ht="18.75" customHeight="1" x14ac:dyDescent="0.25">
      <c r="A44" s="850"/>
      <c r="E44" s="840"/>
      <c r="F44" s="912"/>
      <c r="G44" s="827"/>
      <c r="H44" s="827"/>
      <c r="I44" s="958"/>
      <c r="J44" s="855"/>
      <c r="K44" s="828"/>
      <c r="L44" s="949"/>
      <c r="M44" s="944"/>
      <c r="N44" s="853"/>
      <c r="O44" s="922"/>
    </row>
    <row r="45" spans="1:15" s="815" customFormat="1" ht="18.75" customHeight="1" x14ac:dyDescent="0.25">
      <c r="A45" s="843" t="s">
        <v>25</v>
      </c>
      <c r="B45" s="844"/>
      <c r="C45" s="844"/>
      <c r="D45" s="844"/>
      <c r="E45" s="840"/>
      <c r="F45" s="912"/>
      <c r="G45" s="827"/>
      <c r="H45" s="827"/>
      <c r="I45" s="958"/>
      <c r="J45" s="855"/>
      <c r="K45" s="827"/>
      <c r="L45" s="948"/>
      <c r="M45" s="943"/>
      <c r="N45" s="855"/>
      <c r="O45" s="921"/>
    </row>
    <row r="46" spans="1:15" s="815" customFormat="1" ht="18.75" customHeight="1" x14ac:dyDescent="0.25">
      <c r="A46" s="846" t="s">
        <v>30</v>
      </c>
      <c r="B46" s="847"/>
      <c r="C46" s="847"/>
      <c r="D46" s="848">
        <v>2800</v>
      </c>
      <c r="E46" s="840"/>
      <c r="F46" s="912" t="s">
        <v>11</v>
      </c>
      <c r="G46" s="827"/>
      <c r="H46" s="827"/>
      <c r="I46" s="958"/>
      <c r="J46" s="855"/>
      <c r="K46" s="827"/>
      <c r="L46" s="949"/>
      <c r="M46" s="944"/>
      <c r="N46" s="855"/>
      <c r="O46" s="921"/>
    </row>
    <row r="47" spans="1:15" s="815" customFormat="1" ht="18.75" customHeight="1" x14ac:dyDescent="0.25">
      <c r="A47" s="850" t="s">
        <v>844</v>
      </c>
      <c r="D47" s="816">
        <v>7000</v>
      </c>
      <c r="E47" s="840"/>
      <c r="F47" s="940" t="s">
        <v>10</v>
      </c>
      <c r="G47" s="864"/>
      <c r="H47" s="827"/>
      <c r="I47" s="958">
        <v>150000</v>
      </c>
      <c r="J47" s="855"/>
      <c r="K47" s="828">
        <f t="shared" ref="K47:K49" si="2">+J47-I47</f>
        <v>-150000</v>
      </c>
      <c r="L47" s="949"/>
      <c r="M47" s="944"/>
      <c r="N47" s="853">
        <f t="shared" ref="N47:N49" si="3">+K47+M47-L47</f>
        <v>-150000</v>
      </c>
      <c r="O47" s="922">
        <f>-I55</f>
        <v>-115000</v>
      </c>
    </row>
    <row r="48" spans="1:15" s="815" customFormat="1" ht="18.75" customHeight="1" x14ac:dyDescent="0.25">
      <c r="A48" s="850" t="s">
        <v>43</v>
      </c>
      <c r="D48" s="816">
        <v>-6000</v>
      </c>
      <c r="E48" s="840"/>
      <c r="F48" s="940" t="s">
        <v>85</v>
      </c>
      <c r="G48" s="864"/>
      <c r="H48" s="827"/>
      <c r="I48" s="958">
        <v>200000</v>
      </c>
      <c r="J48" s="855"/>
      <c r="K48" s="828">
        <f t="shared" si="2"/>
        <v>-200000</v>
      </c>
      <c r="L48" s="949"/>
      <c r="M48" s="944"/>
      <c r="N48" s="853">
        <f t="shared" si="3"/>
        <v>-200000</v>
      </c>
      <c r="O48" s="922">
        <f>-I56</f>
        <v>-20000</v>
      </c>
    </row>
    <row r="49" spans="1:15" s="815" customFormat="1" ht="18.75" customHeight="1" x14ac:dyDescent="0.25">
      <c r="A49" s="846" t="s">
        <v>32</v>
      </c>
      <c r="B49" s="847"/>
      <c r="C49" s="847"/>
      <c r="D49" s="848">
        <f>SUM(D46:D48)</f>
        <v>3800</v>
      </c>
      <c r="E49" s="840"/>
      <c r="F49" s="940" t="s">
        <v>86</v>
      </c>
      <c r="G49" s="864"/>
      <c r="H49" s="827"/>
      <c r="I49" s="958">
        <v>50000</v>
      </c>
      <c r="J49" s="855"/>
      <c r="K49" s="828">
        <f t="shared" si="2"/>
        <v>-50000</v>
      </c>
      <c r="L49" s="949"/>
      <c r="M49" s="944"/>
      <c r="N49" s="853">
        <f t="shared" si="3"/>
        <v>-50000</v>
      </c>
      <c r="O49" s="922">
        <f>-I57</f>
        <v>-8000</v>
      </c>
    </row>
    <row r="50" spans="1:15" s="815" customFormat="1" ht="18.75" customHeight="1" x14ac:dyDescent="0.25">
      <c r="A50" s="856"/>
      <c r="D50" s="816"/>
      <c r="E50" s="840"/>
      <c r="F50" s="912"/>
      <c r="G50" s="827"/>
      <c r="H50" s="827"/>
      <c r="I50" s="958"/>
      <c r="J50" s="855"/>
      <c r="K50" s="828"/>
      <c r="L50" s="949"/>
      <c r="M50" s="944"/>
      <c r="N50" s="853"/>
      <c r="O50" s="922"/>
    </row>
    <row r="51" spans="1:15" s="815" customFormat="1" ht="18.75" customHeight="1" x14ac:dyDescent="0.25">
      <c r="A51" s="843"/>
      <c r="B51" s="844"/>
      <c r="C51" s="844"/>
      <c r="D51" s="844"/>
      <c r="E51" s="840"/>
      <c r="F51" s="912"/>
      <c r="G51" s="827"/>
      <c r="H51" s="827"/>
      <c r="I51" s="958"/>
      <c r="J51" s="855"/>
      <c r="K51" s="828"/>
      <c r="L51" s="949"/>
      <c r="M51" s="944"/>
      <c r="N51" s="853"/>
      <c r="O51" s="922"/>
    </row>
    <row r="52" spans="1:15" s="815" customFormat="1" ht="18.75" customHeight="1" x14ac:dyDescent="0.25">
      <c r="A52" s="843"/>
      <c r="B52" s="844"/>
      <c r="C52" s="844"/>
      <c r="D52" s="844"/>
      <c r="E52" s="840"/>
      <c r="F52" s="913"/>
      <c r="G52" s="914"/>
      <c r="H52" s="914"/>
      <c r="I52" s="913"/>
      <c r="J52" s="916"/>
      <c r="K52" s="1000"/>
      <c r="L52" s="950"/>
      <c r="M52" s="945"/>
      <c r="N52" s="917"/>
      <c r="O52" s="968"/>
    </row>
    <row r="53" spans="1:15" s="815" customFormat="1" ht="18.75" thickBot="1" x14ac:dyDescent="0.3">
      <c r="A53" s="843" t="s">
        <v>928</v>
      </c>
      <c r="B53" s="844"/>
      <c r="C53" s="844"/>
      <c r="D53" s="844"/>
      <c r="E53" s="840"/>
      <c r="F53" s="840"/>
      <c r="G53" s="840"/>
      <c r="H53" s="840"/>
      <c r="I53" s="840"/>
      <c r="J53" s="858"/>
      <c r="K53" s="840"/>
      <c r="L53" s="840"/>
      <c r="M53" s="840"/>
      <c r="N53" s="840"/>
      <c r="O53" s="997">
        <f>SUM(O37:O52)</f>
        <v>-137000</v>
      </c>
    </row>
    <row r="54" spans="1:15" s="815" customFormat="1" ht="18.75" customHeight="1" x14ac:dyDescent="0.25">
      <c r="A54" s="843" t="s">
        <v>846</v>
      </c>
      <c r="B54" s="844"/>
      <c r="C54" s="844"/>
      <c r="D54" s="844"/>
      <c r="E54" s="861"/>
      <c r="F54" s="861" t="s">
        <v>847</v>
      </c>
      <c r="G54" s="861"/>
      <c r="H54" s="861"/>
      <c r="I54" s="996" t="s">
        <v>3</v>
      </c>
      <c r="J54" s="862"/>
      <c r="K54" s="840"/>
      <c r="L54" s="840"/>
      <c r="M54" s="840"/>
      <c r="N54" s="840"/>
      <c r="O54" s="858"/>
    </row>
    <row r="55" spans="1:15" s="815" customFormat="1" ht="18.75" customHeight="1" x14ac:dyDescent="0.25">
      <c r="A55" s="846" t="s">
        <v>30</v>
      </c>
      <c r="B55" s="847"/>
      <c r="C55" s="847"/>
      <c r="D55" s="848">
        <f>+D34+D40+D46</f>
        <v>6000</v>
      </c>
      <c r="E55" s="861"/>
      <c r="F55" s="990" t="s">
        <v>10</v>
      </c>
      <c r="G55" s="861"/>
      <c r="H55" s="861"/>
      <c r="I55" s="991">
        <v>115000</v>
      </c>
      <c r="J55" s="862"/>
      <c r="K55" s="840"/>
      <c r="L55" s="840"/>
      <c r="M55" s="840"/>
      <c r="N55" s="840"/>
      <c r="O55" s="858"/>
    </row>
    <row r="56" spans="1:15" s="815" customFormat="1" ht="18.75" customHeight="1" x14ac:dyDescent="0.25">
      <c r="A56" s="850" t="s">
        <v>844</v>
      </c>
      <c r="D56" s="816">
        <f>+D35+D41+D47</f>
        <v>140000</v>
      </c>
      <c r="E56" s="840"/>
      <c r="F56" s="990" t="s">
        <v>85</v>
      </c>
      <c r="G56" s="840"/>
      <c r="H56" s="840"/>
      <c r="I56" s="991">
        <v>20000</v>
      </c>
      <c r="J56" s="840"/>
      <c r="K56" s="840"/>
      <c r="L56" s="840"/>
      <c r="M56" s="840"/>
      <c r="N56" s="840"/>
      <c r="O56" s="858"/>
    </row>
    <row r="57" spans="1:15" s="815" customFormat="1" ht="18.75" customHeight="1" x14ac:dyDescent="0.25">
      <c r="A57" s="850" t="s">
        <v>43</v>
      </c>
      <c r="D57" s="816">
        <f>+D36+D42+D48</f>
        <v>-137000</v>
      </c>
      <c r="E57" s="840"/>
      <c r="F57" s="992" t="s">
        <v>86</v>
      </c>
      <c r="G57" s="840"/>
      <c r="H57" s="840"/>
      <c r="I57" s="863">
        <v>8000</v>
      </c>
      <c r="J57" s="840"/>
      <c r="K57" s="840"/>
      <c r="L57" s="840"/>
      <c r="M57" s="840"/>
      <c r="N57" s="840"/>
      <c r="O57" s="858"/>
    </row>
    <row r="58" spans="1:15" s="815" customFormat="1" ht="18.75" customHeight="1" x14ac:dyDescent="0.25">
      <c r="A58" s="846" t="s">
        <v>32</v>
      </c>
      <c r="B58" s="847"/>
      <c r="C58" s="847"/>
      <c r="D58" s="848">
        <f>SUM(D55:D57)</f>
        <v>9000</v>
      </c>
      <c r="E58" s="840"/>
      <c r="F58" s="993"/>
      <c r="G58" s="994"/>
      <c r="H58" s="994"/>
      <c r="I58" s="995">
        <f>SUM(I55:I57)</f>
        <v>143000</v>
      </c>
      <c r="J58" s="840"/>
      <c r="K58" s="840"/>
      <c r="L58" s="840"/>
      <c r="M58" s="840"/>
      <c r="N58" s="840"/>
      <c r="O58" s="858"/>
    </row>
    <row r="59" spans="1:15" s="815" customFormat="1" ht="18.75" customHeight="1" x14ac:dyDescent="0.25">
      <c r="A59" s="860"/>
      <c r="B59" s="861"/>
      <c r="C59" s="861"/>
      <c r="D59" s="861"/>
      <c r="E59" s="861"/>
      <c r="F59" s="861"/>
      <c r="G59" s="861"/>
      <c r="H59" s="861"/>
      <c r="I59" s="861"/>
      <c r="J59" s="861"/>
      <c r="K59" s="861"/>
      <c r="L59" s="861"/>
      <c r="M59" s="861"/>
      <c r="N59" s="861"/>
      <c r="O59" s="862"/>
    </row>
    <row r="60" spans="1:15" s="815" customFormat="1" ht="18.75" customHeight="1" x14ac:dyDescent="0.25"/>
    <row r="61" spans="1:15" s="815" customFormat="1" ht="18.75" customHeight="1" x14ac:dyDescent="0.25"/>
    <row r="62" spans="1:15" s="815" customFormat="1" ht="18.75" customHeight="1" x14ac:dyDescent="0.25"/>
    <row r="63" spans="1:15" s="815" customFormat="1" ht="18.75" customHeight="1" x14ac:dyDescent="0.25"/>
    <row r="64" spans="1:15" s="815" customFormat="1" ht="18.75" customHeight="1" x14ac:dyDescent="0.25"/>
    <row r="65" s="815" customFormat="1" ht="18.75" customHeight="1" x14ac:dyDescent="0.25"/>
    <row r="66" s="815" customFormat="1" ht="0" hidden="1" customHeight="1" x14ac:dyDescent="0.25"/>
    <row r="67" s="815" customFormat="1" ht="0" hidden="1" customHeight="1" x14ac:dyDescent="0.25"/>
    <row r="68" s="815" customFormat="1" ht="0" hidden="1" customHeight="1" x14ac:dyDescent="0.25"/>
    <row r="69" s="815" customFormat="1" ht="0" hidden="1" customHeight="1" x14ac:dyDescent="0.25"/>
    <row r="70" s="815" customFormat="1" ht="0" hidden="1" customHeight="1" x14ac:dyDescent="0.25"/>
    <row r="71" s="815" customFormat="1" ht="0" hidden="1" customHeight="1" x14ac:dyDescent="0.25"/>
    <row r="72" s="815" customFormat="1" ht="0" hidden="1" customHeight="1" x14ac:dyDescent="0.25"/>
    <row r="73" s="815" customFormat="1" ht="0" hidden="1" customHeight="1" x14ac:dyDescent="0.25"/>
    <row r="74" s="815" customFormat="1" ht="0" hidden="1" customHeight="1" x14ac:dyDescent="0.25"/>
    <row r="75" s="815" customFormat="1" ht="0" hidden="1" customHeight="1" x14ac:dyDescent="0.25"/>
    <row r="76" s="815" customFormat="1" ht="0" hidden="1" customHeight="1" x14ac:dyDescent="0.25"/>
  </sheetData>
  <mergeCells count="2">
    <mergeCell ref="L4:M4"/>
    <mergeCell ref="L34:M3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B619C-17FE-4EAF-900D-1EA2E2946328}">
  <sheetPr>
    <tabColor rgb="FF7030A0"/>
  </sheetPr>
  <dimension ref="A1:FG69"/>
  <sheetViews>
    <sheetView showGridLines="0" zoomScale="70" zoomScaleNormal="70" workbookViewId="0">
      <selection activeCell="J9" sqref="J9"/>
    </sheetView>
  </sheetViews>
  <sheetFormatPr baseColWidth="10" defaultColWidth="0" defaultRowHeight="0" customHeight="1" zeroHeight="1" x14ac:dyDescent="0.25"/>
  <cols>
    <col min="1" max="1" width="4.7109375" customWidth="1"/>
    <col min="2" max="5" width="15.7109375" style="815" customWidth="1"/>
    <col min="6" max="6" width="2.85546875" style="815" customWidth="1"/>
    <col min="7" max="8" width="15.7109375" style="815" customWidth="1"/>
    <col min="9" max="9" width="12.140625" style="815" customWidth="1"/>
    <col min="10" max="20" width="15.7109375" style="815" customWidth="1"/>
    <col min="21" max="163" width="0" hidden="1" customWidth="1"/>
    <col min="164" max="16384" width="11.42578125" hidden="1"/>
  </cols>
  <sheetData>
    <row r="1" spans="1:17" ht="18" x14ac:dyDescent="0.25">
      <c r="A1" s="835" t="s">
        <v>881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  <c r="P1" s="835"/>
      <c r="Q1" s="835"/>
    </row>
    <row r="2" spans="1:17" ht="18" x14ac:dyDescent="0.25">
      <c r="A2" s="840"/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  <c r="P2" s="840"/>
      <c r="Q2" s="840"/>
    </row>
    <row r="3" spans="1:17" ht="18" x14ac:dyDescent="0.25">
      <c r="A3" s="878"/>
      <c r="B3" s="878"/>
      <c r="C3" s="844"/>
      <c r="D3" s="844"/>
      <c r="E3" s="844"/>
      <c r="F3" s="844"/>
      <c r="G3" s="844"/>
      <c r="H3" s="844"/>
      <c r="I3" s="844"/>
      <c r="J3" s="844"/>
      <c r="K3" s="845"/>
      <c r="L3" s="879" t="s">
        <v>459</v>
      </c>
      <c r="M3" s="902" t="s">
        <v>760</v>
      </c>
      <c r="N3" s="902" t="s">
        <v>761</v>
      </c>
      <c r="O3" s="879" t="s">
        <v>166</v>
      </c>
      <c r="P3" s="879" t="s">
        <v>762</v>
      </c>
      <c r="Q3" s="879" t="s">
        <v>762</v>
      </c>
    </row>
    <row r="4" spans="1:17" ht="18" x14ac:dyDescent="0.25">
      <c r="A4" s="843" t="s">
        <v>882</v>
      </c>
      <c r="B4" s="878"/>
      <c r="C4" s="981"/>
      <c r="D4" s="981"/>
      <c r="E4" s="982"/>
      <c r="F4" s="891"/>
      <c r="G4" s="930"/>
      <c r="H4" s="893"/>
      <c r="I4" s="894"/>
      <c r="J4" s="930"/>
      <c r="K4" s="894"/>
      <c r="L4" s="895"/>
      <c r="M4" s="1531" t="s">
        <v>757</v>
      </c>
      <c r="N4" s="1531"/>
      <c r="O4" s="951" t="s">
        <v>103</v>
      </c>
      <c r="P4" s="895" t="s">
        <v>22</v>
      </c>
      <c r="Q4" s="895" t="s">
        <v>22</v>
      </c>
    </row>
    <row r="5" spans="1:17" ht="18" x14ac:dyDescent="0.25">
      <c r="A5" s="846" t="s">
        <v>883</v>
      </c>
      <c r="B5" s="847"/>
      <c r="C5" s="847"/>
      <c r="D5" s="969"/>
      <c r="E5" s="972"/>
      <c r="F5" s="869"/>
      <c r="G5" s="931"/>
      <c r="H5" s="932"/>
      <c r="I5" s="937"/>
      <c r="J5" s="960">
        <v>2020</v>
      </c>
      <c r="K5" s="934">
        <v>2019</v>
      </c>
      <c r="L5" s="934" t="s">
        <v>103</v>
      </c>
      <c r="M5" s="941" t="s">
        <v>156</v>
      </c>
      <c r="N5" s="946" t="s">
        <v>233</v>
      </c>
      <c r="O5" s="952" t="s">
        <v>104</v>
      </c>
      <c r="P5" s="934" t="s">
        <v>377</v>
      </c>
      <c r="Q5" s="934" t="s">
        <v>890</v>
      </c>
    </row>
    <row r="6" spans="1:17" ht="18" x14ac:dyDescent="0.25">
      <c r="A6" s="850" t="s">
        <v>629</v>
      </c>
      <c r="E6" s="906">
        <v>36</v>
      </c>
      <c r="F6" s="869"/>
      <c r="G6" s="938" t="s">
        <v>685</v>
      </c>
      <c r="H6" s="929"/>
      <c r="I6" s="939"/>
      <c r="J6" s="947" t="s">
        <v>3</v>
      </c>
      <c r="K6" s="881" t="s">
        <v>3</v>
      </c>
      <c r="L6" s="881" t="s">
        <v>3</v>
      </c>
      <c r="M6" s="942" t="s">
        <v>3</v>
      </c>
      <c r="N6" s="947" t="s">
        <v>3</v>
      </c>
      <c r="O6" s="942" t="s">
        <v>3</v>
      </c>
      <c r="P6" s="881" t="s">
        <v>3</v>
      </c>
      <c r="Q6" s="881" t="s">
        <v>3</v>
      </c>
    </row>
    <row r="7" spans="1:17" ht="18" x14ac:dyDescent="0.25">
      <c r="A7" s="850" t="s">
        <v>630</v>
      </c>
      <c r="E7" s="905">
        <v>5000</v>
      </c>
      <c r="F7" s="869"/>
      <c r="G7" s="912"/>
      <c r="H7" s="827"/>
      <c r="I7" s="855"/>
      <c r="J7" s="958"/>
      <c r="K7" s="853"/>
      <c r="L7" s="855"/>
      <c r="M7" s="943"/>
      <c r="N7" s="948"/>
      <c r="O7" s="953"/>
      <c r="P7" s="921"/>
      <c r="Q7" s="921"/>
    </row>
    <row r="8" spans="1:17" ht="18" x14ac:dyDescent="0.25">
      <c r="A8" s="850" t="s">
        <v>884</v>
      </c>
      <c r="E8" s="1039">
        <v>0.01</v>
      </c>
      <c r="F8" s="869"/>
      <c r="G8" s="912" t="s">
        <v>888</v>
      </c>
      <c r="H8" s="827"/>
      <c r="I8" s="855"/>
      <c r="J8" s="958"/>
      <c r="K8" s="853"/>
      <c r="L8" s="853"/>
      <c r="M8" s="943"/>
      <c r="N8" s="948"/>
      <c r="O8" s="954"/>
      <c r="P8" s="922"/>
      <c r="Q8" s="922"/>
    </row>
    <row r="9" spans="1:17" ht="18" x14ac:dyDescent="0.25">
      <c r="A9" s="846" t="s">
        <v>885</v>
      </c>
      <c r="B9" s="847"/>
      <c r="C9" s="847"/>
      <c r="D9" s="847"/>
      <c r="E9" s="904"/>
      <c r="F9" s="869"/>
      <c r="G9" s="975" t="s">
        <v>35</v>
      </c>
      <c r="H9" s="827"/>
      <c r="I9" s="855"/>
      <c r="J9" s="958">
        <f>+D13</f>
        <v>152042.90043823436</v>
      </c>
      <c r="K9" s="853">
        <f>+D13</f>
        <v>152042.90043823436</v>
      </c>
      <c r="L9" s="853">
        <f>+K9-J9</f>
        <v>0</v>
      </c>
      <c r="M9" s="943"/>
      <c r="N9" s="948"/>
      <c r="O9" s="954">
        <f>+L9+N9-M9</f>
        <v>0</v>
      </c>
      <c r="P9" s="922"/>
      <c r="Q9" s="922"/>
    </row>
    <row r="10" spans="1:17" s="815" customFormat="1" ht="18" x14ac:dyDescent="0.25">
      <c r="A10" s="850" t="s">
        <v>886</v>
      </c>
      <c r="E10" s="905">
        <f>PV(E8,E6,-E7,0,1)</f>
        <v>152042.90043823436</v>
      </c>
      <c r="F10" s="869"/>
      <c r="G10" s="975" t="s">
        <v>36</v>
      </c>
      <c r="H10" s="827"/>
      <c r="I10" s="855"/>
      <c r="J10" s="958">
        <f>+-E11*14</f>
        <v>-59127.794614868923</v>
      </c>
      <c r="K10" s="853">
        <f>-E11*2</f>
        <v>-8446.8278021241313</v>
      </c>
      <c r="L10" s="853">
        <f>+K10-J10</f>
        <v>50680.966812744795</v>
      </c>
      <c r="M10" s="944">
        <f>+N20</f>
        <v>50680.966812744788</v>
      </c>
      <c r="N10" s="949"/>
      <c r="O10" s="954">
        <f>+L10+N10-M10</f>
        <v>0</v>
      </c>
      <c r="P10" s="922"/>
      <c r="Q10" s="922"/>
    </row>
    <row r="11" spans="1:17" s="815" customFormat="1" ht="18" x14ac:dyDescent="0.25">
      <c r="A11" s="850" t="s">
        <v>889</v>
      </c>
      <c r="E11" s="905">
        <f>+E10/E6</f>
        <v>4223.4139010620656</v>
      </c>
      <c r="F11" s="869"/>
      <c r="G11" s="975"/>
      <c r="H11" s="827"/>
      <c r="I11" s="855"/>
      <c r="J11" s="958"/>
      <c r="K11" s="853"/>
      <c r="L11" s="853"/>
      <c r="M11" s="944"/>
      <c r="N11" s="949"/>
      <c r="O11" s="954"/>
      <c r="P11" s="922"/>
      <c r="Q11" s="922"/>
    </row>
    <row r="12" spans="1:17" s="815" customFormat="1" ht="18" x14ac:dyDescent="0.25">
      <c r="A12" s="846" t="s">
        <v>887</v>
      </c>
      <c r="B12" s="847"/>
      <c r="C12" s="847"/>
      <c r="D12" s="969" t="s">
        <v>156</v>
      </c>
      <c r="E12" s="972" t="s">
        <v>233</v>
      </c>
      <c r="F12" s="869"/>
      <c r="G12" s="912"/>
      <c r="H12" s="827"/>
      <c r="I12" s="855"/>
      <c r="J12" s="958"/>
      <c r="K12" s="853"/>
      <c r="L12" s="853"/>
      <c r="M12" s="943"/>
      <c r="N12" s="949"/>
      <c r="O12" s="954"/>
      <c r="P12" s="922"/>
      <c r="Q12" s="922"/>
    </row>
    <row r="13" spans="1:17" s="815" customFormat="1" ht="18" x14ac:dyDescent="0.25">
      <c r="A13" s="850" t="s">
        <v>888</v>
      </c>
      <c r="C13" s="869"/>
      <c r="D13" s="816">
        <f>+E10</f>
        <v>152042.90043823436</v>
      </c>
      <c r="E13" s="927"/>
      <c r="F13" s="869"/>
      <c r="G13" s="912"/>
      <c r="H13" s="827"/>
      <c r="I13" s="855"/>
      <c r="J13" s="958"/>
      <c r="K13" s="853"/>
      <c r="L13" s="853"/>
      <c r="M13" s="944"/>
      <c r="N13" s="949"/>
      <c r="O13" s="954"/>
      <c r="P13" s="922"/>
      <c r="Q13" s="922"/>
    </row>
    <row r="14" spans="1:17" s="815" customFormat="1" ht="18" x14ac:dyDescent="0.25">
      <c r="A14" s="850" t="s">
        <v>797</v>
      </c>
      <c r="C14" s="869"/>
      <c r="D14" s="869"/>
      <c r="E14" s="905">
        <f>+D13</f>
        <v>152042.90043823436</v>
      </c>
      <c r="F14" s="869"/>
      <c r="G14" s="912" t="s">
        <v>797</v>
      </c>
      <c r="H14" s="827"/>
      <c r="I14" s="855"/>
      <c r="J14" s="958">
        <f>-E30</f>
        <v>-99284.915674606309</v>
      </c>
      <c r="K14" s="853">
        <f>-B19</f>
        <v>-144948.46273704286</v>
      </c>
      <c r="L14" s="853">
        <f>+K14-J14</f>
        <v>-45663.547062436555</v>
      </c>
      <c r="M14" s="944">
        <f>+N21</f>
        <v>14336.452937563443</v>
      </c>
      <c r="N14" s="949"/>
      <c r="O14" s="954">
        <f>+L14+N14-M14</f>
        <v>-60000</v>
      </c>
      <c r="P14" s="922">
        <f>-SUM(D19:D30)</f>
        <v>-14336.452937563443</v>
      </c>
      <c r="Q14" s="922">
        <f>SUM(C19:C30)-P14</f>
        <v>-45663.547062436555</v>
      </c>
    </row>
    <row r="15" spans="1:17" s="815" customFormat="1" ht="18" x14ac:dyDescent="0.25">
      <c r="A15" s="846"/>
      <c r="B15" s="847"/>
      <c r="C15" s="847"/>
      <c r="D15" s="969"/>
      <c r="E15" s="972"/>
      <c r="F15" s="869"/>
      <c r="G15" s="912"/>
      <c r="H15" s="827"/>
      <c r="I15" s="855"/>
      <c r="J15" s="958"/>
      <c r="K15" s="853"/>
      <c r="L15" s="853"/>
      <c r="M15" s="944"/>
      <c r="N15" s="948"/>
      <c r="O15" s="954"/>
      <c r="P15" s="922"/>
      <c r="Q15" s="922"/>
    </row>
    <row r="16" spans="1:17" s="815" customFormat="1" ht="18" x14ac:dyDescent="0.25">
      <c r="A16" s="1040"/>
      <c r="B16" s="902" t="s">
        <v>620</v>
      </c>
      <c r="C16" s="1041" t="s">
        <v>632</v>
      </c>
      <c r="D16" s="902" t="s">
        <v>631</v>
      </c>
      <c r="E16" s="1042" t="s">
        <v>621</v>
      </c>
      <c r="F16" s="869"/>
      <c r="G16" s="912"/>
      <c r="H16" s="827"/>
      <c r="I16" s="855"/>
      <c r="J16" s="958"/>
      <c r="K16" s="853"/>
      <c r="L16" s="853"/>
      <c r="M16" s="944"/>
      <c r="N16" s="949"/>
      <c r="O16" s="954"/>
      <c r="P16" s="922"/>
      <c r="Q16" s="922"/>
    </row>
    <row r="17" spans="1:17" s="815" customFormat="1" ht="18" x14ac:dyDescent="0.25">
      <c r="A17" s="1036">
        <v>1</v>
      </c>
      <c r="B17" s="816">
        <f>+E14</f>
        <v>152042.90043823436</v>
      </c>
      <c r="C17" s="816">
        <f>-$E$7</f>
        <v>-5000</v>
      </c>
      <c r="D17" s="816">
        <f>(B17+C17)*$E$8</f>
        <v>1470.4290043823437</v>
      </c>
      <c r="E17" s="905">
        <f>SUM(B17:D17)</f>
        <v>148513.3294426167</v>
      </c>
      <c r="F17" s="869"/>
      <c r="G17" s="912"/>
      <c r="H17" s="827"/>
      <c r="I17" s="855"/>
      <c r="J17" s="958"/>
      <c r="K17" s="853"/>
      <c r="L17" s="853"/>
      <c r="M17" s="944"/>
      <c r="N17" s="949"/>
      <c r="O17" s="954"/>
      <c r="P17" s="922"/>
      <c r="Q17" s="922"/>
    </row>
    <row r="18" spans="1:17" ht="18" x14ac:dyDescent="0.25">
      <c r="A18" s="1036">
        <f>+A17+1</f>
        <v>2</v>
      </c>
      <c r="B18" s="816">
        <f>+E17</f>
        <v>148513.3294426167</v>
      </c>
      <c r="C18" s="816">
        <f t="shared" ref="C18:C52" si="0">-$E$7</f>
        <v>-5000</v>
      </c>
      <c r="D18" s="816">
        <f>(B18+C18)*$E$8</f>
        <v>1435.1332944261669</v>
      </c>
      <c r="E18" s="905">
        <f>SUM(B18:D18)</f>
        <v>144948.46273704286</v>
      </c>
      <c r="F18" s="869"/>
      <c r="G18" s="912"/>
      <c r="H18" s="827"/>
      <c r="I18" s="855"/>
      <c r="J18" s="958"/>
      <c r="K18" s="853"/>
      <c r="L18" s="853"/>
      <c r="M18" s="944"/>
      <c r="N18" s="948"/>
      <c r="O18" s="954"/>
      <c r="P18" s="921"/>
      <c r="Q18" s="921"/>
    </row>
    <row r="19" spans="1:17" ht="18" x14ac:dyDescent="0.25">
      <c r="A19" s="1036">
        <f t="shared" ref="A19:A29" si="1">+A18+1</f>
        <v>3</v>
      </c>
      <c r="B19" s="1043">
        <f t="shared" ref="B19:B30" si="2">+E18</f>
        <v>144948.46273704286</v>
      </c>
      <c r="C19" s="816">
        <f t="shared" si="0"/>
        <v>-5000</v>
      </c>
      <c r="D19" s="816">
        <f t="shared" ref="D19:D30" si="3">(B19+C19)*$E$8</f>
        <v>1399.4846273704286</v>
      </c>
      <c r="E19" s="905">
        <f t="shared" ref="E19:E30" si="4">SUM(B19:D19)</f>
        <v>141347.9473644133</v>
      </c>
      <c r="F19" s="869"/>
      <c r="G19" s="912" t="s">
        <v>878</v>
      </c>
      <c r="H19" s="827"/>
      <c r="I19" s="855"/>
      <c r="J19" s="958"/>
      <c r="K19" s="855"/>
      <c r="L19" s="853"/>
      <c r="M19" s="944"/>
      <c r="N19" s="949"/>
      <c r="O19" s="954"/>
      <c r="P19" s="922"/>
      <c r="Q19" s="922"/>
    </row>
    <row r="20" spans="1:17" ht="18" x14ac:dyDescent="0.25">
      <c r="A20" s="1036">
        <f t="shared" si="1"/>
        <v>4</v>
      </c>
      <c r="B20" s="816">
        <f t="shared" si="2"/>
        <v>141347.9473644133</v>
      </c>
      <c r="C20" s="816">
        <f t="shared" si="0"/>
        <v>-5000</v>
      </c>
      <c r="D20" s="816">
        <f t="shared" si="3"/>
        <v>1363.4794736441329</v>
      </c>
      <c r="E20" s="905">
        <f t="shared" si="4"/>
        <v>137711.42683805744</v>
      </c>
      <c r="F20" s="869"/>
      <c r="G20" s="975" t="s">
        <v>69</v>
      </c>
      <c r="H20" s="864"/>
      <c r="I20" s="855"/>
      <c r="J20" s="958">
        <f>+E11*12</f>
        <v>50680.966812744788</v>
      </c>
      <c r="K20" s="855"/>
      <c r="L20" s="853">
        <f t="shared" ref="L20:L21" si="5">+K20-J20</f>
        <v>-50680.966812744788</v>
      </c>
      <c r="M20" s="944"/>
      <c r="N20" s="949">
        <f>-L20</f>
        <v>50680.966812744788</v>
      </c>
      <c r="O20" s="954">
        <f t="shared" ref="O20:O21" si="6">+L20+N20-M20</f>
        <v>0</v>
      </c>
      <c r="P20" s="922"/>
      <c r="Q20" s="922"/>
    </row>
    <row r="21" spans="1:17" ht="18" x14ac:dyDescent="0.25">
      <c r="A21" s="1036">
        <f t="shared" si="1"/>
        <v>5</v>
      </c>
      <c r="B21" s="816">
        <f t="shared" si="2"/>
        <v>137711.42683805744</v>
      </c>
      <c r="C21" s="816">
        <f t="shared" si="0"/>
        <v>-5000</v>
      </c>
      <c r="D21" s="816">
        <f t="shared" si="3"/>
        <v>1327.1142683805745</v>
      </c>
      <c r="E21" s="905">
        <f t="shared" si="4"/>
        <v>134038.541106438</v>
      </c>
      <c r="F21" s="869"/>
      <c r="G21" s="975" t="s">
        <v>466</v>
      </c>
      <c r="H21" s="864"/>
      <c r="I21" s="855"/>
      <c r="J21" s="958">
        <f>+SUM(D19:D30)</f>
        <v>14336.452937563443</v>
      </c>
      <c r="K21" s="855"/>
      <c r="L21" s="853">
        <f t="shared" si="5"/>
        <v>-14336.452937563443</v>
      </c>
      <c r="M21" s="944"/>
      <c r="N21" s="949">
        <f>-L21</f>
        <v>14336.452937563443</v>
      </c>
      <c r="O21" s="954">
        <f t="shared" si="6"/>
        <v>0</v>
      </c>
      <c r="P21" s="922"/>
      <c r="Q21" s="922"/>
    </row>
    <row r="22" spans="1:17" ht="18" x14ac:dyDescent="0.25">
      <c r="A22" s="1036">
        <f t="shared" si="1"/>
        <v>6</v>
      </c>
      <c r="B22" s="816">
        <f t="shared" si="2"/>
        <v>134038.541106438</v>
      </c>
      <c r="C22" s="816">
        <f t="shared" si="0"/>
        <v>-5000</v>
      </c>
      <c r="D22" s="816">
        <f t="shared" si="3"/>
        <v>1290.3854110643802</v>
      </c>
      <c r="E22" s="905">
        <f t="shared" si="4"/>
        <v>130328.92651750238</v>
      </c>
      <c r="F22" s="869"/>
      <c r="G22" s="913"/>
      <c r="H22" s="914"/>
      <c r="I22" s="916"/>
      <c r="J22" s="913"/>
      <c r="K22" s="916"/>
      <c r="L22" s="917"/>
      <c r="M22" s="945"/>
      <c r="N22" s="950"/>
      <c r="O22" s="955"/>
      <c r="P22" s="922"/>
      <c r="Q22" s="922"/>
    </row>
    <row r="23" spans="1:17" ht="18" x14ac:dyDescent="0.25">
      <c r="A23" s="1036">
        <f t="shared" si="1"/>
        <v>7</v>
      </c>
      <c r="B23" s="816">
        <f t="shared" si="2"/>
        <v>130328.92651750238</v>
      </c>
      <c r="C23" s="816">
        <f t="shared" si="0"/>
        <v>-5000</v>
      </c>
      <c r="D23" s="816">
        <f t="shared" si="3"/>
        <v>1253.2892651750237</v>
      </c>
      <c r="E23" s="905">
        <f t="shared" si="4"/>
        <v>126582.21578267741</v>
      </c>
      <c r="F23" s="869"/>
      <c r="G23" s="869"/>
      <c r="H23" s="869"/>
      <c r="I23" s="869"/>
      <c r="J23" s="869"/>
      <c r="K23" s="869"/>
      <c r="L23" s="869"/>
      <c r="M23" s="962">
        <f>SUM(M7:M22)</f>
        <v>65017.419750308232</v>
      </c>
      <c r="N23" s="963">
        <f>SUM(N7:N22)</f>
        <v>65017.419750308232</v>
      </c>
      <c r="O23" s="870"/>
      <c r="P23" s="961">
        <f>SUM(P7:P22)</f>
        <v>-14336.452937563443</v>
      </c>
      <c r="Q23" s="961">
        <f>SUM(Q7:Q22)</f>
        <v>-45663.547062436555</v>
      </c>
    </row>
    <row r="24" spans="1:17" ht="18" x14ac:dyDescent="0.25">
      <c r="A24" s="1036">
        <f t="shared" si="1"/>
        <v>8</v>
      </c>
      <c r="B24" s="816">
        <f t="shared" si="2"/>
        <v>126582.21578267741</v>
      </c>
      <c r="C24" s="816">
        <f t="shared" si="0"/>
        <v>-5000</v>
      </c>
      <c r="D24" s="816">
        <f t="shared" si="3"/>
        <v>1215.8221578267742</v>
      </c>
      <c r="E24" s="905">
        <f t="shared" si="4"/>
        <v>122798.03794050417</v>
      </c>
      <c r="F24" s="869"/>
      <c r="G24" s="869"/>
      <c r="H24" s="869"/>
      <c r="I24" s="869"/>
      <c r="J24" s="869"/>
      <c r="K24" s="869"/>
      <c r="L24" s="869"/>
      <c r="M24" s="869"/>
      <c r="N24" s="869"/>
      <c r="O24" s="869"/>
    </row>
    <row r="25" spans="1:17" ht="18" x14ac:dyDescent="0.25">
      <c r="A25" s="1036">
        <f t="shared" si="1"/>
        <v>9</v>
      </c>
      <c r="B25" s="816">
        <f t="shared" si="2"/>
        <v>122798.03794050417</v>
      </c>
      <c r="C25" s="816">
        <f t="shared" si="0"/>
        <v>-5000</v>
      </c>
      <c r="D25" s="816">
        <f t="shared" si="3"/>
        <v>1177.9803794050417</v>
      </c>
      <c r="E25" s="905">
        <f t="shared" si="4"/>
        <v>118976.01831990921</v>
      </c>
      <c r="F25" s="869"/>
      <c r="G25" s="869"/>
      <c r="H25" s="869"/>
      <c r="I25" s="869"/>
      <c r="J25" s="869"/>
      <c r="K25" s="869"/>
      <c r="L25" s="869"/>
      <c r="M25" s="869"/>
      <c r="N25" s="869"/>
      <c r="O25" s="869"/>
    </row>
    <row r="26" spans="1:17" ht="18.75" customHeight="1" x14ac:dyDescent="0.25">
      <c r="A26" s="1036">
        <f t="shared" si="1"/>
        <v>10</v>
      </c>
      <c r="B26" s="816">
        <f t="shared" si="2"/>
        <v>118976.01831990921</v>
      </c>
      <c r="C26" s="816">
        <f t="shared" si="0"/>
        <v>-5000</v>
      </c>
      <c r="D26" s="816">
        <f t="shared" si="3"/>
        <v>1139.7601831990921</v>
      </c>
      <c r="E26" s="905">
        <f t="shared" si="4"/>
        <v>115115.7785031083</v>
      </c>
      <c r="F26" s="869"/>
      <c r="G26" s="869"/>
      <c r="H26" s="869"/>
      <c r="I26" s="869"/>
      <c r="J26" s="869"/>
      <c r="K26" s="869"/>
      <c r="L26" s="869"/>
      <c r="M26" s="869"/>
      <c r="N26" s="869"/>
      <c r="O26" s="869"/>
    </row>
    <row r="27" spans="1:17" s="815" customFormat="1" ht="18.75" customHeight="1" x14ac:dyDescent="0.25">
      <c r="A27" s="1036">
        <f t="shared" si="1"/>
        <v>11</v>
      </c>
      <c r="B27" s="816">
        <f t="shared" si="2"/>
        <v>115115.7785031083</v>
      </c>
      <c r="C27" s="816">
        <f t="shared" si="0"/>
        <v>-5000</v>
      </c>
      <c r="D27" s="816">
        <f t="shared" si="3"/>
        <v>1101.157785031083</v>
      </c>
      <c r="E27" s="905">
        <f t="shared" si="4"/>
        <v>111216.93628813939</v>
      </c>
      <c r="F27" s="869"/>
      <c r="G27" s="869"/>
      <c r="H27" s="869"/>
      <c r="I27" s="869"/>
      <c r="J27" s="869"/>
      <c r="K27" s="869"/>
      <c r="L27" s="869"/>
      <c r="M27" s="869"/>
      <c r="N27" s="869"/>
      <c r="O27" s="869"/>
    </row>
    <row r="28" spans="1:17" s="815" customFormat="1" ht="18.75" customHeight="1" x14ac:dyDescent="0.25">
      <c r="A28" s="1036">
        <f t="shared" si="1"/>
        <v>12</v>
      </c>
      <c r="B28" s="816">
        <f t="shared" si="2"/>
        <v>111216.93628813939</v>
      </c>
      <c r="C28" s="816">
        <f t="shared" si="0"/>
        <v>-5000</v>
      </c>
      <c r="D28" s="816">
        <f t="shared" si="3"/>
        <v>1062.1693628813939</v>
      </c>
      <c r="E28" s="905">
        <f t="shared" si="4"/>
        <v>107279.10565102079</v>
      </c>
      <c r="F28" s="869"/>
      <c r="G28" s="869"/>
      <c r="H28" s="869"/>
      <c r="I28" s="869"/>
      <c r="J28" s="869"/>
      <c r="K28" s="869"/>
      <c r="L28" s="869"/>
      <c r="M28" s="869"/>
      <c r="N28" s="869"/>
      <c r="O28" s="869"/>
    </row>
    <row r="29" spans="1:17" s="815" customFormat="1" ht="18.75" customHeight="1" x14ac:dyDescent="0.25">
      <c r="A29" s="1036">
        <f t="shared" si="1"/>
        <v>13</v>
      </c>
      <c r="B29" s="816">
        <f t="shared" si="2"/>
        <v>107279.10565102079</v>
      </c>
      <c r="C29" s="816">
        <f t="shared" si="0"/>
        <v>-5000</v>
      </c>
      <c r="D29" s="816">
        <f t="shared" si="3"/>
        <v>1022.7910565102079</v>
      </c>
      <c r="E29" s="905">
        <f t="shared" si="4"/>
        <v>103301.89670753099</v>
      </c>
      <c r="G29" s="869"/>
      <c r="H29" s="869"/>
      <c r="I29" s="869"/>
      <c r="J29" s="869"/>
      <c r="K29" s="869"/>
      <c r="L29" s="869"/>
      <c r="M29" s="869"/>
      <c r="N29" s="869"/>
      <c r="O29" s="869"/>
    </row>
    <row r="30" spans="1:17" s="815" customFormat="1" ht="18.75" customHeight="1" x14ac:dyDescent="0.25">
      <c r="A30" s="1037">
        <f t="shared" ref="A30" si="7">+A29+1</f>
        <v>14</v>
      </c>
      <c r="B30" s="1006">
        <f t="shared" si="2"/>
        <v>103301.89670753099</v>
      </c>
      <c r="C30" s="1006">
        <f t="shared" si="0"/>
        <v>-5000</v>
      </c>
      <c r="D30" s="1006">
        <f t="shared" si="3"/>
        <v>983.01896707530989</v>
      </c>
      <c r="E30" s="1044">
        <f t="shared" si="4"/>
        <v>99284.915674606309</v>
      </c>
      <c r="G30" s="869"/>
      <c r="H30" s="869"/>
      <c r="I30" s="869"/>
      <c r="J30" s="869"/>
      <c r="K30" s="869"/>
      <c r="L30" s="869"/>
      <c r="M30" s="869"/>
      <c r="N30" s="869"/>
      <c r="O30" s="869"/>
    </row>
    <row r="31" spans="1:17" s="815" customFormat="1" ht="18.75" customHeight="1" x14ac:dyDescent="0.25">
      <c r="A31" s="1037">
        <f t="shared" ref="A31:A48" si="8">+A30+1</f>
        <v>15</v>
      </c>
      <c r="B31" s="816">
        <f t="shared" ref="B31:B48" si="9">+E30</f>
        <v>99284.915674606309</v>
      </c>
      <c r="C31" s="816">
        <f t="shared" si="0"/>
        <v>-5000</v>
      </c>
      <c r="D31" s="816">
        <f t="shared" ref="D31:D48" si="10">(B31+C31)*$E$8</f>
        <v>942.84915674606316</v>
      </c>
      <c r="E31" s="905">
        <f t="shared" ref="E31:E48" si="11">SUM(B31:D31)</f>
        <v>95227.764831352368</v>
      </c>
      <c r="G31" s="869"/>
      <c r="H31" s="869"/>
      <c r="I31" s="869"/>
      <c r="J31" s="869"/>
      <c r="K31" s="869"/>
      <c r="L31" s="869"/>
      <c r="M31" s="869"/>
      <c r="N31" s="869"/>
      <c r="O31" s="869"/>
    </row>
    <row r="32" spans="1:17" s="815" customFormat="1" ht="18.75" customHeight="1" x14ac:dyDescent="0.25">
      <c r="A32" s="1037">
        <f t="shared" si="8"/>
        <v>16</v>
      </c>
      <c r="B32" s="816">
        <f t="shared" si="9"/>
        <v>95227.764831352368</v>
      </c>
      <c r="C32" s="816">
        <f t="shared" si="0"/>
        <v>-5000</v>
      </c>
      <c r="D32" s="816">
        <f t="shared" si="10"/>
        <v>902.27764831352374</v>
      </c>
      <c r="E32" s="905">
        <f t="shared" si="11"/>
        <v>91130.042479665892</v>
      </c>
    </row>
    <row r="33" spans="1:5" s="815" customFormat="1" ht="18.75" customHeight="1" x14ac:dyDescent="0.25">
      <c r="A33" s="1037">
        <f t="shared" si="8"/>
        <v>17</v>
      </c>
      <c r="B33" s="816">
        <f t="shared" si="9"/>
        <v>91130.042479665892</v>
      </c>
      <c r="C33" s="816">
        <f t="shared" si="0"/>
        <v>-5000</v>
      </c>
      <c r="D33" s="816">
        <f t="shared" si="10"/>
        <v>861.30042479665894</v>
      </c>
      <c r="E33" s="905">
        <f t="shared" si="11"/>
        <v>86991.342904462552</v>
      </c>
    </row>
    <row r="34" spans="1:5" s="815" customFormat="1" ht="18.75" customHeight="1" x14ac:dyDescent="0.25">
      <c r="A34" s="1037">
        <f t="shared" si="8"/>
        <v>18</v>
      </c>
      <c r="B34" s="816">
        <f t="shared" si="9"/>
        <v>86991.342904462552</v>
      </c>
      <c r="C34" s="816">
        <f t="shared" si="0"/>
        <v>-5000</v>
      </c>
      <c r="D34" s="816">
        <f t="shared" si="10"/>
        <v>819.91342904462556</v>
      </c>
      <c r="E34" s="905">
        <f t="shared" si="11"/>
        <v>82811.256333507175</v>
      </c>
    </row>
    <row r="35" spans="1:5" s="815" customFormat="1" ht="18.75" customHeight="1" x14ac:dyDescent="0.25">
      <c r="A35" s="1037">
        <f t="shared" si="8"/>
        <v>19</v>
      </c>
      <c r="B35" s="816">
        <f t="shared" si="9"/>
        <v>82811.256333507175</v>
      </c>
      <c r="C35" s="816">
        <f t="shared" si="0"/>
        <v>-5000</v>
      </c>
      <c r="D35" s="816">
        <f t="shared" si="10"/>
        <v>778.11256333507174</v>
      </c>
      <c r="E35" s="905">
        <f t="shared" si="11"/>
        <v>78589.36889684225</v>
      </c>
    </row>
    <row r="36" spans="1:5" s="815" customFormat="1" ht="18.75" customHeight="1" x14ac:dyDescent="0.25">
      <c r="A36" s="1037">
        <f t="shared" si="8"/>
        <v>20</v>
      </c>
      <c r="B36" s="816">
        <f t="shared" si="9"/>
        <v>78589.36889684225</v>
      </c>
      <c r="C36" s="816">
        <f t="shared" si="0"/>
        <v>-5000</v>
      </c>
      <c r="D36" s="816">
        <f t="shared" si="10"/>
        <v>735.89368896842257</v>
      </c>
      <c r="E36" s="905">
        <f t="shared" si="11"/>
        <v>74325.262585810677</v>
      </c>
    </row>
    <row r="37" spans="1:5" s="815" customFormat="1" ht="18.75" customHeight="1" x14ac:dyDescent="0.25">
      <c r="A37" s="1037">
        <f t="shared" si="8"/>
        <v>21</v>
      </c>
      <c r="B37" s="816">
        <f t="shared" si="9"/>
        <v>74325.262585810677</v>
      </c>
      <c r="C37" s="816">
        <f t="shared" si="0"/>
        <v>-5000</v>
      </c>
      <c r="D37" s="816">
        <f t="shared" si="10"/>
        <v>693.25262585810674</v>
      </c>
      <c r="E37" s="905">
        <f t="shared" si="11"/>
        <v>70018.515211668782</v>
      </c>
    </row>
    <row r="38" spans="1:5" s="815" customFormat="1" ht="18.75" customHeight="1" x14ac:dyDescent="0.25">
      <c r="A38" s="1037">
        <f t="shared" si="8"/>
        <v>22</v>
      </c>
      <c r="B38" s="816">
        <f t="shared" si="9"/>
        <v>70018.515211668782</v>
      </c>
      <c r="C38" s="816">
        <f t="shared" si="0"/>
        <v>-5000</v>
      </c>
      <c r="D38" s="816">
        <f t="shared" si="10"/>
        <v>650.18515211668785</v>
      </c>
      <c r="E38" s="905">
        <f t="shared" si="11"/>
        <v>65668.700363785465</v>
      </c>
    </row>
    <row r="39" spans="1:5" s="815" customFormat="1" ht="18.75" customHeight="1" x14ac:dyDescent="0.25">
      <c r="A39" s="1037">
        <f t="shared" si="8"/>
        <v>23</v>
      </c>
      <c r="B39" s="816">
        <f t="shared" si="9"/>
        <v>65668.700363785465</v>
      </c>
      <c r="C39" s="816">
        <f t="shared" si="0"/>
        <v>-5000</v>
      </c>
      <c r="D39" s="816">
        <f t="shared" si="10"/>
        <v>606.68700363785467</v>
      </c>
      <c r="E39" s="905">
        <f t="shared" si="11"/>
        <v>61275.387367423318</v>
      </c>
    </row>
    <row r="40" spans="1:5" s="815" customFormat="1" ht="18.75" customHeight="1" x14ac:dyDescent="0.25">
      <c r="A40" s="1037">
        <f t="shared" si="8"/>
        <v>24</v>
      </c>
      <c r="B40" s="816">
        <f t="shared" si="9"/>
        <v>61275.387367423318</v>
      </c>
      <c r="C40" s="816">
        <f t="shared" si="0"/>
        <v>-5000</v>
      </c>
      <c r="D40" s="816">
        <f t="shared" si="10"/>
        <v>562.7538736742332</v>
      </c>
      <c r="E40" s="905">
        <f t="shared" si="11"/>
        <v>56838.141241097554</v>
      </c>
    </row>
    <row r="41" spans="1:5" s="815" customFormat="1" ht="18.75" customHeight="1" x14ac:dyDescent="0.25">
      <c r="A41" s="1037">
        <f t="shared" si="8"/>
        <v>25</v>
      </c>
      <c r="B41" s="816">
        <f t="shared" si="9"/>
        <v>56838.141241097554</v>
      </c>
      <c r="C41" s="816">
        <f t="shared" si="0"/>
        <v>-5000</v>
      </c>
      <c r="D41" s="816">
        <f t="shared" si="10"/>
        <v>518.3814124109756</v>
      </c>
      <c r="E41" s="905">
        <f t="shared" si="11"/>
        <v>52356.522653508531</v>
      </c>
    </row>
    <row r="42" spans="1:5" s="815" customFormat="1" ht="18.75" customHeight="1" x14ac:dyDescent="0.25">
      <c r="A42" s="1037">
        <f t="shared" si="8"/>
        <v>26</v>
      </c>
      <c r="B42" s="816">
        <f t="shared" si="9"/>
        <v>52356.522653508531</v>
      </c>
      <c r="C42" s="816">
        <f t="shared" si="0"/>
        <v>-5000</v>
      </c>
      <c r="D42" s="816">
        <f t="shared" si="10"/>
        <v>473.56522653508534</v>
      </c>
      <c r="E42" s="905">
        <f t="shared" si="11"/>
        <v>47830.087880043618</v>
      </c>
    </row>
    <row r="43" spans="1:5" s="815" customFormat="1" ht="18.75" customHeight="1" x14ac:dyDescent="0.25">
      <c r="A43" s="1037">
        <f t="shared" si="8"/>
        <v>27</v>
      </c>
      <c r="B43" s="816">
        <f t="shared" si="9"/>
        <v>47830.087880043618</v>
      </c>
      <c r="C43" s="816">
        <f t="shared" si="0"/>
        <v>-5000</v>
      </c>
      <c r="D43" s="816">
        <f t="shared" si="10"/>
        <v>428.30087880043618</v>
      </c>
      <c r="E43" s="905">
        <f t="shared" si="11"/>
        <v>43258.388758844056</v>
      </c>
    </row>
    <row r="44" spans="1:5" s="815" customFormat="1" ht="18.75" customHeight="1" x14ac:dyDescent="0.25">
      <c r="A44" s="1037">
        <f t="shared" si="8"/>
        <v>28</v>
      </c>
      <c r="B44" s="816">
        <f t="shared" si="9"/>
        <v>43258.388758844056</v>
      </c>
      <c r="C44" s="816">
        <f t="shared" si="0"/>
        <v>-5000</v>
      </c>
      <c r="D44" s="816">
        <f t="shared" si="10"/>
        <v>382.58388758844058</v>
      </c>
      <c r="E44" s="905">
        <f t="shared" si="11"/>
        <v>38640.972646432499</v>
      </c>
    </row>
    <row r="45" spans="1:5" s="815" customFormat="1" ht="18.75" customHeight="1" x14ac:dyDescent="0.25">
      <c r="A45" s="1037">
        <f t="shared" si="8"/>
        <v>29</v>
      </c>
      <c r="B45" s="816">
        <f t="shared" si="9"/>
        <v>38640.972646432499</v>
      </c>
      <c r="C45" s="816">
        <f t="shared" si="0"/>
        <v>-5000</v>
      </c>
      <c r="D45" s="816">
        <f t="shared" si="10"/>
        <v>336.40972646432499</v>
      </c>
      <c r="E45" s="905">
        <f t="shared" si="11"/>
        <v>33977.382372896827</v>
      </c>
    </row>
    <row r="46" spans="1:5" s="815" customFormat="1" ht="18.75" customHeight="1" x14ac:dyDescent="0.25">
      <c r="A46" s="1037">
        <f t="shared" si="8"/>
        <v>30</v>
      </c>
      <c r="B46" s="816">
        <f t="shared" si="9"/>
        <v>33977.382372896827</v>
      </c>
      <c r="C46" s="816">
        <f t="shared" si="0"/>
        <v>-5000</v>
      </c>
      <c r="D46" s="816">
        <f t="shared" si="10"/>
        <v>289.7738237289683</v>
      </c>
      <c r="E46" s="905">
        <f t="shared" si="11"/>
        <v>29267.156196625794</v>
      </c>
    </row>
    <row r="47" spans="1:5" s="815" customFormat="1" ht="18.75" customHeight="1" x14ac:dyDescent="0.25">
      <c r="A47" s="1037">
        <f t="shared" si="8"/>
        <v>31</v>
      </c>
      <c r="B47" s="816">
        <f t="shared" si="9"/>
        <v>29267.156196625794</v>
      </c>
      <c r="C47" s="816">
        <f t="shared" si="0"/>
        <v>-5000</v>
      </c>
      <c r="D47" s="816">
        <f t="shared" si="10"/>
        <v>242.67156196625794</v>
      </c>
      <c r="E47" s="905">
        <f t="shared" si="11"/>
        <v>24509.827758592051</v>
      </c>
    </row>
    <row r="48" spans="1:5" s="815" customFormat="1" ht="18.75" customHeight="1" x14ac:dyDescent="0.25">
      <c r="A48" s="1037">
        <f t="shared" si="8"/>
        <v>32</v>
      </c>
      <c r="B48" s="816">
        <f t="shared" si="9"/>
        <v>24509.827758592051</v>
      </c>
      <c r="C48" s="816">
        <f t="shared" si="0"/>
        <v>-5000</v>
      </c>
      <c r="D48" s="816">
        <f t="shared" si="10"/>
        <v>195.09827758592053</v>
      </c>
      <c r="E48" s="905">
        <f t="shared" si="11"/>
        <v>19704.926036177971</v>
      </c>
    </row>
    <row r="49" spans="1:5" s="815" customFormat="1" ht="18.75" customHeight="1" x14ac:dyDescent="0.25">
      <c r="A49" s="1037">
        <f t="shared" ref="A49:A52" si="12">+A48+1</f>
        <v>33</v>
      </c>
      <c r="B49" s="816">
        <f t="shared" ref="B49:B52" si="13">+E48</f>
        <v>19704.926036177971</v>
      </c>
      <c r="C49" s="816">
        <f t="shared" si="0"/>
        <v>-5000</v>
      </c>
      <c r="D49" s="816">
        <f t="shared" ref="D49:D52" si="14">(B49+C49)*$E$8</f>
        <v>147.04926036177972</v>
      </c>
      <c r="E49" s="905">
        <f t="shared" ref="E49:E52" si="15">SUM(B49:D49)</f>
        <v>14851.975296539751</v>
      </c>
    </row>
    <row r="50" spans="1:5" s="815" customFormat="1" ht="18.75" customHeight="1" x14ac:dyDescent="0.25">
      <c r="A50" s="1037">
        <f t="shared" si="12"/>
        <v>34</v>
      </c>
      <c r="B50" s="816">
        <f t="shared" si="13"/>
        <v>14851.975296539751</v>
      </c>
      <c r="C50" s="816">
        <f t="shared" si="0"/>
        <v>-5000</v>
      </c>
      <c r="D50" s="816">
        <f t="shared" si="14"/>
        <v>98.519752965397515</v>
      </c>
      <c r="E50" s="905">
        <f t="shared" si="15"/>
        <v>9950.4950495051489</v>
      </c>
    </row>
    <row r="51" spans="1:5" s="815" customFormat="1" ht="18.75" customHeight="1" x14ac:dyDescent="0.25">
      <c r="A51" s="1037">
        <f t="shared" si="12"/>
        <v>35</v>
      </c>
      <c r="B51" s="816">
        <f t="shared" si="13"/>
        <v>9950.4950495051489</v>
      </c>
      <c r="C51" s="816">
        <f t="shared" si="0"/>
        <v>-5000</v>
      </c>
      <c r="D51" s="816">
        <f t="shared" si="14"/>
        <v>49.504950495051489</v>
      </c>
      <c r="E51" s="905">
        <f t="shared" si="15"/>
        <v>5000.0000000002001</v>
      </c>
    </row>
    <row r="52" spans="1:5" s="815" customFormat="1" ht="18.75" customHeight="1" x14ac:dyDescent="0.25">
      <c r="A52" s="1037">
        <f t="shared" si="12"/>
        <v>36</v>
      </c>
      <c r="B52" s="1006">
        <f t="shared" si="13"/>
        <v>5000.0000000002001</v>
      </c>
      <c r="C52" s="1006">
        <f t="shared" si="0"/>
        <v>-5000</v>
      </c>
      <c r="D52" s="1006">
        <f t="shared" si="14"/>
        <v>2.0008883439004423E-12</v>
      </c>
      <c r="E52" s="966">
        <f t="shared" si="15"/>
        <v>2.0208972273394464E-10</v>
      </c>
    </row>
    <row r="53" spans="1:5" s="815" customFormat="1" ht="18.75" customHeight="1" x14ac:dyDescent="0.25"/>
    <row r="54" spans="1:5" s="815" customFormat="1" ht="18.75" customHeight="1" x14ac:dyDescent="0.25"/>
    <row r="55" spans="1:5" s="815" customFormat="1" ht="18.75" customHeight="1" x14ac:dyDescent="0.25"/>
    <row r="56" spans="1:5" s="815" customFormat="1" ht="18.75" customHeight="1" x14ac:dyDescent="0.25"/>
    <row r="57" spans="1:5" s="815" customFormat="1" ht="18.75" customHeight="1" x14ac:dyDescent="0.25"/>
    <row r="58" spans="1:5" s="815" customFormat="1" ht="18.75" customHeight="1" x14ac:dyDescent="0.25"/>
    <row r="59" spans="1:5" s="815" customFormat="1" ht="0" hidden="1" customHeight="1" x14ac:dyDescent="0.25"/>
    <row r="60" spans="1:5" s="815" customFormat="1" ht="0" hidden="1" customHeight="1" x14ac:dyDescent="0.25"/>
    <row r="61" spans="1:5" s="815" customFormat="1" ht="0" hidden="1" customHeight="1" x14ac:dyDescent="0.25"/>
    <row r="62" spans="1:5" s="815" customFormat="1" ht="0" hidden="1" customHeight="1" x14ac:dyDescent="0.25"/>
    <row r="63" spans="1:5" s="815" customFormat="1" ht="0" hidden="1" customHeight="1" x14ac:dyDescent="0.25"/>
    <row r="64" spans="1:5" s="815" customFormat="1" ht="0" hidden="1" customHeight="1" x14ac:dyDescent="0.25"/>
    <row r="65" s="815" customFormat="1" ht="0" hidden="1" customHeight="1" x14ac:dyDescent="0.25"/>
    <row r="66" s="815" customFormat="1" ht="0" hidden="1" customHeight="1" x14ac:dyDescent="0.25"/>
    <row r="67" s="815" customFormat="1" ht="0" hidden="1" customHeight="1" x14ac:dyDescent="0.25"/>
    <row r="68" s="815" customFormat="1" ht="0" hidden="1" customHeight="1" x14ac:dyDescent="0.25"/>
    <row r="69" s="815" customFormat="1" ht="0" hidden="1" customHeight="1" x14ac:dyDescent="0.25"/>
  </sheetData>
  <mergeCells count="1">
    <mergeCell ref="M4:N4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33F4-567B-4898-B458-FB6EFA5CEED1}">
  <sheetPr>
    <tabColor rgb="FF7030A0"/>
  </sheetPr>
  <dimension ref="A1:FG160"/>
  <sheetViews>
    <sheetView showGridLines="0" zoomScale="85" zoomScaleNormal="85" workbookViewId="0">
      <selection activeCell="J9" sqref="J9"/>
    </sheetView>
  </sheetViews>
  <sheetFormatPr baseColWidth="10" defaultColWidth="0" defaultRowHeight="18" customHeight="1" zeroHeight="1" x14ac:dyDescent="0.25"/>
  <cols>
    <col min="1" max="1" width="4.7109375" customWidth="1"/>
    <col min="2" max="5" width="15.7109375" style="815" customWidth="1"/>
    <col min="6" max="6" width="2.85546875" style="815" customWidth="1"/>
    <col min="7" max="8" width="15.7109375" style="815" customWidth="1"/>
    <col min="9" max="9" width="12.140625" style="815" customWidth="1"/>
    <col min="10" max="21" width="15.7109375" style="815" customWidth="1"/>
    <col min="22" max="163" width="0" hidden="1" customWidth="1"/>
    <col min="164" max="16384" width="11.42578125" hidden="1"/>
  </cols>
  <sheetData>
    <row r="1" spans="1:154" ht="18" customHeight="1" x14ac:dyDescent="0.25">
      <c r="A1" s="835"/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  <c r="P1" s="835"/>
      <c r="Q1" s="835"/>
    </row>
    <row r="2" spans="1:154" ht="18" customHeight="1" x14ac:dyDescent="0.25">
      <c r="A2" s="840"/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  <c r="P2" s="840"/>
      <c r="Q2" s="840"/>
    </row>
    <row r="3" spans="1:154" ht="18" customHeight="1" x14ac:dyDescent="0.25">
      <c r="A3" s="878"/>
      <c r="B3" s="878"/>
      <c r="C3" s="844"/>
      <c r="D3" s="844"/>
      <c r="E3" s="844"/>
      <c r="F3" s="844"/>
      <c r="G3" s="844"/>
      <c r="H3" s="844"/>
      <c r="I3" s="844"/>
      <c r="J3" s="844"/>
      <c r="K3" s="845"/>
      <c r="L3" s="879" t="s">
        <v>459</v>
      </c>
      <c r="M3" s="902" t="s">
        <v>760</v>
      </c>
      <c r="N3" s="902" t="s">
        <v>761</v>
      </c>
      <c r="O3" s="879" t="s">
        <v>166</v>
      </c>
      <c r="P3" s="879" t="s">
        <v>762</v>
      </c>
      <c r="Q3" s="879" t="s">
        <v>762</v>
      </c>
    </row>
    <row r="4" spans="1:154" ht="18" customHeight="1" x14ac:dyDescent="0.25">
      <c r="A4" s="843" t="s">
        <v>891</v>
      </c>
      <c r="B4" s="878"/>
      <c r="C4" s="981"/>
      <c r="D4" s="981"/>
      <c r="E4" s="982"/>
      <c r="F4" s="891"/>
      <c r="G4" s="930"/>
      <c r="H4" s="893"/>
      <c r="I4" s="894"/>
      <c r="J4" s="930"/>
      <c r="K4" s="894"/>
      <c r="L4" s="895"/>
      <c r="M4" s="1531" t="s">
        <v>757</v>
      </c>
      <c r="N4" s="1531"/>
      <c r="O4" s="951" t="s">
        <v>103</v>
      </c>
      <c r="P4" s="895" t="s">
        <v>22</v>
      </c>
      <c r="Q4" s="895" t="s">
        <v>22</v>
      </c>
    </row>
    <row r="5" spans="1:154" ht="18" customHeight="1" x14ac:dyDescent="0.25">
      <c r="A5" s="846" t="s">
        <v>883</v>
      </c>
      <c r="B5" s="847"/>
      <c r="C5" s="847"/>
      <c r="D5" s="969"/>
      <c r="E5" s="972"/>
      <c r="F5" s="869"/>
      <c r="G5" s="931"/>
      <c r="H5" s="932"/>
      <c r="I5" s="937"/>
      <c r="J5" s="960">
        <v>2020</v>
      </c>
      <c r="K5" s="934">
        <v>2019</v>
      </c>
      <c r="L5" s="934" t="s">
        <v>103</v>
      </c>
      <c r="M5" s="941" t="s">
        <v>156</v>
      </c>
      <c r="N5" s="946" t="s">
        <v>233</v>
      </c>
      <c r="O5" s="952" t="s">
        <v>104</v>
      </c>
      <c r="P5" s="934" t="s">
        <v>377</v>
      </c>
      <c r="Q5" s="934" t="s">
        <v>890</v>
      </c>
    </row>
    <row r="6" spans="1:154" ht="18" customHeight="1" x14ac:dyDescent="0.25">
      <c r="A6" s="850" t="s">
        <v>629</v>
      </c>
      <c r="E6" s="906">
        <v>48</v>
      </c>
      <c r="F6" s="869"/>
      <c r="G6" s="938" t="s">
        <v>685</v>
      </c>
      <c r="H6" s="929"/>
      <c r="I6" s="939"/>
      <c r="J6" s="947" t="s">
        <v>3</v>
      </c>
      <c r="K6" s="881" t="s">
        <v>3</v>
      </c>
      <c r="L6" s="881" t="s">
        <v>3</v>
      </c>
      <c r="M6" s="942" t="s">
        <v>3</v>
      </c>
      <c r="N6" s="947" t="s">
        <v>3</v>
      </c>
      <c r="O6" s="942" t="s">
        <v>3</v>
      </c>
      <c r="P6" s="881" t="s">
        <v>3</v>
      </c>
      <c r="Q6" s="881" t="s">
        <v>3</v>
      </c>
    </row>
    <row r="7" spans="1:154" ht="18" customHeight="1" x14ac:dyDescent="0.25">
      <c r="A7" s="850" t="s">
        <v>892</v>
      </c>
      <c r="E7" s="905">
        <v>900000</v>
      </c>
      <c r="F7" s="869"/>
      <c r="G7" s="912"/>
      <c r="H7" s="827"/>
      <c r="I7" s="855"/>
      <c r="J7" s="958"/>
      <c r="K7" s="853"/>
      <c r="L7" s="855"/>
      <c r="M7" s="943"/>
      <c r="N7" s="948"/>
      <c r="O7" s="953"/>
      <c r="P7" s="921"/>
      <c r="Q7" s="921"/>
    </row>
    <row r="8" spans="1:154" ht="18" customHeight="1" x14ac:dyDescent="0.25">
      <c r="A8" s="850" t="s">
        <v>884</v>
      </c>
      <c r="E8" s="1046">
        <v>1.056282911633599E-2</v>
      </c>
      <c r="F8" s="869"/>
      <c r="G8" s="912"/>
      <c r="H8" s="827"/>
      <c r="I8" s="855"/>
      <c r="J8" s="958"/>
      <c r="K8" s="853"/>
      <c r="L8" s="853"/>
      <c r="M8" s="943"/>
      <c r="N8" s="948"/>
      <c r="O8" s="954"/>
      <c r="P8" s="922"/>
      <c r="Q8" s="922"/>
    </row>
    <row r="9" spans="1:154" ht="18" customHeight="1" x14ac:dyDescent="0.25">
      <c r="A9" s="850" t="s">
        <v>630</v>
      </c>
      <c r="E9" s="1045">
        <f>-PMT(E8,E6,E7,0,0)</f>
        <v>23999.999997505802</v>
      </c>
      <c r="F9" s="869"/>
      <c r="G9" s="975"/>
      <c r="H9" s="827"/>
      <c r="I9" s="855"/>
      <c r="J9" s="958"/>
      <c r="K9" s="853"/>
      <c r="L9" s="853"/>
      <c r="M9" s="943"/>
      <c r="N9" s="948"/>
      <c r="O9" s="954"/>
      <c r="P9" s="922"/>
      <c r="Q9" s="922"/>
    </row>
    <row r="10" spans="1:154" s="815" customFormat="1" ht="18" customHeight="1" x14ac:dyDescent="0.25">
      <c r="A10" s="846" t="s">
        <v>893</v>
      </c>
      <c r="B10" s="847"/>
      <c r="C10" s="847"/>
      <c r="D10" s="847"/>
      <c r="E10" s="904"/>
      <c r="F10" s="869"/>
      <c r="G10" s="975"/>
      <c r="H10" s="827"/>
      <c r="I10" s="855"/>
      <c r="J10" s="958"/>
      <c r="K10" s="853"/>
      <c r="L10" s="853"/>
      <c r="M10" s="944"/>
      <c r="N10" s="949"/>
      <c r="O10" s="954"/>
      <c r="P10" s="922"/>
      <c r="Q10" s="922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</row>
    <row r="11" spans="1:154" s="815" customFormat="1" ht="18" customHeight="1" x14ac:dyDescent="0.25">
      <c r="A11" s="1036"/>
      <c r="B11" s="902" t="s">
        <v>620</v>
      </c>
      <c r="C11" s="1041" t="s">
        <v>631</v>
      </c>
      <c r="D11" s="1041" t="s">
        <v>632</v>
      </c>
      <c r="E11" s="1042" t="s">
        <v>621</v>
      </c>
      <c r="F11" s="869"/>
      <c r="G11" s="975"/>
      <c r="H11" s="827"/>
      <c r="I11" s="855"/>
      <c r="J11" s="958"/>
      <c r="K11" s="853"/>
      <c r="L11" s="853"/>
      <c r="M11" s="944"/>
      <c r="N11" s="949"/>
      <c r="O11" s="954"/>
      <c r="P11" s="922"/>
      <c r="Q11" s="922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</row>
    <row r="12" spans="1:154" s="815" customFormat="1" ht="18" customHeight="1" x14ac:dyDescent="0.25">
      <c r="A12" s="1036">
        <v>1</v>
      </c>
      <c r="B12" s="816">
        <f>+E7</f>
        <v>900000</v>
      </c>
      <c r="C12" s="816">
        <f>+B12*$E$8</f>
        <v>9506.5462047023921</v>
      </c>
      <c r="D12" s="816">
        <f>-E9</f>
        <v>-23999.999997505802</v>
      </c>
      <c r="E12" s="905">
        <f>SUM(B12:D12)</f>
        <v>885506.54620719654</v>
      </c>
      <c r="F12" s="869"/>
      <c r="G12" s="912"/>
      <c r="H12" s="827"/>
      <c r="I12" s="855"/>
      <c r="J12" s="958"/>
      <c r="K12" s="853"/>
      <c r="L12" s="853"/>
      <c r="M12" s="943"/>
      <c r="N12" s="949"/>
      <c r="O12" s="954"/>
      <c r="P12" s="922"/>
      <c r="Q12" s="92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</row>
    <row r="13" spans="1:154" s="815" customFormat="1" ht="18" customHeight="1" x14ac:dyDescent="0.25">
      <c r="A13" s="1036">
        <f>+A12+1</f>
        <v>2</v>
      </c>
      <c r="B13" s="816">
        <f>+E12</f>
        <v>885506.54620719654</v>
      </c>
      <c r="C13" s="816">
        <f t="shared" ref="C13:C59" si="0">+B13*$E$8</f>
        <v>9353.4543289834965</v>
      </c>
      <c r="D13" s="816">
        <f>+D12</f>
        <v>-23999.999997505802</v>
      </c>
      <c r="E13" s="905">
        <f>SUM(B13:D13)</f>
        <v>870860.00053867418</v>
      </c>
      <c r="F13" s="869"/>
      <c r="G13" s="912"/>
      <c r="H13" s="827"/>
      <c r="I13" s="855"/>
      <c r="J13" s="958"/>
      <c r="K13" s="853"/>
      <c r="L13" s="853"/>
      <c r="M13" s="944"/>
      <c r="N13" s="949"/>
      <c r="O13" s="954"/>
      <c r="P13" s="922"/>
      <c r="Q13" s="922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</row>
    <row r="14" spans="1:154" s="815" customFormat="1" ht="18" customHeight="1" x14ac:dyDescent="0.25">
      <c r="A14" s="1036">
        <f t="shared" ref="A14:A38" si="1">+A13+1</f>
        <v>3</v>
      </c>
      <c r="B14" s="816">
        <f>+E13</f>
        <v>870860.00053867418</v>
      </c>
      <c r="C14" s="816">
        <f t="shared" si="0"/>
        <v>9198.745369942284</v>
      </c>
      <c r="D14" s="816">
        <f t="shared" ref="D14:D59" si="2">+D13</f>
        <v>-23999.999997505802</v>
      </c>
      <c r="E14" s="905">
        <f t="shared" ref="E14:E38" si="3">SUM(B14:D14)</f>
        <v>856058.74591111066</v>
      </c>
      <c r="F14" s="869"/>
      <c r="G14" s="912" t="s">
        <v>95</v>
      </c>
      <c r="H14" s="827"/>
      <c r="I14" s="855"/>
      <c r="J14" s="958">
        <f>-E32</f>
        <v>-561231.44876111869</v>
      </c>
      <c r="K14" s="853">
        <f>-B21</f>
        <v>-763909.59824282641</v>
      </c>
      <c r="L14" s="853">
        <f>+K14-J14</f>
        <v>-202678.14948170772</v>
      </c>
      <c r="M14" s="944">
        <f>+N20</f>
        <v>85321.850488361568</v>
      </c>
      <c r="N14" s="949"/>
      <c r="O14" s="954">
        <f>+L14+N14-M14</f>
        <v>-287999.99997006927</v>
      </c>
      <c r="P14" s="922">
        <f>-K25</f>
        <v>-85321.850488361568</v>
      </c>
      <c r="Q14" s="922">
        <f>+O14-P14</f>
        <v>-202678.14948170772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</row>
    <row r="15" spans="1:154" s="815" customFormat="1" ht="18" customHeight="1" x14ac:dyDescent="0.25">
      <c r="A15" s="1036">
        <f t="shared" si="1"/>
        <v>4</v>
      </c>
      <c r="B15" s="816">
        <f t="shared" ref="B15:B38" si="4">+E14</f>
        <v>856058.74591111066</v>
      </c>
      <c r="C15" s="816">
        <f t="shared" si="0"/>
        <v>9042.4022466039532</v>
      </c>
      <c r="D15" s="816">
        <f t="shared" si="2"/>
        <v>-23999.999997505802</v>
      </c>
      <c r="E15" s="905">
        <f t="shared" si="3"/>
        <v>841101.14816020883</v>
      </c>
      <c r="F15" s="869"/>
      <c r="G15" s="912"/>
      <c r="H15" s="827"/>
      <c r="I15" s="855"/>
      <c r="J15" s="958"/>
      <c r="K15" s="853"/>
      <c r="L15" s="853"/>
      <c r="M15" s="944"/>
      <c r="N15" s="948"/>
      <c r="O15" s="954"/>
      <c r="P15" s="922"/>
      <c r="Q15" s="92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</row>
    <row r="16" spans="1:154" s="815" customFormat="1" ht="18" customHeight="1" x14ac:dyDescent="0.25">
      <c r="A16" s="1036">
        <f t="shared" si="1"/>
        <v>5</v>
      </c>
      <c r="B16" s="816">
        <f t="shared" si="4"/>
        <v>841101.14816020883</v>
      </c>
      <c r="C16" s="816">
        <f t="shared" si="0"/>
        <v>8884.4076975702865</v>
      </c>
      <c r="D16" s="816">
        <f t="shared" si="2"/>
        <v>-23999.999997505802</v>
      </c>
      <c r="E16" s="905">
        <f t="shared" si="3"/>
        <v>825985.55586027331</v>
      </c>
      <c r="F16" s="869"/>
      <c r="G16" s="912"/>
      <c r="H16" s="827"/>
      <c r="I16" s="855"/>
      <c r="J16" s="958"/>
      <c r="K16" s="853"/>
      <c r="L16" s="853"/>
      <c r="M16" s="944"/>
      <c r="N16" s="949"/>
      <c r="O16" s="954"/>
      <c r="P16" s="922"/>
      <c r="Q16" s="92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</row>
    <row r="17" spans="1:154" s="815" customFormat="1" ht="18" customHeight="1" x14ac:dyDescent="0.25">
      <c r="A17" s="1036">
        <f t="shared" si="1"/>
        <v>6</v>
      </c>
      <c r="B17" s="816">
        <f t="shared" si="4"/>
        <v>825985.55586027331</v>
      </c>
      <c r="C17" s="816">
        <f t="shared" si="0"/>
        <v>8724.7442791138619</v>
      </c>
      <c r="D17" s="816">
        <f t="shared" si="2"/>
        <v>-23999.999997505802</v>
      </c>
      <c r="E17" s="905">
        <f t="shared" si="3"/>
        <v>810710.30014188134</v>
      </c>
      <c r="F17" s="869"/>
      <c r="G17" s="912"/>
      <c r="H17" s="827"/>
      <c r="I17" s="855"/>
      <c r="J17" s="958"/>
      <c r="K17" s="853"/>
      <c r="L17" s="853"/>
      <c r="M17" s="944"/>
      <c r="N17" s="949"/>
      <c r="O17" s="954"/>
      <c r="P17" s="922"/>
      <c r="Q17" s="92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</row>
    <row r="18" spans="1:154" ht="18" customHeight="1" x14ac:dyDescent="0.25">
      <c r="A18" s="1036">
        <f t="shared" si="1"/>
        <v>7</v>
      </c>
      <c r="B18" s="816">
        <f t="shared" si="4"/>
        <v>810710.30014188134</v>
      </c>
      <c r="C18" s="816">
        <f t="shared" si="0"/>
        <v>8563.3943632521532</v>
      </c>
      <c r="D18" s="816">
        <f t="shared" si="2"/>
        <v>-23999.999997505802</v>
      </c>
      <c r="E18" s="905">
        <f t="shared" si="3"/>
        <v>795273.69450762763</v>
      </c>
      <c r="F18" s="869"/>
      <c r="G18" s="912"/>
      <c r="H18" s="827"/>
      <c r="I18" s="855"/>
      <c r="J18" s="958"/>
      <c r="K18" s="853"/>
      <c r="L18" s="853"/>
      <c r="M18" s="944"/>
      <c r="N18" s="948"/>
      <c r="O18" s="954"/>
      <c r="P18" s="921"/>
      <c r="Q18" s="921"/>
    </row>
    <row r="19" spans="1:154" ht="18" customHeight="1" x14ac:dyDescent="0.25">
      <c r="A19" s="1036">
        <f t="shared" si="1"/>
        <v>8</v>
      </c>
      <c r="B19" s="816">
        <f t="shared" si="4"/>
        <v>795273.69450762763</v>
      </c>
      <c r="C19" s="816">
        <f t="shared" si="0"/>
        <v>8400.3401358012634</v>
      </c>
      <c r="D19" s="816">
        <f t="shared" si="2"/>
        <v>-23999.999997505802</v>
      </c>
      <c r="E19" s="905">
        <f t="shared" si="3"/>
        <v>779674.03464592306</v>
      </c>
      <c r="F19" s="869"/>
      <c r="G19" s="912" t="s">
        <v>878</v>
      </c>
      <c r="H19" s="827"/>
      <c r="I19" s="855"/>
      <c r="J19" s="958"/>
      <c r="K19" s="855"/>
      <c r="L19" s="853"/>
      <c r="M19" s="944"/>
      <c r="N19" s="949"/>
      <c r="O19" s="954"/>
      <c r="P19" s="922"/>
      <c r="Q19" s="922"/>
    </row>
    <row r="20" spans="1:154" ht="18" customHeight="1" x14ac:dyDescent="0.25">
      <c r="A20" s="1036">
        <f t="shared" si="1"/>
        <v>9</v>
      </c>
      <c r="B20" s="816">
        <f t="shared" si="4"/>
        <v>779674.03464592306</v>
      </c>
      <c r="C20" s="816">
        <f t="shared" si="0"/>
        <v>8235.5635944091118</v>
      </c>
      <c r="D20" s="816">
        <f t="shared" si="2"/>
        <v>-23999.999997505802</v>
      </c>
      <c r="E20" s="905">
        <f t="shared" si="3"/>
        <v>763909.59824282641</v>
      </c>
      <c r="F20" s="869"/>
      <c r="G20" s="975" t="s">
        <v>466</v>
      </c>
      <c r="H20" s="864"/>
      <c r="I20" s="855"/>
      <c r="J20" s="958">
        <f>+K25</f>
        <v>85321.850488361568</v>
      </c>
      <c r="K20" s="855"/>
      <c r="L20" s="853">
        <f t="shared" ref="L20" si="5">+K20-J20</f>
        <v>-85321.850488361568</v>
      </c>
      <c r="M20" s="944"/>
      <c r="N20" s="949">
        <f>-L20</f>
        <v>85321.850488361568</v>
      </c>
      <c r="O20" s="954">
        <f t="shared" ref="O20" si="6">+L20+N20-M20</f>
        <v>0</v>
      </c>
      <c r="P20" s="922"/>
      <c r="Q20" s="922"/>
    </row>
    <row r="21" spans="1:154" ht="18" customHeight="1" x14ac:dyDescent="0.25">
      <c r="A21" s="1036">
        <f t="shared" si="1"/>
        <v>10</v>
      </c>
      <c r="B21" s="1043">
        <f t="shared" si="4"/>
        <v>763909.59824282641</v>
      </c>
      <c r="C21" s="816">
        <f t="shared" si="0"/>
        <v>8069.0465465678553</v>
      </c>
      <c r="D21" s="816">
        <f t="shared" si="2"/>
        <v>-23999.999997505802</v>
      </c>
      <c r="E21" s="905">
        <f t="shared" si="3"/>
        <v>747978.64479188842</v>
      </c>
      <c r="F21" s="869"/>
      <c r="G21" s="913"/>
      <c r="H21" s="914"/>
      <c r="I21" s="916"/>
      <c r="J21" s="913"/>
      <c r="K21" s="916"/>
      <c r="L21" s="917"/>
      <c r="M21" s="945"/>
      <c r="N21" s="950"/>
      <c r="O21" s="955"/>
      <c r="P21" s="922"/>
      <c r="Q21" s="922"/>
    </row>
    <row r="22" spans="1:154" ht="18" customHeight="1" x14ac:dyDescent="0.25">
      <c r="A22" s="1036">
        <f t="shared" si="1"/>
        <v>11</v>
      </c>
      <c r="B22" s="816">
        <f t="shared" si="4"/>
        <v>747978.64479188842</v>
      </c>
      <c r="C22" s="816">
        <f t="shared" si="0"/>
        <v>7900.7706076052946</v>
      </c>
      <c r="D22" s="816">
        <f t="shared" si="2"/>
        <v>-23999.999997505802</v>
      </c>
      <c r="E22" s="905">
        <f t="shared" si="3"/>
        <v>731879.41540198796</v>
      </c>
      <c r="F22" s="869"/>
      <c r="G22" s="869"/>
      <c r="H22" s="869"/>
      <c r="I22" s="869"/>
      <c r="J22" s="869"/>
      <c r="K22" s="869"/>
      <c r="L22" s="869"/>
      <c r="M22" s="962">
        <f>SUM(M7:M21)</f>
        <v>85321.850488361568</v>
      </c>
      <c r="N22" s="963">
        <f>SUM(N7:N21)</f>
        <v>85321.850488361568</v>
      </c>
      <c r="O22" s="870"/>
      <c r="P22" s="961">
        <f>SUM(P7:P21)</f>
        <v>-85321.850488361568</v>
      </c>
      <c r="Q22" s="961">
        <f>SUM(Q7:Q21)</f>
        <v>-202678.14948170772</v>
      </c>
    </row>
    <row r="23" spans="1:154" ht="18" customHeight="1" x14ac:dyDescent="0.25">
      <c r="A23" s="1036">
        <f t="shared" si="1"/>
        <v>12</v>
      </c>
      <c r="B23" s="816">
        <f t="shared" si="4"/>
        <v>731879.41540198796</v>
      </c>
      <c r="C23" s="816">
        <f t="shared" si="0"/>
        <v>7730.717198655082</v>
      </c>
      <c r="D23" s="816">
        <f t="shared" si="2"/>
        <v>-23999.999997505802</v>
      </c>
      <c r="E23" s="905">
        <f t="shared" si="3"/>
        <v>715610.13260313729</v>
      </c>
      <c r="F23" s="869"/>
      <c r="G23" s="827" t="s">
        <v>894</v>
      </c>
      <c r="H23" s="827"/>
      <c r="I23" s="827"/>
      <c r="J23" s="827"/>
      <c r="K23" s="827"/>
      <c r="L23" s="869"/>
      <c r="M23" s="869"/>
      <c r="N23" s="869"/>
      <c r="O23" s="869"/>
    </row>
    <row r="24" spans="1:154" ht="18" customHeight="1" x14ac:dyDescent="0.25">
      <c r="A24" s="1036">
        <f t="shared" si="1"/>
        <v>13</v>
      </c>
      <c r="B24" s="816">
        <f t="shared" si="4"/>
        <v>715610.13260313729</v>
      </c>
      <c r="C24" s="816">
        <f t="shared" si="0"/>
        <v>7558.8675446054776</v>
      </c>
      <c r="D24" s="816">
        <f t="shared" si="2"/>
        <v>-23999.999997505802</v>
      </c>
      <c r="E24" s="905">
        <f t="shared" si="3"/>
        <v>699169.000150237</v>
      </c>
      <c r="G24" s="1048" t="s">
        <v>30</v>
      </c>
      <c r="H24" s="978"/>
      <c r="I24" s="978"/>
      <c r="J24" s="978"/>
      <c r="K24" s="979">
        <f>+B21</f>
        <v>763909.59824282641</v>
      </c>
      <c r="L24" s="869"/>
      <c r="M24" s="869"/>
      <c r="N24" s="869"/>
      <c r="O24" s="869"/>
    </row>
    <row r="25" spans="1:154" ht="18" customHeight="1" x14ac:dyDescent="0.25">
      <c r="A25" s="1037">
        <f t="shared" si="1"/>
        <v>14</v>
      </c>
      <c r="B25" s="816">
        <f t="shared" si="4"/>
        <v>699169.000150237</v>
      </c>
      <c r="C25" s="816">
        <f t="shared" si="0"/>
        <v>7385.2026720264457</v>
      </c>
      <c r="D25" s="816">
        <f t="shared" si="2"/>
        <v>-23999.999997505802</v>
      </c>
      <c r="E25" s="905">
        <f t="shared" si="3"/>
        <v>682554.20282475767</v>
      </c>
      <c r="G25" s="834" t="s">
        <v>895</v>
      </c>
      <c r="H25" s="827"/>
      <c r="I25" s="827"/>
      <c r="J25" s="827"/>
      <c r="K25" s="828">
        <f>SUM(C21:C32)</f>
        <v>85321.850488361568</v>
      </c>
      <c r="M25" s="869"/>
      <c r="N25" s="869"/>
      <c r="O25" s="869"/>
    </row>
    <row r="26" spans="1:154" ht="18" customHeight="1" x14ac:dyDescent="0.25">
      <c r="A26" s="1037">
        <f t="shared" si="1"/>
        <v>15</v>
      </c>
      <c r="B26" s="816">
        <f t="shared" si="4"/>
        <v>682554.20282475767</v>
      </c>
      <c r="C26" s="816">
        <f t="shared" si="0"/>
        <v>7209.7034070748514</v>
      </c>
      <c r="D26" s="816">
        <f t="shared" si="2"/>
        <v>-23999.999997505802</v>
      </c>
      <c r="E26" s="905">
        <f t="shared" si="3"/>
        <v>665763.90623432677</v>
      </c>
      <c r="G26" s="834" t="s">
        <v>43</v>
      </c>
      <c r="H26" s="827"/>
      <c r="I26" s="827"/>
      <c r="J26" s="827"/>
      <c r="K26" s="828">
        <f>SUM(D21:D32)</f>
        <v>-287999.99997006962</v>
      </c>
      <c r="L26" s="869"/>
      <c r="M26" s="869"/>
      <c r="N26" s="869"/>
      <c r="O26" s="869"/>
    </row>
    <row r="27" spans="1:154" s="815" customFormat="1" ht="18" customHeight="1" x14ac:dyDescent="0.25">
      <c r="A27" s="1037">
        <f t="shared" si="1"/>
        <v>16</v>
      </c>
      <c r="B27" s="816">
        <f t="shared" si="4"/>
        <v>665763.90623432677</v>
      </c>
      <c r="C27" s="816">
        <f t="shared" si="0"/>
        <v>7032.3503733775315</v>
      </c>
      <c r="D27" s="816">
        <f t="shared" si="2"/>
        <v>-23999.999997505802</v>
      </c>
      <c r="E27" s="905">
        <f t="shared" si="3"/>
        <v>648796.25661019853</v>
      </c>
      <c r="G27" s="1048" t="s">
        <v>32</v>
      </c>
      <c r="H27" s="978"/>
      <c r="I27" s="978"/>
      <c r="J27" s="978"/>
      <c r="K27" s="979">
        <f>SUM(K24:K26)</f>
        <v>561231.44876111834</v>
      </c>
      <c r="L27" s="869"/>
      <c r="M27" s="869"/>
      <c r="N27" s="869"/>
      <c r="O27" s="869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</row>
    <row r="28" spans="1:154" s="815" customFormat="1" ht="18" customHeight="1" x14ac:dyDescent="0.25">
      <c r="A28" s="1037">
        <f t="shared" si="1"/>
        <v>17</v>
      </c>
      <c r="B28" s="816">
        <f t="shared" si="4"/>
        <v>648796.25661019853</v>
      </c>
      <c r="C28" s="816">
        <f t="shared" si="0"/>
        <v>6853.1239898920021</v>
      </c>
      <c r="D28" s="816">
        <f t="shared" si="2"/>
        <v>-23999.999997505802</v>
      </c>
      <c r="E28" s="905">
        <f t="shared" si="3"/>
        <v>631649.38060258469</v>
      </c>
      <c r="G28" s="869"/>
      <c r="H28" s="869"/>
      <c r="I28" s="869"/>
      <c r="J28" s="869"/>
      <c r="K28" s="869"/>
      <c r="L28" s="869"/>
      <c r="M28" s="869"/>
      <c r="N28" s="869"/>
      <c r="O28" s="869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</row>
    <row r="29" spans="1:154" s="815" customFormat="1" ht="18" customHeight="1" x14ac:dyDescent="0.25">
      <c r="A29" s="1037">
        <f t="shared" si="1"/>
        <v>18</v>
      </c>
      <c r="B29" s="816">
        <f t="shared" si="4"/>
        <v>631649.38060258469</v>
      </c>
      <c r="C29" s="816">
        <f t="shared" si="0"/>
        <v>6672.0044687445752</v>
      </c>
      <c r="D29" s="816">
        <f t="shared" si="2"/>
        <v>-23999.999997505802</v>
      </c>
      <c r="E29" s="905">
        <f t="shared" si="3"/>
        <v>614321.38507382351</v>
      </c>
      <c r="G29" s="869"/>
      <c r="H29" s="869"/>
      <c r="I29" s="869"/>
      <c r="J29" s="869"/>
      <c r="K29" s="869"/>
      <c r="L29" s="869"/>
      <c r="M29" s="869"/>
      <c r="N29" s="869"/>
      <c r="O29" s="86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</row>
    <row r="30" spans="1:154" s="815" customFormat="1" ht="18" customHeight="1" x14ac:dyDescent="0.25">
      <c r="A30" s="1037">
        <f t="shared" si="1"/>
        <v>19</v>
      </c>
      <c r="B30" s="816">
        <f t="shared" si="4"/>
        <v>614321.38507382351</v>
      </c>
      <c r="C30" s="816">
        <f t="shared" si="0"/>
        <v>6488.9718130456367</v>
      </c>
      <c r="D30" s="816">
        <f t="shared" si="2"/>
        <v>-23999.999997505802</v>
      </c>
      <c r="E30" s="905">
        <f t="shared" si="3"/>
        <v>596810.35688936338</v>
      </c>
      <c r="G30" s="869"/>
      <c r="H30" s="869"/>
      <c r="I30" s="869"/>
      <c r="J30" s="869"/>
      <c r="K30" s="869"/>
      <c r="L30" s="869"/>
      <c r="M30" s="869"/>
      <c r="N30" s="869"/>
      <c r="O30" s="869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</row>
    <row r="31" spans="1:154" s="815" customFormat="1" ht="18" customHeight="1" x14ac:dyDescent="0.25">
      <c r="A31" s="1037">
        <f t="shared" si="1"/>
        <v>20</v>
      </c>
      <c r="B31" s="816">
        <f t="shared" si="4"/>
        <v>596810.35688936338</v>
      </c>
      <c r="C31" s="816">
        <f t="shared" si="0"/>
        <v>6304.005814681841</v>
      </c>
      <c r="D31" s="816">
        <f t="shared" si="2"/>
        <v>-23999.999997505802</v>
      </c>
      <c r="E31" s="905">
        <f t="shared" si="3"/>
        <v>579114.36270653945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</row>
    <row r="32" spans="1:154" s="815" customFormat="1" ht="18" customHeight="1" x14ac:dyDescent="0.25">
      <c r="A32" s="1037">
        <f t="shared" si="1"/>
        <v>21</v>
      </c>
      <c r="B32" s="816">
        <f t="shared" si="4"/>
        <v>579114.36270653945</v>
      </c>
      <c r="C32" s="816">
        <f t="shared" si="0"/>
        <v>6117.0860520849965</v>
      </c>
      <c r="D32" s="816">
        <f t="shared" si="2"/>
        <v>-23999.999997505802</v>
      </c>
      <c r="E32" s="1047">
        <f t="shared" si="3"/>
        <v>561231.44876111869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</row>
    <row r="33" spans="1:154" s="815" customFormat="1" ht="18" customHeight="1" x14ac:dyDescent="0.25">
      <c r="A33" s="1037">
        <f t="shared" si="1"/>
        <v>22</v>
      </c>
      <c r="B33" s="816">
        <f t="shared" si="4"/>
        <v>561231.44876111869</v>
      </c>
      <c r="C33" s="816">
        <f t="shared" si="0"/>
        <v>5928.1918879773748</v>
      </c>
      <c r="D33" s="816">
        <f t="shared" si="2"/>
        <v>-23999.999997505802</v>
      </c>
      <c r="E33" s="905">
        <f t="shared" si="3"/>
        <v>543159.64065159031</v>
      </c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</row>
    <row r="34" spans="1:154" s="815" customFormat="1" ht="18" customHeight="1" x14ac:dyDescent="0.25">
      <c r="A34" s="1037">
        <f t="shared" si="1"/>
        <v>23</v>
      </c>
      <c r="B34" s="816">
        <f t="shared" si="4"/>
        <v>543159.64065159031</v>
      </c>
      <c r="C34" s="816">
        <f t="shared" si="0"/>
        <v>5737.3024670932118</v>
      </c>
      <c r="D34" s="816">
        <f t="shared" si="2"/>
        <v>-23999.999997505802</v>
      </c>
      <c r="E34" s="905">
        <f t="shared" si="3"/>
        <v>524896.94312117773</v>
      </c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</row>
    <row r="35" spans="1:154" s="815" customFormat="1" ht="18" customHeight="1" x14ac:dyDescent="0.25">
      <c r="A35" s="1037">
        <f t="shared" si="1"/>
        <v>24</v>
      </c>
      <c r="B35" s="816">
        <f t="shared" si="4"/>
        <v>524896.94312117773</v>
      </c>
      <c r="C35" s="816">
        <f t="shared" si="0"/>
        <v>5544.3967138761327</v>
      </c>
      <c r="D35" s="816">
        <f t="shared" si="2"/>
        <v>-23999.999997505802</v>
      </c>
      <c r="E35" s="905">
        <f t="shared" si="3"/>
        <v>506441.33983754809</v>
      </c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</row>
    <row r="36" spans="1:154" s="815" customFormat="1" ht="18" customHeight="1" x14ac:dyDescent="0.25">
      <c r="A36" s="1037">
        <f t="shared" si="1"/>
        <v>25</v>
      </c>
      <c r="B36" s="816">
        <f t="shared" si="4"/>
        <v>506441.33983754809</v>
      </c>
      <c r="C36" s="816">
        <f t="shared" si="0"/>
        <v>5349.4533301522633</v>
      </c>
      <c r="D36" s="816">
        <f t="shared" si="2"/>
        <v>-23999.999997505802</v>
      </c>
      <c r="E36" s="905">
        <f t="shared" si="3"/>
        <v>487790.79317019455</v>
      </c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</row>
    <row r="37" spans="1:154" s="815" customFormat="1" ht="18" customHeight="1" x14ac:dyDescent="0.25">
      <c r="A37" s="1037">
        <f t="shared" si="1"/>
        <v>26</v>
      </c>
      <c r="B37" s="816">
        <f t="shared" si="4"/>
        <v>487790.79317019455</v>
      </c>
      <c r="C37" s="816">
        <f t="shared" si="0"/>
        <v>5152.4507927787581</v>
      </c>
      <c r="D37" s="816">
        <f t="shared" si="2"/>
        <v>-23999.999997505802</v>
      </c>
      <c r="E37" s="905">
        <f t="shared" si="3"/>
        <v>468943.2439654675</v>
      </c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</row>
    <row r="38" spans="1:154" s="815" customFormat="1" ht="18" customHeight="1" x14ac:dyDescent="0.25">
      <c r="A38" s="1037">
        <f t="shared" si="1"/>
        <v>27</v>
      </c>
      <c r="B38" s="816">
        <f t="shared" si="4"/>
        <v>468943.2439654675</v>
      </c>
      <c r="C38" s="816">
        <f t="shared" si="0"/>
        <v>4953.3673512674923</v>
      </c>
      <c r="D38" s="816">
        <f t="shared" si="2"/>
        <v>-23999.999997505802</v>
      </c>
      <c r="E38" s="905">
        <f t="shared" si="3"/>
        <v>449896.61131922918</v>
      </c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</row>
    <row r="39" spans="1:154" s="815" customFormat="1" ht="18" customHeight="1" x14ac:dyDescent="0.25">
      <c r="A39" s="1037">
        <f t="shared" ref="A39:A55" si="7">+A38+1</f>
        <v>28</v>
      </c>
      <c r="B39" s="816">
        <f t="shared" ref="B39:B55" si="8">+E38</f>
        <v>449896.61131922918</v>
      </c>
      <c r="C39" s="816">
        <f t="shared" si="0"/>
        <v>4752.1810253836502</v>
      </c>
      <c r="D39" s="816">
        <f t="shared" si="2"/>
        <v>-23999.999997505802</v>
      </c>
      <c r="E39" s="905">
        <f t="shared" ref="E39:E55" si="9">SUM(B39:D39)</f>
        <v>430648.79234710702</v>
      </c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</row>
    <row r="40" spans="1:154" s="815" customFormat="1" ht="18" customHeight="1" x14ac:dyDescent="0.25">
      <c r="A40" s="1037">
        <f t="shared" si="7"/>
        <v>29</v>
      </c>
      <c r="B40" s="816">
        <f t="shared" si="8"/>
        <v>430648.79234710702</v>
      </c>
      <c r="C40" s="816">
        <f t="shared" si="0"/>
        <v>4548.8696027189535</v>
      </c>
      <c r="D40" s="816">
        <f t="shared" si="2"/>
        <v>-23999.999997505802</v>
      </c>
      <c r="E40" s="905">
        <f t="shared" si="9"/>
        <v>411197.6619523202</v>
      </c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</row>
    <row r="41" spans="1:154" s="815" customFormat="1" ht="18" customHeight="1" x14ac:dyDescent="0.25">
      <c r="A41" s="1037">
        <f t="shared" si="7"/>
        <v>30</v>
      </c>
      <c r="B41" s="816">
        <f t="shared" si="8"/>
        <v>411197.6619523202</v>
      </c>
      <c r="C41" s="816">
        <f t="shared" si="0"/>
        <v>4343.4106362392513</v>
      </c>
      <c r="D41" s="816">
        <f t="shared" si="2"/>
        <v>-23999.999997505802</v>
      </c>
      <c r="E41" s="905">
        <f t="shared" si="9"/>
        <v>391541.07259105367</v>
      </c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</row>
    <row r="42" spans="1:154" s="815" customFormat="1" ht="18" customHeight="1" x14ac:dyDescent="0.25">
      <c r="A42" s="1037">
        <f t="shared" si="7"/>
        <v>31</v>
      </c>
      <c r="B42" s="816">
        <f t="shared" si="8"/>
        <v>391541.07259105367</v>
      </c>
      <c r="C42" s="816">
        <f t="shared" si="0"/>
        <v>4135.7814418062053</v>
      </c>
      <c r="D42" s="816">
        <f t="shared" si="2"/>
        <v>-23999.999997505802</v>
      </c>
      <c r="E42" s="905">
        <f t="shared" si="9"/>
        <v>371676.8540353541</v>
      </c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</row>
    <row r="43" spans="1:154" s="815" customFormat="1" ht="18" customHeight="1" x14ac:dyDescent="0.25">
      <c r="A43" s="1037">
        <f t="shared" si="7"/>
        <v>32</v>
      </c>
      <c r="B43" s="816">
        <f t="shared" si="8"/>
        <v>371676.8540353541</v>
      </c>
      <c r="C43" s="816">
        <f t="shared" si="0"/>
        <v>3925.9590956728002</v>
      </c>
      <c r="D43" s="816">
        <f t="shared" si="2"/>
        <v>-23999.999997505802</v>
      </c>
      <c r="E43" s="905">
        <f t="shared" si="9"/>
        <v>351602.81313352112</v>
      </c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</row>
    <row r="44" spans="1:154" s="815" customFormat="1" ht="18" customHeight="1" x14ac:dyDescent="0.25">
      <c r="A44" s="1037">
        <f t="shared" si="7"/>
        <v>33</v>
      </c>
      <c r="B44" s="816">
        <f t="shared" si="8"/>
        <v>351602.81313352112</v>
      </c>
      <c r="C44" s="816">
        <f t="shared" si="0"/>
        <v>3713.9204319523992</v>
      </c>
      <c r="D44" s="816">
        <f t="shared" si="2"/>
        <v>-23999.999997505802</v>
      </c>
      <c r="E44" s="905">
        <f t="shared" si="9"/>
        <v>331316.73356796772</v>
      </c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</row>
    <row r="45" spans="1:154" s="815" customFormat="1" ht="18" customHeight="1" x14ac:dyDescent="0.25">
      <c r="A45" s="1037">
        <f t="shared" si="7"/>
        <v>34</v>
      </c>
      <c r="B45" s="816">
        <f t="shared" si="8"/>
        <v>331316.73356796772</v>
      </c>
      <c r="C45" s="816">
        <f t="shared" si="0"/>
        <v>3499.6420400610632</v>
      </c>
      <c r="D45" s="816">
        <f t="shared" si="2"/>
        <v>-23999.999997505802</v>
      </c>
      <c r="E45" s="905">
        <f t="shared" si="9"/>
        <v>310816.37561052298</v>
      </c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</row>
    <row r="46" spans="1:154" s="815" customFormat="1" ht="18" customHeight="1" x14ac:dyDescent="0.25">
      <c r="A46" s="1037">
        <f t="shared" si="7"/>
        <v>35</v>
      </c>
      <c r="B46" s="816">
        <f t="shared" si="8"/>
        <v>310816.37561052298</v>
      </c>
      <c r="C46" s="816">
        <f t="shared" si="0"/>
        <v>3283.1002621328557</v>
      </c>
      <c r="D46" s="816">
        <f t="shared" si="2"/>
        <v>-23999.999997505802</v>
      </c>
      <c r="E46" s="905">
        <f t="shared" si="9"/>
        <v>290099.47587515006</v>
      </c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</row>
    <row r="47" spans="1:154" s="815" customFormat="1" ht="18" customHeight="1" x14ac:dyDescent="0.25">
      <c r="A47" s="1037">
        <f t="shared" si="7"/>
        <v>36</v>
      </c>
      <c r="B47" s="816">
        <f t="shared" si="8"/>
        <v>290099.47587515006</v>
      </c>
      <c r="C47" s="816">
        <f t="shared" si="0"/>
        <v>3064.2711904078451</v>
      </c>
      <c r="D47" s="816">
        <f t="shared" si="2"/>
        <v>-23999.999997505802</v>
      </c>
      <c r="E47" s="905">
        <f t="shared" si="9"/>
        <v>269163.74706805212</v>
      </c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</row>
    <row r="48" spans="1:154" s="815" customFormat="1" ht="18" customHeight="1" x14ac:dyDescent="0.25">
      <c r="A48" s="1037">
        <f t="shared" si="7"/>
        <v>37</v>
      </c>
      <c r="B48" s="816">
        <f t="shared" si="8"/>
        <v>269163.74706805212</v>
      </c>
      <c r="C48" s="816">
        <f t="shared" si="0"/>
        <v>2843.130664592517</v>
      </c>
      <c r="D48" s="816">
        <f t="shared" si="2"/>
        <v>-23999.999997505802</v>
      </c>
      <c r="E48" s="905">
        <f t="shared" si="9"/>
        <v>248006.87773513881</v>
      </c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</row>
    <row r="49" spans="1:154" s="815" customFormat="1" ht="18" customHeight="1" x14ac:dyDescent="0.25">
      <c r="A49" s="1037">
        <f t="shared" si="7"/>
        <v>38</v>
      </c>
      <c r="B49" s="816">
        <f t="shared" si="8"/>
        <v>248006.87773513881</v>
      </c>
      <c r="C49" s="816">
        <f t="shared" si="0"/>
        <v>2619.6542691923041</v>
      </c>
      <c r="D49" s="816">
        <f t="shared" si="2"/>
        <v>-23999.999997505802</v>
      </c>
      <c r="E49" s="905">
        <f t="shared" si="9"/>
        <v>226626.53200682532</v>
      </c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</row>
    <row r="50" spans="1:154" s="815" customFormat="1" ht="18" customHeight="1" x14ac:dyDescent="0.25">
      <c r="A50" s="1037">
        <f t="shared" si="7"/>
        <v>39</v>
      </c>
      <c r="B50" s="816">
        <f t="shared" si="8"/>
        <v>226626.53200682532</v>
      </c>
      <c r="C50" s="816">
        <f t="shared" si="0"/>
        <v>2393.8173308159448</v>
      </c>
      <c r="D50" s="816">
        <f t="shared" si="2"/>
        <v>-23999.999997505802</v>
      </c>
      <c r="E50" s="905">
        <f t="shared" si="9"/>
        <v>205020.34934013546</v>
      </c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</row>
    <row r="51" spans="1:154" s="815" customFormat="1" ht="18" customHeight="1" x14ac:dyDescent="0.25">
      <c r="A51" s="1037">
        <f t="shared" si="7"/>
        <v>40</v>
      </c>
      <c r="B51" s="816">
        <f t="shared" si="8"/>
        <v>205020.34934013546</v>
      </c>
      <c r="C51" s="816">
        <f t="shared" si="0"/>
        <v>2165.5949154513592</v>
      </c>
      <c r="D51" s="816">
        <f t="shared" si="2"/>
        <v>-23999.999997505802</v>
      </c>
      <c r="E51" s="905">
        <f t="shared" si="9"/>
        <v>183185.94425808103</v>
      </c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</row>
    <row r="52" spans="1:154" s="815" customFormat="1" ht="18" customHeight="1" x14ac:dyDescent="0.25">
      <c r="A52" s="1037">
        <f t="shared" si="7"/>
        <v>41</v>
      </c>
      <c r="B52" s="816">
        <f t="shared" si="8"/>
        <v>183185.94425808103</v>
      </c>
      <c r="C52" s="816">
        <f t="shared" si="0"/>
        <v>1934.9618257127599</v>
      </c>
      <c r="D52" s="816">
        <f t="shared" si="2"/>
        <v>-23999.999997505802</v>
      </c>
      <c r="E52" s="905">
        <f t="shared" si="9"/>
        <v>161120.90608628799</v>
      </c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</row>
    <row r="53" spans="1:154" s="815" customFormat="1" ht="18" customHeight="1" x14ac:dyDescent="0.25">
      <c r="A53" s="1037">
        <f t="shared" si="7"/>
        <v>42</v>
      </c>
      <c r="B53" s="816">
        <f t="shared" si="8"/>
        <v>161120.90608628799</v>
      </c>
      <c r="C53" s="816">
        <f t="shared" si="0"/>
        <v>1701.8925980586794</v>
      </c>
      <c r="D53" s="816">
        <f t="shared" si="2"/>
        <v>-23999.999997505802</v>
      </c>
      <c r="E53" s="905">
        <f t="shared" si="9"/>
        <v>138822.79868684086</v>
      </c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</row>
    <row r="54" spans="1:154" s="815" customFormat="1" ht="18" customHeight="1" x14ac:dyDescent="0.25">
      <c r="A54" s="1037">
        <f t="shared" si="7"/>
        <v>43</v>
      </c>
      <c r="B54" s="816">
        <f t="shared" si="8"/>
        <v>138822.79868684086</v>
      </c>
      <c r="C54" s="816">
        <f t="shared" si="0"/>
        <v>1466.3614999806123</v>
      </c>
      <c r="D54" s="816">
        <f t="shared" si="2"/>
        <v>-23999.999997505802</v>
      </c>
      <c r="E54" s="905">
        <f t="shared" si="9"/>
        <v>116289.16018931568</v>
      </c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</row>
    <row r="55" spans="1:154" s="815" customFormat="1" ht="18" customHeight="1" x14ac:dyDescent="0.25">
      <c r="A55" s="1037">
        <f t="shared" si="7"/>
        <v>44</v>
      </c>
      <c r="B55" s="816">
        <f t="shared" si="8"/>
        <v>116289.16018931568</v>
      </c>
      <c r="C55" s="816">
        <f t="shared" si="0"/>
        <v>1228.3425271619637</v>
      </c>
      <c r="D55" s="816">
        <f t="shared" si="2"/>
        <v>-23999.999997505802</v>
      </c>
      <c r="E55" s="905">
        <f t="shared" si="9"/>
        <v>93517.502718971838</v>
      </c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</row>
    <row r="56" spans="1:154" s="815" customFormat="1" ht="18" customHeight="1" x14ac:dyDescent="0.25">
      <c r="A56" s="1037">
        <f t="shared" ref="A56:A59" si="10">+A55+1</f>
        <v>45</v>
      </c>
      <c r="B56" s="816">
        <f t="shared" ref="B56:B59" si="11">+E55</f>
        <v>93517.502718971838</v>
      </c>
      <c r="C56" s="816">
        <f t="shared" si="0"/>
        <v>987.80940060698595</v>
      </c>
      <c r="D56" s="816">
        <f t="shared" si="2"/>
        <v>-23999.999997505802</v>
      </c>
      <c r="E56" s="905">
        <f t="shared" ref="E56:E59" si="12">SUM(B56:D56)</f>
        <v>70505.312122073025</v>
      </c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</row>
    <row r="57" spans="1:154" s="815" customFormat="1" ht="18" customHeight="1" x14ac:dyDescent="0.25">
      <c r="A57" s="1037">
        <f t="shared" si="10"/>
        <v>46</v>
      </c>
      <c r="B57" s="816">
        <f t="shared" si="11"/>
        <v>70505.312122073025</v>
      </c>
      <c r="C57" s="816">
        <f t="shared" si="0"/>
        <v>744.73556373938982</v>
      </c>
      <c r="D57" s="816">
        <f t="shared" si="2"/>
        <v>-23999.999997505802</v>
      </c>
      <c r="E57" s="905">
        <f t="shared" si="12"/>
        <v>47250.047688306615</v>
      </c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</row>
    <row r="58" spans="1:154" s="815" customFormat="1" ht="18" customHeight="1" x14ac:dyDescent="0.25">
      <c r="A58" s="1037">
        <f t="shared" si="10"/>
        <v>47</v>
      </c>
      <c r="B58" s="816">
        <f t="shared" si="11"/>
        <v>47250.047688306615</v>
      </c>
      <c r="C58" s="816">
        <f t="shared" si="0"/>
        <v>499.09417947030914</v>
      </c>
      <c r="D58" s="816">
        <f t="shared" si="2"/>
        <v>-23999.999997505802</v>
      </c>
      <c r="E58" s="905">
        <f t="shared" si="12"/>
        <v>23749.141870271123</v>
      </c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</row>
    <row r="59" spans="1:154" s="815" customFormat="1" ht="18" customHeight="1" x14ac:dyDescent="0.25">
      <c r="A59" s="1037">
        <f t="shared" si="10"/>
        <v>48</v>
      </c>
      <c r="B59" s="1006">
        <f t="shared" si="11"/>
        <v>23749.141870271123</v>
      </c>
      <c r="C59" s="1006">
        <f t="shared" si="0"/>
        <v>250.85812723529401</v>
      </c>
      <c r="D59" s="1006">
        <f t="shared" si="2"/>
        <v>-23999.999997505802</v>
      </c>
      <c r="E59" s="966">
        <f t="shared" si="12"/>
        <v>6.1481841839849949E-10</v>
      </c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</row>
    <row r="60" spans="1:154" s="815" customFormat="1" ht="18" customHeight="1" x14ac:dyDescent="0.25"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</row>
    <row r="61" spans="1:154" s="815" customFormat="1" ht="18" customHeight="1" x14ac:dyDescent="0.25"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</row>
    <row r="62" spans="1:154" s="815" customFormat="1" ht="18" customHeight="1" x14ac:dyDescent="0.25">
      <c r="A62" s="878"/>
      <c r="B62" s="878"/>
      <c r="C62" s="844"/>
      <c r="D62" s="844"/>
      <c r="E62" s="844"/>
      <c r="F62" s="844"/>
      <c r="G62" s="844"/>
      <c r="H62" s="844"/>
      <c r="I62" s="844"/>
      <c r="J62" s="844"/>
      <c r="K62" s="845"/>
      <c r="L62" s="879" t="s">
        <v>459</v>
      </c>
      <c r="M62" s="902" t="s">
        <v>760</v>
      </c>
      <c r="N62" s="902" t="s">
        <v>761</v>
      </c>
      <c r="O62" s="879" t="s">
        <v>166</v>
      </c>
      <c r="P62" s="879" t="s">
        <v>762</v>
      </c>
      <c r="Q62" s="879" t="s">
        <v>762</v>
      </c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</row>
    <row r="63" spans="1:154" s="815" customFormat="1" ht="18" customHeight="1" x14ac:dyDescent="0.25">
      <c r="A63" s="843" t="s">
        <v>891</v>
      </c>
      <c r="B63" s="878"/>
      <c r="C63" s="981"/>
      <c r="D63" s="981"/>
      <c r="E63" s="982"/>
      <c r="F63" s="891"/>
      <c r="G63" s="930"/>
      <c r="H63" s="893"/>
      <c r="I63" s="894"/>
      <c r="J63" s="930"/>
      <c r="K63" s="894"/>
      <c r="L63" s="895"/>
      <c r="M63" s="1531" t="s">
        <v>757</v>
      </c>
      <c r="N63" s="1531"/>
      <c r="O63" s="951" t="s">
        <v>103</v>
      </c>
      <c r="P63" s="895" t="s">
        <v>22</v>
      </c>
      <c r="Q63" s="895" t="s">
        <v>22</v>
      </c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</row>
    <row r="64" spans="1:154" s="815" customFormat="1" ht="18" customHeight="1" x14ac:dyDescent="0.25">
      <c r="A64" s="846" t="s">
        <v>883</v>
      </c>
      <c r="B64" s="847"/>
      <c r="C64" s="847"/>
      <c r="D64" s="969"/>
      <c r="E64" s="972"/>
      <c r="F64" s="869"/>
      <c r="G64" s="931"/>
      <c r="H64" s="932"/>
      <c r="I64" s="937"/>
      <c r="J64" s="960">
        <v>2020</v>
      </c>
      <c r="K64" s="934">
        <v>2019</v>
      </c>
      <c r="L64" s="934" t="s">
        <v>103</v>
      </c>
      <c r="M64" s="941" t="s">
        <v>156</v>
      </c>
      <c r="N64" s="946" t="s">
        <v>233</v>
      </c>
      <c r="O64" s="952" t="s">
        <v>104</v>
      </c>
      <c r="P64" s="934" t="s">
        <v>377</v>
      </c>
      <c r="Q64" s="934" t="s">
        <v>890</v>
      </c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</row>
    <row r="65" spans="1:154" s="815" customFormat="1" ht="18" customHeight="1" x14ac:dyDescent="0.25">
      <c r="A65" s="850" t="s">
        <v>629</v>
      </c>
      <c r="E65" s="906">
        <v>48</v>
      </c>
      <c r="F65" s="869"/>
      <c r="G65" s="938" t="s">
        <v>685</v>
      </c>
      <c r="H65" s="929"/>
      <c r="I65" s="939"/>
      <c r="J65" s="947" t="s">
        <v>3</v>
      </c>
      <c r="K65" s="881" t="s">
        <v>3</v>
      </c>
      <c r="L65" s="881" t="s">
        <v>3</v>
      </c>
      <c r="M65" s="942" t="s">
        <v>3</v>
      </c>
      <c r="N65" s="947" t="s">
        <v>3</v>
      </c>
      <c r="O65" s="942" t="s">
        <v>3</v>
      </c>
      <c r="P65" s="881" t="s">
        <v>3</v>
      </c>
      <c r="Q65" s="881" t="s">
        <v>3</v>
      </c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</row>
    <row r="66" spans="1:154" s="815" customFormat="1" ht="18" customHeight="1" x14ac:dyDescent="0.25">
      <c r="A66" s="850" t="s">
        <v>892</v>
      </c>
      <c r="E66" s="905">
        <v>900000</v>
      </c>
      <c r="F66" s="869"/>
      <c r="G66" s="912"/>
      <c r="H66" s="827"/>
      <c r="I66" s="855"/>
      <c r="J66" s="958"/>
      <c r="K66" s="853"/>
      <c r="L66" s="855"/>
      <c r="M66" s="943"/>
      <c r="N66" s="948"/>
      <c r="O66" s="953"/>
      <c r="P66" s="921"/>
      <c r="Q66" s="921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</row>
    <row r="67" spans="1:154" s="815" customFormat="1" ht="18" customHeight="1" x14ac:dyDescent="0.25">
      <c r="A67" s="850" t="s">
        <v>884</v>
      </c>
      <c r="E67" s="1046">
        <v>1.056282911633599E-2</v>
      </c>
      <c r="F67" s="869"/>
      <c r="G67" s="912"/>
      <c r="H67" s="827"/>
      <c r="I67" s="855"/>
      <c r="J67" s="958"/>
      <c r="K67" s="853"/>
      <c r="L67" s="853"/>
      <c r="M67" s="943"/>
      <c r="N67" s="948"/>
      <c r="O67" s="954"/>
      <c r="P67" s="922"/>
      <c r="Q67" s="922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</row>
    <row r="68" spans="1:154" s="815" customFormat="1" ht="18" customHeight="1" x14ac:dyDescent="0.25">
      <c r="A68" s="850" t="s">
        <v>630</v>
      </c>
      <c r="E68" s="1045">
        <f>-PMT(E67,E65,E66,0,0)</f>
        <v>23999.999997505802</v>
      </c>
      <c r="F68" s="869"/>
      <c r="G68" s="975"/>
      <c r="H68" s="827"/>
      <c r="I68" s="855"/>
      <c r="J68" s="958"/>
      <c r="K68" s="853"/>
      <c r="L68" s="853"/>
      <c r="M68" s="943"/>
      <c r="N68" s="948"/>
      <c r="O68" s="954"/>
      <c r="P68" s="922"/>
      <c r="Q68" s="922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</row>
    <row r="69" spans="1:154" s="815" customFormat="1" ht="18" customHeight="1" x14ac:dyDescent="0.25">
      <c r="A69" s="846" t="s">
        <v>893</v>
      </c>
      <c r="B69" s="847"/>
      <c r="C69" s="847"/>
      <c r="D69" s="847"/>
      <c r="E69" s="904"/>
      <c r="F69" s="869"/>
      <c r="G69" s="975"/>
      <c r="H69" s="827"/>
      <c r="I69" s="855"/>
      <c r="J69" s="958"/>
      <c r="K69" s="853"/>
      <c r="L69" s="853"/>
      <c r="M69" s="944"/>
      <c r="N69" s="949"/>
      <c r="O69" s="954"/>
      <c r="P69" s="922"/>
      <c r="Q69" s="922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</row>
    <row r="70" spans="1:154" s="815" customFormat="1" ht="18" customHeight="1" x14ac:dyDescent="0.25">
      <c r="A70" s="1036"/>
      <c r="B70" s="902" t="s">
        <v>620</v>
      </c>
      <c r="C70" s="1041" t="s">
        <v>631</v>
      </c>
      <c r="D70" s="1041" t="s">
        <v>632</v>
      </c>
      <c r="E70" s="1042" t="s">
        <v>621</v>
      </c>
      <c r="F70" s="869"/>
      <c r="G70" s="975"/>
      <c r="H70" s="827"/>
      <c r="I70" s="855"/>
      <c r="J70" s="958"/>
      <c r="K70" s="853"/>
      <c r="L70" s="853"/>
      <c r="M70" s="944"/>
      <c r="N70" s="949"/>
      <c r="O70" s="954"/>
      <c r="P70" s="922"/>
      <c r="Q70" s="922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</row>
    <row r="71" spans="1:154" s="815" customFormat="1" ht="18" customHeight="1" x14ac:dyDescent="0.25">
      <c r="A71" s="1036">
        <v>1</v>
      </c>
      <c r="B71" s="816">
        <f>+E66</f>
        <v>900000</v>
      </c>
      <c r="C71" s="816">
        <f>+B71*$E$8</f>
        <v>9506.5462047023921</v>
      </c>
      <c r="D71" s="816">
        <f>-E68</f>
        <v>-23999.999997505802</v>
      </c>
      <c r="E71" s="905">
        <f>SUM(B71:D71)</f>
        <v>885506.54620719654</v>
      </c>
      <c r="F71" s="869"/>
      <c r="G71" s="912"/>
      <c r="H71" s="827"/>
      <c r="I71" s="855"/>
      <c r="J71" s="958"/>
      <c r="K71" s="853"/>
      <c r="L71" s="853"/>
      <c r="M71" s="943"/>
      <c r="N71" s="949"/>
      <c r="O71" s="954"/>
      <c r="P71" s="922"/>
      <c r="Q71" s="922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</row>
    <row r="72" spans="1:154" s="815" customFormat="1" ht="18" customHeight="1" x14ac:dyDescent="0.25">
      <c r="A72" s="1036">
        <f>+A71+1</f>
        <v>2</v>
      </c>
      <c r="B72" s="816">
        <f>+E71</f>
        <v>885506.54620719654</v>
      </c>
      <c r="C72" s="816">
        <f t="shared" ref="C72:C118" si="13">+B72*$E$8</f>
        <v>9353.4543289834965</v>
      </c>
      <c r="D72" s="816">
        <f>+D71</f>
        <v>-23999.999997505802</v>
      </c>
      <c r="E72" s="905">
        <f>SUM(B72:D72)</f>
        <v>870860.00053867418</v>
      </c>
      <c r="F72" s="869"/>
      <c r="G72" s="912"/>
      <c r="H72" s="827"/>
      <c r="I72" s="855"/>
      <c r="J72" s="958"/>
      <c r="K72" s="853"/>
      <c r="L72" s="853"/>
      <c r="M72" s="944"/>
      <c r="N72" s="949"/>
      <c r="O72" s="954"/>
      <c r="P72" s="922"/>
      <c r="Q72" s="92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</row>
    <row r="73" spans="1:154" s="815" customFormat="1" ht="18" customHeight="1" x14ac:dyDescent="0.25">
      <c r="A73" s="1036">
        <f t="shared" ref="A73:A118" si="14">+A72+1</f>
        <v>3</v>
      </c>
      <c r="B73" s="816">
        <f>+E72</f>
        <v>870860.00053867418</v>
      </c>
      <c r="C73" s="816">
        <f t="shared" si="13"/>
        <v>9198.745369942284</v>
      </c>
      <c r="D73" s="816">
        <f t="shared" ref="D73:D118" si="15">+D72</f>
        <v>-23999.999997505802</v>
      </c>
      <c r="E73" s="905">
        <f t="shared" ref="E73:E118" si="16">SUM(B73:D73)</f>
        <v>856058.74591111066</v>
      </c>
      <c r="F73" s="869"/>
      <c r="G73" s="912" t="s">
        <v>95</v>
      </c>
      <c r="H73" s="827"/>
      <c r="I73" s="855"/>
      <c r="J73" s="958">
        <f>-E91</f>
        <v>-561231.44876111869</v>
      </c>
      <c r="K73" s="853">
        <f>-B80</f>
        <v>-763909.59824282641</v>
      </c>
      <c r="L73" s="853">
        <f>+K73-J73</f>
        <v>-202678.14948170772</v>
      </c>
      <c r="M73" s="944"/>
      <c r="N73" s="949"/>
      <c r="O73" s="954">
        <f>+L73+N73-M73</f>
        <v>-202678.14948170772</v>
      </c>
      <c r="P73" s="922"/>
      <c r="Q73" s="922">
        <f>+O73-P73</f>
        <v>-202678.14948170772</v>
      </c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</row>
    <row r="74" spans="1:154" s="815" customFormat="1" ht="18" customHeight="1" x14ac:dyDescent="0.25">
      <c r="A74" s="1036">
        <f t="shared" si="14"/>
        <v>4</v>
      </c>
      <c r="B74" s="816">
        <f t="shared" ref="B74:B118" si="17">+E73</f>
        <v>856058.74591111066</v>
      </c>
      <c r="C74" s="816">
        <f t="shared" si="13"/>
        <v>9042.4022466039532</v>
      </c>
      <c r="D74" s="816">
        <f t="shared" si="15"/>
        <v>-23999.999997505802</v>
      </c>
      <c r="E74" s="905">
        <f t="shared" si="16"/>
        <v>841101.14816020883</v>
      </c>
      <c r="F74" s="869"/>
      <c r="G74" s="912"/>
      <c r="H74" s="827"/>
      <c r="I74" s="855"/>
      <c r="J74" s="958"/>
      <c r="K74" s="853"/>
      <c r="L74" s="853"/>
      <c r="M74" s="944"/>
      <c r="N74" s="948"/>
      <c r="O74" s="954"/>
      <c r="P74" s="922"/>
      <c r="Q74" s="922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</row>
    <row r="75" spans="1:154" s="815" customFormat="1" ht="18" customHeight="1" x14ac:dyDescent="0.25">
      <c r="A75" s="1036">
        <f t="shared" si="14"/>
        <v>5</v>
      </c>
      <c r="B75" s="816">
        <f t="shared" si="17"/>
        <v>841101.14816020883</v>
      </c>
      <c r="C75" s="816">
        <f t="shared" si="13"/>
        <v>8884.4076975702865</v>
      </c>
      <c r="D75" s="816">
        <f t="shared" si="15"/>
        <v>-23999.999997505802</v>
      </c>
      <c r="E75" s="905">
        <f t="shared" si="16"/>
        <v>825985.55586027331</v>
      </c>
      <c r="F75" s="869"/>
      <c r="G75" s="912"/>
      <c r="H75" s="827"/>
      <c r="I75" s="855"/>
      <c r="J75" s="958"/>
      <c r="K75" s="853"/>
      <c r="L75" s="853"/>
      <c r="M75" s="944"/>
      <c r="N75" s="949"/>
      <c r="O75" s="954"/>
      <c r="P75" s="922"/>
      <c r="Q75" s="922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</row>
    <row r="76" spans="1:154" s="815" customFormat="1" ht="18" customHeight="1" x14ac:dyDescent="0.25">
      <c r="A76" s="1036">
        <f t="shared" si="14"/>
        <v>6</v>
      </c>
      <c r="B76" s="816">
        <f t="shared" si="17"/>
        <v>825985.55586027331</v>
      </c>
      <c r="C76" s="816">
        <f t="shared" si="13"/>
        <v>8724.7442791138619</v>
      </c>
      <c r="D76" s="816">
        <f t="shared" si="15"/>
        <v>-23999.999997505802</v>
      </c>
      <c r="E76" s="905">
        <f t="shared" si="16"/>
        <v>810710.30014188134</v>
      </c>
      <c r="F76" s="869"/>
      <c r="G76" s="912"/>
      <c r="H76" s="827"/>
      <c r="I76" s="855"/>
      <c r="J76" s="958"/>
      <c r="K76" s="853"/>
      <c r="L76" s="853"/>
      <c r="M76" s="944"/>
      <c r="N76" s="949"/>
      <c r="O76" s="954"/>
      <c r="P76" s="922"/>
      <c r="Q76" s="922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</row>
    <row r="77" spans="1:154" s="815" customFormat="1" ht="18" customHeight="1" x14ac:dyDescent="0.25">
      <c r="A77" s="1036">
        <f t="shared" si="14"/>
        <v>7</v>
      </c>
      <c r="B77" s="816">
        <f t="shared" si="17"/>
        <v>810710.30014188134</v>
      </c>
      <c r="C77" s="816">
        <f t="shared" si="13"/>
        <v>8563.3943632521532</v>
      </c>
      <c r="D77" s="816">
        <f t="shared" si="15"/>
        <v>-23999.999997505802</v>
      </c>
      <c r="E77" s="905">
        <f t="shared" si="16"/>
        <v>795273.69450762763</v>
      </c>
      <c r="F77" s="869"/>
      <c r="G77" s="912"/>
      <c r="H77" s="827"/>
      <c r="I77" s="855"/>
      <c r="J77" s="958"/>
      <c r="K77" s="853"/>
      <c r="L77" s="853"/>
      <c r="M77" s="944"/>
      <c r="N77" s="948"/>
      <c r="O77" s="954"/>
      <c r="P77" s="921"/>
      <c r="Q77" s="921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</row>
    <row r="78" spans="1:154" s="815" customFormat="1" ht="18" customHeight="1" x14ac:dyDescent="0.25">
      <c r="A78" s="1036">
        <f t="shared" si="14"/>
        <v>8</v>
      </c>
      <c r="B78" s="816">
        <f t="shared" si="17"/>
        <v>795273.69450762763</v>
      </c>
      <c r="C78" s="816">
        <f t="shared" si="13"/>
        <v>8400.3401358012634</v>
      </c>
      <c r="D78" s="816">
        <f t="shared" si="15"/>
        <v>-23999.999997505802</v>
      </c>
      <c r="E78" s="905">
        <f t="shared" si="16"/>
        <v>779674.03464592306</v>
      </c>
      <c r="F78" s="869"/>
      <c r="G78" s="912" t="s">
        <v>878</v>
      </c>
      <c r="H78" s="827"/>
      <c r="I78" s="855"/>
      <c r="J78" s="958"/>
      <c r="K78" s="855"/>
      <c r="L78" s="853"/>
      <c r="M78" s="944"/>
      <c r="N78" s="949"/>
      <c r="O78" s="954"/>
      <c r="P78" s="922"/>
      <c r="Q78" s="922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</row>
    <row r="79" spans="1:154" s="815" customFormat="1" ht="18" customHeight="1" x14ac:dyDescent="0.25">
      <c r="A79" s="1036">
        <f t="shared" si="14"/>
        <v>9</v>
      </c>
      <c r="B79" s="816">
        <f t="shared" si="17"/>
        <v>779674.03464592306</v>
      </c>
      <c r="C79" s="816">
        <f t="shared" si="13"/>
        <v>8235.5635944091118</v>
      </c>
      <c r="D79" s="816">
        <f t="shared" si="15"/>
        <v>-23999.999997505802</v>
      </c>
      <c r="E79" s="905">
        <f t="shared" si="16"/>
        <v>763909.59824282641</v>
      </c>
      <c r="F79" s="869"/>
      <c r="G79" s="975" t="s">
        <v>466</v>
      </c>
      <c r="H79" s="864"/>
      <c r="I79" s="855"/>
      <c r="J79" s="958">
        <f>+K84</f>
        <v>85321.850488361568</v>
      </c>
      <c r="K79" s="855"/>
      <c r="L79" s="853">
        <f t="shared" ref="L79" si="18">+K79-J79</f>
        <v>-85321.850488361568</v>
      </c>
      <c r="M79" s="944"/>
      <c r="N79" s="949"/>
      <c r="O79" s="954">
        <f t="shared" ref="O79" si="19">+L79+N79-M79</f>
        <v>-85321.850488361568</v>
      </c>
      <c r="P79" s="922">
        <f>+O79</f>
        <v>-85321.850488361568</v>
      </c>
      <c r="Q79" s="922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</row>
    <row r="80" spans="1:154" s="815" customFormat="1" ht="18" customHeight="1" x14ac:dyDescent="0.25">
      <c r="A80" s="1036">
        <f t="shared" si="14"/>
        <v>10</v>
      </c>
      <c r="B80" s="1043">
        <f t="shared" si="17"/>
        <v>763909.59824282641</v>
      </c>
      <c r="C80" s="816">
        <f t="shared" si="13"/>
        <v>8069.0465465678553</v>
      </c>
      <c r="D80" s="816">
        <f t="shared" si="15"/>
        <v>-23999.999997505802</v>
      </c>
      <c r="E80" s="905">
        <f t="shared" si="16"/>
        <v>747978.64479188842</v>
      </c>
      <c r="F80" s="869"/>
      <c r="G80" s="913"/>
      <c r="H80" s="914"/>
      <c r="I80" s="916"/>
      <c r="J80" s="913"/>
      <c r="K80" s="916"/>
      <c r="L80" s="917"/>
      <c r="M80" s="945"/>
      <c r="N80" s="950"/>
      <c r="O80" s="955"/>
      <c r="P80" s="922"/>
      <c r="Q80" s="922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</row>
    <row r="81" spans="1:154" s="815" customFormat="1" ht="18" customHeight="1" x14ac:dyDescent="0.25">
      <c r="A81" s="1036">
        <f t="shared" si="14"/>
        <v>11</v>
      </c>
      <c r="B81" s="816">
        <f t="shared" si="17"/>
        <v>747978.64479188842</v>
      </c>
      <c r="C81" s="816">
        <f t="shared" si="13"/>
        <v>7900.7706076052946</v>
      </c>
      <c r="D81" s="816">
        <f t="shared" si="15"/>
        <v>-23999.999997505802</v>
      </c>
      <c r="E81" s="905">
        <f t="shared" si="16"/>
        <v>731879.41540198796</v>
      </c>
      <c r="F81" s="869"/>
      <c r="G81" s="869"/>
      <c r="H81" s="869"/>
      <c r="I81" s="869"/>
      <c r="J81" s="869"/>
      <c r="K81" s="869"/>
      <c r="L81" s="869"/>
      <c r="M81" s="962">
        <f>SUM(M66:M80)</f>
        <v>0</v>
      </c>
      <c r="N81" s="963">
        <f>SUM(N66:N80)</f>
        <v>0</v>
      </c>
      <c r="O81" s="870"/>
      <c r="P81" s="961">
        <f>SUM(P66:P80)</f>
        <v>-85321.850488361568</v>
      </c>
      <c r="Q81" s="961">
        <f>SUM(Q66:Q80)</f>
        <v>-202678.14948170772</v>
      </c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</row>
    <row r="82" spans="1:154" s="815" customFormat="1" ht="18" customHeight="1" x14ac:dyDescent="0.25">
      <c r="A82" s="1036">
        <f t="shared" si="14"/>
        <v>12</v>
      </c>
      <c r="B82" s="816">
        <f t="shared" si="17"/>
        <v>731879.41540198796</v>
      </c>
      <c r="C82" s="816">
        <f t="shared" si="13"/>
        <v>7730.717198655082</v>
      </c>
      <c r="D82" s="816">
        <f t="shared" si="15"/>
        <v>-23999.999997505802</v>
      </c>
      <c r="E82" s="905">
        <f t="shared" si="16"/>
        <v>715610.13260313729</v>
      </c>
      <c r="F82" s="869"/>
      <c r="G82" s="827" t="s">
        <v>894</v>
      </c>
      <c r="H82" s="827"/>
      <c r="I82" s="827"/>
      <c r="J82" s="827"/>
      <c r="K82" s="827"/>
      <c r="L82" s="869"/>
      <c r="M82" s="869"/>
      <c r="N82" s="869"/>
      <c r="O82" s="869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</row>
    <row r="83" spans="1:154" ht="18" customHeight="1" x14ac:dyDescent="0.25">
      <c r="A83" s="1036">
        <f t="shared" si="14"/>
        <v>13</v>
      </c>
      <c r="B83" s="816">
        <f t="shared" si="17"/>
        <v>715610.13260313729</v>
      </c>
      <c r="C83" s="816">
        <f t="shared" si="13"/>
        <v>7558.8675446054776</v>
      </c>
      <c r="D83" s="816">
        <f t="shared" si="15"/>
        <v>-23999.999997505802</v>
      </c>
      <c r="E83" s="905">
        <f t="shared" si="16"/>
        <v>699169.000150237</v>
      </c>
      <c r="G83" s="1048" t="s">
        <v>30</v>
      </c>
      <c r="H83" s="978"/>
      <c r="I83" s="978"/>
      <c r="J83" s="978"/>
      <c r="K83" s="979">
        <f>+B80</f>
        <v>763909.59824282641</v>
      </c>
      <c r="L83" s="869"/>
      <c r="M83" s="869"/>
      <c r="N83" s="869"/>
      <c r="O83" s="869"/>
    </row>
    <row r="84" spans="1:154" ht="18" customHeight="1" x14ac:dyDescent="0.25">
      <c r="A84" s="1037">
        <f t="shared" si="14"/>
        <v>14</v>
      </c>
      <c r="B84" s="816">
        <f t="shared" si="17"/>
        <v>699169.000150237</v>
      </c>
      <c r="C84" s="816">
        <f t="shared" si="13"/>
        <v>7385.2026720264457</v>
      </c>
      <c r="D84" s="816">
        <f t="shared" si="15"/>
        <v>-23999.999997505802</v>
      </c>
      <c r="E84" s="905">
        <f t="shared" si="16"/>
        <v>682554.20282475767</v>
      </c>
      <c r="G84" s="834" t="s">
        <v>895</v>
      </c>
      <c r="H84" s="827"/>
      <c r="I84" s="827"/>
      <c r="J84" s="827"/>
      <c r="K84" s="828">
        <f>SUM(C80:C91)</f>
        <v>85321.850488361568</v>
      </c>
      <c r="M84" s="869"/>
      <c r="N84" s="869"/>
      <c r="O84" s="869"/>
    </row>
    <row r="85" spans="1:154" ht="18" customHeight="1" x14ac:dyDescent="0.25">
      <c r="A85" s="1037">
        <f t="shared" si="14"/>
        <v>15</v>
      </c>
      <c r="B85" s="816">
        <f t="shared" si="17"/>
        <v>682554.20282475767</v>
      </c>
      <c r="C85" s="816">
        <f t="shared" si="13"/>
        <v>7209.7034070748514</v>
      </c>
      <c r="D85" s="816">
        <f t="shared" si="15"/>
        <v>-23999.999997505802</v>
      </c>
      <c r="E85" s="905">
        <f t="shared" si="16"/>
        <v>665763.90623432677</v>
      </c>
      <c r="G85" s="834" t="s">
        <v>43</v>
      </c>
      <c r="H85" s="827"/>
      <c r="I85" s="827"/>
      <c r="J85" s="827"/>
      <c r="K85" s="828">
        <f>SUM(D80:D91)</f>
        <v>-287999.99997006962</v>
      </c>
      <c r="L85" s="869"/>
      <c r="M85" s="869"/>
      <c r="N85" s="869"/>
      <c r="O85" s="869"/>
    </row>
    <row r="86" spans="1:154" ht="18" customHeight="1" x14ac:dyDescent="0.25">
      <c r="A86" s="1037">
        <f t="shared" si="14"/>
        <v>16</v>
      </c>
      <c r="B86" s="816">
        <f t="shared" si="17"/>
        <v>665763.90623432677</v>
      </c>
      <c r="C86" s="816">
        <f t="shared" si="13"/>
        <v>7032.3503733775315</v>
      </c>
      <c r="D86" s="816">
        <f t="shared" si="15"/>
        <v>-23999.999997505802</v>
      </c>
      <c r="E86" s="905">
        <f t="shared" si="16"/>
        <v>648796.25661019853</v>
      </c>
      <c r="G86" s="1048" t="s">
        <v>32</v>
      </c>
      <c r="H86" s="978"/>
      <c r="I86" s="978"/>
      <c r="J86" s="978"/>
      <c r="K86" s="979">
        <f>SUM(K83:K85)</f>
        <v>561231.44876111834</v>
      </c>
      <c r="L86" s="869"/>
      <c r="M86" s="869"/>
      <c r="N86" s="869"/>
      <c r="O86" s="869"/>
    </row>
    <row r="87" spans="1:154" ht="18" customHeight="1" x14ac:dyDescent="0.25">
      <c r="A87" s="1037">
        <f t="shared" si="14"/>
        <v>17</v>
      </c>
      <c r="B87" s="816">
        <f t="shared" si="17"/>
        <v>648796.25661019853</v>
      </c>
      <c r="C87" s="816">
        <f t="shared" si="13"/>
        <v>6853.1239898920021</v>
      </c>
      <c r="D87" s="816">
        <f t="shared" si="15"/>
        <v>-23999.999997505802</v>
      </c>
      <c r="E87" s="905">
        <f t="shared" si="16"/>
        <v>631649.38060258469</v>
      </c>
      <c r="G87" s="869"/>
      <c r="H87" s="869"/>
      <c r="I87" s="869"/>
      <c r="J87" s="869"/>
      <c r="K87" s="869"/>
      <c r="L87" s="869"/>
      <c r="M87" s="869"/>
      <c r="N87" s="869"/>
      <c r="O87" s="869"/>
    </row>
    <row r="88" spans="1:154" ht="18" customHeight="1" x14ac:dyDescent="0.25">
      <c r="A88" s="1037">
        <f t="shared" si="14"/>
        <v>18</v>
      </c>
      <c r="B88" s="816">
        <f t="shared" si="17"/>
        <v>631649.38060258469</v>
      </c>
      <c r="C88" s="816">
        <f t="shared" si="13"/>
        <v>6672.0044687445752</v>
      </c>
      <c r="D88" s="816">
        <f t="shared" si="15"/>
        <v>-23999.999997505802</v>
      </c>
      <c r="E88" s="905">
        <f t="shared" si="16"/>
        <v>614321.38507382351</v>
      </c>
      <c r="G88" s="869"/>
      <c r="H88" s="869"/>
      <c r="I88" s="869"/>
      <c r="J88" s="869"/>
      <c r="K88" s="869"/>
      <c r="L88" s="869"/>
      <c r="M88" s="869"/>
      <c r="N88" s="869"/>
      <c r="O88" s="869"/>
    </row>
    <row r="89" spans="1:154" ht="18" customHeight="1" x14ac:dyDescent="0.25">
      <c r="A89" s="1037">
        <f t="shared" si="14"/>
        <v>19</v>
      </c>
      <c r="B89" s="816">
        <f t="shared" si="17"/>
        <v>614321.38507382351</v>
      </c>
      <c r="C89" s="816">
        <f t="shared" si="13"/>
        <v>6488.9718130456367</v>
      </c>
      <c r="D89" s="816">
        <f t="shared" si="15"/>
        <v>-23999.999997505802</v>
      </c>
      <c r="E89" s="905">
        <f t="shared" si="16"/>
        <v>596810.35688936338</v>
      </c>
      <c r="G89" s="869"/>
      <c r="H89" s="869"/>
      <c r="I89" s="869"/>
      <c r="J89" s="869"/>
      <c r="K89" s="869"/>
      <c r="L89" s="869"/>
      <c r="M89" s="869"/>
      <c r="N89" s="869"/>
      <c r="O89" s="869"/>
    </row>
    <row r="90" spans="1:154" ht="18" customHeight="1" x14ac:dyDescent="0.25">
      <c r="A90" s="1037">
        <f t="shared" si="14"/>
        <v>20</v>
      </c>
      <c r="B90" s="816">
        <f t="shared" si="17"/>
        <v>596810.35688936338</v>
      </c>
      <c r="C90" s="816">
        <f t="shared" si="13"/>
        <v>6304.005814681841</v>
      </c>
      <c r="D90" s="816">
        <f t="shared" si="15"/>
        <v>-23999.999997505802</v>
      </c>
      <c r="E90" s="905">
        <f t="shared" si="16"/>
        <v>579114.36270653945</v>
      </c>
    </row>
    <row r="91" spans="1:154" ht="18" customHeight="1" x14ac:dyDescent="0.25">
      <c r="A91" s="1037">
        <f t="shared" si="14"/>
        <v>21</v>
      </c>
      <c r="B91" s="816">
        <f t="shared" si="17"/>
        <v>579114.36270653945</v>
      </c>
      <c r="C91" s="816">
        <f t="shared" si="13"/>
        <v>6117.0860520849965</v>
      </c>
      <c r="D91" s="816">
        <f t="shared" si="15"/>
        <v>-23999.999997505802</v>
      </c>
      <c r="E91" s="1047">
        <f t="shared" si="16"/>
        <v>561231.44876111869</v>
      </c>
    </row>
    <row r="92" spans="1:154" ht="18" customHeight="1" x14ac:dyDescent="0.25">
      <c r="A92" s="1037">
        <f t="shared" si="14"/>
        <v>22</v>
      </c>
      <c r="B92" s="816">
        <f t="shared" si="17"/>
        <v>561231.44876111869</v>
      </c>
      <c r="C92" s="816">
        <f t="shared" si="13"/>
        <v>5928.1918879773748</v>
      </c>
      <c r="D92" s="816">
        <f t="shared" si="15"/>
        <v>-23999.999997505802</v>
      </c>
      <c r="E92" s="905">
        <f t="shared" si="16"/>
        <v>543159.64065159031</v>
      </c>
    </row>
    <row r="93" spans="1:154" ht="18" customHeight="1" x14ac:dyDescent="0.25">
      <c r="A93" s="1037">
        <f t="shared" si="14"/>
        <v>23</v>
      </c>
      <c r="B93" s="816">
        <f t="shared" si="17"/>
        <v>543159.64065159031</v>
      </c>
      <c r="C93" s="816">
        <f t="shared" si="13"/>
        <v>5737.3024670932118</v>
      </c>
      <c r="D93" s="816">
        <f t="shared" si="15"/>
        <v>-23999.999997505802</v>
      </c>
      <c r="E93" s="905">
        <f t="shared" si="16"/>
        <v>524896.94312117773</v>
      </c>
    </row>
    <row r="94" spans="1:154" ht="18" customHeight="1" x14ac:dyDescent="0.25">
      <c r="A94" s="1037">
        <f t="shared" si="14"/>
        <v>24</v>
      </c>
      <c r="B94" s="816">
        <f t="shared" si="17"/>
        <v>524896.94312117773</v>
      </c>
      <c r="C94" s="816">
        <f t="shared" si="13"/>
        <v>5544.3967138761327</v>
      </c>
      <c r="D94" s="816">
        <f t="shared" si="15"/>
        <v>-23999.999997505802</v>
      </c>
      <c r="E94" s="905">
        <f t="shared" si="16"/>
        <v>506441.33983754809</v>
      </c>
    </row>
    <row r="95" spans="1:154" ht="18" customHeight="1" x14ac:dyDescent="0.25">
      <c r="A95" s="1037">
        <f t="shared" si="14"/>
        <v>25</v>
      </c>
      <c r="B95" s="816">
        <f t="shared" si="17"/>
        <v>506441.33983754809</v>
      </c>
      <c r="C95" s="816">
        <f t="shared" si="13"/>
        <v>5349.4533301522633</v>
      </c>
      <c r="D95" s="816">
        <f t="shared" si="15"/>
        <v>-23999.999997505802</v>
      </c>
      <c r="E95" s="905">
        <f t="shared" si="16"/>
        <v>487790.79317019455</v>
      </c>
    </row>
    <row r="96" spans="1:154" ht="18" customHeight="1" x14ac:dyDescent="0.25">
      <c r="A96" s="1037">
        <f t="shared" si="14"/>
        <v>26</v>
      </c>
      <c r="B96" s="816">
        <f t="shared" si="17"/>
        <v>487790.79317019455</v>
      </c>
      <c r="C96" s="816">
        <f t="shared" si="13"/>
        <v>5152.4507927787581</v>
      </c>
      <c r="D96" s="816">
        <f t="shared" si="15"/>
        <v>-23999.999997505802</v>
      </c>
      <c r="E96" s="905">
        <f t="shared" si="16"/>
        <v>468943.2439654675</v>
      </c>
    </row>
    <row r="97" spans="1:5" ht="18" customHeight="1" x14ac:dyDescent="0.25">
      <c r="A97" s="1037">
        <f t="shared" si="14"/>
        <v>27</v>
      </c>
      <c r="B97" s="816">
        <f t="shared" si="17"/>
        <v>468943.2439654675</v>
      </c>
      <c r="C97" s="816">
        <f t="shared" si="13"/>
        <v>4953.3673512674923</v>
      </c>
      <c r="D97" s="816">
        <f t="shared" si="15"/>
        <v>-23999.999997505802</v>
      </c>
      <c r="E97" s="905">
        <f t="shared" si="16"/>
        <v>449896.61131922918</v>
      </c>
    </row>
    <row r="98" spans="1:5" ht="18" customHeight="1" x14ac:dyDescent="0.25">
      <c r="A98" s="1037">
        <f t="shared" si="14"/>
        <v>28</v>
      </c>
      <c r="B98" s="816">
        <f t="shared" si="17"/>
        <v>449896.61131922918</v>
      </c>
      <c r="C98" s="816">
        <f t="shared" si="13"/>
        <v>4752.1810253836502</v>
      </c>
      <c r="D98" s="816">
        <f t="shared" si="15"/>
        <v>-23999.999997505802</v>
      </c>
      <c r="E98" s="905">
        <f t="shared" si="16"/>
        <v>430648.79234710702</v>
      </c>
    </row>
    <row r="99" spans="1:5" ht="18" customHeight="1" x14ac:dyDescent="0.25">
      <c r="A99" s="1037">
        <f t="shared" si="14"/>
        <v>29</v>
      </c>
      <c r="B99" s="816">
        <f t="shared" si="17"/>
        <v>430648.79234710702</v>
      </c>
      <c r="C99" s="816">
        <f t="shared" si="13"/>
        <v>4548.8696027189535</v>
      </c>
      <c r="D99" s="816">
        <f t="shared" si="15"/>
        <v>-23999.999997505802</v>
      </c>
      <c r="E99" s="905">
        <f t="shared" si="16"/>
        <v>411197.6619523202</v>
      </c>
    </row>
    <row r="100" spans="1:5" ht="18" customHeight="1" x14ac:dyDescent="0.25">
      <c r="A100" s="1037">
        <f t="shared" si="14"/>
        <v>30</v>
      </c>
      <c r="B100" s="816">
        <f t="shared" si="17"/>
        <v>411197.6619523202</v>
      </c>
      <c r="C100" s="816">
        <f t="shared" si="13"/>
        <v>4343.4106362392513</v>
      </c>
      <c r="D100" s="816">
        <f t="shared" si="15"/>
        <v>-23999.999997505802</v>
      </c>
      <c r="E100" s="905">
        <f t="shared" si="16"/>
        <v>391541.07259105367</v>
      </c>
    </row>
    <row r="101" spans="1:5" ht="18" customHeight="1" x14ac:dyDescent="0.25">
      <c r="A101" s="1037">
        <f t="shared" si="14"/>
        <v>31</v>
      </c>
      <c r="B101" s="816">
        <f t="shared" si="17"/>
        <v>391541.07259105367</v>
      </c>
      <c r="C101" s="816">
        <f t="shared" si="13"/>
        <v>4135.7814418062053</v>
      </c>
      <c r="D101" s="816">
        <f t="shared" si="15"/>
        <v>-23999.999997505802</v>
      </c>
      <c r="E101" s="905">
        <f t="shared" si="16"/>
        <v>371676.8540353541</v>
      </c>
    </row>
    <row r="102" spans="1:5" ht="18" customHeight="1" x14ac:dyDescent="0.25">
      <c r="A102" s="1037">
        <f t="shared" si="14"/>
        <v>32</v>
      </c>
      <c r="B102" s="816">
        <f t="shared" si="17"/>
        <v>371676.8540353541</v>
      </c>
      <c r="C102" s="816">
        <f t="shared" si="13"/>
        <v>3925.9590956728002</v>
      </c>
      <c r="D102" s="816">
        <f t="shared" si="15"/>
        <v>-23999.999997505802</v>
      </c>
      <c r="E102" s="905">
        <f t="shared" si="16"/>
        <v>351602.81313352112</v>
      </c>
    </row>
    <row r="103" spans="1:5" ht="18" customHeight="1" x14ac:dyDescent="0.25">
      <c r="A103" s="1037">
        <f t="shared" si="14"/>
        <v>33</v>
      </c>
      <c r="B103" s="816">
        <f t="shared" si="17"/>
        <v>351602.81313352112</v>
      </c>
      <c r="C103" s="816">
        <f t="shared" si="13"/>
        <v>3713.9204319523992</v>
      </c>
      <c r="D103" s="816">
        <f t="shared" si="15"/>
        <v>-23999.999997505802</v>
      </c>
      <c r="E103" s="905">
        <f t="shared" si="16"/>
        <v>331316.73356796772</v>
      </c>
    </row>
    <row r="104" spans="1:5" ht="18" customHeight="1" x14ac:dyDescent="0.25">
      <c r="A104" s="1037">
        <f t="shared" si="14"/>
        <v>34</v>
      </c>
      <c r="B104" s="816">
        <f t="shared" si="17"/>
        <v>331316.73356796772</v>
      </c>
      <c r="C104" s="816">
        <f t="shared" si="13"/>
        <v>3499.6420400610632</v>
      </c>
      <c r="D104" s="816">
        <f t="shared" si="15"/>
        <v>-23999.999997505802</v>
      </c>
      <c r="E104" s="905">
        <f t="shared" si="16"/>
        <v>310816.37561052298</v>
      </c>
    </row>
    <row r="105" spans="1:5" ht="18" customHeight="1" x14ac:dyDescent="0.25">
      <c r="A105" s="1037">
        <f t="shared" si="14"/>
        <v>35</v>
      </c>
      <c r="B105" s="816">
        <f t="shared" si="17"/>
        <v>310816.37561052298</v>
      </c>
      <c r="C105" s="816">
        <f t="shared" si="13"/>
        <v>3283.1002621328557</v>
      </c>
      <c r="D105" s="816">
        <f t="shared" si="15"/>
        <v>-23999.999997505802</v>
      </c>
      <c r="E105" s="905">
        <f t="shared" si="16"/>
        <v>290099.47587515006</v>
      </c>
    </row>
    <row r="106" spans="1:5" ht="18" customHeight="1" x14ac:dyDescent="0.25">
      <c r="A106" s="1037">
        <f t="shared" si="14"/>
        <v>36</v>
      </c>
      <c r="B106" s="816">
        <f t="shared" si="17"/>
        <v>290099.47587515006</v>
      </c>
      <c r="C106" s="816">
        <f t="shared" si="13"/>
        <v>3064.2711904078451</v>
      </c>
      <c r="D106" s="816">
        <f t="shared" si="15"/>
        <v>-23999.999997505802</v>
      </c>
      <c r="E106" s="905">
        <f t="shared" si="16"/>
        <v>269163.74706805212</v>
      </c>
    </row>
    <row r="107" spans="1:5" ht="18" customHeight="1" x14ac:dyDescent="0.25">
      <c r="A107" s="1037">
        <f t="shared" si="14"/>
        <v>37</v>
      </c>
      <c r="B107" s="816">
        <f t="shared" si="17"/>
        <v>269163.74706805212</v>
      </c>
      <c r="C107" s="816">
        <f t="shared" si="13"/>
        <v>2843.130664592517</v>
      </c>
      <c r="D107" s="816">
        <f t="shared" si="15"/>
        <v>-23999.999997505802</v>
      </c>
      <c r="E107" s="905">
        <f t="shared" si="16"/>
        <v>248006.87773513881</v>
      </c>
    </row>
    <row r="108" spans="1:5" ht="18" customHeight="1" x14ac:dyDescent="0.25">
      <c r="A108" s="1037">
        <f t="shared" si="14"/>
        <v>38</v>
      </c>
      <c r="B108" s="816">
        <f t="shared" si="17"/>
        <v>248006.87773513881</v>
      </c>
      <c r="C108" s="816">
        <f t="shared" si="13"/>
        <v>2619.6542691923041</v>
      </c>
      <c r="D108" s="816">
        <f t="shared" si="15"/>
        <v>-23999.999997505802</v>
      </c>
      <c r="E108" s="905">
        <f t="shared" si="16"/>
        <v>226626.53200682532</v>
      </c>
    </row>
    <row r="109" spans="1:5" ht="18" customHeight="1" x14ac:dyDescent="0.25">
      <c r="A109" s="1037">
        <f t="shared" si="14"/>
        <v>39</v>
      </c>
      <c r="B109" s="816">
        <f t="shared" si="17"/>
        <v>226626.53200682532</v>
      </c>
      <c r="C109" s="816">
        <f t="shared" si="13"/>
        <v>2393.8173308159448</v>
      </c>
      <c r="D109" s="816">
        <f t="shared" si="15"/>
        <v>-23999.999997505802</v>
      </c>
      <c r="E109" s="905">
        <f t="shared" si="16"/>
        <v>205020.34934013546</v>
      </c>
    </row>
    <row r="110" spans="1:5" ht="18" customHeight="1" x14ac:dyDescent="0.25">
      <c r="A110" s="1037">
        <f t="shared" si="14"/>
        <v>40</v>
      </c>
      <c r="B110" s="816">
        <f t="shared" si="17"/>
        <v>205020.34934013546</v>
      </c>
      <c r="C110" s="816">
        <f t="shared" si="13"/>
        <v>2165.5949154513592</v>
      </c>
      <c r="D110" s="816">
        <f t="shared" si="15"/>
        <v>-23999.999997505802</v>
      </c>
      <c r="E110" s="905">
        <f t="shared" si="16"/>
        <v>183185.94425808103</v>
      </c>
    </row>
    <row r="111" spans="1:5" ht="18" customHeight="1" x14ac:dyDescent="0.25">
      <c r="A111" s="1037">
        <f t="shared" si="14"/>
        <v>41</v>
      </c>
      <c r="B111" s="816">
        <f t="shared" si="17"/>
        <v>183185.94425808103</v>
      </c>
      <c r="C111" s="816">
        <f t="shared" si="13"/>
        <v>1934.9618257127599</v>
      </c>
      <c r="D111" s="816">
        <f t="shared" si="15"/>
        <v>-23999.999997505802</v>
      </c>
      <c r="E111" s="905">
        <f t="shared" si="16"/>
        <v>161120.90608628799</v>
      </c>
    </row>
    <row r="112" spans="1:5" ht="18" customHeight="1" x14ac:dyDescent="0.25">
      <c r="A112" s="1037">
        <f t="shared" si="14"/>
        <v>42</v>
      </c>
      <c r="B112" s="816">
        <f t="shared" si="17"/>
        <v>161120.90608628799</v>
      </c>
      <c r="C112" s="816">
        <f t="shared" si="13"/>
        <v>1701.8925980586794</v>
      </c>
      <c r="D112" s="816">
        <f t="shared" si="15"/>
        <v>-23999.999997505802</v>
      </c>
      <c r="E112" s="905">
        <f t="shared" si="16"/>
        <v>138822.79868684086</v>
      </c>
    </row>
    <row r="113" spans="1:18" ht="18" customHeight="1" x14ac:dyDescent="0.25">
      <c r="A113" s="1037">
        <f t="shared" si="14"/>
        <v>43</v>
      </c>
      <c r="B113" s="816">
        <f t="shared" si="17"/>
        <v>138822.79868684086</v>
      </c>
      <c r="C113" s="816">
        <f t="shared" si="13"/>
        <v>1466.3614999806123</v>
      </c>
      <c r="D113" s="816">
        <f t="shared" si="15"/>
        <v>-23999.999997505802</v>
      </c>
      <c r="E113" s="905">
        <f t="shared" si="16"/>
        <v>116289.16018931568</v>
      </c>
    </row>
    <row r="114" spans="1:18" ht="18" customHeight="1" x14ac:dyDescent="0.25">
      <c r="A114" s="1037">
        <f t="shared" si="14"/>
        <v>44</v>
      </c>
      <c r="B114" s="816">
        <f t="shared" si="17"/>
        <v>116289.16018931568</v>
      </c>
      <c r="C114" s="816">
        <f t="shared" si="13"/>
        <v>1228.3425271619637</v>
      </c>
      <c r="D114" s="816">
        <f t="shared" si="15"/>
        <v>-23999.999997505802</v>
      </c>
      <c r="E114" s="905">
        <f t="shared" si="16"/>
        <v>93517.502718971838</v>
      </c>
    </row>
    <row r="115" spans="1:18" ht="18" customHeight="1" x14ac:dyDescent="0.25">
      <c r="A115" s="1037">
        <f t="shared" si="14"/>
        <v>45</v>
      </c>
      <c r="B115" s="816">
        <f t="shared" si="17"/>
        <v>93517.502718971838</v>
      </c>
      <c r="C115" s="816">
        <f t="shared" si="13"/>
        <v>987.80940060698595</v>
      </c>
      <c r="D115" s="816">
        <f t="shared" si="15"/>
        <v>-23999.999997505802</v>
      </c>
      <c r="E115" s="905">
        <f t="shared" si="16"/>
        <v>70505.312122073025</v>
      </c>
    </row>
    <row r="116" spans="1:18" ht="18" customHeight="1" x14ac:dyDescent="0.25">
      <c r="A116" s="1037">
        <f t="shared" si="14"/>
        <v>46</v>
      </c>
      <c r="B116" s="816">
        <f t="shared" si="17"/>
        <v>70505.312122073025</v>
      </c>
      <c r="C116" s="816">
        <f t="shared" si="13"/>
        <v>744.73556373938982</v>
      </c>
      <c r="D116" s="816">
        <f t="shared" si="15"/>
        <v>-23999.999997505802</v>
      </c>
      <c r="E116" s="905">
        <f t="shared" si="16"/>
        <v>47250.047688306615</v>
      </c>
    </row>
    <row r="117" spans="1:18" ht="18" customHeight="1" x14ac:dyDescent="0.25">
      <c r="A117" s="1037">
        <f t="shared" si="14"/>
        <v>47</v>
      </c>
      <c r="B117" s="816">
        <f t="shared" si="17"/>
        <v>47250.047688306615</v>
      </c>
      <c r="C117" s="816">
        <f t="shared" si="13"/>
        <v>499.09417947030914</v>
      </c>
      <c r="D117" s="816">
        <f t="shared" si="15"/>
        <v>-23999.999997505802</v>
      </c>
      <c r="E117" s="905">
        <f t="shared" si="16"/>
        <v>23749.141870271123</v>
      </c>
    </row>
    <row r="118" spans="1:18" ht="18" customHeight="1" x14ac:dyDescent="0.25">
      <c r="A118" s="1037">
        <f t="shared" si="14"/>
        <v>48</v>
      </c>
      <c r="B118" s="1006">
        <f t="shared" si="17"/>
        <v>23749.141870271123</v>
      </c>
      <c r="C118" s="1006">
        <f t="shared" si="13"/>
        <v>250.85812723529401</v>
      </c>
      <c r="D118" s="1006">
        <f t="shared" si="15"/>
        <v>-23999.999997505802</v>
      </c>
      <c r="E118" s="966">
        <f t="shared" si="16"/>
        <v>6.1481841839849949E-10</v>
      </c>
    </row>
    <row r="119" spans="1:18" ht="18" customHeight="1" x14ac:dyDescent="0.25"/>
    <row r="120" spans="1:18" ht="18" customHeight="1" x14ac:dyDescent="0.25"/>
    <row r="121" spans="1:18" ht="18" customHeight="1" x14ac:dyDescent="0.25">
      <c r="A121" s="843" t="s">
        <v>891</v>
      </c>
      <c r="B121" s="878"/>
      <c r="C121" s="844"/>
      <c r="D121" s="844"/>
      <c r="E121" s="844"/>
      <c r="F121" s="844"/>
      <c r="G121" s="844"/>
      <c r="H121" s="844"/>
      <c r="I121" s="844"/>
      <c r="J121" s="844"/>
      <c r="K121" s="845"/>
      <c r="L121" s="879" t="s">
        <v>459</v>
      </c>
      <c r="M121" s="902" t="s">
        <v>760</v>
      </c>
      <c r="N121" s="902" t="s">
        <v>761</v>
      </c>
      <c r="O121" s="879" t="s">
        <v>166</v>
      </c>
      <c r="P121" s="879" t="s">
        <v>762</v>
      </c>
      <c r="Q121" s="879" t="s">
        <v>762</v>
      </c>
      <c r="R121" s="879" t="s">
        <v>762</v>
      </c>
    </row>
    <row r="122" spans="1:18" ht="18" customHeight="1" x14ac:dyDescent="0.25">
      <c r="A122" s="843" t="s">
        <v>897</v>
      </c>
      <c r="B122" s="878"/>
      <c r="C122" s="981"/>
      <c r="D122" s="981"/>
      <c r="E122" s="982"/>
      <c r="F122" s="891"/>
      <c r="G122" s="930"/>
      <c r="H122" s="893"/>
      <c r="I122" s="894"/>
      <c r="J122" s="930"/>
      <c r="K122" s="894"/>
      <c r="L122" s="895"/>
      <c r="M122" s="1531" t="s">
        <v>757</v>
      </c>
      <c r="N122" s="1531"/>
      <c r="O122" s="951" t="s">
        <v>103</v>
      </c>
      <c r="P122" s="895" t="s">
        <v>266</v>
      </c>
      <c r="Q122" s="895" t="s">
        <v>22</v>
      </c>
      <c r="R122" s="895" t="s">
        <v>22</v>
      </c>
    </row>
    <row r="123" spans="1:18" ht="18" customHeight="1" x14ac:dyDescent="0.25">
      <c r="A123" s="846" t="s">
        <v>883</v>
      </c>
      <c r="B123" s="847"/>
      <c r="C123" s="847"/>
      <c r="D123" s="969"/>
      <c r="E123" s="972"/>
      <c r="F123" s="869"/>
      <c r="G123" s="931"/>
      <c r="H123" s="932"/>
      <c r="I123" s="937"/>
      <c r="J123" s="960">
        <v>2020</v>
      </c>
      <c r="K123" s="934">
        <v>2019</v>
      </c>
      <c r="L123" s="934" t="s">
        <v>103</v>
      </c>
      <c r="M123" s="941" t="s">
        <v>156</v>
      </c>
      <c r="N123" s="946" t="s">
        <v>233</v>
      </c>
      <c r="O123" s="952" t="s">
        <v>104</v>
      </c>
      <c r="P123" s="934" t="s">
        <v>896</v>
      </c>
      <c r="Q123" s="934" t="s">
        <v>890</v>
      </c>
      <c r="R123" s="934" t="s">
        <v>377</v>
      </c>
    </row>
    <row r="124" spans="1:18" ht="18" customHeight="1" x14ac:dyDescent="0.25">
      <c r="A124" s="850" t="s">
        <v>629</v>
      </c>
      <c r="E124" s="906">
        <v>24</v>
      </c>
      <c r="F124" s="869"/>
      <c r="G124" s="938" t="s">
        <v>685</v>
      </c>
      <c r="H124" s="929"/>
      <c r="I124" s="939"/>
      <c r="J124" s="947" t="s">
        <v>3</v>
      </c>
      <c r="K124" s="881" t="s">
        <v>3</v>
      </c>
      <c r="L124" s="881" t="s">
        <v>3</v>
      </c>
      <c r="M124" s="942" t="s">
        <v>3</v>
      </c>
      <c r="N124" s="947" t="s">
        <v>3</v>
      </c>
      <c r="O124" s="942" t="s">
        <v>3</v>
      </c>
      <c r="P124" s="881" t="s">
        <v>3</v>
      </c>
      <c r="Q124" s="881" t="s">
        <v>3</v>
      </c>
      <c r="R124" s="881" t="s">
        <v>3</v>
      </c>
    </row>
    <row r="125" spans="1:18" ht="18" customHeight="1" x14ac:dyDescent="0.25">
      <c r="A125" s="850" t="s">
        <v>892</v>
      </c>
      <c r="E125" s="905">
        <v>435936.02776077995</v>
      </c>
      <c r="F125" s="869"/>
      <c r="G125" s="912"/>
      <c r="H125" s="827"/>
      <c r="I125" s="855"/>
      <c r="J125" s="958"/>
      <c r="K125" s="853"/>
      <c r="L125" s="855"/>
      <c r="M125" s="943"/>
      <c r="N125" s="948"/>
      <c r="O125" s="953"/>
      <c r="P125" s="921"/>
      <c r="Q125" s="921"/>
      <c r="R125" s="921"/>
    </row>
    <row r="126" spans="1:18" ht="18" customHeight="1" x14ac:dyDescent="0.25">
      <c r="A126" s="850" t="s">
        <v>884</v>
      </c>
      <c r="E126" s="1046">
        <v>1.0722418186372878E-2</v>
      </c>
      <c r="F126" s="869"/>
      <c r="G126" s="912"/>
      <c r="H126" s="827"/>
      <c r="I126" s="855"/>
      <c r="J126" s="958"/>
      <c r="K126" s="853"/>
      <c r="L126" s="853"/>
      <c r="M126" s="943"/>
      <c r="N126" s="948"/>
      <c r="O126" s="954"/>
      <c r="P126" s="922"/>
      <c r="Q126" s="922"/>
      <c r="R126" s="922"/>
    </row>
    <row r="127" spans="1:18" ht="18" customHeight="1" x14ac:dyDescent="0.25">
      <c r="A127" s="846" t="s">
        <v>893</v>
      </c>
      <c r="B127" s="847"/>
      <c r="C127" s="847"/>
      <c r="D127" s="847"/>
      <c r="E127" s="904"/>
      <c r="F127" s="869"/>
      <c r="G127" s="975"/>
      <c r="H127" s="827"/>
      <c r="I127" s="855"/>
      <c r="J127" s="958"/>
      <c r="K127" s="853"/>
      <c r="L127" s="853"/>
      <c r="M127" s="943"/>
      <c r="N127" s="948"/>
      <c r="O127" s="954"/>
      <c r="P127" s="922"/>
      <c r="Q127" s="922"/>
      <c r="R127" s="922"/>
    </row>
    <row r="128" spans="1:18" ht="18" customHeight="1" x14ac:dyDescent="0.25">
      <c r="A128" s="1036"/>
      <c r="B128" s="902" t="s">
        <v>620</v>
      </c>
      <c r="C128" s="1041" t="s">
        <v>631</v>
      </c>
      <c r="D128" s="1041" t="s">
        <v>632</v>
      </c>
      <c r="E128" s="1042" t="s">
        <v>621</v>
      </c>
      <c r="F128" s="869"/>
      <c r="G128" s="975"/>
      <c r="H128" s="827"/>
      <c r="I128" s="855"/>
      <c r="J128" s="958"/>
      <c r="K128" s="853"/>
      <c r="L128" s="853"/>
      <c r="M128" s="944"/>
      <c r="N128" s="949"/>
      <c r="O128" s="954"/>
      <c r="P128" s="922"/>
      <c r="Q128" s="922"/>
      <c r="R128" s="922"/>
    </row>
    <row r="129" spans="1:18" ht="18" customHeight="1" x14ac:dyDescent="0.25">
      <c r="A129" s="1036">
        <v>1</v>
      </c>
      <c r="B129" s="1043">
        <v>435000</v>
      </c>
      <c r="C129" s="816">
        <f>+B129*$E$126</f>
        <v>4664.2519110722023</v>
      </c>
      <c r="D129" s="816">
        <v>0</v>
      </c>
      <c r="E129" s="905">
        <f>SUM(B129:D129)</f>
        <v>439664.25191107218</v>
      </c>
      <c r="F129" s="869"/>
      <c r="G129" s="975"/>
      <c r="H129" s="827"/>
      <c r="I129" s="855"/>
      <c r="J129" s="958"/>
      <c r="K129" s="853"/>
      <c r="L129" s="853"/>
      <c r="M129" s="944"/>
      <c r="N129" s="949"/>
      <c r="O129" s="954"/>
      <c r="P129" s="922"/>
      <c r="Q129" s="922"/>
      <c r="R129" s="922"/>
    </row>
    <row r="130" spans="1:18" ht="18" customHeight="1" x14ac:dyDescent="0.25">
      <c r="A130" s="1036">
        <f>+A129+1</f>
        <v>2</v>
      </c>
      <c r="B130" s="816">
        <f>+E129</f>
        <v>439664.25191107218</v>
      </c>
      <c r="C130" s="816">
        <f t="shared" ref="C130:C152" si="20">+B130*$E$126</f>
        <v>4714.2639705893071</v>
      </c>
      <c r="D130" s="816">
        <f>+D129</f>
        <v>0</v>
      </c>
      <c r="E130" s="905">
        <f>SUM(B130:D130)</f>
        <v>444378.5158816615</v>
      </c>
      <c r="F130" s="869"/>
      <c r="G130" s="912"/>
      <c r="H130" s="827"/>
      <c r="I130" s="855"/>
      <c r="J130" s="958"/>
      <c r="K130" s="853"/>
      <c r="L130" s="853"/>
      <c r="M130" s="943"/>
      <c r="N130" s="949"/>
      <c r="O130" s="954"/>
      <c r="P130" s="922"/>
      <c r="Q130" s="922"/>
      <c r="R130" s="922"/>
    </row>
    <row r="131" spans="1:18" ht="18" customHeight="1" x14ac:dyDescent="0.25">
      <c r="A131" s="1036">
        <f t="shared" ref="A131:A152" si="21">+A130+1</f>
        <v>3</v>
      </c>
      <c r="B131" s="816">
        <f>+E130</f>
        <v>444378.5158816615</v>
      </c>
      <c r="C131" s="816">
        <f t="shared" si="20"/>
        <v>4764.8122803229162</v>
      </c>
      <c r="D131" s="816">
        <f t="shared" ref="D131" si="22">+D130</f>
        <v>0</v>
      </c>
      <c r="E131" s="905">
        <f t="shared" ref="E131:E152" si="23">SUM(B131:D131)</f>
        <v>449143.32816198439</v>
      </c>
      <c r="F131" s="869"/>
      <c r="G131" s="912"/>
      <c r="H131" s="827"/>
      <c r="I131" s="855"/>
      <c r="J131" s="958"/>
      <c r="K131" s="853"/>
      <c r="L131" s="853"/>
      <c r="M131" s="944"/>
      <c r="N131" s="949"/>
      <c r="O131" s="954"/>
      <c r="P131" s="922"/>
      <c r="Q131" s="922"/>
      <c r="R131" s="922"/>
    </row>
    <row r="132" spans="1:18" ht="18" customHeight="1" x14ac:dyDescent="0.25">
      <c r="A132" s="1036">
        <f t="shared" si="21"/>
        <v>4</v>
      </c>
      <c r="B132" s="816">
        <f t="shared" ref="B132:B152" si="24">+E131</f>
        <v>449143.32816198439</v>
      </c>
      <c r="C132" s="816">
        <f t="shared" si="20"/>
        <v>4815.9025901721034</v>
      </c>
      <c r="D132" s="816">
        <v>-24000</v>
      </c>
      <c r="E132" s="905">
        <f t="shared" si="23"/>
        <v>429959.23075215647</v>
      </c>
      <c r="F132" s="869"/>
      <c r="G132" s="912" t="s">
        <v>95</v>
      </c>
      <c r="H132" s="827"/>
      <c r="I132" s="855"/>
      <c r="J132" s="958">
        <f>-E134</f>
        <v>-390971.73058712279</v>
      </c>
      <c r="K132" s="853">
        <v>0</v>
      </c>
      <c r="L132" s="853">
        <f>+K132-J132</f>
        <v>390971.73058712279</v>
      </c>
      <c r="M132" s="944"/>
      <c r="N132" s="949"/>
      <c r="O132" s="954">
        <f>+L132+N132-M132</f>
        <v>390971.73058712279</v>
      </c>
      <c r="P132" s="922">
        <f>+O132-Q132</f>
        <v>435000</v>
      </c>
      <c r="Q132" s="922">
        <f>SUM(C129:D134)</f>
        <v>-44028.269412877184</v>
      </c>
      <c r="R132" s="922"/>
    </row>
    <row r="133" spans="1:18" ht="18" customHeight="1" x14ac:dyDescent="0.25">
      <c r="A133" s="1036">
        <f t="shared" si="21"/>
        <v>5</v>
      </c>
      <c r="B133" s="816">
        <f t="shared" si="24"/>
        <v>429959.23075215647</v>
      </c>
      <c r="C133" s="816">
        <f t="shared" si="20"/>
        <v>4610.2026752158154</v>
      </c>
      <c r="D133" s="816">
        <v>-24000</v>
      </c>
      <c r="E133" s="905">
        <f t="shared" si="23"/>
        <v>410569.43342737231</v>
      </c>
      <c r="F133" s="869"/>
      <c r="G133" s="912"/>
      <c r="H133" s="827"/>
      <c r="I133" s="855"/>
      <c r="J133" s="958"/>
      <c r="K133" s="853"/>
      <c r="L133" s="853"/>
      <c r="M133" s="944"/>
      <c r="N133" s="948"/>
      <c r="O133" s="954"/>
      <c r="P133" s="922"/>
      <c r="Q133" s="922"/>
      <c r="R133" s="922"/>
    </row>
    <row r="134" spans="1:18" ht="18" customHeight="1" x14ac:dyDescent="0.25">
      <c r="A134" s="1036">
        <f t="shared" si="21"/>
        <v>6</v>
      </c>
      <c r="B134" s="816">
        <f t="shared" si="24"/>
        <v>410569.43342737231</v>
      </c>
      <c r="C134" s="816">
        <f t="shared" si="20"/>
        <v>4402.2971597504657</v>
      </c>
      <c r="D134" s="816">
        <v>-24000</v>
      </c>
      <c r="E134" s="1047">
        <f t="shared" si="23"/>
        <v>390971.73058712279</v>
      </c>
      <c r="F134" s="869"/>
      <c r="G134" s="912"/>
      <c r="H134" s="827"/>
      <c r="I134" s="855"/>
      <c r="J134" s="958"/>
      <c r="K134" s="853"/>
      <c r="L134" s="853"/>
      <c r="M134" s="944"/>
      <c r="N134" s="949"/>
      <c r="O134" s="954"/>
      <c r="P134" s="922"/>
      <c r="Q134" s="922"/>
      <c r="R134" s="922"/>
    </row>
    <row r="135" spans="1:18" ht="18" customHeight="1" x14ac:dyDescent="0.25">
      <c r="A135" s="1036">
        <f t="shared" si="21"/>
        <v>7</v>
      </c>
      <c r="B135" s="816">
        <f t="shared" si="24"/>
        <v>390971.73058712279</v>
      </c>
      <c r="C135" s="816">
        <f t="shared" si="20"/>
        <v>4192.1623944050425</v>
      </c>
      <c r="D135" s="816">
        <v>-24000</v>
      </c>
      <c r="E135" s="905">
        <f t="shared" si="23"/>
        <v>371163.89298152784</v>
      </c>
      <c r="F135" s="869"/>
      <c r="G135" s="912"/>
      <c r="H135" s="827"/>
      <c r="I135" s="855"/>
      <c r="J135" s="958"/>
      <c r="K135" s="853"/>
      <c r="L135" s="853"/>
      <c r="M135" s="944"/>
      <c r="N135" s="949"/>
      <c r="O135" s="954"/>
      <c r="P135" s="922"/>
      <c r="Q135" s="922"/>
      <c r="R135" s="922"/>
    </row>
    <row r="136" spans="1:18" ht="18" customHeight="1" x14ac:dyDescent="0.25">
      <c r="A136" s="1036">
        <f t="shared" si="21"/>
        <v>8</v>
      </c>
      <c r="B136" s="816">
        <f t="shared" si="24"/>
        <v>371163.89298152784</v>
      </c>
      <c r="C136" s="816">
        <f t="shared" si="20"/>
        <v>3979.7744762300908</v>
      </c>
      <c r="D136" s="816">
        <v>-24000</v>
      </c>
      <c r="E136" s="905">
        <f t="shared" si="23"/>
        <v>351143.66745775793</v>
      </c>
      <c r="F136" s="869"/>
      <c r="G136" s="912"/>
      <c r="H136" s="827"/>
      <c r="I136" s="855"/>
      <c r="J136" s="958"/>
      <c r="K136" s="853"/>
      <c r="L136" s="853"/>
      <c r="M136" s="944"/>
      <c r="N136" s="948"/>
      <c r="O136" s="954"/>
      <c r="P136" s="921"/>
      <c r="Q136" s="921"/>
      <c r="R136" s="921"/>
    </row>
    <row r="137" spans="1:18" ht="18" customHeight="1" x14ac:dyDescent="0.25">
      <c r="A137" s="1036">
        <f t="shared" si="21"/>
        <v>9</v>
      </c>
      <c r="B137" s="816">
        <f t="shared" si="24"/>
        <v>351143.66745775793</v>
      </c>
      <c r="C137" s="816">
        <f t="shared" si="20"/>
        <v>3765.1092459787337</v>
      </c>
      <c r="D137" s="816">
        <v>-24000</v>
      </c>
      <c r="E137" s="905">
        <f t="shared" si="23"/>
        <v>330908.77670373669</v>
      </c>
      <c r="F137" s="869"/>
      <c r="G137" s="912" t="s">
        <v>878</v>
      </c>
      <c r="H137" s="827"/>
      <c r="I137" s="855"/>
      <c r="J137" s="958"/>
      <c r="K137" s="855"/>
      <c r="L137" s="853"/>
      <c r="M137" s="944"/>
      <c r="N137" s="949"/>
      <c r="O137" s="954"/>
      <c r="P137" s="922"/>
      <c r="Q137" s="922"/>
      <c r="R137" s="922"/>
    </row>
    <row r="138" spans="1:18" ht="18" customHeight="1" x14ac:dyDescent="0.25">
      <c r="A138" s="1036">
        <f t="shared" si="21"/>
        <v>10</v>
      </c>
      <c r="B138" s="816">
        <f t="shared" si="24"/>
        <v>330908.77670373669</v>
      </c>
      <c r="C138" s="816">
        <f t="shared" si="20"/>
        <v>3548.1422853585482</v>
      </c>
      <c r="D138" s="816">
        <v>-24000</v>
      </c>
      <c r="E138" s="905">
        <f t="shared" si="23"/>
        <v>310456.91898909525</v>
      </c>
      <c r="F138" s="869"/>
      <c r="G138" s="975" t="s">
        <v>466</v>
      </c>
      <c r="H138" s="864"/>
      <c r="I138" s="855"/>
      <c r="J138" s="958">
        <f>+K143</f>
        <v>27971.730587122813</v>
      </c>
      <c r="K138" s="855"/>
      <c r="L138" s="853">
        <f t="shared" ref="L138" si="25">+K138-J138</f>
        <v>-27971.730587122813</v>
      </c>
      <c r="M138" s="944"/>
      <c r="N138" s="949"/>
      <c r="O138" s="954">
        <f t="shared" ref="O138" si="26">+L138+N138-M138</f>
        <v>-27971.730587122813</v>
      </c>
      <c r="P138" s="922"/>
      <c r="Q138" s="922"/>
      <c r="R138" s="922">
        <f>+O138</f>
        <v>-27971.730587122813</v>
      </c>
    </row>
    <row r="139" spans="1:18" ht="18" customHeight="1" x14ac:dyDescent="0.25">
      <c r="A139" s="1036">
        <f t="shared" si="21"/>
        <v>11</v>
      </c>
      <c r="B139" s="816">
        <f t="shared" si="24"/>
        <v>310456.91898909525</v>
      </c>
      <c r="C139" s="816">
        <f t="shared" si="20"/>
        <v>3328.8489142539661</v>
      </c>
      <c r="D139" s="816">
        <v>-24000</v>
      </c>
      <c r="E139" s="905">
        <f t="shared" si="23"/>
        <v>289785.76790334925</v>
      </c>
      <c r="F139" s="869"/>
      <c r="G139" s="913"/>
      <c r="H139" s="914"/>
      <c r="I139" s="916"/>
      <c r="J139" s="913"/>
      <c r="K139" s="916"/>
      <c r="L139" s="917"/>
      <c r="M139" s="945"/>
      <c r="N139" s="950"/>
      <c r="O139" s="955"/>
      <c r="P139" s="922"/>
      <c r="Q139" s="922"/>
      <c r="R139" s="922"/>
    </row>
    <row r="140" spans="1:18" ht="18" customHeight="1" x14ac:dyDescent="0.25">
      <c r="A140" s="1036">
        <f t="shared" si="21"/>
        <v>12</v>
      </c>
      <c r="B140" s="816">
        <f t="shared" si="24"/>
        <v>289785.76790334925</v>
      </c>
      <c r="C140" s="816">
        <f t="shared" si="20"/>
        <v>3107.2041879189019</v>
      </c>
      <c r="D140" s="816">
        <v>-24000</v>
      </c>
      <c r="E140" s="905">
        <f t="shared" si="23"/>
        <v>268892.97209126817</v>
      </c>
      <c r="F140" s="869"/>
      <c r="G140" s="869"/>
      <c r="H140" s="869"/>
      <c r="I140" s="869"/>
      <c r="J140" s="869"/>
      <c r="K140" s="869"/>
      <c r="L140" s="869"/>
      <c r="M140" s="962">
        <f>SUM(M125:M139)</f>
        <v>0</v>
      </c>
      <c r="N140" s="963">
        <f>SUM(N125:N139)</f>
        <v>0</v>
      </c>
      <c r="O140" s="870"/>
      <c r="P140" s="961">
        <f>SUM(P125:P139)</f>
        <v>435000</v>
      </c>
      <c r="Q140" s="961">
        <f>SUM(Q125:Q139)</f>
        <v>-44028.269412877184</v>
      </c>
      <c r="R140" s="961">
        <f>SUM(R125:R139)</f>
        <v>-27971.730587122813</v>
      </c>
    </row>
    <row r="141" spans="1:18" ht="18" customHeight="1" x14ac:dyDescent="0.25">
      <c r="A141" s="1036">
        <f t="shared" si="21"/>
        <v>13</v>
      </c>
      <c r="B141" s="816">
        <f t="shared" si="24"/>
        <v>268892.97209126817</v>
      </c>
      <c r="C141" s="816">
        <f t="shared" si="20"/>
        <v>2883.1828941392687</v>
      </c>
      <c r="D141" s="816">
        <v>-24000</v>
      </c>
      <c r="E141" s="905">
        <f t="shared" si="23"/>
        <v>247776.15498540743</v>
      </c>
      <c r="G141" s="827" t="s">
        <v>894</v>
      </c>
      <c r="H141" s="827"/>
      <c r="I141" s="827"/>
      <c r="J141" s="827"/>
      <c r="K141" s="827"/>
      <c r="L141" s="869"/>
      <c r="M141" s="869"/>
      <c r="N141" s="869"/>
      <c r="O141" s="869"/>
    </row>
    <row r="142" spans="1:18" ht="18" customHeight="1" x14ac:dyDescent="0.25">
      <c r="A142" s="1037">
        <f t="shared" si="21"/>
        <v>14</v>
      </c>
      <c r="B142" s="816">
        <f t="shared" si="24"/>
        <v>247776.15498540743</v>
      </c>
      <c r="C142" s="816">
        <f t="shared" si="20"/>
        <v>2656.7595503650773</v>
      </c>
      <c r="D142" s="816">
        <v>-24000</v>
      </c>
      <c r="E142" s="905">
        <f t="shared" si="23"/>
        <v>226432.91453577249</v>
      </c>
      <c r="G142" s="1048" t="s">
        <v>30</v>
      </c>
      <c r="H142" s="978"/>
      <c r="I142" s="978"/>
      <c r="J142" s="978"/>
      <c r="K142" s="979">
        <f>+B129</f>
        <v>435000</v>
      </c>
      <c r="L142" s="869"/>
      <c r="M142" s="869"/>
      <c r="N142" s="869"/>
      <c r="O142" s="869"/>
    </row>
    <row r="143" spans="1:18" ht="18" customHeight="1" x14ac:dyDescent="0.25">
      <c r="A143" s="1037">
        <f t="shared" si="21"/>
        <v>15</v>
      </c>
      <c r="B143" s="816">
        <f t="shared" si="24"/>
        <v>226432.91453577249</v>
      </c>
      <c r="C143" s="816">
        <f t="shared" si="20"/>
        <v>2427.9084008117825</v>
      </c>
      <c r="D143" s="816">
        <v>-24000</v>
      </c>
      <c r="E143" s="905">
        <f t="shared" si="23"/>
        <v>204860.82293658427</v>
      </c>
      <c r="G143" s="834" t="s">
        <v>895</v>
      </c>
      <c r="H143" s="827"/>
      <c r="I143" s="827"/>
      <c r="J143" s="827"/>
      <c r="K143" s="828">
        <f>SUM(C129:C134)</f>
        <v>27971.730587122813</v>
      </c>
      <c r="M143" s="869"/>
      <c r="N143" s="869"/>
      <c r="O143" s="869"/>
      <c r="P143" s="961">
        <f>+P140</f>
        <v>435000</v>
      </c>
      <c r="Q143" s="961">
        <f>+Q140+Q81</f>
        <v>-246706.4188945849</v>
      </c>
      <c r="R143" s="961">
        <f>+R140+P81</f>
        <v>-113293.58107548438</v>
      </c>
    </row>
    <row r="144" spans="1:18" ht="18" customHeight="1" x14ac:dyDescent="0.25">
      <c r="A144" s="1037">
        <f t="shared" si="21"/>
        <v>16</v>
      </c>
      <c r="B144" s="816">
        <f t="shared" si="24"/>
        <v>204860.82293658427</v>
      </c>
      <c r="C144" s="816">
        <f t="shared" si="20"/>
        <v>2196.6034135305454</v>
      </c>
      <c r="D144" s="816">
        <v>-24000</v>
      </c>
      <c r="E144" s="905">
        <f t="shared" si="23"/>
        <v>183057.42635011481</v>
      </c>
      <c r="G144" s="834" t="s">
        <v>43</v>
      </c>
      <c r="H144" s="827"/>
      <c r="I144" s="827"/>
      <c r="J144" s="827"/>
      <c r="K144" s="828">
        <f>SUM(D129:D134)</f>
        <v>-72000</v>
      </c>
      <c r="L144" s="869"/>
      <c r="M144" s="869"/>
      <c r="N144" s="869"/>
      <c r="O144" s="869"/>
    </row>
    <row r="145" spans="1:15" ht="18" customHeight="1" x14ac:dyDescent="0.25">
      <c r="A145" s="1037">
        <f t="shared" si="21"/>
        <v>17</v>
      </c>
      <c r="B145" s="816">
        <f t="shared" si="24"/>
        <v>183057.42635011481</v>
      </c>
      <c r="C145" s="816">
        <f t="shared" si="20"/>
        <v>1962.8182774470847</v>
      </c>
      <c r="D145" s="816">
        <v>-24000</v>
      </c>
      <c r="E145" s="905">
        <f t="shared" si="23"/>
        <v>161020.24462756189</v>
      </c>
      <c r="G145" s="1048" t="s">
        <v>32</v>
      </c>
      <c r="H145" s="978"/>
      <c r="I145" s="978"/>
      <c r="J145" s="978"/>
      <c r="K145" s="979">
        <f>SUM(K142:K144)</f>
        <v>390971.73058712279</v>
      </c>
      <c r="L145" s="869"/>
      <c r="M145" s="869"/>
      <c r="N145" s="869"/>
      <c r="O145" s="869"/>
    </row>
    <row r="146" spans="1:15" ht="18" customHeight="1" x14ac:dyDescent="0.25">
      <c r="A146" s="1037">
        <f t="shared" si="21"/>
        <v>18</v>
      </c>
      <c r="B146" s="816">
        <f t="shared" si="24"/>
        <v>161020.24462756189</v>
      </c>
      <c r="C146" s="816">
        <f t="shared" si="20"/>
        <v>1726.5263993687793</v>
      </c>
      <c r="D146" s="816">
        <v>-24000</v>
      </c>
      <c r="E146" s="1047">
        <f t="shared" si="23"/>
        <v>138746.77102693066</v>
      </c>
      <c r="G146" s="869"/>
      <c r="H146" s="869"/>
      <c r="I146" s="869"/>
      <c r="J146" s="869"/>
      <c r="K146" s="869"/>
      <c r="L146" s="869"/>
      <c r="M146" s="869"/>
      <c r="N146" s="869"/>
      <c r="O146" s="869"/>
    </row>
    <row r="147" spans="1:15" ht="18" customHeight="1" x14ac:dyDescent="0.25">
      <c r="A147" s="1037">
        <f t="shared" si="21"/>
        <v>19</v>
      </c>
      <c r="B147" s="816">
        <f t="shared" si="24"/>
        <v>138746.77102693066</v>
      </c>
      <c r="C147" s="816">
        <f t="shared" si="20"/>
        <v>1487.7009009596748</v>
      </c>
      <c r="D147" s="816">
        <v>-24000</v>
      </c>
      <c r="E147" s="905">
        <f t="shared" si="23"/>
        <v>116234.47192789032</v>
      </c>
      <c r="G147" s="869"/>
      <c r="H147" s="869"/>
      <c r="I147" s="869"/>
      <c r="J147" s="869"/>
      <c r="K147" s="869"/>
      <c r="L147" s="869"/>
      <c r="M147" s="869"/>
      <c r="N147" s="869"/>
      <c r="O147" s="869"/>
    </row>
    <row r="148" spans="1:15" ht="18" customHeight="1" x14ac:dyDescent="0.25">
      <c r="A148" s="1037">
        <f t="shared" si="21"/>
        <v>20</v>
      </c>
      <c r="B148" s="816">
        <f t="shared" si="24"/>
        <v>116234.47192789032</v>
      </c>
      <c r="C148" s="816">
        <f t="shared" si="20"/>
        <v>1246.3146156830589</v>
      </c>
      <c r="D148" s="816">
        <v>-24000</v>
      </c>
      <c r="E148" s="905">
        <f t="shared" si="23"/>
        <v>93480.786543573384</v>
      </c>
      <c r="G148" s="869"/>
      <c r="H148" s="869"/>
      <c r="I148" s="869"/>
      <c r="J148" s="869"/>
      <c r="K148" s="869"/>
      <c r="L148" s="869"/>
      <c r="M148" s="869"/>
      <c r="N148" s="869"/>
      <c r="O148" s="869"/>
    </row>
    <row r="149" spans="1:15" ht="18" customHeight="1" x14ac:dyDescent="0.25">
      <c r="A149" s="1037">
        <f t="shared" si="21"/>
        <v>21</v>
      </c>
      <c r="B149" s="816">
        <f t="shared" si="24"/>
        <v>93480.786543573384</v>
      </c>
      <c r="C149" s="816">
        <f t="shared" si="20"/>
        <v>1002.3400857112523</v>
      </c>
      <c r="D149" s="816">
        <v>-24000</v>
      </c>
      <c r="E149" s="905">
        <f t="shared" si="23"/>
        <v>70483.126629284641</v>
      </c>
    </row>
    <row r="150" spans="1:15" ht="18" customHeight="1" x14ac:dyDescent="0.25">
      <c r="A150" s="1037">
        <f t="shared" si="21"/>
        <v>22</v>
      </c>
      <c r="B150" s="816">
        <f t="shared" si="24"/>
        <v>70483.126629284641</v>
      </c>
      <c r="C150" s="816">
        <f t="shared" si="20"/>
        <v>755.74955880226412</v>
      </c>
      <c r="D150" s="816">
        <v>-24000</v>
      </c>
      <c r="E150" s="905">
        <f t="shared" si="23"/>
        <v>47238.876188086899</v>
      </c>
    </row>
    <row r="151" spans="1:15" ht="18" customHeight="1" x14ac:dyDescent="0.25">
      <c r="A151" s="1037">
        <f t="shared" si="21"/>
        <v>23</v>
      </c>
      <c r="B151" s="816">
        <f t="shared" si="24"/>
        <v>47238.876188086899</v>
      </c>
      <c r="C151" s="816">
        <f t="shared" si="20"/>
        <v>506.51498514295969</v>
      </c>
      <c r="D151" s="816">
        <v>-24000</v>
      </c>
      <c r="E151" s="905">
        <f t="shared" si="23"/>
        <v>23745.391173229858</v>
      </c>
    </row>
    <row r="152" spans="1:15" ht="18" customHeight="1" x14ac:dyDescent="0.25">
      <c r="A152" s="1037">
        <f t="shared" si="21"/>
        <v>24</v>
      </c>
      <c r="B152" s="1006">
        <f t="shared" si="24"/>
        <v>23745.391173229858</v>
      </c>
      <c r="C152" s="1006">
        <f t="shared" si="20"/>
        <v>254.60801415837784</v>
      </c>
      <c r="D152" s="1006">
        <v>-24000</v>
      </c>
      <c r="E152" s="1044">
        <f t="shared" si="23"/>
        <v>-8.1261176455882378E-4</v>
      </c>
    </row>
    <row r="153" spans="1:15" ht="18" customHeight="1" x14ac:dyDescent="0.25"/>
    <row r="154" spans="1:15" ht="18" customHeight="1" x14ac:dyDescent="0.25"/>
    <row r="155" spans="1:15" ht="18" customHeight="1" x14ac:dyDescent="0.25"/>
    <row r="156" spans="1:15" ht="18" customHeight="1" x14ac:dyDescent="0.25"/>
    <row r="157" spans="1:15" ht="18" customHeight="1" x14ac:dyDescent="0.25"/>
    <row r="158" spans="1:15" ht="18" customHeight="1" x14ac:dyDescent="0.25"/>
    <row r="159" spans="1:15" ht="18" customHeight="1" x14ac:dyDescent="0.25"/>
    <row r="160" spans="1:15" ht="18" customHeight="1" x14ac:dyDescent="0.25"/>
  </sheetData>
  <mergeCells count="3">
    <mergeCell ref="M4:N4"/>
    <mergeCell ref="M63:N63"/>
    <mergeCell ref="M122:N12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EA54-3822-42A7-BE65-5BC516A8C2E9}">
  <sheetPr>
    <tabColor rgb="FF7030A0"/>
  </sheetPr>
  <dimension ref="A1:FF46"/>
  <sheetViews>
    <sheetView showGridLines="0" zoomScale="85" zoomScaleNormal="85" workbookViewId="0">
      <selection activeCell="J9" sqref="J9"/>
    </sheetView>
  </sheetViews>
  <sheetFormatPr baseColWidth="10" defaultColWidth="0" defaultRowHeight="0" customHeight="1" zeroHeight="1" x14ac:dyDescent="0.25"/>
  <cols>
    <col min="1" max="1" width="21.7109375" style="815" customWidth="1"/>
    <col min="2" max="2" width="22.42578125" style="815" customWidth="1"/>
    <col min="3" max="3" width="16.42578125" style="815" customWidth="1"/>
    <col min="4" max="4" width="15.7109375" style="815" customWidth="1"/>
    <col min="5" max="5" width="2.85546875" style="815" customWidth="1"/>
    <col min="6" max="7" width="15.7109375" style="815" customWidth="1"/>
    <col min="8" max="8" width="12.140625" style="815" customWidth="1"/>
    <col min="9" max="16" width="15.7109375" style="815" customWidth="1"/>
    <col min="17" max="162" width="0" hidden="1" customWidth="1"/>
    <col min="163" max="16384" width="11.42578125" hidden="1"/>
  </cols>
  <sheetData>
    <row r="1" spans="1:15" ht="18" x14ac:dyDescent="0.25">
      <c r="A1" s="835" t="s">
        <v>820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</row>
    <row r="2" spans="1:15" ht="18" x14ac:dyDescent="0.25">
      <c r="A2" s="840"/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</row>
    <row r="3" spans="1:15" ht="18" x14ac:dyDescent="0.25">
      <c r="A3" s="840"/>
      <c r="B3" s="840"/>
      <c r="C3" s="840"/>
      <c r="D3" s="840"/>
      <c r="E3" s="844"/>
      <c r="F3" s="844"/>
      <c r="G3" s="844"/>
      <c r="H3" s="844"/>
      <c r="I3" s="844"/>
      <c r="J3" s="845"/>
      <c r="K3" s="879" t="s">
        <v>459</v>
      </c>
      <c r="L3" s="902" t="s">
        <v>760</v>
      </c>
      <c r="M3" s="902" t="s">
        <v>761</v>
      </c>
      <c r="N3" s="879" t="s">
        <v>166</v>
      </c>
      <c r="O3" s="879" t="s">
        <v>762</v>
      </c>
    </row>
    <row r="4" spans="1:15" ht="18" x14ac:dyDescent="0.25">
      <c r="A4" s="843" t="s">
        <v>818</v>
      </c>
      <c r="B4" s="981"/>
      <c r="C4" s="981"/>
      <c r="D4" s="982"/>
      <c r="E4" s="891"/>
      <c r="F4" s="930"/>
      <c r="G4" s="893"/>
      <c r="H4" s="894"/>
      <c r="I4" s="930"/>
      <c r="J4" s="894"/>
      <c r="K4" s="895"/>
      <c r="L4" s="1531" t="s">
        <v>757</v>
      </c>
      <c r="M4" s="1531"/>
      <c r="N4" s="951" t="s">
        <v>103</v>
      </c>
      <c r="O4" s="895" t="s">
        <v>22</v>
      </c>
    </row>
    <row r="5" spans="1:15" ht="18" x14ac:dyDescent="0.25">
      <c r="A5" s="889" t="s">
        <v>817</v>
      </c>
      <c r="B5" s="890"/>
      <c r="C5" s="890"/>
      <c r="D5" s="1049">
        <v>0.3</v>
      </c>
      <c r="E5" s="869"/>
      <c r="F5" s="931"/>
      <c r="G5" s="932"/>
      <c r="H5" s="937"/>
      <c r="I5" s="960">
        <v>2020</v>
      </c>
      <c r="J5" s="934">
        <v>2019</v>
      </c>
      <c r="K5" s="934" t="s">
        <v>103</v>
      </c>
      <c r="L5" s="941" t="s">
        <v>156</v>
      </c>
      <c r="M5" s="946" t="s">
        <v>233</v>
      </c>
      <c r="N5" s="952" t="s">
        <v>104</v>
      </c>
      <c r="O5" s="934" t="s">
        <v>123</v>
      </c>
    </row>
    <row r="6" spans="1:15" ht="18" x14ac:dyDescent="0.25">
      <c r="A6" s="846" t="s">
        <v>815</v>
      </c>
      <c r="B6" s="847"/>
      <c r="C6" s="969">
        <v>2020</v>
      </c>
      <c r="D6" s="972">
        <v>2019</v>
      </c>
      <c r="E6" s="869"/>
      <c r="F6" s="938" t="s">
        <v>685</v>
      </c>
      <c r="G6" s="929"/>
      <c r="H6" s="939"/>
      <c r="I6" s="947" t="s">
        <v>3</v>
      </c>
      <c r="J6" s="881" t="s">
        <v>3</v>
      </c>
      <c r="K6" s="881" t="s">
        <v>3</v>
      </c>
      <c r="L6" s="942" t="s">
        <v>3</v>
      </c>
      <c r="M6" s="947" t="s">
        <v>3</v>
      </c>
      <c r="N6" s="942" t="s">
        <v>3</v>
      </c>
      <c r="O6" s="881" t="s">
        <v>3</v>
      </c>
    </row>
    <row r="7" spans="1:15" ht="18" x14ac:dyDescent="0.25">
      <c r="A7" s="850"/>
      <c r="C7" s="1034" t="s">
        <v>3</v>
      </c>
      <c r="D7" s="1035" t="s">
        <v>3</v>
      </c>
      <c r="E7" s="869"/>
      <c r="F7" s="912"/>
      <c r="G7" s="827"/>
      <c r="H7" s="855"/>
      <c r="I7" s="958"/>
      <c r="J7" s="853"/>
      <c r="K7" s="855"/>
      <c r="L7" s="943"/>
      <c r="M7" s="948"/>
      <c r="N7" s="953"/>
      <c r="O7" s="921"/>
    </row>
    <row r="8" spans="1:15" ht="18" x14ac:dyDescent="0.25">
      <c r="A8" s="850" t="s">
        <v>898</v>
      </c>
      <c r="C8" s="816">
        <f>+'-83-'!D32</f>
        <v>15500</v>
      </c>
      <c r="D8" s="905">
        <f>+'-83-'!D30</f>
        <v>3500</v>
      </c>
      <c r="E8" s="869"/>
      <c r="F8" s="912" t="s">
        <v>910</v>
      </c>
      <c r="G8" s="827"/>
      <c r="H8" s="855"/>
      <c r="I8" s="958"/>
      <c r="J8" s="853"/>
      <c r="K8" s="853"/>
      <c r="L8" s="943"/>
      <c r="M8" s="948"/>
      <c r="N8" s="954"/>
      <c r="O8" s="922"/>
    </row>
    <row r="9" spans="1:15" ht="18" x14ac:dyDescent="0.25">
      <c r="A9" s="850" t="s">
        <v>899</v>
      </c>
      <c r="C9" s="816">
        <f>+'-85-'!D18</f>
        <v>3500</v>
      </c>
      <c r="D9" s="905">
        <f>+'-85-'!D20</f>
        <v>5500</v>
      </c>
      <c r="E9" s="869"/>
      <c r="F9" s="975" t="s">
        <v>823</v>
      </c>
      <c r="G9" s="827"/>
      <c r="H9" s="855"/>
      <c r="I9" s="958">
        <f>-C20-C24</f>
        <v>-249420</v>
      </c>
      <c r="J9" s="853">
        <f>-D20-D24</f>
        <v>-73200</v>
      </c>
      <c r="K9" s="853">
        <f>+J9-I9</f>
        <v>176220</v>
      </c>
      <c r="L9" s="944">
        <f>+D31+D35</f>
        <v>176220</v>
      </c>
      <c r="M9" s="949"/>
      <c r="N9" s="954">
        <f t="shared" ref="N9:N10" si="0">+K9+M9-L9</f>
        <v>0</v>
      </c>
      <c r="O9" s="922"/>
    </row>
    <row r="10" spans="1:15" ht="18" x14ac:dyDescent="0.25">
      <c r="A10" s="850" t="s">
        <v>845</v>
      </c>
      <c r="C10" s="816">
        <f>+'-96-'!D13</f>
        <v>5200</v>
      </c>
      <c r="D10" s="905">
        <f>+'-96-'!D10</f>
        <v>3200</v>
      </c>
      <c r="E10" s="869"/>
      <c r="F10" s="975" t="s">
        <v>816</v>
      </c>
      <c r="G10" s="827"/>
      <c r="H10" s="855"/>
      <c r="I10" s="958">
        <f>+C13</f>
        <v>9170.9429553722621</v>
      </c>
      <c r="J10" s="853">
        <f>+D13</f>
        <v>4065.7170302797949</v>
      </c>
      <c r="K10" s="853">
        <f>+J10-I10</f>
        <v>-5105.2259250924672</v>
      </c>
      <c r="L10" s="943"/>
      <c r="M10" s="949">
        <f>+C30</f>
        <v>5105.2259250924672</v>
      </c>
      <c r="N10" s="954">
        <f t="shared" si="0"/>
        <v>0</v>
      </c>
      <c r="O10" s="922"/>
    </row>
    <row r="11" spans="1:15" ht="18" x14ac:dyDescent="0.25">
      <c r="A11" s="964" t="s">
        <v>905</v>
      </c>
      <c r="B11" s="965"/>
      <c r="C11" s="1006">
        <f>-(+'-98-'!J9+'-98-'!J10+'-98-'!J14)</f>
        <v>6369.809851240876</v>
      </c>
      <c r="D11" s="966">
        <f>-(+'-98-'!K9+'-98-'!K10+'-98-'!K14)</f>
        <v>1352.390100932651</v>
      </c>
      <c r="E11" s="869"/>
      <c r="F11" s="912"/>
      <c r="G11" s="827"/>
      <c r="H11" s="855"/>
      <c r="I11" s="958"/>
      <c r="J11" s="853"/>
      <c r="K11" s="853"/>
      <c r="L11" s="943"/>
      <c r="M11" s="949"/>
      <c r="N11" s="954"/>
      <c r="O11" s="922"/>
    </row>
    <row r="12" spans="1:15" ht="18" x14ac:dyDescent="0.25">
      <c r="A12" s="977" t="s">
        <v>906</v>
      </c>
      <c r="B12" s="978"/>
      <c r="C12" s="979">
        <f>SUM(C8:C11)</f>
        <v>30569.809851240876</v>
      </c>
      <c r="D12" s="980">
        <f>SUM(D8:D11)</f>
        <v>13552.390100932651</v>
      </c>
      <c r="E12" s="869"/>
      <c r="F12" s="912"/>
      <c r="G12" s="827"/>
      <c r="H12" s="855"/>
      <c r="I12" s="958"/>
      <c r="J12" s="853"/>
      <c r="K12" s="853"/>
      <c r="L12" s="944"/>
      <c r="M12" s="949"/>
      <c r="N12" s="954"/>
      <c r="O12" s="922"/>
    </row>
    <row r="13" spans="1:15" ht="18" x14ac:dyDescent="0.25">
      <c r="A13" s="983" t="s">
        <v>816</v>
      </c>
      <c r="B13" s="984"/>
      <c r="C13" s="985">
        <f>+D5*$C$12</f>
        <v>9170.9429553722621</v>
      </c>
      <c r="D13" s="986">
        <f>+D5*$D$12</f>
        <v>4065.7170302797949</v>
      </c>
      <c r="E13" s="869"/>
      <c r="F13" s="912" t="s">
        <v>23</v>
      </c>
      <c r="G13" s="827"/>
      <c r="H13" s="855"/>
      <c r="I13" s="958">
        <f>-D41</f>
        <v>-31000</v>
      </c>
      <c r="J13" s="853">
        <f>-D38</f>
        <v>-13000</v>
      </c>
      <c r="K13" s="853">
        <f>+J13-I13</f>
        <v>18000</v>
      </c>
      <c r="L13" s="944">
        <f>+D39</f>
        <v>123000</v>
      </c>
      <c r="M13" s="949"/>
      <c r="N13" s="954">
        <f>+K13+M13-L13</f>
        <v>-105000</v>
      </c>
      <c r="O13" s="922">
        <f>+N13</f>
        <v>-105000</v>
      </c>
    </row>
    <row r="14" spans="1:15" ht="18" x14ac:dyDescent="0.25">
      <c r="A14" s="846" t="s">
        <v>900</v>
      </c>
      <c r="B14" s="847"/>
      <c r="C14" s="969">
        <v>2020</v>
      </c>
      <c r="D14" s="972">
        <v>2019</v>
      </c>
      <c r="E14" s="869"/>
      <c r="F14" s="912"/>
      <c r="G14" s="827"/>
      <c r="H14" s="855"/>
      <c r="I14" s="958"/>
      <c r="J14" s="853"/>
      <c r="K14" s="853"/>
      <c r="L14" s="944"/>
      <c r="M14" s="948"/>
      <c r="N14" s="954"/>
      <c r="O14" s="922"/>
    </row>
    <row r="15" spans="1:15" ht="18" x14ac:dyDescent="0.25">
      <c r="A15" s="850"/>
      <c r="C15" s="1034" t="s">
        <v>3</v>
      </c>
      <c r="D15" s="1035" t="s">
        <v>3</v>
      </c>
      <c r="E15" s="869"/>
      <c r="F15" s="912"/>
      <c r="G15" s="827"/>
      <c r="H15" s="855"/>
      <c r="I15" s="958"/>
      <c r="J15" s="853"/>
      <c r="K15" s="853"/>
      <c r="L15" s="944"/>
      <c r="M15" s="949"/>
      <c r="N15" s="954"/>
      <c r="O15" s="922"/>
    </row>
    <row r="16" spans="1:15" ht="18" x14ac:dyDescent="0.25">
      <c r="A16" s="850" t="s">
        <v>902</v>
      </c>
      <c r="C16" s="816">
        <f>+'-92-'!D12</f>
        <v>230000</v>
      </c>
      <c r="D16" s="905">
        <f>+'-92-'!D10</f>
        <v>168000</v>
      </c>
      <c r="E16" s="869"/>
      <c r="F16" s="912" t="s">
        <v>824</v>
      </c>
      <c r="G16" s="827"/>
      <c r="H16" s="855"/>
      <c r="I16" s="958"/>
      <c r="J16" s="855"/>
      <c r="K16" s="853"/>
      <c r="L16" s="944"/>
      <c r="M16" s="949"/>
      <c r="N16" s="954"/>
      <c r="O16" s="922"/>
    </row>
    <row r="17" spans="1:15" ht="18" x14ac:dyDescent="0.25">
      <c r="A17" s="850" t="s">
        <v>903</v>
      </c>
      <c r="C17" s="816">
        <f>+'-92-'!D22</f>
        <v>90000</v>
      </c>
      <c r="D17" s="905">
        <f>+'-92-'!D20</f>
        <v>68000</v>
      </c>
      <c r="E17" s="869"/>
      <c r="F17" s="975" t="s">
        <v>825</v>
      </c>
      <c r="G17" s="864"/>
      <c r="H17" s="855"/>
      <c r="I17" s="958">
        <f>+D39</f>
        <v>123000</v>
      </c>
      <c r="J17" s="855"/>
      <c r="K17" s="853">
        <f t="shared" ref="K17:K20" si="1">+J17-I17</f>
        <v>-123000</v>
      </c>
      <c r="L17" s="944"/>
      <c r="M17" s="949">
        <f>+D39</f>
        <v>123000</v>
      </c>
      <c r="N17" s="954">
        <f>+K17+M17-L17</f>
        <v>0</v>
      </c>
      <c r="O17" s="922"/>
    </row>
    <row r="18" spans="1:15" ht="18" x14ac:dyDescent="0.25">
      <c r="A18" s="964" t="s">
        <v>904</v>
      </c>
      <c r="B18" s="965"/>
      <c r="C18" s="1006">
        <f>+'-93-'!D12</f>
        <v>11400</v>
      </c>
      <c r="D18" s="966">
        <f>+'-93-'!D10</f>
        <v>8000</v>
      </c>
      <c r="E18" s="869"/>
      <c r="F18" s="975" t="s">
        <v>736</v>
      </c>
      <c r="G18" s="864"/>
      <c r="H18" s="855"/>
      <c r="I18" s="958">
        <f>+C29</f>
        <v>21114.774074907531</v>
      </c>
      <c r="J18" s="855"/>
      <c r="K18" s="853">
        <f t="shared" si="1"/>
        <v>-21114.774074907531</v>
      </c>
      <c r="L18" s="944"/>
      <c r="M18" s="949">
        <f>+C29</f>
        <v>21114.774074907531</v>
      </c>
      <c r="N18" s="954">
        <f>+K18+M18-L18</f>
        <v>0</v>
      </c>
      <c r="O18" s="922"/>
    </row>
    <row r="19" spans="1:15" ht="18" x14ac:dyDescent="0.25">
      <c r="A19" s="977" t="s">
        <v>906</v>
      </c>
      <c r="B19" s="978"/>
      <c r="C19" s="979">
        <f>SUM(C16:C18)</f>
        <v>331400</v>
      </c>
      <c r="D19" s="980">
        <f>SUM(D16:D18)</f>
        <v>244000</v>
      </c>
      <c r="E19" s="869"/>
      <c r="F19" s="975"/>
      <c r="G19" s="864"/>
      <c r="H19" s="855"/>
      <c r="I19" s="958"/>
      <c r="J19" s="855"/>
      <c r="K19" s="853"/>
      <c r="L19" s="944"/>
      <c r="M19" s="949"/>
      <c r="N19" s="954"/>
      <c r="O19" s="922"/>
    </row>
    <row r="20" spans="1:15" ht="18" x14ac:dyDescent="0.25">
      <c r="A20" s="983" t="s">
        <v>823</v>
      </c>
      <c r="B20" s="984"/>
      <c r="C20" s="985">
        <f>+D5*C19</f>
        <v>99420</v>
      </c>
      <c r="D20" s="986">
        <f>+D19*D5</f>
        <v>73200</v>
      </c>
      <c r="E20" s="869"/>
      <c r="F20" s="912" t="s">
        <v>911</v>
      </c>
      <c r="G20" s="864"/>
      <c r="H20" s="855"/>
      <c r="I20" s="958">
        <f>+C34</f>
        <v>150000</v>
      </c>
      <c r="J20" s="855"/>
      <c r="K20" s="853">
        <f t="shared" si="1"/>
        <v>-150000</v>
      </c>
      <c r="L20" s="944"/>
      <c r="M20" s="949">
        <f>+C34</f>
        <v>150000</v>
      </c>
      <c r="N20" s="954">
        <f>+K20+M20-L20</f>
        <v>0</v>
      </c>
      <c r="O20" s="922"/>
    </row>
    <row r="21" spans="1:15" ht="18" x14ac:dyDescent="0.25">
      <c r="A21" s="846" t="s">
        <v>900</v>
      </c>
      <c r="B21" s="847"/>
      <c r="C21" s="969">
        <v>2020</v>
      </c>
      <c r="D21" s="972">
        <v>2019</v>
      </c>
      <c r="E21" s="869"/>
      <c r="F21" s="913"/>
      <c r="G21" s="914"/>
      <c r="H21" s="916"/>
      <c r="I21" s="913"/>
      <c r="J21" s="916"/>
      <c r="K21" s="917"/>
      <c r="L21" s="945"/>
      <c r="M21" s="950"/>
      <c r="N21" s="955"/>
      <c r="O21" s="922"/>
    </row>
    <row r="22" spans="1:15" ht="18" x14ac:dyDescent="0.25">
      <c r="A22" s="850"/>
      <c r="C22" s="1034" t="s">
        <v>3</v>
      </c>
      <c r="D22" s="1035" t="s">
        <v>3</v>
      </c>
      <c r="E22" s="869"/>
      <c r="F22" s="869"/>
      <c r="G22" s="869"/>
      <c r="H22" s="869"/>
      <c r="I22" s="869"/>
      <c r="J22" s="869"/>
      <c r="K22" s="869"/>
      <c r="L22" s="962">
        <f>SUM(L7:L21)</f>
        <v>299220</v>
      </c>
      <c r="M22" s="963">
        <f>SUM(M7:M21)</f>
        <v>299220</v>
      </c>
      <c r="N22" s="870"/>
      <c r="O22" s="961">
        <f>SUM(O7:O21)</f>
        <v>-105000</v>
      </c>
    </row>
    <row r="23" spans="1:15" ht="18" x14ac:dyDescent="0.25">
      <c r="A23" s="964" t="s">
        <v>901</v>
      </c>
      <c r="B23" s="965"/>
      <c r="C23" s="1006">
        <f>+'-89-'!D9</f>
        <v>500000</v>
      </c>
      <c r="D23" s="966">
        <v>0</v>
      </c>
      <c r="E23" s="869"/>
      <c r="F23" s="869"/>
      <c r="G23" s="869"/>
      <c r="H23" s="869"/>
      <c r="I23" s="869"/>
      <c r="J23" s="869"/>
      <c r="K23" s="869"/>
      <c r="L23" s="869"/>
      <c r="M23" s="869"/>
      <c r="N23" s="869"/>
    </row>
    <row r="24" spans="1:15" ht="18.75" customHeight="1" x14ac:dyDescent="0.25">
      <c r="A24" s="983" t="s">
        <v>823</v>
      </c>
      <c r="B24" s="984"/>
      <c r="C24" s="985">
        <f>+D5*C23</f>
        <v>150000</v>
      </c>
      <c r="D24" s="986">
        <f>+D23*D9</f>
        <v>0</v>
      </c>
      <c r="E24" s="869"/>
      <c r="F24" s="869"/>
      <c r="G24" s="869"/>
      <c r="H24" s="869"/>
      <c r="I24" s="869"/>
      <c r="J24" s="869"/>
      <c r="K24" s="869"/>
      <c r="L24" s="869"/>
      <c r="M24" s="869"/>
      <c r="N24" s="869"/>
    </row>
    <row r="25" spans="1:15" s="815" customFormat="1" ht="18.75" customHeight="1" x14ac:dyDescent="0.25">
      <c r="A25" s="854"/>
      <c r="D25" s="905"/>
      <c r="E25" s="869"/>
      <c r="F25" s="869"/>
      <c r="G25" s="869"/>
      <c r="H25" s="869"/>
      <c r="I25" s="869"/>
      <c r="J25" s="869"/>
      <c r="K25" s="869"/>
      <c r="L25" s="869"/>
      <c r="M25" s="869"/>
      <c r="N25" s="869"/>
    </row>
    <row r="26" spans="1:15" s="815" customFormat="1" ht="18.75" customHeight="1" x14ac:dyDescent="0.25">
      <c r="A26" s="850" t="s">
        <v>907</v>
      </c>
      <c r="D26" s="905"/>
      <c r="E26" s="869"/>
      <c r="F26" s="869"/>
      <c r="G26" s="869"/>
      <c r="H26" s="869"/>
      <c r="I26" s="869"/>
      <c r="J26" s="869"/>
      <c r="K26" s="869"/>
      <c r="L26" s="869"/>
      <c r="M26" s="869"/>
      <c r="N26" s="869"/>
    </row>
    <row r="27" spans="1:15" s="815" customFormat="1" ht="18.75" customHeight="1" x14ac:dyDescent="0.25">
      <c r="A27" s="850"/>
      <c r="D27" s="905"/>
      <c r="E27" s="869"/>
      <c r="F27" s="869"/>
      <c r="G27" s="869"/>
      <c r="H27" s="869"/>
      <c r="I27" s="869"/>
      <c r="J27" s="869"/>
      <c r="K27" s="869"/>
      <c r="L27" s="869"/>
      <c r="M27" s="869"/>
      <c r="N27" s="869"/>
    </row>
    <row r="28" spans="1:15" s="815" customFormat="1" ht="18.75" customHeight="1" x14ac:dyDescent="0.25">
      <c r="A28" s="850" t="s">
        <v>908</v>
      </c>
      <c r="B28" s="836"/>
      <c r="C28" s="1033" t="s">
        <v>156</v>
      </c>
      <c r="D28" s="1035" t="s">
        <v>233</v>
      </c>
      <c r="E28" s="869"/>
    </row>
    <row r="29" spans="1:15" s="815" customFormat="1" ht="18.75" customHeight="1" x14ac:dyDescent="0.25">
      <c r="A29" s="850" t="s">
        <v>15</v>
      </c>
      <c r="C29" s="816">
        <f>+D31-C30</f>
        <v>21114.774074907531</v>
      </c>
      <c r="D29" s="905"/>
      <c r="E29" s="869"/>
    </row>
    <row r="30" spans="1:15" s="815" customFormat="1" ht="18.75" customHeight="1" x14ac:dyDescent="0.25">
      <c r="A30" s="850" t="s">
        <v>816</v>
      </c>
      <c r="C30" s="816">
        <f>+C13-D13</f>
        <v>5105.2259250924672</v>
      </c>
      <c r="D30" s="905"/>
      <c r="E30" s="869"/>
    </row>
    <row r="31" spans="1:15" s="815" customFormat="1" ht="18.75" customHeight="1" x14ac:dyDescent="0.25">
      <c r="A31" s="850" t="s">
        <v>823</v>
      </c>
      <c r="D31" s="905">
        <f>+C20-D20</f>
        <v>26220</v>
      </c>
      <c r="E31" s="869"/>
    </row>
    <row r="32" spans="1:15" s="815" customFormat="1" ht="18.75" customHeight="1" x14ac:dyDescent="0.25">
      <c r="A32" s="850"/>
      <c r="D32" s="905"/>
      <c r="E32" s="869"/>
    </row>
    <row r="33" spans="1:5" s="815" customFormat="1" ht="18.75" customHeight="1" x14ac:dyDescent="0.25">
      <c r="A33" s="850" t="s">
        <v>909</v>
      </c>
      <c r="B33" s="836"/>
      <c r="C33" s="1033" t="s">
        <v>156</v>
      </c>
      <c r="D33" s="1035" t="s">
        <v>233</v>
      </c>
      <c r="E33" s="869"/>
    </row>
    <row r="34" spans="1:5" s="815" customFormat="1" ht="18.75" customHeight="1" x14ac:dyDescent="0.25">
      <c r="A34" s="850" t="s">
        <v>185</v>
      </c>
      <c r="C34" s="816">
        <f>+D35</f>
        <v>150000</v>
      </c>
      <c r="D34" s="905"/>
      <c r="E34" s="869"/>
    </row>
    <row r="35" spans="1:5" s="815" customFormat="1" ht="18.75" customHeight="1" x14ac:dyDescent="0.25">
      <c r="A35" s="850" t="s">
        <v>823</v>
      </c>
      <c r="D35" s="905">
        <f>+C24-D24</f>
        <v>150000</v>
      </c>
      <c r="E35" s="869"/>
    </row>
    <row r="36" spans="1:5" s="815" customFormat="1" ht="18.75" customHeight="1" x14ac:dyDescent="0.25">
      <c r="A36" s="926"/>
      <c r="B36" s="869"/>
      <c r="C36" s="869"/>
      <c r="D36" s="927"/>
    </row>
    <row r="37" spans="1:5" s="815" customFormat="1" ht="18.75" customHeight="1" x14ac:dyDescent="0.25">
      <c r="A37" s="973" t="s">
        <v>819</v>
      </c>
      <c r="B37" s="970"/>
      <c r="C37" s="970"/>
      <c r="D37" s="971"/>
    </row>
    <row r="38" spans="1:5" s="815" customFormat="1" ht="18.75" customHeight="1" x14ac:dyDescent="0.25">
      <c r="A38" s="846" t="s">
        <v>30</v>
      </c>
      <c r="B38" s="847"/>
      <c r="C38" s="847"/>
      <c r="D38" s="904">
        <v>13000</v>
      </c>
    </row>
    <row r="39" spans="1:5" s="815" customFormat="1" ht="18.75" customHeight="1" x14ac:dyDescent="0.25">
      <c r="A39" s="850" t="s">
        <v>821</v>
      </c>
      <c r="D39" s="905">
        <v>123000</v>
      </c>
    </row>
    <row r="40" spans="1:5" s="815" customFormat="1" ht="18.75" customHeight="1" x14ac:dyDescent="0.25">
      <c r="A40" s="850" t="s">
        <v>822</v>
      </c>
      <c r="D40" s="905">
        <v>-105000</v>
      </c>
    </row>
    <row r="41" spans="1:5" s="815" customFormat="1" ht="18.75" customHeight="1" x14ac:dyDescent="0.25">
      <c r="A41" s="883" t="s">
        <v>32</v>
      </c>
      <c r="B41" s="884"/>
      <c r="C41" s="884"/>
      <c r="D41" s="907">
        <f>SUM(D38:D40)</f>
        <v>31000</v>
      </c>
    </row>
    <row r="42" spans="1:5" s="815" customFormat="1" ht="18.75" customHeight="1" x14ac:dyDescent="0.25"/>
    <row r="43" spans="1:5" s="815" customFormat="1" ht="18.75" customHeight="1" x14ac:dyDescent="0.25"/>
    <row r="44" spans="1:5" s="815" customFormat="1" ht="18.75" customHeight="1" x14ac:dyDescent="0.25"/>
    <row r="45" spans="1:5" s="815" customFormat="1" ht="18.75" customHeight="1" x14ac:dyDescent="0.25"/>
    <row r="46" spans="1:5" s="815" customFormat="1" ht="18.75" customHeight="1" x14ac:dyDescent="0.25"/>
  </sheetData>
  <mergeCells count="1">
    <mergeCell ref="L4:M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20FA1-E216-4E41-AD5A-683C3CDB42AB}">
  <sheetPr>
    <tabColor rgb="FF7030A0"/>
  </sheetPr>
  <dimension ref="A1:FF26"/>
  <sheetViews>
    <sheetView showGridLines="0" zoomScale="85" zoomScaleNormal="85" workbookViewId="0">
      <selection activeCell="J9" sqref="J9"/>
    </sheetView>
  </sheetViews>
  <sheetFormatPr baseColWidth="10" defaultColWidth="0" defaultRowHeight="0" customHeight="1" zeroHeight="1" x14ac:dyDescent="0.25"/>
  <cols>
    <col min="1" max="1" width="21.7109375" style="815" customWidth="1"/>
    <col min="2" max="2" width="22.42578125" style="815" customWidth="1"/>
    <col min="3" max="3" width="10.42578125" style="815" customWidth="1"/>
    <col min="4" max="4" width="15.7109375" style="815" customWidth="1"/>
    <col min="5" max="5" width="2.85546875" style="815" customWidth="1"/>
    <col min="6" max="7" width="15.7109375" style="815" customWidth="1"/>
    <col min="8" max="8" width="2" style="815" customWidth="1"/>
    <col min="9" max="17" width="15.7109375" style="815" customWidth="1"/>
    <col min="18" max="162" width="0" hidden="1" customWidth="1"/>
    <col min="163" max="16384" width="11.42578125" hidden="1"/>
  </cols>
  <sheetData>
    <row r="1" spans="1:16" ht="18" x14ac:dyDescent="0.25">
      <c r="A1" s="835"/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  <c r="P1" s="835"/>
    </row>
    <row r="2" spans="1:16" ht="18" x14ac:dyDescent="0.25">
      <c r="A2" s="840"/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  <c r="P2" s="840"/>
    </row>
    <row r="3" spans="1:16" ht="18" x14ac:dyDescent="0.25">
      <c r="A3" s="840"/>
      <c r="B3" s="840"/>
      <c r="C3" s="840"/>
      <c r="D3" s="840"/>
      <c r="E3" s="844"/>
      <c r="F3" s="844"/>
      <c r="G3" s="844"/>
      <c r="H3" s="844"/>
      <c r="I3" s="844"/>
      <c r="J3" s="845"/>
      <c r="K3" s="879" t="s">
        <v>459</v>
      </c>
      <c r="L3" s="902" t="s">
        <v>760</v>
      </c>
      <c r="M3" s="902" t="s">
        <v>761</v>
      </c>
      <c r="N3" s="879" t="s">
        <v>166</v>
      </c>
      <c r="O3" s="879" t="s">
        <v>762</v>
      </c>
      <c r="P3" s="879" t="s">
        <v>762</v>
      </c>
    </row>
    <row r="4" spans="1:16" ht="18" x14ac:dyDescent="0.25">
      <c r="A4" s="1011" t="s">
        <v>235</v>
      </c>
      <c r="B4" s="1012"/>
      <c r="C4" s="1012"/>
      <c r="D4" s="1013"/>
      <c r="E4" s="891"/>
      <c r="F4" s="930"/>
      <c r="G4" s="893"/>
      <c r="H4" s="894"/>
      <c r="I4" s="930"/>
      <c r="J4" s="894"/>
      <c r="K4" s="895"/>
      <c r="L4" s="1531" t="s">
        <v>757</v>
      </c>
      <c r="M4" s="1531"/>
      <c r="N4" s="951" t="s">
        <v>103</v>
      </c>
      <c r="O4" s="895" t="s">
        <v>1072</v>
      </c>
      <c r="P4" s="895" t="s">
        <v>22</v>
      </c>
    </row>
    <row r="5" spans="1:16" ht="18" x14ac:dyDescent="0.25">
      <c r="A5" s="889"/>
      <c r="B5" s="890"/>
      <c r="C5" s="890"/>
      <c r="D5" s="1049"/>
      <c r="E5" s="869"/>
      <c r="F5" s="931"/>
      <c r="G5" s="932"/>
      <c r="H5" s="937"/>
      <c r="I5" s="960">
        <v>2020</v>
      </c>
      <c r="J5" s="934">
        <v>2019</v>
      </c>
      <c r="K5" s="934" t="s">
        <v>103</v>
      </c>
      <c r="L5" s="941" t="s">
        <v>156</v>
      </c>
      <c r="M5" s="946" t="s">
        <v>233</v>
      </c>
      <c r="N5" s="952" t="s">
        <v>104</v>
      </c>
      <c r="O5" s="934" t="s">
        <v>96</v>
      </c>
      <c r="P5" s="934" t="s">
        <v>807</v>
      </c>
    </row>
    <row r="6" spans="1:16" ht="18" x14ac:dyDescent="0.25">
      <c r="A6" s="846" t="s">
        <v>7</v>
      </c>
      <c r="B6" s="847"/>
      <c r="C6" s="969"/>
      <c r="D6" s="972" t="s">
        <v>3</v>
      </c>
      <c r="E6" s="869"/>
      <c r="F6" s="938" t="s">
        <v>685</v>
      </c>
      <c r="G6" s="929"/>
      <c r="H6" s="939"/>
      <c r="I6" s="947" t="s">
        <v>3</v>
      </c>
      <c r="J6" s="881" t="s">
        <v>3</v>
      </c>
      <c r="K6" s="881" t="s">
        <v>3</v>
      </c>
      <c r="L6" s="942" t="s">
        <v>3</v>
      </c>
      <c r="M6" s="947" t="s">
        <v>3</v>
      </c>
      <c r="N6" s="942" t="s">
        <v>3</v>
      </c>
      <c r="O6" s="881" t="s">
        <v>3</v>
      </c>
      <c r="P6" s="881" t="s">
        <v>3</v>
      </c>
    </row>
    <row r="7" spans="1:16" ht="18" x14ac:dyDescent="0.25">
      <c r="A7" s="1007" t="s">
        <v>30</v>
      </c>
      <c r="B7" s="1008"/>
      <c r="C7" s="1173"/>
      <c r="D7" s="1174">
        <f>-+'104-119'!F23</f>
        <v>1900000</v>
      </c>
      <c r="E7" s="869"/>
      <c r="F7" s="912"/>
      <c r="G7" s="827"/>
      <c r="H7" s="855"/>
      <c r="I7" s="958"/>
      <c r="J7" s="853"/>
      <c r="K7" s="855"/>
      <c r="L7" s="943"/>
      <c r="M7" s="948"/>
      <c r="N7" s="953"/>
      <c r="O7" s="921"/>
      <c r="P7" s="921"/>
    </row>
    <row r="8" spans="1:16" ht="18" x14ac:dyDescent="0.25">
      <c r="A8" s="850" t="s">
        <v>1068</v>
      </c>
      <c r="C8" s="816"/>
      <c r="D8" s="905">
        <f>+'-89-'!D8</f>
        <v>80000</v>
      </c>
      <c r="E8" s="869"/>
      <c r="F8" s="912"/>
      <c r="G8" s="827"/>
      <c r="H8" s="855"/>
      <c r="I8" s="958"/>
      <c r="J8" s="853"/>
      <c r="K8" s="853"/>
      <c r="L8" s="943"/>
      <c r="M8" s="948"/>
      <c r="N8" s="954"/>
      <c r="O8" s="922"/>
      <c r="P8" s="922"/>
    </row>
    <row r="9" spans="1:16" ht="18" x14ac:dyDescent="0.25">
      <c r="A9" s="850" t="s">
        <v>427</v>
      </c>
      <c r="C9" s="816"/>
      <c r="D9" s="905">
        <v>30000</v>
      </c>
      <c r="E9" s="869"/>
      <c r="F9" s="975"/>
      <c r="G9" s="827"/>
      <c r="H9" s="855"/>
      <c r="I9" s="958"/>
      <c r="J9" s="853"/>
      <c r="K9" s="853"/>
      <c r="L9" s="944"/>
      <c r="M9" s="949"/>
      <c r="N9" s="954"/>
      <c r="O9" s="922"/>
      <c r="P9" s="922"/>
    </row>
    <row r="10" spans="1:16" ht="18" x14ac:dyDescent="0.25">
      <c r="A10" s="850" t="s">
        <v>1069</v>
      </c>
      <c r="C10" s="816"/>
      <c r="D10" s="905">
        <v>70000</v>
      </c>
      <c r="E10" s="869"/>
      <c r="F10" s="912" t="s">
        <v>432</v>
      </c>
      <c r="G10" s="827"/>
      <c r="H10" s="855"/>
      <c r="I10" s="958">
        <f>+'104-119'!E11</f>
        <v>1150500</v>
      </c>
      <c r="J10" s="853">
        <f>+'104-119'!F11</f>
        <v>600000</v>
      </c>
      <c r="K10" s="853">
        <f t="shared" ref="K10" si="0">+J10-I10</f>
        <v>-550500</v>
      </c>
      <c r="L10" s="943"/>
      <c r="M10" s="949">
        <f>+D8+D14</f>
        <v>430000</v>
      </c>
      <c r="N10" s="954">
        <f>+K10+M10-L10</f>
        <v>-120500</v>
      </c>
      <c r="O10" s="922"/>
      <c r="P10" s="922"/>
    </row>
    <row r="11" spans="1:16" ht="18" x14ac:dyDescent="0.25">
      <c r="A11" s="931" t="s">
        <v>32</v>
      </c>
      <c r="B11" s="932"/>
      <c r="C11" s="1175"/>
      <c r="D11" s="1176">
        <f>-'104-119'!E23</f>
        <v>2080000</v>
      </c>
      <c r="F11" s="912"/>
      <c r="G11" s="827"/>
      <c r="H11" s="855"/>
      <c r="I11" s="958"/>
      <c r="J11" s="853"/>
      <c r="K11" s="853"/>
      <c r="L11" s="943"/>
      <c r="M11" s="949"/>
      <c r="N11" s="954"/>
      <c r="O11" s="922"/>
      <c r="P11" s="922"/>
    </row>
    <row r="12" spans="1:16" ht="18" x14ac:dyDescent="0.25">
      <c r="A12" s="846" t="s">
        <v>185</v>
      </c>
      <c r="B12" s="847"/>
      <c r="C12" s="969"/>
      <c r="D12" s="972" t="s">
        <v>3</v>
      </c>
      <c r="F12" s="912"/>
      <c r="G12" s="827"/>
      <c r="H12" s="855"/>
      <c r="I12" s="958"/>
      <c r="J12" s="853"/>
      <c r="K12" s="853"/>
      <c r="L12" s="944"/>
      <c r="M12" s="949"/>
      <c r="N12" s="954"/>
      <c r="O12" s="922"/>
      <c r="P12" s="922"/>
    </row>
    <row r="13" spans="1:16" ht="18" x14ac:dyDescent="0.25">
      <c r="A13" s="1007" t="s">
        <v>30</v>
      </c>
      <c r="B13" s="1008"/>
      <c r="C13" s="1173"/>
      <c r="D13" s="1174">
        <v>0</v>
      </c>
      <c r="F13" s="912"/>
      <c r="G13" s="827"/>
      <c r="H13" s="855"/>
      <c r="I13" s="958"/>
      <c r="J13" s="853"/>
      <c r="K13" s="853"/>
      <c r="L13" s="944"/>
      <c r="M13" s="949"/>
      <c r="N13" s="954"/>
      <c r="O13" s="922"/>
      <c r="P13" s="922"/>
    </row>
    <row r="14" spans="1:16" ht="18" x14ac:dyDescent="0.25">
      <c r="A14" s="850" t="s">
        <v>185</v>
      </c>
      <c r="C14" s="816"/>
      <c r="D14" s="905">
        <v>350000</v>
      </c>
      <c r="F14" s="912"/>
      <c r="G14" s="827"/>
      <c r="H14" s="855"/>
      <c r="I14" s="958"/>
      <c r="J14" s="853"/>
      <c r="K14" s="853"/>
      <c r="L14" s="944"/>
      <c r="M14" s="948"/>
      <c r="N14" s="954"/>
      <c r="O14" s="922"/>
      <c r="P14" s="922"/>
    </row>
    <row r="15" spans="1:16" ht="18" x14ac:dyDescent="0.25">
      <c r="A15" s="931" t="s">
        <v>32</v>
      </c>
      <c r="B15" s="932"/>
      <c r="C15" s="1175"/>
      <c r="D15" s="1176">
        <f>SUM(D13:D14)</f>
        <v>350000</v>
      </c>
      <c r="F15" s="912"/>
      <c r="G15" s="827"/>
      <c r="H15" s="855"/>
      <c r="I15" s="958"/>
      <c r="J15" s="853"/>
      <c r="K15" s="853"/>
      <c r="L15" s="944"/>
      <c r="M15" s="949"/>
      <c r="N15" s="954"/>
      <c r="O15" s="922"/>
      <c r="P15" s="922"/>
    </row>
    <row r="16" spans="1:16" ht="18" x14ac:dyDescent="0.25">
      <c r="A16" s="846" t="s">
        <v>8</v>
      </c>
      <c r="B16" s="847"/>
      <c r="C16" s="969"/>
      <c r="D16" s="972" t="s">
        <v>3</v>
      </c>
      <c r="F16" s="912" t="s">
        <v>7</v>
      </c>
      <c r="G16" s="827"/>
      <c r="H16" s="855"/>
      <c r="I16" s="958">
        <f>+'104-119'!E23</f>
        <v>-2080000</v>
      </c>
      <c r="J16" s="853">
        <f>+'104-119'!F23</f>
        <v>-1900000</v>
      </c>
      <c r="K16" s="853">
        <f t="shared" ref="K16:K18" si="1">+J16-I16</f>
        <v>180000</v>
      </c>
      <c r="L16" s="944">
        <f>+D8+D9</f>
        <v>110000</v>
      </c>
      <c r="M16" s="949">
        <f>+L18</f>
        <v>0</v>
      </c>
      <c r="N16" s="954">
        <f>+K16+M16-L16</f>
        <v>70000</v>
      </c>
      <c r="O16" s="922">
        <f>+N16</f>
        <v>70000</v>
      </c>
      <c r="P16" s="922"/>
    </row>
    <row r="17" spans="1:16" ht="18" x14ac:dyDescent="0.25">
      <c r="A17" s="1007" t="s">
        <v>30</v>
      </c>
      <c r="B17" s="1008"/>
      <c r="C17" s="1173"/>
      <c r="D17" s="1174">
        <v>1300000</v>
      </c>
      <c r="F17" s="912" t="s">
        <v>185</v>
      </c>
      <c r="G17" s="864"/>
      <c r="H17" s="855"/>
      <c r="I17" s="958">
        <f>+'104-119'!E24</f>
        <v>-350000</v>
      </c>
      <c r="J17" s="853">
        <f>+'104-119'!F24</f>
        <v>0</v>
      </c>
      <c r="K17" s="853">
        <f t="shared" si="1"/>
        <v>350000</v>
      </c>
      <c r="L17" s="944">
        <f>+D14</f>
        <v>350000</v>
      </c>
      <c r="M17" s="949"/>
      <c r="N17" s="954">
        <f>+K17+M17-L17</f>
        <v>0</v>
      </c>
      <c r="O17" s="922"/>
      <c r="P17" s="922"/>
    </row>
    <row r="18" spans="1:16" ht="18" x14ac:dyDescent="0.25">
      <c r="A18" s="850" t="s">
        <v>1070</v>
      </c>
      <c r="C18" s="816"/>
      <c r="D18" s="905">
        <f>-D9</f>
        <v>-30000</v>
      </c>
      <c r="F18" s="912" t="s">
        <v>8</v>
      </c>
      <c r="G18" s="864"/>
      <c r="H18" s="855"/>
      <c r="I18" s="958">
        <f>-SUM(D17:D19)</f>
        <v>-1183719</v>
      </c>
      <c r="J18" s="853">
        <f>+'104-119'!F25</f>
        <v>-1300000</v>
      </c>
      <c r="K18" s="853">
        <f t="shared" si="1"/>
        <v>-116281</v>
      </c>
      <c r="L18" s="944"/>
      <c r="M18" s="949">
        <f>-D18</f>
        <v>30000</v>
      </c>
      <c r="N18" s="954">
        <f>+K18+M18-L18</f>
        <v>-86281</v>
      </c>
      <c r="O18" s="922"/>
      <c r="P18" s="922">
        <f>+N18</f>
        <v>-86281</v>
      </c>
    </row>
    <row r="19" spans="1:16" ht="18" x14ac:dyDescent="0.25">
      <c r="A19" s="850" t="s">
        <v>48</v>
      </c>
      <c r="C19" s="816"/>
      <c r="D19" s="905">
        <v>-86281</v>
      </c>
      <c r="F19" s="975" t="s">
        <v>635</v>
      </c>
      <c r="G19" s="864"/>
      <c r="H19" s="855"/>
      <c r="I19" s="958"/>
      <c r="J19" s="855"/>
      <c r="K19" s="853"/>
      <c r="L19" s="944"/>
      <c r="M19" s="949"/>
      <c r="N19" s="954"/>
      <c r="O19" s="922"/>
      <c r="P19" s="922"/>
    </row>
    <row r="20" spans="1:16" ht="18" x14ac:dyDescent="0.25">
      <c r="A20" s="850" t="s">
        <v>1071</v>
      </c>
      <c r="C20" s="816"/>
      <c r="D20" s="905">
        <v>162576</v>
      </c>
      <c r="F20" s="975" t="s">
        <v>635</v>
      </c>
      <c r="G20" s="864"/>
      <c r="H20" s="855"/>
      <c r="I20" s="958"/>
      <c r="J20" s="855"/>
      <c r="K20" s="853"/>
      <c r="L20" s="944"/>
      <c r="M20" s="949"/>
      <c r="N20" s="954"/>
      <c r="O20" s="922"/>
      <c r="P20" s="922"/>
    </row>
    <row r="21" spans="1:16" ht="18" x14ac:dyDescent="0.25">
      <c r="A21" s="931" t="s">
        <v>32</v>
      </c>
      <c r="B21" s="932"/>
      <c r="C21" s="1175"/>
      <c r="D21" s="1176">
        <f>SUM(D17:D20)</f>
        <v>1346295</v>
      </c>
      <c r="F21" s="913"/>
      <c r="G21" s="914"/>
      <c r="H21" s="916"/>
      <c r="I21" s="913"/>
      <c r="J21" s="916"/>
      <c r="K21" s="917"/>
      <c r="L21" s="945"/>
      <c r="M21" s="950"/>
      <c r="N21" s="955"/>
      <c r="O21" s="922"/>
      <c r="P21" s="922"/>
    </row>
    <row r="22" spans="1:16" ht="18" x14ac:dyDescent="0.25">
      <c r="D22" s="816"/>
      <c r="F22" s="869"/>
      <c r="G22" s="869"/>
      <c r="H22" s="869"/>
      <c r="I22" s="869"/>
      <c r="J22" s="869"/>
      <c r="K22" s="869"/>
      <c r="L22" s="962">
        <f>SUM(L7:L21)</f>
        <v>460000</v>
      </c>
      <c r="M22" s="963">
        <f>SUM(M7:M21)</f>
        <v>460000</v>
      </c>
      <c r="N22" s="870"/>
      <c r="O22" s="961">
        <f>SUM(O7:O21)</f>
        <v>70000</v>
      </c>
      <c r="P22" s="961">
        <f>SUM(P7:P21)</f>
        <v>-86281</v>
      </c>
    </row>
    <row r="23" spans="1:16" s="815" customFormat="1" ht="18.75" customHeight="1" x14ac:dyDescent="0.25">
      <c r="D23" s="816"/>
    </row>
    <row r="24" spans="1:16" s="815" customFormat="1" ht="18.75" customHeight="1" x14ac:dyDescent="0.25"/>
    <row r="25" spans="1:16" s="815" customFormat="1" ht="18.75" customHeight="1" x14ac:dyDescent="0.25"/>
    <row r="26" spans="1:16" s="815" customFormat="1" ht="18.75" customHeight="1" x14ac:dyDescent="0.25"/>
  </sheetData>
  <mergeCells count="1">
    <mergeCell ref="L4:M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396C-D854-4AC1-B535-BA6FC4475F43}">
  <sheetPr>
    <tabColor rgb="FF7030A0"/>
  </sheetPr>
  <dimension ref="A1:HW95"/>
  <sheetViews>
    <sheetView showGridLines="0" zoomScale="55" zoomScaleNormal="55" workbookViewId="0">
      <selection activeCell="E21" sqref="E21"/>
    </sheetView>
  </sheetViews>
  <sheetFormatPr baseColWidth="10" defaultColWidth="0" defaultRowHeight="18" customHeight="1" zeroHeight="1" x14ac:dyDescent="0.25"/>
  <cols>
    <col min="1" max="1" width="2.85546875" style="815" customWidth="1"/>
    <col min="2" max="2" width="16.28515625" style="815" customWidth="1"/>
    <col min="3" max="3" width="16.7109375" style="815" customWidth="1"/>
    <col min="4" max="4" width="12.140625" style="815" customWidth="1"/>
    <col min="5" max="17" width="15.7109375" style="815" customWidth="1"/>
    <col min="18" max="18" width="17.140625" style="815" customWidth="1"/>
    <col min="19" max="34" width="15.7109375" style="815" customWidth="1"/>
    <col min="35" max="35" width="11.140625" style="815" customWidth="1"/>
    <col min="36" max="42" width="15.7109375" style="815" customWidth="1"/>
    <col min="43" max="48" width="15.7109375" style="815" hidden="1" customWidth="1"/>
    <col min="49" max="56" width="15.7109375" style="815" customWidth="1"/>
    <col min="57" max="57" width="18" style="815" customWidth="1"/>
    <col min="58" max="58" width="19.85546875" style="815" customWidth="1"/>
    <col min="59" max="59" width="16.7109375" style="815" customWidth="1"/>
    <col min="60" max="61" width="15.7109375" style="815" customWidth="1"/>
    <col min="62" max="62" width="15" style="815" bestFit="1" customWidth="1"/>
    <col min="63" max="63" width="5.7109375" style="815" customWidth="1"/>
    <col min="64" max="64" width="11.85546875" style="815" bestFit="1" customWidth="1"/>
    <col min="65" max="67" width="15.7109375" style="815" customWidth="1"/>
    <col min="68" max="231" width="0" hidden="1" customWidth="1"/>
    <col min="232" max="16384" width="11.42578125" hidden="1"/>
  </cols>
  <sheetData>
    <row r="1" spans="2:215" s="815" customFormat="1" ht="18" customHeight="1" x14ac:dyDescent="0.25"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</row>
    <row r="2" spans="2:215" s="815" customFormat="1" ht="18" customHeight="1" x14ac:dyDescent="0.25">
      <c r="H2" s="1017" t="s">
        <v>760</v>
      </c>
      <c r="I2" s="1017" t="s">
        <v>761</v>
      </c>
      <c r="J2" s="1016" t="s">
        <v>166</v>
      </c>
      <c r="K2" s="879"/>
      <c r="L2" s="879"/>
      <c r="M2" s="844"/>
      <c r="N2" s="844"/>
      <c r="O2" s="844"/>
      <c r="P2" s="844"/>
      <c r="Q2" s="844"/>
      <c r="R2" s="844"/>
      <c r="S2" s="879"/>
      <c r="T2" s="879"/>
      <c r="U2" s="879"/>
      <c r="V2" s="844"/>
      <c r="W2" s="844"/>
      <c r="X2" s="844"/>
      <c r="Y2" s="844"/>
      <c r="Z2" s="844"/>
      <c r="AA2" s="844"/>
      <c r="AB2" s="844"/>
      <c r="AC2" s="844"/>
      <c r="AD2" s="844"/>
      <c r="AE2" s="844"/>
      <c r="AF2" s="844"/>
      <c r="AG2" s="844"/>
      <c r="AH2" s="845"/>
      <c r="AK2" s="840" t="s">
        <v>757</v>
      </c>
      <c r="AL2" s="840"/>
      <c r="AM2" s="840"/>
      <c r="AN2" s="840"/>
      <c r="AO2" s="1038"/>
      <c r="AP2" s="1038"/>
      <c r="AQ2" s="840"/>
      <c r="AR2" s="840"/>
      <c r="AS2" s="840"/>
      <c r="AT2" s="840"/>
      <c r="AU2" s="840"/>
      <c r="AV2" s="840"/>
      <c r="AX2" s="1097" t="s">
        <v>458</v>
      </c>
      <c r="AY2" s="1098"/>
      <c r="AZ2" s="1098"/>
      <c r="BA2" s="1098"/>
      <c r="BB2" s="1098"/>
      <c r="BC2" s="1099"/>
      <c r="BE2" s="1097" t="s">
        <v>458</v>
      </c>
      <c r="BF2" s="1098"/>
      <c r="BG2" s="1098"/>
      <c r="BH2" s="1098"/>
      <c r="BI2" s="1098"/>
      <c r="BJ2" s="1099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</row>
    <row r="3" spans="2:215" s="815" customFormat="1" ht="18" customHeight="1" x14ac:dyDescent="0.25">
      <c r="G3" s="1016" t="s">
        <v>459</v>
      </c>
      <c r="H3" s="1532" t="s">
        <v>757</v>
      </c>
      <c r="I3" s="1532"/>
      <c r="J3" s="1010" t="s">
        <v>103</v>
      </c>
      <c r="K3" s="1085" t="s">
        <v>525</v>
      </c>
      <c r="L3" s="1085" t="s">
        <v>21</v>
      </c>
      <c r="M3" s="1085" t="s">
        <v>380</v>
      </c>
      <c r="N3" s="1085" t="s">
        <v>21</v>
      </c>
      <c r="O3" s="1085" t="s">
        <v>22</v>
      </c>
      <c r="P3" s="1085" t="s">
        <v>22</v>
      </c>
      <c r="Q3" s="1085" t="s">
        <v>22</v>
      </c>
      <c r="R3" s="1085" t="s">
        <v>22</v>
      </c>
      <c r="S3" s="1085" t="s">
        <v>25</v>
      </c>
      <c r="T3" s="1018" t="s">
        <v>798</v>
      </c>
      <c r="U3" s="1018" t="s">
        <v>916</v>
      </c>
      <c r="V3" s="879" t="s">
        <v>19</v>
      </c>
      <c r="W3" s="879" t="s">
        <v>380</v>
      </c>
      <c r="X3" s="879" t="s">
        <v>19</v>
      </c>
      <c r="Y3" s="879" t="s">
        <v>19</v>
      </c>
      <c r="Z3" s="879" t="s">
        <v>128</v>
      </c>
      <c r="AA3" s="879" t="s">
        <v>380</v>
      </c>
      <c r="AB3" s="879" t="s">
        <v>859</v>
      </c>
      <c r="AC3" s="1085" t="s">
        <v>22</v>
      </c>
      <c r="AD3" s="1085" t="s">
        <v>22</v>
      </c>
      <c r="AE3" s="1085" t="s">
        <v>266</v>
      </c>
      <c r="AF3" s="1085" t="s">
        <v>22</v>
      </c>
      <c r="AG3" s="1085" t="s">
        <v>24</v>
      </c>
      <c r="AH3" s="1086" t="s">
        <v>22</v>
      </c>
      <c r="AK3" s="840" t="s">
        <v>947</v>
      </c>
      <c r="AL3" s="840"/>
      <c r="AM3" s="840"/>
      <c r="AN3" s="840"/>
      <c r="AO3" s="1038" t="s">
        <v>156</v>
      </c>
      <c r="AP3" s="1038" t="s">
        <v>233</v>
      </c>
      <c r="AQ3" s="840" t="s">
        <v>948</v>
      </c>
      <c r="AR3" s="840"/>
      <c r="AS3" s="840"/>
      <c r="AT3" s="840"/>
      <c r="AU3" s="840"/>
      <c r="AV3" s="840"/>
      <c r="AX3" s="1100" t="s">
        <v>382</v>
      </c>
      <c r="AY3" s="1101"/>
      <c r="AZ3" s="1101"/>
      <c r="BA3" s="1101"/>
      <c r="BB3" s="1101"/>
      <c r="BC3" s="1102"/>
      <c r="BE3" s="1100" t="s">
        <v>1080</v>
      </c>
      <c r="BF3" s="1101"/>
      <c r="BG3" s="1101"/>
      <c r="BH3" s="1101"/>
      <c r="BI3" s="1101"/>
      <c r="BJ3" s="1102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</row>
    <row r="4" spans="2:215" s="815" customFormat="1" ht="18" customHeight="1" x14ac:dyDescent="0.25">
      <c r="E4" s="946">
        <v>2020</v>
      </c>
      <c r="F4" s="1172">
        <v>2019</v>
      </c>
      <c r="G4" s="1172" t="s">
        <v>103</v>
      </c>
      <c r="H4" s="941" t="s">
        <v>156</v>
      </c>
      <c r="I4" s="946" t="s">
        <v>233</v>
      </c>
      <c r="J4" s="952" t="s">
        <v>104</v>
      </c>
      <c r="K4" s="1087" t="s">
        <v>121</v>
      </c>
      <c r="L4" s="1087" t="s">
        <v>758</v>
      </c>
      <c r="M4" s="1087" t="s">
        <v>622</v>
      </c>
      <c r="N4" s="1087" t="s">
        <v>927</v>
      </c>
      <c r="O4" s="1087" t="s">
        <v>936</v>
      </c>
      <c r="P4" s="1087" t="s">
        <v>937</v>
      </c>
      <c r="Q4" s="1087" t="s">
        <v>945</v>
      </c>
      <c r="R4" s="1087" t="s">
        <v>941</v>
      </c>
      <c r="S4" s="1087" t="s">
        <v>942</v>
      </c>
      <c r="T4" s="1089" t="s">
        <v>729</v>
      </c>
      <c r="U4" s="1089" t="s">
        <v>729</v>
      </c>
      <c r="V4" s="1090" t="s">
        <v>944</v>
      </c>
      <c r="W4" s="1090" t="s">
        <v>807</v>
      </c>
      <c r="X4" s="1090" t="s">
        <v>837</v>
      </c>
      <c r="Y4" s="1090" t="s">
        <v>838</v>
      </c>
      <c r="Z4" s="1090" t="s">
        <v>858</v>
      </c>
      <c r="AA4" s="1090" t="s">
        <v>807</v>
      </c>
      <c r="AB4" s="1090" t="s">
        <v>860</v>
      </c>
      <c r="AC4" s="1087" t="s">
        <v>935</v>
      </c>
      <c r="AD4" s="1087" t="s">
        <v>938</v>
      </c>
      <c r="AE4" s="1087" t="s">
        <v>940</v>
      </c>
      <c r="AF4" s="1087" t="s">
        <v>202</v>
      </c>
      <c r="AG4" s="1087" t="s">
        <v>943</v>
      </c>
      <c r="AH4" s="1088" t="s">
        <v>807</v>
      </c>
      <c r="AK4" s="827" t="s">
        <v>912</v>
      </c>
      <c r="AL4" s="827"/>
      <c r="AM4" s="827"/>
      <c r="AN4" s="827"/>
      <c r="AO4" s="828">
        <f>+'-83-'!L9</f>
        <v>12000</v>
      </c>
      <c r="AP4" s="827"/>
      <c r="AQ4" s="1092" t="s">
        <v>949</v>
      </c>
      <c r="AR4" s="1092"/>
      <c r="AS4" s="1092"/>
      <c r="AT4" s="1092"/>
      <c r="AU4" s="1092"/>
      <c r="AV4" s="1092"/>
      <c r="AX4" s="1103" t="s">
        <v>705</v>
      </c>
      <c r="AY4" s="1104"/>
      <c r="AZ4" s="1104"/>
      <c r="BA4" s="1104"/>
      <c r="BB4" s="1104"/>
      <c r="BC4" s="1105"/>
      <c r="BE4" s="1103" t="s">
        <v>705</v>
      </c>
      <c r="BF4" s="1104"/>
      <c r="BG4" s="1104"/>
      <c r="BH4" s="1104"/>
      <c r="BI4" s="1104"/>
      <c r="BJ4" s="1105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</row>
    <row r="5" spans="2:215" s="815" customFormat="1" ht="18" customHeight="1" x14ac:dyDescent="0.25">
      <c r="B5" s="1078" t="s">
        <v>1</v>
      </c>
      <c r="C5" s="1079"/>
      <c r="D5" s="1080"/>
      <c r="E5" s="1081">
        <v>395976</v>
      </c>
      <c r="F5" s="1082">
        <v>338857</v>
      </c>
      <c r="G5" s="1082">
        <f t="shared" ref="G5:G38" si="0">+F5-E5</f>
        <v>-57119</v>
      </c>
      <c r="H5" s="1066"/>
      <c r="I5" s="1067"/>
      <c r="J5" s="1065">
        <f t="shared" ref="J5:J53" si="1">+G5+I5-H5</f>
        <v>-57119</v>
      </c>
      <c r="K5" s="1062"/>
      <c r="L5" s="1062"/>
      <c r="M5" s="1061"/>
      <c r="N5" s="1061"/>
      <c r="O5" s="1061"/>
      <c r="P5" s="1061"/>
      <c r="Q5" s="1061"/>
      <c r="R5" s="1061"/>
      <c r="S5" s="1062"/>
      <c r="T5" s="1065"/>
      <c r="U5" s="1065"/>
      <c r="V5" s="1061"/>
      <c r="W5" s="1061"/>
      <c r="X5" s="1061"/>
      <c r="Y5" s="1061"/>
      <c r="Z5" s="1061"/>
      <c r="AA5" s="1061"/>
      <c r="AB5" s="1061"/>
      <c r="AC5" s="1061"/>
      <c r="AD5" s="1061"/>
      <c r="AE5" s="1061"/>
      <c r="AF5" s="1061"/>
      <c r="AG5" s="1061"/>
      <c r="AH5" s="1063"/>
      <c r="AI5" s="816">
        <f>J5-SUM(K5:AH5)</f>
        <v>-57119</v>
      </c>
      <c r="AK5" s="827" t="s">
        <v>10</v>
      </c>
      <c r="AL5" s="827"/>
      <c r="AM5" s="827"/>
      <c r="AN5" s="827"/>
      <c r="AO5" s="827"/>
      <c r="AP5" s="828">
        <f>+AO4</f>
        <v>12000</v>
      </c>
      <c r="AQ5" s="1092"/>
      <c r="AR5" s="1092"/>
      <c r="AS5" s="1092"/>
      <c r="AT5" s="1092"/>
      <c r="AU5" s="1092"/>
      <c r="AV5" s="1092"/>
      <c r="AX5" s="1106"/>
      <c r="AY5" s="1107"/>
      <c r="AZ5" s="1107"/>
      <c r="BA5" s="1107"/>
      <c r="BB5" s="1107"/>
      <c r="BC5" s="1108" t="s">
        <v>3</v>
      </c>
      <c r="BE5" s="1106"/>
      <c r="BF5" s="1107"/>
      <c r="BG5" s="1107"/>
      <c r="BH5" s="1107"/>
      <c r="BI5" s="1107"/>
      <c r="BJ5" s="1108" t="s">
        <v>3</v>
      </c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</row>
    <row r="6" spans="2:215" s="815" customFormat="1" ht="18" customHeight="1" x14ac:dyDescent="0.25">
      <c r="B6" s="1064" t="s">
        <v>252</v>
      </c>
      <c r="C6" s="1060"/>
      <c r="D6" s="1061"/>
      <c r="E6" s="1065">
        <f>+'-85-'!I9+'-85-'!I10+'-85-'!I11</f>
        <v>112500</v>
      </c>
      <c r="F6" s="1062">
        <f>+'-85-'!J9+'-85-'!J10+'-85-'!J11</f>
        <v>36500</v>
      </c>
      <c r="G6" s="1062">
        <f t="shared" si="0"/>
        <v>-76000</v>
      </c>
      <c r="H6" s="1068">
        <f>+AO7</f>
        <v>2000</v>
      </c>
      <c r="I6" s="1069">
        <f>+AP14</f>
        <v>90000</v>
      </c>
      <c r="J6" s="1065">
        <f t="shared" si="1"/>
        <v>12000</v>
      </c>
      <c r="K6" s="1062">
        <f>+J6</f>
        <v>12000</v>
      </c>
      <c r="L6" s="1062"/>
      <c r="M6" s="1061"/>
      <c r="N6" s="1061"/>
      <c r="O6" s="1061"/>
      <c r="P6" s="1061"/>
      <c r="Q6" s="1061"/>
      <c r="R6" s="1061"/>
      <c r="S6" s="1062"/>
      <c r="T6" s="1065"/>
      <c r="U6" s="1065"/>
      <c r="V6" s="1061"/>
      <c r="W6" s="1061"/>
      <c r="X6" s="1061"/>
      <c r="Y6" s="1061"/>
      <c r="Z6" s="1061"/>
      <c r="AA6" s="1061"/>
      <c r="AB6" s="1061"/>
      <c r="AC6" s="1061"/>
      <c r="AD6" s="1061"/>
      <c r="AE6" s="1061"/>
      <c r="AF6" s="1061"/>
      <c r="AG6" s="1061"/>
      <c r="AH6" s="1063"/>
      <c r="AI6" s="816">
        <f>J6-SUM(K6:AH6)</f>
        <v>0</v>
      </c>
      <c r="AK6" s="827"/>
      <c r="AL6" s="827"/>
      <c r="AM6" s="827"/>
      <c r="AN6" s="827"/>
      <c r="AO6" s="827"/>
      <c r="AP6" s="828"/>
      <c r="AQ6" s="1092"/>
      <c r="AR6" s="1092"/>
      <c r="AS6" s="1092"/>
      <c r="AT6" s="1092"/>
      <c r="AU6" s="1092"/>
      <c r="AV6" s="1092"/>
      <c r="AX6" s="1109" t="s">
        <v>51</v>
      </c>
      <c r="AY6" s="1107"/>
      <c r="AZ6" s="1107"/>
      <c r="BA6" s="1107"/>
      <c r="BB6" s="1107"/>
      <c r="BC6" s="1110"/>
      <c r="BE6" s="1109" t="s">
        <v>1000</v>
      </c>
      <c r="BF6" s="1107"/>
      <c r="BG6" s="1107"/>
      <c r="BH6" s="1107"/>
      <c r="BI6" s="1107"/>
      <c r="BJ6" s="1184">
        <f>-SUM(E26:E53)</f>
        <v>162575.65776036872</v>
      </c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</row>
    <row r="7" spans="2:215" s="815" customFormat="1" ht="18" customHeight="1" x14ac:dyDescent="0.25">
      <c r="B7" s="1064" t="s">
        <v>912</v>
      </c>
      <c r="C7" s="1060"/>
      <c r="D7" s="1061"/>
      <c r="E7" s="1065">
        <f>+'-83-'!I9</f>
        <v>4500</v>
      </c>
      <c r="F7" s="1062">
        <f>+'-83-'!J9</f>
        <v>8500</v>
      </c>
      <c r="G7" s="1062">
        <f t="shared" si="0"/>
        <v>4000</v>
      </c>
      <c r="H7" s="1068">
        <f>+AO4</f>
        <v>12000</v>
      </c>
      <c r="I7" s="1069"/>
      <c r="J7" s="1065">
        <f t="shared" si="1"/>
        <v>-8000</v>
      </c>
      <c r="K7" s="1062"/>
      <c r="L7" s="1062">
        <f>+J7*(1+18%)</f>
        <v>-9440</v>
      </c>
      <c r="M7" s="1061"/>
      <c r="N7" s="1061"/>
      <c r="O7" s="1061"/>
      <c r="P7" s="1061"/>
      <c r="Q7" s="1061"/>
      <c r="R7" s="1061"/>
      <c r="S7" s="1062">
        <v>1440</v>
      </c>
      <c r="T7" s="1065"/>
      <c r="U7" s="1065"/>
      <c r="V7" s="1061"/>
      <c r="W7" s="1061"/>
      <c r="X7" s="1061"/>
      <c r="Y7" s="1061"/>
      <c r="Z7" s="1061"/>
      <c r="AA7" s="1061"/>
      <c r="AB7" s="1061"/>
      <c r="AC7" s="1061"/>
      <c r="AD7" s="1061"/>
      <c r="AE7" s="1061"/>
      <c r="AF7" s="1061"/>
      <c r="AG7" s="1061"/>
      <c r="AH7" s="1063"/>
      <c r="AI7" s="816">
        <f t="shared" ref="AI7:AI53" si="2">J7-SUM(K7:AH7)</f>
        <v>0</v>
      </c>
      <c r="AK7" s="827" t="s">
        <v>252</v>
      </c>
      <c r="AL7" s="827"/>
      <c r="AM7" s="827"/>
      <c r="AN7" s="827"/>
      <c r="AO7" s="828">
        <f>+'-85-'!L11</f>
        <v>2000</v>
      </c>
      <c r="AP7" s="827"/>
      <c r="AQ7" s="1092" t="s">
        <v>950</v>
      </c>
      <c r="AR7" s="1092"/>
      <c r="AS7" s="1092"/>
      <c r="AT7" s="1092"/>
      <c r="AU7" s="1092"/>
      <c r="AV7" s="1092"/>
      <c r="AX7" s="1106" t="s">
        <v>248</v>
      </c>
      <c r="AY7" s="1107"/>
      <c r="AZ7" s="1107"/>
      <c r="BA7" s="1107"/>
      <c r="BB7" s="1107"/>
      <c r="BC7" s="1111">
        <f>+K54</f>
        <v>840000</v>
      </c>
      <c r="BE7" s="1106"/>
      <c r="BF7" s="1107"/>
      <c r="BG7" s="1107"/>
      <c r="BH7" s="1107"/>
      <c r="BI7" s="1107"/>
      <c r="BJ7" s="1111" t="str">
        <f>+AX39</f>
        <v>Efectivo y equivalente de efectivo al final del periodo</v>
      </c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</row>
    <row r="8" spans="2:215" s="815" customFormat="1" ht="18" customHeight="1" x14ac:dyDescent="0.25">
      <c r="B8" s="1064" t="s">
        <v>920</v>
      </c>
      <c r="C8" s="1060"/>
      <c r="D8" s="1061"/>
      <c r="E8" s="1065">
        <f>+'-93-'!I8</f>
        <v>113400</v>
      </c>
      <c r="F8" s="1062">
        <f>+'-93-'!J8</f>
        <v>100000</v>
      </c>
      <c r="G8" s="1062">
        <f t="shared" si="0"/>
        <v>-13400</v>
      </c>
      <c r="H8" s="1068">
        <f>+AO45+AO47</f>
        <v>40000</v>
      </c>
      <c r="I8" s="1068">
        <f>+AP45+AP47</f>
        <v>3400</v>
      </c>
      <c r="J8" s="1065">
        <f t="shared" si="1"/>
        <v>-50000</v>
      </c>
      <c r="K8" s="1062"/>
      <c r="L8" s="1062"/>
      <c r="M8" s="1061"/>
      <c r="N8" s="1061"/>
      <c r="O8" s="1061"/>
      <c r="P8" s="1061"/>
      <c r="Q8" s="1061"/>
      <c r="R8" s="1061"/>
      <c r="S8" s="1062"/>
      <c r="T8" s="1065"/>
      <c r="U8" s="1065"/>
      <c r="V8" s="1061"/>
      <c r="W8" s="1061"/>
      <c r="X8" s="1061"/>
      <c r="Y8" s="1061"/>
      <c r="Z8" s="1062">
        <f>+J8</f>
        <v>-50000</v>
      </c>
      <c r="AA8" s="1061"/>
      <c r="AB8" s="1061"/>
      <c r="AC8" s="1061"/>
      <c r="AD8" s="1061"/>
      <c r="AE8" s="1061"/>
      <c r="AF8" s="1061"/>
      <c r="AG8" s="1061"/>
      <c r="AH8" s="1063"/>
      <c r="AI8" s="816">
        <f t="shared" si="2"/>
        <v>0</v>
      </c>
      <c r="AK8" s="827" t="s">
        <v>92</v>
      </c>
      <c r="AL8" s="827"/>
      <c r="AM8" s="827"/>
      <c r="AN8" s="827"/>
      <c r="AO8" s="827"/>
      <c r="AP8" s="828">
        <f>+AO7</f>
        <v>2000</v>
      </c>
      <c r="AQ8" s="1092"/>
      <c r="AR8" s="1092"/>
      <c r="AS8" s="1092"/>
      <c r="AT8" s="1092"/>
      <c r="AU8" s="1092"/>
      <c r="AV8" s="1092"/>
      <c r="AX8" s="1106" t="s">
        <v>138</v>
      </c>
      <c r="AY8" s="1107"/>
      <c r="AZ8" s="1107"/>
      <c r="BA8" s="1107"/>
      <c r="BB8" s="1107"/>
      <c r="BC8" s="1111">
        <f>+L54</f>
        <v>-130000</v>
      </c>
      <c r="BE8" s="1109" t="s">
        <v>1081</v>
      </c>
      <c r="BF8" s="1107"/>
      <c r="BG8" s="1107"/>
      <c r="BH8" s="1107"/>
      <c r="BI8" s="1107"/>
      <c r="BJ8" s="1111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</row>
    <row r="9" spans="2:215" s="815" customFormat="1" ht="18" customHeight="1" x14ac:dyDescent="0.25">
      <c r="B9" s="1064" t="s">
        <v>924</v>
      </c>
      <c r="C9" s="1060"/>
      <c r="D9" s="1061"/>
      <c r="E9" s="1065">
        <f>+'-94-'!I8</f>
        <v>90540.858066262372</v>
      </c>
      <c r="F9" s="1062">
        <f>+'-94-'!J8</f>
        <v>91539.425405193528</v>
      </c>
      <c r="G9" s="1062">
        <f t="shared" si="0"/>
        <v>998.56733893115597</v>
      </c>
      <c r="H9" s="1068"/>
      <c r="I9" s="1069"/>
      <c r="J9" s="1065">
        <f t="shared" si="1"/>
        <v>998.56733893115597</v>
      </c>
      <c r="K9" s="1062"/>
      <c r="L9" s="1062"/>
      <c r="M9" s="1062">
        <f>+J9</f>
        <v>998.56733893115597</v>
      </c>
      <c r="N9" s="1061"/>
      <c r="O9" s="1061"/>
      <c r="P9" s="1061"/>
      <c r="Q9" s="1061"/>
      <c r="R9" s="1061"/>
      <c r="S9" s="1062"/>
      <c r="T9" s="1065"/>
      <c r="U9" s="1065"/>
      <c r="V9" s="1061"/>
      <c r="W9" s="1061"/>
      <c r="X9" s="1061"/>
      <c r="Y9" s="1061"/>
      <c r="Z9" s="1061"/>
      <c r="AA9" s="1061"/>
      <c r="AB9" s="1061"/>
      <c r="AC9" s="1061"/>
      <c r="AD9" s="1061"/>
      <c r="AE9" s="1061"/>
      <c r="AF9" s="1061"/>
      <c r="AG9" s="1061"/>
      <c r="AH9" s="1063"/>
      <c r="AI9" s="816">
        <f t="shared" si="2"/>
        <v>0</v>
      </c>
      <c r="AK9" s="827"/>
      <c r="AL9" s="827"/>
      <c r="AM9" s="827"/>
      <c r="AN9" s="827"/>
      <c r="AO9" s="827"/>
      <c r="AP9" s="827"/>
      <c r="AQ9" s="1092"/>
      <c r="AR9" s="1092"/>
      <c r="AS9" s="1092"/>
      <c r="AT9" s="1092"/>
      <c r="AU9" s="1092"/>
      <c r="AV9" s="1092"/>
      <c r="AX9" s="1106" t="s">
        <v>990</v>
      </c>
      <c r="AY9" s="1107"/>
      <c r="AZ9" s="1107"/>
      <c r="BA9" s="1107"/>
      <c r="BB9" s="1107"/>
      <c r="BC9" s="1111">
        <f>+M54</f>
        <v>10799.999999999982</v>
      </c>
      <c r="BE9" s="1109" t="s">
        <v>109</v>
      </c>
      <c r="BF9" s="1107"/>
      <c r="BG9" s="1107"/>
      <c r="BH9" s="1107"/>
      <c r="BI9" s="1107"/>
      <c r="BJ9" s="1111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</row>
    <row r="10" spans="2:215" s="815" customFormat="1" ht="18" customHeight="1" x14ac:dyDescent="0.25">
      <c r="B10" s="1064" t="s">
        <v>917</v>
      </c>
      <c r="C10" s="1060"/>
      <c r="D10" s="1061"/>
      <c r="E10" s="1065">
        <f>+'-90-'!I8</f>
        <v>1083000</v>
      </c>
      <c r="F10" s="1062">
        <f>+'-90-'!J8</f>
        <v>820000</v>
      </c>
      <c r="G10" s="1062">
        <f t="shared" ref="G10" si="3">+F10-E10</f>
        <v>-263000</v>
      </c>
      <c r="H10" s="1068"/>
      <c r="I10" s="1069">
        <f>+AP38</f>
        <v>135000</v>
      </c>
      <c r="J10" s="1065">
        <f t="shared" si="1"/>
        <v>-128000</v>
      </c>
      <c r="K10" s="1062"/>
      <c r="L10" s="1062"/>
      <c r="M10" s="1062"/>
      <c r="N10" s="1062"/>
      <c r="O10" s="1062"/>
      <c r="P10" s="1062"/>
      <c r="Q10" s="1062"/>
      <c r="R10" s="1062"/>
      <c r="S10" s="1062"/>
      <c r="T10" s="1065"/>
      <c r="U10" s="1065"/>
      <c r="V10" s="1062">
        <f>+'-90-'!O8</f>
        <v>-170000</v>
      </c>
      <c r="W10" s="1062">
        <f>+'-90-'!P8</f>
        <v>42000</v>
      </c>
      <c r="X10" s="1062"/>
      <c r="Y10" s="1062"/>
      <c r="Z10" s="1062"/>
      <c r="AA10" s="1062"/>
      <c r="AB10" s="1062"/>
      <c r="AC10" s="1062"/>
      <c r="AD10" s="1062"/>
      <c r="AE10" s="1062"/>
      <c r="AF10" s="1062"/>
      <c r="AG10" s="1062"/>
      <c r="AH10" s="1065"/>
      <c r="AI10" s="816">
        <f t="shared" si="2"/>
        <v>0</v>
      </c>
      <c r="AK10" s="827" t="s">
        <v>914</v>
      </c>
      <c r="AL10" s="827"/>
      <c r="AM10" s="827"/>
      <c r="AN10" s="827"/>
      <c r="AO10" s="828">
        <f>+'-85-'!L19</f>
        <v>100000</v>
      </c>
      <c r="AP10" s="827"/>
      <c r="AQ10" s="1092" t="s">
        <v>951</v>
      </c>
      <c r="AR10" s="1092"/>
      <c r="AS10" s="1092"/>
      <c r="AT10" s="1092"/>
      <c r="AU10" s="1092"/>
      <c r="AV10" s="1092"/>
      <c r="AX10" s="1106" t="s">
        <v>279</v>
      </c>
      <c r="AY10" s="1107"/>
      <c r="AZ10" s="1107"/>
      <c r="BA10" s="1107"/>
      <c r="BB10" s="1107"/>
      <c r="BC10" s="1111">
        <f>+N54</f>
        <v>-137000</v>
      </c>
      <c r="BE10" s="1106" t="s">
        <v>730</v>
      </c>
      <c r="BF10" s="1107"/>
      <c r="BG10" s="1107"/>
      <c r="BH10" s="1107"/>
      <c r="BI10" s="1107"/>
      <c r="BJ10" s="1111">
        <f>+AP5</f>
        <v>12000</v>
      </c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</row>
    <row r="11" spans="2:215" s="815" customFormat="1" ht="18" customHeight="1" x14ac:dyDescent="0.25">
      <c r="B11" s="1064" t="s">
        <v>432</v>
      </c>
      <c r="C11" s="1060"/>
      <c r="D11" s="1061"/>
      <c r="E11" s="1065">
        <f>+'-89-'!I8</f>
        <v>1150500</v>
      </c>
      <c r="F11" s="1062">
        <f>+'-89-'!J8</f>
        <v>600000</v>
      </c>
      <c r="G11" s="1062">
        <f t="shared" si="0"/>
        <v>-550500</v>
      </c>
      <c r="H11" s="1068">
        <f>+AO16+AO19+AO22+AO26+AO29+AO35</f>
        <v>249500</v>
      </c>
      <c r="I11" s="1068">
        <f>+AP16+AP19+AP22+AP26+AP29+AP35</f>
        <v>700000</v>
      </c>
      <c r="J11" s="1065">
        <f t="shared" si="1"/>
        <v>-100000</v>
      </c>
      <c r="K11" s="1062"/>
      <c r="L11" s="1062"/>
      <c r="M11" s="1061"/>
      <c r="N11" s="1061"/>
      <c r="O11" s="1061"/>
      <c r="P11" s="1061"/>
      <c r="Q11" s="1061"/>
      <c r="R11" s="1061"/>
      <c r="S11" s="1062"/>
      <c r="T11" s="1065">
        <f>+J11</f>
        <v>-100000</v>
      </c>
      <c r="U11" s="1065"/>
      <c r="V11" s="1061"/>
      <c r="W11" s="1061"/>
      <c r="X11" s="1061"/>
      <c r="Y11" s="1061"/>
      <c r="Z11" s="1061"/>
      <c r="AA11" s="1061"/>
      <c r="AB11" s="1061"/>
      <c r="AC11" s="1061"/>
      <c r="AD11" s="1061"/>
      <c r="AE11" s="1061"/>
      <c r="AF11" s="1061"/>
      <c r="AG11" s="1061"/>
      <c r="AH11" s="1063"/>
      <c r="AI11" s="816">
        <f t="shared" si="2"/>
        <v>0</v>
      </c>
      <c r="AK11" s="827" t="s">
        <v>771</v>
      </c>
      <c r="AL11" s="827"/>
      <c r="AM11" s="827"/>
      <c r="AN11" s="827"/>
      <c r="AO11" s="827"/>
      <c r="AP11" s="828">
        <f>+AO10</f>
        <v>100000</v>
      </c>
      <c r="AQ11" s="1092" t="s">
        <v>952</v>
      </c>
      <c r="AR11" s="1092"/>
      <c r="AS11" s="1092"/>
      <c r="AT11" s="1092"/>
      <c r="AU11" s="1092"/>
      <c r="AV11" s="1092"/>
      <c r="AX11" s="1106" t="s">
        <v>269</v>
      </c>
      <c r="AY11" s="1107"/>
      <c r="AZ11" s="1107"/>
      <c r="BA11" s="1107"/>
      <c r="BB11" s="1107"/>
      <c r="BC11" s="1111">
        <f>+O54+P54+Q54</f>
        <v>-131830.03401304781</v>
      </c>
      <c r="BE11" s="1106" t="s">
        <v>92</v>
      </c>
      <c r="BF11" s="1107"/>
      <c r="BG11" s="1107"/>
      <c r="BH11" s="1107"/>
      <c r="BI11" s="1107"/>
      <c r="BJ11" s="1111">
        <f>+AP8</f>
        <v>2000</v>
      </c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</row>
    <row r="12" spans="2:215" s="815" customFormat="1" ht="18" customHeight="1" x14ac:dyDescent="0.25">
      <c r="B12" s="1064" t="s">
        <v>834</v>
      </c>
      <c r="C12" s="1060"/>
      <c r="D12" s="1061"/>
      <c r="E12" s="1065">
        <f>+'-92-'!I8</f>
        <v>1170000</v>
      </c>
      <c r="F12" s="1062">
        <f>+'-92-'!J8</f>
        <v>1058000</v>
      </c>
      <c r="G12" s="1062">
        <f t="shared" si="0"/>
        <v>-112000</v>
      </c>
      <c r="H12" s="1068"/>
      <c r="I12" s="1069">
        <f>+AP41</f>
        <v>62000</v>
      </c>
      <c r="J12" s="1065">
        <f t="shared" si="1"/>
        <v>-50000</v>
      </c>
      <c r="K12" s="1062"/>
      <c r="L12" s="1062"/>
      <c r="M12" s="1061"/>
      <c r="N12" s="1061"/>
      <c r="O12" s="1061"/>
      <c r="P12" s="1061"/>
      <c r="Q12" s="1061"/>
      <c r="R12" s="1061"/>
      <c r="S12" s="1062"/>
      <c r="T12" s="1065"/>
      <c r="U12" s="1065"/>
      <c r="V12" s="1061"/>
      <c r="W12" s="1061"/>
      <c r="X12" s="1062">
        <f>+J12</f>
        <v>-50000</v>
      </c>
      <c r="Y12" s="1061"/>
      <c r="Z12" s="1061"/>
      <c r="AA12" s="1061"/>
      <c r="AB12" s="1061"/>
      <c r="AC12" s="1061"/>
      <c r="AD12" s="1061"/>
      <c r="AE12" s="1061"/>
      <c r="AF12" s="1061"/>
      <c r="AG12" s="1061"/>
      <c r="AH12" s="1063"/>
      <c r="AI12" s="816">
        <f t="shared" si="2"/>
        <v>0</v>
      </c>
      <c r="AK12" s="827"/>
      <c r="AL12" s="827"/>
      <c r="AM12" s="827"/>
      <c r="AN12" s="827"/>
      <c r="AO12" s="827"/>
      <c r="AP12" s="827"/>
      <c r="AQ12" s="1092"/>
      <c r="AR12" s="1092"/>
      <c r="AS12" s="1092"/>
      <c r="AT12" s="1092"/>
      <c r="AU12" s="1092"/>
      <c r="AV12" s="1092"/>
      <c r="AX12" s="1106" t="s">
        <v>137</v>
      </c>
      <c r="AY12" s="1107"/>
      <c r="AZ12" s="1107"/>
      <c r="BA12" s="1107"/>
      <c r="BB12" s="1107"/>
      <c r="BC12" s="1111">
        <f>+R54</f>
        <v>-105000</v>
      </c>
      <c r="BE12" s="1106" t="s">
        <v>1082</v>
      </c>
      <c r="BF12" s="1107"/>
      <c r="BG12" s="1107"/>
      <c r="BH12" s="1107"/>
      <c r="BI12" s="1107"/>
      <c r="BJ12" s="1111">
        <f>+-AO10</f>
        <v>-100000</v>
      </c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</row>
    <row r="13" spans="2:215" s="815" customFormat="1" ht="18" customHeight="1" x14ac:dyDescent="0.25">
      <c r="B13" s="1064" t="s">
        <v>919</v>
      </c>
      <c r="C13" s="1060"/>
      <c r="D13" s="1061"/>
      <c r="E13" s="1065">
        <f>+'-92-'!I9</f>
        <v>1070000</v>
      </c>
      <c r="F13" s="1062">
        <f>+'-92-'!J9</f>
        <v>1033000</v>
      </c>
      <c r="G13" s="1062">
        <f t="shared" si="0"/>
        <v>-37000</v>
      </c>
      <c r="H13" s="1068"/>
      <c r="I13" s="1069">
        <f>+AP42</f>
        <v>22000</v>
      </c>
      <c r="J13" s="1065">
        <f t="shared" si="1"/>
        <v>-15000</v>
      </c>
      <c r="K13" s="1062"/>
      <c r="L13" s="1062"/>
      <c r="M13" s="1061"/>
      <c r="N13" s="1061"/>
      <c r="O13" s="1061"/>
      <c r="P13" s="1061"/>
      <c r="Q13" s="1061"/>
      <c r="R13" s="1061"/>
      <c r="S13" s="1062"/>
      <c r="T13" s="1065"/>
      <c r="U13" s="1065"/>
      <c r="V13" s="1061"/>
      <c r="W13" s="1061"/>
      <c r="X13" s="1062"/>
      <c r="Y13" s="1062">
        <f>+J13</f>
        <v>-15000</v>
      </c>
      <c r="Z13" s="1061"/>
      <c r="AA13" s="1061"/>
      <c r="AB13" s="1061"/>
      <c r="AC13" s="1061"/>
      <c r="AD13" s="1061"/>
      <c r="AE13" s="1061"/>
      <c r="AF13" s="1061"/>
      <c r="AG13" s="1061"/>
      <c r="AH13" s="1063"/>
      <c r="AI13" s="816">
        <f t="shared" si="2"/>
        <v>0</v>
      </c>
      <c r="AK13" s="827" t="s">
        <v>914</v>
      </c>
      <c r="AL13" s="827"/>
      <c r="AM13" s="827"/>
      <c r="AN13" s="827"/>
      <c r="AO13" s="828">
        <f>+'-85-'!M10</f>
        <v>90000</v>
      </c>
      <c r="AP13" s="827"/>
      <c r="AQ13" s="1092" t="s">
        <v>953</v>
      </c>
      <c r="AR13" s="1092"/>
      <c r="AS13" s="1092"/>
      <c r="AT13" s="1092"/>
      <c r="AU13" s="1092"/>
      <c r="AV13" s="1092"/>
      <c r="AX13" s="1106" t="s">
        <v>991</v>
      </c>
      <c r="AY13" s="1107"/>
      <c r="AZ13" s="1107"/>
      <c r="BA13" s="1107"/>
      <c r="BB13" s="1107"/>
      <c r="BC13" s="1111">
        <f>+S54</f>
        <v>-93700</v>
      </c>
      <c r="BE13" s="1106" t="s">
        <v>1083</v>
      </c>
      <c r="BF13" s="1107"/>
      <c r="BG13" s="1107"/>
      <c r="BH13" s="1107"/>
      <c r="BI13" s="1107"/>
      <c r="BJ13" s="1111">
        <f>-AO13</f>
        <v>-90000</v>
      </c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</row>
    <row r="14" spans="2:215" s="815" customFormat="1" ht="18" customHeight="1" x14ac:dyDescent="0.25">
      <c r="B14" s="1064" t="s">
        <v>888</v>
      </c>
      <c r="C14" s="1060"/>
      <c r="D14" s="1061"/>
      <c r="E14" s="1065">
        <f>+'-98-'!J9+'-98-'!J10</f>
        <v>92915.105823365433</v>
      </c>
      <c r="F14" s="1062">
        <f>+'-98-'!K9+'-98-'!K10</f>
        <v>143596.07263611021</v>
      </c>
      <c r="G14" s="1062">
        <f t="shared" si="0"/>
        <v>50680.96681274478</v>
      </c>
      <c r="H14" s="1068">
        <f>+AO50</f>
        <v>50680.966812744788</v>
      </c>
      <c r="I14" s="1069"/>
      <c r="J14" s="1065">
        <f t="shared" si="1"/>
        <v>0</v>
      </c>
      <c r="K14" s="1062"/>
      <c r="L14" s="1062"/>
      <c r="M14" s="1061"/>
      <c r="N14" s="1061"/>
      <c r="O14" s="1061"/>
      <c r="P14" s="1061"/>
      <c r="Q14" s="1061"/>
      <c r="R14" s="1061"/>
      <c r="S14" s="1062"/>
      <c r="T14" s="1065"/>
      <c r="U14" s="1065"/>
      <c r="V14" s="1061"/>
      <c r="W14" s="1061"/>
      <c r="X14" s="1062"/>
      <c r="Y14" s="1062"/>
      <c r="Z14" s="1061"/>
      <c r="AA14" s="1061"/>
      <c r="AB14" s="1061"/>
      <c r="AC14" s="1061"/>
      <c r="AD14" s="1061"/>
      <c r="AE14" s="1061"/>
      <c r="AF14" s="1061"/>
      <c r="AG14" s="1061"/>
      <c r="AH14" s="1063"/>
      <c r="AI14" s="816">
        <f t="shared" si="2"/>
        <v>0</v>
      </c>
      <c r="AK14" s="827" t="s">
        <v>252</v>
      </c>
      <c r="AL14" s="827"/>
      <c r="AM14" s="827"/>
      <c r="AN14" s="827"/>
      <c r="AO14" s="827"/>
      <c r="AP14" s="828">
        <f>+AO13</f>
        <v>90000</v>
      </c>
      <c r="AQ14" s="1092" t="s">
        <v>954</v>
      </c>
      <c r="AR14" s="1092"/>
      <c r="AS14" s="1092"/>
      <c r="AT14" s="1092"/>
      <c r="AU14" s="1092"/>
      <c r="AV14" s="1092"/>
      <c r="AX14" s="1112" t="s">
        <v>719</v>
      </c>
      <c r="AY14" s="1008"/>
      <c r="AZ14" s="1008"/>
      <c r="BA14" s="1008"/>
      <c r="BB14" s="1008"/>
      <c r="BC14" s="1113"/>
      <c r="BE14" s="1106" t="s">
        <v>1084</v>
      </c>
      <c r="BF14" s="1107"/>
      <c r="BG14" s="1107"/>
      <c r="BH14" s="1107"/>
      <c r="BI14" s="1107"/>
      <c r="BJ14" s="1111">
        <f>+AP17</f>
        <v>5000</v>
      </c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</row>
    <row r="15" spans="2:215" s="815" customFormat="1" ht="18" customHeight="1" x14ac:dyDescent="0.25">
      <c r="B15" s="1070" t="s">
        <v>4</v>
      </c>
      <c r="C15" s="987"/>
      <c r="D15" s="921"/>
      <c r="E15" s="989">
        <f>+'-83-'!I11</f>
        <v>-44300</v>
      </c>
      <c r="F15" s="922">
        <f>+'-83-'!J11</f>
        <v>-15000</v>
      </c>
      <c r="G15" s="922">
        <f t="shared" si="0"/>
        <v>29300</v>
      </c>
      <c r="H15" s="1066"/>
      <c r="I15" s="1069"/>
      <c r="J15" s="989">
        <f t="shared" si="1"/>
        <v>29300</v>
      </c>
      <c r="K15" s="922"/>
      <c r="L15" s="922">
        <f>+J15</f>
        <v>29300</v>
      </c>
      <c r="M15" s="921"/>
      <c r="N15" s="921"/>
      <c r="O15" s="921"/>
      <c r="P15" s="921"/>
      <c r="Q15" s="921"/>
      <c r="R15" s="921"/>
      <c r="S15" s="922"/>
      <c r="T15" s="989"/>
      <c r="U15" s="989"/>
      <c r="V15" s="921"/>
      <c r="W15" s="921"/>
      <c r="X15" s="921"/>
      <c r="Y15" s="921"/>
      <c r="Z15" s="921"/>
      <c r="AA15" s="921"/>
      <c r="AB15" s="921"/>
      <c r="AC15" s="921"/>
      <c r="AD15" s="921"/>
      <c r="AE15" s="921"/>
      <c r="AF15" s="921"/>
      <c r="AG15" s="921"/>
      <c r="AH15" s="988"/>
      <c r="AI15" s="816">
        <f t="shared" si="2"/>
        <v>0</v>
      </c>
      <c r="AK15" s="827"/>
      <c r="AL15" s="827"/>
      <c r="AM15" s="827"/>
      <c r="AN15" s="827"/>
      <c r="AO15" s="827"/>
      <c r="AP15" s="828"/>
      <c r="AQ15" s="1092"/>
      <c r="AR15" s="1092"/>
      <c r="AS15" s="1092"/>
      <c r="AT15" s="1092"/>
      <c r="AU15" s="1092"/>
      <c r="AV15" s="1092"/>
      <c r="AX15" s="1112" t="s">
        <v>720</v>
      </c>
      <c r="AY15" s="1008"/>
      <c r="AZ15" s="1008"/>
      <c r="BA15" s="1008"/>
      <c r="BB15" s="1008"/>
      <c r="BC15" s="1113">
        <f>SUM(BC7:BC13)</f>
        <v>253269.96598695219</v>
      </c>
      <c r="BE15" s="1106" t="s">
        <v>288</v>
      </c>
      <c r="BF15" s="1107"/>
      <c r="BG15" s="1107"/>
      <c r="BH15" s="1107"/>
      <c r="BI15" s="1107"/>
      <c r="BJ15" s="1111">
        <f>+AP20</f>
        <v>240000</v>
      </c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</row>
    <row r="16" spans="2:215" s="815" customFormat="1" ht="18" customHeight="1" x14ac:dyDescent="0.25">
      <c r="B16" s="1070" t="s">
        <v>5</v>
      </c>
      <c r="C16" s="987"/>
      <c r="D16" s="921"/>
      <c r="E16" s="989">
        <f>+'-96-'!I11</f>
        <v>-12000</v>
      </c>
      <c r="F16" s="922">
        <f>+'-96-'!J11</f>
        <v>-6000</v>
      </c>
      <c r="G16" s="922">
        <f t="shared" si="0"/>
        <v>6000</v>
      </c>
      <c r="H16" s="1066"/>
      <c r="I16" s="1069"/>
      <c r="J16" s="989">
        <f t="shared" si="1"/>
        <v>6000</v>
      </c>
      <c r="K16" s="922"/>
      <c r="L16" s="922"/>
      <c r="M16" s="921"/>
      <c r="N16" s="922">
        <f>+J16</f>
        <v>6000</v>
      </c>
      <c r="O16" s="921"/>
      <c r="P16" s="921"/>
      <c r="Q16" s="921"/>
      <c r="R16" s="921"/>
      <c r="S16" s="922"/>
      <c r="T16" s="989"/>
      <c r="U16" s="989"/>
      <c r="V16" s="921"/>
      <c r="W16" s="921"/>
      <c r="X16" s="921"/>
      <c r="Y16" s="921"/>
      <c r="Z16" s="921"/>
      <c r="AA16" s="921"/>
      <c r="AB16" s="921"/>
      <c r="AC16" s="921"/>
      <c r="AD16" s="921"/>
      <c r="AE16" s="921"/>
      <c r="AF16" s="921"/>
      <c r="AG16" s="921"/>
      <c r="AH16" s="988"/>
      <c r="AI16" s="816">
        <f t="shared" si="2"/>
        <v>0</v>
      </c>
      <c r="AK16" s="827" t="s">
        <v>432</v>
      </c>
      <c r="AL16" s="827"/>
      <c r="AM16" s="827"/>
      <c r="AN16" s="827"/>
      <c r="AO16" s="828">
        <f>+'-89-'!M19</f>
        <v>5000</v>
      </c>
      <c r="AP16" s="827"/>
      <c r="AQ16" s="1092" t="s">
        <v>955</v>
      </c>
      <c r="AR16" s="1092"/>
      <c r="AS16" s="1092"/>
      <c r="AT16" s="1092"/>
      <c r="AU16" s="1092"/>
      <c r="AV16" s="1092"/>
      <c r="AX16" s="1109" t="s">
        <v>52</v>
      </c>
      <c r="AY16" s="1107"/>
      <c r="AZ16" s="1107"/>
      <c r="BA16" s="1107"/>
      <c r="BB16" s="1107"/>
      <c r="BC16" s="1110"/>
      <c r="BE16" s="1106" t="s">
        <v>827</v>
      </c>
      <c r="BF16" s="1107"/>
      <c r="BG16" s="1107"/>
      <c r="BH16" s="1107"/>
      <c r="BI16" s="1107"/>
      <c r="BJ16" s="1111">
        <f>+AP23</f>
        <v>4500</v>
      </c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</row>
    <row r="17" spans="2:204" s="815" customFormat="1" ht="18" customHeight="1" x14ac:dyDescent="0.25">
      <c r="B17" s="1070" t="s">
        <v>23</v>
      </c>
      <c r="C17" s="987"/>
      <c r="D17" s="921"/>
      <c r="E17" s="989">
        <f>+'-102-'!I13</f>
        <v>-31000</v>
      </c>
      <c r="F17" s="922">
        <f>+'-102-'!J13</f>
        <v>-13000</v>
      </c>
      <c r="G17" s="922">
        <f t="shared" si="0"/>
        <v>18000</v>
      </c>
      <c r="H17" s="1068">
        <f>+AO55</f>
        <v>123000</v>
      </c>
      <c r="I17" s="1069"/>
      <c r="J17" s="989">
        <f t="shared" si="1"/>
        <v>-105000</v>
      </c>
      <c r="K17" s="922"/>
      <c r="L17" s="922"/>
      <c r="M17" s="921"/>
      <c r="N17" s="922"/>
      <c r="O17" s="921"/>
      <c r="P17" s="921"/>
      <c r="Q17" s="921"/>
      <c r="R17" s="922">
        <f>+J17</f>
        <v>-105000</v>
      </c>
      <c r="S17" s="922"/>
      <c r="T17" s="989"/>
      <c r="U17" s="989"/>
      <c r="V17" s="921"/>
      <c r="W17" s="921"/>
      <c r="X17" s="921"/>
      <c r="Y17" s="921"/>
      <c r="Z17" s="921"/>
      <c r="AA17" s="921"/>
      <c r="AB17" s="921"/>
      <c r="AC17" s="921"/>
      <c r="AD17" s="921"/>
      <c r="AE17" s="921"/>
      <c r="AF17" s="921"/>
      <c r="AG17" s="921"/>
      <c r="AH17" s="988"/>
      <c r="AI17" s="816">
        <f t="shared" si="2"/>
        <v>0</v>
      </c>
      <c r="AK17" s="827" t="s">
        <v>840</v>
      </c>
      <c r="AL17" s="827"/>
      <c r="AM17" s="827"/>
      <c r="AN17" s="827"/>
      <c r="AO17" s="827"/>
      <c r="AP17" s="828">
        <f>+AO16</f>
        <v>5000</v>
      </c>
      <c r="AQ17" s="1092" t="s">
        <v>956</v>
      </c>
      <c r="AR17" s="1092"/>
      <c r="AS17" s="1092"/>
      <c r="AT17" s="1092"/>
      <c r="AU17" s="1092"/>
      <c r="AV17" s="1092"/>
      <c r="AX17" s="1106" t="s">
        <v>280</v>
      </c>
      <c r="AY17" s="1107"/>
      <c r="AZ17" s="1107"/>
      <c r="BA17" s="1107"/>
      <c r="BB17" s="1107"/>
      <c r="BC17" s="1111">
        <f>+T54</f>
        <v>-100000</v>
      </c>
      <c r="BE17" s="1106" t="s">
        <v>176</v>
      </c>
      <c r="BF17" s="1107"/>
      <c r="BG17" s="1107"/>
      <c r="BH17" s="1107"/>
      <c r="BI17" s="1107"/>
      <c r="BJ17" s="1111">
        <f>-AO37</f>
        <v>-135000</v>
      </c>
      <c r="BL17" s="1186">
        <f>SUM(BJ5:BJ29)</f>
        <v>212307.85158558446</v>
      </c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</row>
    <row r="18" spans="2:204" s="815" customFormat="1" ht="18" customHeight="1" x14ac:dyDescent="0.25">
      <c r="B18" s="1070" t="s">
        <v>913</v>
      </c>
      <c r="C18" s="987"/>
      <c r="D18" s="921"/>
      <c r="E18" s="989">
        <f>+'-85-'!I13</f>
        <v>-38000</v>
      </c>
      <c r="F18" s="922">
        <f>+'-85-'!J13</f>
        <v>-18000</v>
      </c>
      <c r="G18" s="922">
        <f t="shared" si="0"/>
        <v>20000</v>
      </c>
      <c r="H18" s="1068"/>
      <c r="I18" s="1069">
        <f>+AP11</f>
        <v>100000</v>
      </c>
      <c r="J18" s="989">
        <f t="shared" si="1"/>
        <v>120000</v>
      </c>
      <c r="K18" s="922">
        <f>+J18</f>
        <v>120000</v>
      </c>
      <c r="L18" s="922"/>
      <c r="M18" s="921"/>
      <c r="N18" s="921"/>
      <c r="O18" s="921"/>
      <c r="P18" s="921"/>
      <c r="Q18" s="921"/>
      <c r="R18" s="921"/>
      <c r="S18" s="922"/>
      <c r="T18" s="989"/>
      <c r="U18" s="989"/>
      <c r="V18" s="921"/>
      <c r="W18" s="921"/>
      <c r="X18" s="921"/>
      <c r="Y18" s="921"/>
      <c r="Z18" s="921"/>
      <c r="AA18" s="921"/>
      <c r="AB18" s="921"/>
      <c r="AC18" s="921"/>
      <c r="AD18" s="921"/>
      <c r="AE18" s="921"/>
      <c r="AF18" s="921"/>
      <c r="AG18" s="921"/>
      <c r="AH18" s="988"/>
      <c r="AI18" s="816">
        <f t="shared" si="2"/>
        <v>0</v>
      </c>
      <c r="AK18" s="827"/>
      <c r="AL18" s="827"/>
      <c r="AM18" s="827"/>
      <c r="AN18" s="827"/>
      <c r="AO18" s="827"/>
      <c r="AP18" s="827"/>
      <c r="AQ18" s="1092"/>
      <c r="AR18" s="1092"/>
      <c r="AS18" s="1092"/>
      <c r="AT18" s="1092"/>
      <c r="AU18" s="1092"/>
      <c r="AV18" s="1092"/>
      <c r="AX18" s="1106" t="s">
        <v>992</v>
      </c>
      <c r="AY18" s="1107"/>
      <c r="AZ18" s="1107"/>
      <c r="BA18" s="1107"/>
      <c r="BB18" s="1107"/>
      <c r="BC18" s="1111">
        <f>+U54</f>
        <v>6000</v>
      </c>
      <c r="BE18" s="1106" t="s">
        <v>1085</v>
      </c>
      <c r="BF18" s="1107"/>
      <c r="BG18" s="1107"/>
      <c r="BH18" s="1107"/>
      <c r="BI18" s="1107"/>
      <c r="BJ18" s="1111">
        <f>-AO40</f>
        <v>-84000</v>
      </c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</row>
    <row r="19" spans="2:204" s="815" customFormat="1" ht="18" customHeight="1" x14ac:dyDescent="0.25">
      <c r="B19" s="1070" t="s">
        <v>915</v>
      </c>
      <c r="C19" s="987"/>
      <c r="D19" s="921"/>
      <c r="E19" s="989">
        <f>+'-89-'!I14</f>
        <v>-90000</v>
      </c>
      <c r="F19" s="922">
        <f>+'-89-'!J14</f>
        <v>0</v>
      </c>
      <c r="G19" s="922">
        <f>+F19-E19</f>
        <v>90000</v>
      </c>
      <c r="H19" s="1068">
        <f>+AO34</f>
        <v>120000</v>
      </c>
      <c r="I19" s="1067"/>
      <c r="J19" s="989">
        <f t="shared" si="1"/>
        <v>-30000</v>
      </c>
      <c r="K19" s="922"/>
      <c r="L19" s="922"/>
      <c r="M19" s="921"/>
      <c r="N19" s="921"/>
      <c r="O19" s="921"/>
      <c r="P19" s="921"/>
      <c r="Q19" s="921"/>
      <c r="R19" s="921"/>
      <c r="S19" s="922"/>
      <c r="T19" s="989"/>
      <c r="U19" s="989"/>
      <c r="V19" s="921"/>
      <c r="W19" s="921"/>
      <c r="X19" s="921"/>
      <c r="Y19" s="921"/>
      <c r="Z19" s="921"/>
      <c r="AA19" s="921"/>
      <c r="AB19" s="921"/>
      <c r="AC19" s="921"/>
      <c r="AD19" s="922">
        <f>+J19</f>
        <v>-30000</v>
      </c>
      <c r="AE19" s="921"/>
      <c r="AF19" s="921"/>
      <c r="AG19" s="921"/>
      <c r="AH19" s="988"/>
      <c r="AI19" s="816">
        <f t="shared" si="2"/>
        <v>0</v>
      </c>
      <c r="AK19" s="827" t="s">
        <v>432</v>
      </c>
      <c r="AL19" s="827"/>
      <c r="AM19" s="827"/>
      <c r="AN19" s="827"/>
      <c r="AO19" s="828">
        <f>+AP20</f>
        <v>240000</v>
      </c>
      <c r="AP19" s="827"/>
      <c r="AQ19" s="1092" t="s">
        <v>957</v>
      </c>
      <c r="AR19" s="1092"/>
      <c r="AS19" s="1092"/>
      <c r="AT19" s="1092"/>
      <c r="AU19" s="1092"/>
      <c r="AV19" s="1092"/>
      <c r="AX19" s="1106" t="s">
        <v>993</v>
      </c>
      <c r="AY19" s="1107"/>
      <c r="AZ19" s="1107"/>
      <c r="BA19" s="1107"/>
      <c r="BB19" s="1107"/>
      <c r="BC19" s="1111">
        <f>+V54</f>
        <v>-170000</v>
      </c>
      <c r="BE19" s="1106" t="s">
        <v>1086</v>
      </c>
      <c r="BF19" s="1107"/>
      <c r="BG19" s="1107"/>
      <c r="BH19" s="1107"/>
      <c r="BI19" s="1107"/>
      <c r="BJ19" s="1111">
        <f>-AO44</f>
        <v>-3400</v>
      </c>
      <c r="BM19" s="816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</row>
    <row r="20" spans="2:204" s="815" customFormat="1" ht="18" customHeight="1" x14ac:dyDescent="0.25">
      <c r="B20" s="1070" t="s">
        <v>931</v>
      </c>
      <c r="C20" s="987"/>
      <c r="D20" s="921"/>
      <c r="E20" s="989">
        <f>+'-98-'!J14</f>
        <v>-99284.915674606309</v>
      </c>
      <c r="F20" s="922">
        <f>+'-98-'!K14</f>
        <v>-144948.46273704286</v>
      </c>
      <c r="G20" s="922">
        <f>+F20-E20</f>
        <v>-45663.547062436555</v>
      </c>
      <c r="H20" s="1068">
        <f>+AO51</f>
        <v>14336.452937563443</v>
      </c>
      <c r="I20" s="1067"/>
      <c r="J20" s="989">
        <f t="shared" si="1"/>
        <v>-60000</v>
      </c>
      <c r="K20" s="922"/>
      <c r="L20" s="922"/>
      <c r="M20" s="921"/>
      <c r="N20" s="921"/>
      <c r="O20" s="922">
        <f>+'-98-'!P14</f>
        <v>-14336.452937563443</v>
      </c>
      <c r="P20" s="921"/>
      <c r="Q20" s="921"/>
      <c r="R20" s="921"/>
      <c r="S20" s="922"/>
      <c r="T20" s="989"/>
      <c r="U20" s="989"/>
      <c r="V20" s="921"/>
      <c r="W20" s="921"/>
      <c r="X20" s="921"/>
      <c r="Y20" s="921"/>
      <c r="Z20" s="921"/>
      <c r="AA20" s="921"/>
      <c r="AB20" s="921"/>
      <c r="AC20" s="922">
        <f>+J20-O20</f>
        <v>-45663.547062436555</v>
      </c>
      <c r="AD20" s="921"/>
      <c r="AE20" s="921"/>
      <c r="AF20" s="921"/>
      <c r="AG20" s="921"/>
      <c r="AH20" s="988"/>
      <c r="AI20" s="816">
        <f t="shared" si="2"/>
        <v>0</v>
      </c>
      <c r="AK20" s="827" t="s">
        <v>69</v>
      </c>
      <c r="AL20" s="827"/>
      <c r="AM20" s="827"/>
      <c r="AN20" s="827"/>
      <c r="AO20" s="827"/>
      <c r="AP20" s="828">
        <f>+'-89-'!M20</f>
        <v>240000</v>
      </c>
      <c r="AQ20" s="1092"/>
      <c r="AR20" s="1092"/>
      <c r="AS20" s="1092"/>
      <c r="AT20" s="1092"/>
      <c r="AU20" s="1092"/>
      <c r="AV20" s="1092"/>
      <c r="AX20" s="1106" t="s">
        <v>1078</v>
      </c>
      <c r="AY20" s="1107"/>
      <c r="AZ20" s="1107"/>
      <c r="BA20" s="1107"/>
      <c r="BB20" s="1107"/>
      <c r="BC20" s="1111">
        <f>+W54</f>
        <v>42000</v>
      </c>
      <c r="BE20" s="1106" t="s">
        <v>1087</v>
      </c>
      <c r="BF20" s="1107"/>
      <c r="BG20" s="1107"/>
      <c r="BH20" s="1107"/>
      <c r="BI20" s="1107"/>
      <c r="BJ20" s="1111">
        <f>+AP48</f>
        <v>40000</v>
      </c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</row>
    <row r="21" spans="2:204" s="815" customFormat="1" ht="18" customHeight="1" x14ac:dyDescent="0.25">
      <c r="B21" s="1070" t="s">
        <v>6</v>
      </c>
      <c r="C21" s="987"/>
      <c r="D21" s="921"/>
      <c r="E21" s="989">
        <f>+'-99-'!J73+'-99-'!J132</f>
        <v>-952203.17934824154</v>
      </c>
      <c r="F21" s="922">
        <f>+'-99-'!K73+'-99-'!K132</f>
        <v>-763909.59824282641</v>
      </c>
      <c r="G21" s="922">
        <f>+F21-E21</f>
        <v>188293.58110541513</v>
      </c>
      <c r="H21" s="1068"/>
      <c r="I21" s="1067"/>
      <c r="J21" s="989">
        <f t="shared" si="1"/>
        <v>188293.58110541513</v>
      </c>
      <c r="K21" s="922"/>
      <c r="L21" s="922"/>
      <c r="M21" s="921"/>
      <c r="N21" s="921"/>
      <c r="O21" s="922"/>
      <c r="P21" s="921"/>
      <c r="Q21" s="921"/>
      <c r="R21" s="921"/>
      <c r="S21" s="922"/>
      <c r="T21" s="989"/>
      <c r="U21" s="989"/>
      <c r="V21" s="921"/>
      <c r="W21" s="921"/>
      <c r="X21" s="921"/>
      <c r="Y21" s="921"/>
      <c r="Z21" s="921"/>
      <c r="AA21" s="921"/>
      <c r="AB21" s="921"/>
      <c r="AC21" s="922"/>
      <c r="AD21" s="921"/>
      <c r="AE21" s="922">
        <f>+'-99-'!P143</f>
        <v>435000</v>
      </c>
      <c r="AF21" s="922">
        <f>+J21-AE21</f>
        <v>-246706.41889458487</v>
      </c>
      <c r="AG21" s="921"/>
      <c r="AH21" s="988"/>
      <c r="AI21" s="816">
        <f t="shared" si="2"/>
        <v>0</v>
      </c>
      <c r="AK21" s="827"/>
      <c r="AL21" s="827"/>
      <c r="AM21" s="827"/>
      <c r="AN21" s="827"/>
      <c r="AO21" s="827"/>
      <c r="AP21" s="827"/>
      <c r="AQ21" s="1092"/>
      <c r="AR21" s="1092"/>
      <c r="AS21" s="1092"/>
      <c r="AT21" s="1092"/>
      <c r="AU21" s="1092"/>
      <c r="AV21" s="1092"/>
      <c r="AX21" s="1106" t="s">
        <v>994</v>
      </c>
      <c r="AY21" s="1107"/>
      <c r="AZ21" s="1107"/>
      <c r="BA21" s="1107"/>
      <c r="BB21" s="1107"/>
      <c r="BC21" s="1111">
        <f>+X54</f>
        <v>-50000</v>
      </c>
      <c r="BE21" s="1106" t="s">
        <v>1089</v>
      </c>
      <c r="BF21" s="1107"/>
      <c r="BG21" s="1107"/>
      <c r="BH21" s="1107"/>
      <c r="BI21" s="1107"/>
      <c r="BJ21" s="1111">
        <f>+AP52</f>
        <v>50680.966812744788</v>
      </c>
      <c r="BM21" s="816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</row>
    <row r="22" spans="2:204" s="815" customFormat="1" ht="18" customHeight="1" x14ac:dyDescent="0.25">
      <c r="B22" s="1070" t="s">
        <v>433</v>
      </c>
      <c r="C22" s="987"/>
      <c r="D22" s="921"/>
      <c r="E22" s="989">
        <f>+'-102-'!I9+'-102-'!I10</f>
        <v>-240249.05704462773</v>
      </c>
      <c r="F22" s="922">
        <f>+'-102-'!J9+'-102-'!J10</f>
        <v>-69134.282969720211</v>
      </c>
      <c r="G22" s="922">
        <f>+F22-E22</f>
        <v>171114.77407490753</v>
      </c>
      <c r="H22" s="1068">
        <f>+AO58+AO61</f>
        <v>171114.77407490753</v>
      </c>
      <c r="I22" s="1067"/>
      <c r="J22" s="989">
        <f t="shared" si="1"/>
        <v>0</v>
      </c>
      <c r="K22" s="922"/>
      <c r="L22" s="922"/>
      <c r="M22" s="921"/>
      <c r="N22" s="921"/>
      <c r="O22" s="922"/>
      <c r="P22" s="921"/>
      <c r="Q22" s="921"/>
      <c r="R22" s="922"/>
      <c r="S22" s="922"/>
      <c r="T22" s="989"/>
      <c r="U22" s="989"/>
      <c r="V22" s="921"/>
      <c r="W22" s="921"/>
      <c r="X22" s="921"/>
      <c r="Y22" s="921"/>
      <c r="Z22" s="921"/>
      <c r="AA22" s="921"/>
      <c r="AB22" s="921"/>
      <c r="AC22" s="922"/>
      <c r="AD22" s="921"/>
      <c r="AE22" s="922"/>
      <c r="AF22" s="922"/>
      <c r="AG22" s="922"/>
      <c r="AH22" s="989"/>
      <c r="AI22" s="816">
        <f t="shared" si="2"/>
        <v>0</v>
      </c>
      <c r="AK22" s="827" t="s">
        <v>432</v>
      </c>
      <c r="AL22" s="827"/>
      <c r="AM22" s="827"/>
      <c r="AN22" s="827"/>
      <c r="AO22" s="828">
        <f>+AP23</f>
        <v>4500</v>
      </c>
      <c r="AP22" s="827"/>
      <c r="AQ22" s="1092" t="s">
        <v>958</v>
      </c>
      <c r="AR22" s="1092"/>
      <c r="AS22" s="1092"/>
      <c r="AT22" s="1092"/>
      <c r="AU22" s="1092"/>
      <c r="AV22" s="1092"/>
      <c r="AX22" s="1106" t="s">
        <v>1076</v>
      </c>
      <c r="AY22" s="1107"/>
      <c r="AZ22" s="1107"/>
      <c r="BA22" s="1107"/>
      <c r="BB22" s="1107"/>
      <c r="BC22" s="1111">
        <f>+Y54</f>
        <v>-15000</v>
      </c>
      <c r="BE22" s="1106" t="s">
        <v>1088</v>
      </c>
      <c r="BF22" s="1107"/>
      <c r="BG22" s="1107"/>
      <c r="BH22" s="1107"/>
      <c r="BI22" s="1107"/>
      <c r="BJ22" s="1111">
        <f>+AP53</f>
        <v>14336.452937563443</v>
      </c>
      <c r="BM22" s="816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</row>
    <row r="23" spans="2:204" s="815" customFormat="1" ht="18" customHeight="1" x14ac:dyDescent="0.25">
      <c r="B23" s="1075" t="s">
        <v>7</v>
      </c>
      <c r="C23" s="1071"/>
      <c r="D23" s="1072"/>
      <c r="E23" s="1074">
        <v>-2080000</v>
      </c>
      <c r="F23" s="1073">
        <v>-1900000</v>
      </c>
      <c r="G23" s="1073">
        <f t="shared" si="0"/>
        <v>180000</v>
      </c>
      <c r="H23" s="1068">
        <f>+AO28+AO31</f>
        <v>110000</v>
      </c>
      <c r="I23" s="1067"/>
      <c r="J23" s="1074">
        <f t="shared" si="1"/>
        <v>70000</v>
      </c>
      <c r="K23" s="1073"/>
      <c r="L23" s="1073"/>
      <c r="M23" s="1072"/>
      <c r="N23" s="1072"/>
      <c r="O23" s="1072"/>
      <c r="P23" s="1072"/>
      <c r="Q23" s="1072"/>
      <c r="R23" s="1072"/>
      <c r="S23" s="1073"/>
      <c r="T23" s="1074"/>
      <c r="U23" s="1074"/>
      <c r="V23" s="1072"/>
      <c r="W23" s="1072"/>
      <c r="X23" s="1072"/>
      <c r="Y23" s="1072"/>
      <c r="Z23" s="1072"/>
      <c r="AA23" s="1072"/>
      <c r="AB23" s="1072"/>
      <c r="AC23" s="1072"/>
      <c r="AD23" s="1072"/>
      <c r="AE23" s="1072"/>
      <c r="AF23" s="1072"/>
      <c r="AG23" s="1073">
        <f>+J23</f>
        <v>70000</v>
      </c>
      <c r="AH23" s="1074"/>
      <c r="AI23" s="816">
        <f t="shared" si="2"/>
        <v>0</v>
      </c>
      <c r="AK23" s="827" t="s">
        <v>827</v>
      </c>
      <c r="AL23" s="827"/>
      <c r="AM23" s="827"/>
      <c r="AN23" s="827"/>
      <c r="AO23" s="827"/>
      <c r="AP23" s="828">
        <f>+'-89-'!D17</f>
        <v>4500</v>
      </c>
      <c r="AQ23" s="1092"/>
      <c r="AR23" s="1092"/>
      <c r="AS23" s="1092"/>
      <c r="AT23" s="1092"/>
      <c r="AU23" s="1092"/>
      <c r="AV23" s="1092"/>
      <c r="AX23" s="1106" t="s">
        <v>1077</v>
      </c>
      <c r="AY23" s="1107"/>
      <c r="AZ23" s="1107"/>
      <c r="BA23" s="1107"/>
      <c r="BB23" s="1107"/>
      <c r="BC23" s="1111">
        <f>+Z54</f>
        <v>-51000</v>
      </c>
      <c r="BE23" s="1106" t="s">
        <v>437</v>
      </c>
      <c r="BF23" s="1107"/>
      <c r="BG23" s="1107"/>
      <c r="BH23" s="1107"/>
      <c r="BI23" s="1107"/>
      <c r="BJ23" s="1111">
        <f>+AP56</f>
        <v>123000</v>
      </c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</row>
    <row r="24" spans="2:204" s="815" customFormat="1" ht="18" customHeight="1" x14ac:dyDescent="0.25">
      <c r="B24" s="1075" t="s">
        <v>185</v>
      </c>
      <c r="C24" s="1071"/>
      <c r="D24" s="1072"/>
      <c r="E24" s="1074">
        <f>+'-89-'!I17</f>
        <v>-350000</v>
      </c>
      <c r="F24" s="1073">
        <f>+'-89-'!J17</f>
        <v>0</v>
      </c>
      <c r="G24" s="1073">
        <f t="shared" si="0"/>
        <v>350000</v>
      </c>
      <c r="H24" s="1068">
        <f>+AO25</f>
        <v>500000</v>
      </c>
      <c r="I24" s="1067">
        <f>+AP62</f>
        <v>150000</v>
      </c>
      <c r="J24" s="1074">
        <f t="shared" si="1"/>
        <v>0</v>
      </c>
      <c r="K24" s="1073"/>
      <c r="L24" s="1073"/>
      <c r="M24" s="1072"/>
      <c r="N24" s="1072"/>
      <c r="O24" s="1072"/>
      <c r="P24" s="1072"/>
      <c r="Q24" s="1072"/>
      <c r="R24" s="1072"/>
      <c r="S24" s="1073"/>
      <c r="T24" s="1074"/>
      <c r="U24" s="1074"/>
      <c r="V24" s="1072"/>
      <c r="W24" s="1072"/>
      <c r="X24" s="1072"/>
      <c r="Y24" s="1072"/>
      <c r="Z24" s="1072"/>
      <c r="AA24" s="1072"/>
      <c r="AB24" s="1072"/>
      <c r="AC24" s="1072"/>
      <c r="AD24" s="1072"/>
      <c r="AE24" s="1072"/>
      <c r="AF24" s="1072"/>
      <c r="AG24" s="1072"/>
      <c r="AH24" s="1084"/>
      <c r="AI24" s="816">
        <f t="shared" si="2"/>
        <v>0</v>
      </c>
      <c r="AK24" s="827"/>
      <c r="AL24" s="827"/>
      <c r="AM24" s="827"/>
      <c r="AN24" s="827"/>
      <c r="AO24" s="827"/>
      <c r="AP24" s="827"/>
      <c r="AQ24" s="1092"/>
      <c r="AR24" s="1092"/>
      <c r="AS24" s="1092"/>
      <c r="AT24" s="1092"/>
      <c r="AU24" s="1092"/>
      <c r="AV24" s="1092"/>
      <c r="AX24" s="1106" t="s">
        <v>1079</v>
      </c>
      <c r="AY24" s="1107"/>
      <c r="AZ24" s="1107"/>
      <c r="BA24" s="1107"/>
      <c r="BB24" s="1107"/>
      <c r="BC24" s="1111">
        <f>+AA54</f>
        <v>2300</v>
      </c>
      <c r="BE24" s="1106" t="s">
        <v>150</v>
      </c>
      <c r="BF24" s="1107"/>
      <c r="BG24" s="1107"/>
      <c r="BH24" s="1107"/>
      <c r="BI24" s="1107"/>
      <c r="BJ24" s="1111">
        <f>+AP59</f>
        <v>21114.774074907531</v>
      </c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</row>
    <row r="25" spans="2:204" s="815" customFormat="1" ht="18" customHeight="1" x14ac:dyDescent="0.25">
      <c r="B25" s="1075" t="s">
        <v>8</v>
      </c>
      <c r="C25" s="1071"/>
      <c r="D25" s="1072"/>
      <c r="E25" s="1074">
        <v>-1183719</v>
      </c>
      <c r="F25" s="1073">
        <v>-1300000</v>
      </c>
      <c r="G25" s="1073">
        <f t="shared" si="0"/>
        <v>-116281</v>
      </c>
      <c r="H25" s="1068"/>
      <c r="I25" s="1069">
        <f>+AP32</f>
        <v>30000</v>
      </c>
      <c r="J25" s="1074">
        <f t="shared" si="1"/>
        <v>-86281</v>
      </c>
      <c r="K25" s="1073"/>
      <c r="L25" s="1073"/>
      <c r="M25" s="1072"/>
      <c r="N25" s="1072"/>
      <c r="O25" s="1072"/>
      <c r="P25" s="1072"/>
      <c r="Q25" s="1072"/>
      <c r="R25" s="1072"/>
      <c r="S25" s="1073"/>
      <c r="T25" s="1074"/>
      <c r="U25" s="1074"/>
      <c r="V25" s="1072"/>
      <c r="W25" s="1072"/>
      <c r="X25" s="1072"/>
      <c r="Y25" s="1072"/>
      <c r="Z25" s="1072"/>
      <c r="AA25" s="1072"/>
      <c r="AB25" s="1072"/>
      <c r="AC25" s="1072"/>
      <c r="AD25" s="1072"/>
      <c r="AE25" s="1072"/>
      <c r="AF25" s="1072"/>
      <c r="AG25" s="1072"/>
      <c r="AH25" s="1074">
        <f>+J25</f>
        <v>-86281</v>
      </c>
      <c r="AI25" s="816">
        <f t="shared" si="2"/>
        <v>0</v>
      </c>
      <c r="AK25" s="827" t="s">
        <v>185</v>
      </c>
      <c r="AL25" s="827"/>
      <c r="AM25" s="827"/>
      <c r="AN25" s="827"/>
      <c r="AO25" s="828">
        <f>+'-89-'!L17</f>
        <v>500000</v>
      </c>
      <c r="AP25" s="827"/>
      <c r="AQ25" s="1092" t="s">
        <v>959</v>
      </c>
      <c r="AR25" s="1092"/>
      <c r="AS25" s="1092"/>
      <c r="AT25" s="1092"/>
      <c r="AU25" s="1092"/>
      <c r="AV25" s="1092"/>
      <c r="AX25" s="1106" t="s">
        <v>995</v>
      </c>
      <c r="AY25" s="1107"/>
      <c r="AZ25" s="1107"/>
      <c r="BA25" s="1107"/>
      <c r="BB25" s="1107"/>
      <c r="BC25" s="1111">
        <f>+AB54</f>
        <v>43200</v>
      </c>
      <c r="BE25" s="1109" t="s">
        <v>1095</v>
      </c>
      <c r="BF25" s="1107"/>
      <c r="BG25" s="1107"/>
      <c r="BH25" s="1107"/>
      <c r="BI25" s="1107"/>
      <c r="BJ25" s="1111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</row>
    <row r="26" spans="2:204" s="815" customFormat="1" ht="18" customHeight="1" x14ac:dyDescent="0.25">
      <c r="B26" s="912" t="s">
        <v>914</v>
      </c>
      <c r="C26" s="827"/>
      <c r="D26" s="855"/>
      <c r="E26" s="954">
        <f>+'-85-'!I18+'-85-'!I19+'-85-'!I20</f>
        <v>-790000</v>
      </c>
      <c r="F26" s="853"/>
      <c r="G26" s="853">
        <f t="shared" si="0"/>
        <v>790000</v>
      </c>
      <c r="H26" s="1068">
        <f>+AO10+AO13</f>
        <v>190000</v>
      </c>
      <c r="I26" s="1069"/>
      <c r="J26" s="954">
        <f t="shared" si="1"/>
        <v>600000</v>
      </c>
      <c r="K26" s="853">
        <f>+J26*(1+18%)</f>
        <v>708000</v>
      </c>
      <c r="L26" s="853"/>
      <c r="M26" s="855"/>
      <c r="N26" s="855"/>
      <c r="O26" s="855"/>
      <c r="P26" s="855"/>
      <c r="Q26" s="855"/>
      <c r="R26" s="855"/>
      <c r="S26" s="853">
        <v>-108000</v>
      </c>
      <c r="T26" s="954"/>
      <c r="U26" s="954"/>
      <c r="V26" s="855"/>
      <c r="W26" s="855"/>
      <c r="X26" s="855"/>
      <c r="Y26" s="855"/>
      <c r="Z26" s="855"/>
      <c r="AA26" s="855"/>
      <c r="AB26" s="855"/>
      <c r="AC26" s="855"/>
      <c r="AD26" s="855"/>
      <c r="AE26" s="855"/>
      <c r="AF26" s="855"/>
      <c r="AG26" s="855"/>
      <c r="AH26" s="953"/>
      <c r="AI26" s="816">
        <f t="shared" si="2"/>
        <v>0</v>
      </c>
      <c r="AK26" s="827" t="s">
        <v>432</v>
      </c>
      <c r="AL26" s="827"/>
      <c r="AM26" s="827"/>
      <c r="AN26" s="827"/>
      <c r="AO26" s="827"/>
      <c r="AP26" s="828">
        <f>+AO25</f>
        <v>500000</v>
      </c>
      <c r="AQ26" s="1092" t="s">
        <v>960</v>
      </c>
      <c r="AR26" s="1092"/>
      <c r="AS26" s="1092"/>
      <c r="AT26" s="1092"/>
      <c r="AU26" s="1092"/>
      <c r="AV26" s="1092"/>
      <c r="AX26" s="1112" t="s">
        <v>719</v>
      </c>
      <c r="AY26" s="1008"/>
      <c r="AZ26" s="1008"/>
      <c r="BA26" s="1008"/>
      <c r="BB26" s="1008"/>
      <c r="BC26" s="1113"/>
      <c r="BE26" s="1106" t="s">
        <v>1001</v>
      </c>
      <c r="BF26" s="1107"/>
      <c r="BG26" s="1107"/>
      <c r="BH26" s="1107"/>
      <c r="BI26" s="1107"/>
      <c r="BJ26" s="1111">
        <f>-AA40</f>
        <v>-2300</v>
      </c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</row>
    <row r="27" spans="2:204" s="815" customFormat="1" ht="18" customHeight="1" x14ac:dyDescent="0.25">
      <c r="B27" s="912" t="s">
        <v>10</v>
      </c>
      <c r="C27" s="827"/>
      <c r="D27" s="855"/>
      <c r="E27" s="954"/>
      <c r="F27" s="855"/>
      <c r="G27" s="853"/>
      <c r="H27" s="1068"/>
      <c r="I27" s="1069"/>
      <c r="J27" s="954">
        <f t="shared" si="1"/>
        <v>0</v>
      </c>
      <c r="K27" s="853"/>
      <c r="L27" s="853"/>
      <c r="M27" s="855"/>
      <c r="N27" s="855"/>
      <c r="O27" s="855"/>
      <c r="P27" s="855"/>
      <c r="Q27" s="855"/>
      <c r="R27" s="855"/>
      <c r="S27" s="853"/>
      <c r="T27" s="954"/>
      <c r="U27" s="954"/>
      <c r="V27" s="855"/>
      <c r="W27" s="855"/>
      <c r="X27" s="855"/>
      <c r="Y27" s="855"/>
      <c r="Z27" s="855"/>
      <c r="AA27" s="855"/>
      <c r="AB27" s="855"/>
      <c r="AC27" s="855"/>
      <c r="AD27" s="855"/>
      <c r="AE27" s="855"/>
      <c r="AF27" s="855"/>
      <c r="AG27" s="855"/>
      <c r="AH27" s="953"/>
      <c r="AI27" s="816">
        <f t="shared" si="2"/>
        <v>0</v>
      </c>
      <c r="AK27" s="827"/>
      <c r="AL27" s="827"/>
      <c r="AM27" s="827"/>
      <c r="AN27" s="827"/>
      <c r="AO27" s="827"/>
      <c r="AP27" s="827"/>
      <c r="AQ27" s="1092"/>
      <c r="AR27" s="1092"/>
      <c r="AS27" s="1092"/>
      <c r="AT27" s="1092"/>
      <c r="AU27" s="1092"/>
      <c r="AV27" s="1092"/>
      <c r="AX27" s="1112" t="s">
        <v>721</v>
      </c>
      <c r="AY27" s="1008"/>
      <c r="AZ27" s="1008"/>
      <c r="BA27" s="1008"/>
      <c r="BB27" s="1008"/>
      <c r="BC27" s="1113">
        <f>SUM(BC17:BC25)</f>
        <v>-292500</v>
      </c>
      <c r="BE27" s="1106" t="s">
        <v>1093</v>
      </c>
      <c r="BF27" s="1107"/>
      <c r="BG27" s="1107"/>
      <c r="BH27" s="1107"/>
      <c r="BI27" s="1107"/>
      <c r="BJ27" s="1111">
        <f>-AB43</f>
        <v>-43200</v>
      </c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</row>
    <row r="28" spans="2:204" s="815" customFormat="1" ht="18" customHeight="1" x14ac:dyDescent="0.25">
      <c r="B28" s="940" t="s">
        <v>754</v>
      </c>
      <c r="C28" s="827"/>
      <c r="D28" s="855"/>
      <c r="E28" s="954"/>
      <c r="F28" s="855"/>
      <c r="G28" s="853"/>
      <c r="H28" s="1068"/>
      <c r="I28" s="1069"/>
      <c r="J28" s="954">
        <f t="shared" si="1"/>
        <v>0</v>
      </c>
      <c r="K28" s="853"/>
      <c r="L28" s="853"/>
      <c r="M28" s="855"/>
      <c r="N28" s="855"/>
      <c r="O28" s="855"/>
      <c r="P28" s="855"/>
      <c r="Q28" s="855"/>
      <c r="R28" s="855"/>
      <c r="S28" s="853"/>
      <c r="T28" s="954"/>
      <c r="U28" s="954"/>
      <c r="V28" s="855"/>
      <c r="W28" s="855"/>
      <c r="X28" s="855"/>
      <c r="Y28" s="855"/>
      <c r="Z28" s="855"/>
      <c r="AA28" s="855"/>
      <c r="AB28" s="855"/>
      <c r="AC28" s="855"/>
      <c r="AD28" s="855"/>
      <c r="AE28" s="855"/>
      <c r="AF28" s="855"/>
      <c r="AG28" s="855"/>
      <c r="AH28" s="953"/>
      <c r="AI28" s="816">
        <f t="shared" si="2"/>
        <v>0</v>
      </c>
      <c r="AK28" s="827" t="s">
        <v>7</v>
      </c>
      <c r="AL28" s="827"/>
      <c r="AM28" s="827"/>
      <c r="AN28" s="827"/>
      <c r="AO28" s="828">
        <f>+'-89-'!L16</f>
        <v>80000</v>
      </c>
      <c r="AP28" s="827"/>
      <c r="AQ28" s="1092" t="s">
        <v>961</v>
      </c>
      <c r="AR28" s="1092"/>
      <c r="AS28" s="1092"/>
      <c r="AT28" s="1092"/>
      <c r="AU28" s="1092"/>
      <c r="AV28" s="1092"/>
      <c r="AX28" s="1109" t="s">
        <v>74</v>
      </c>
      <c r="AY28" s="1107"/>
      <c r="AZ28" s="1107"/>
      <c r="BA28" s="1107"/>
      <c r="BB28" s="1107"/>
      <c r="BC28" s="1110"/>
      <c r="BE28" s="1106" t="s">
        <v>840</v>
      </c>
      <c r="BF28" s="1107"/>
      <c r="BG28" s="1107"/>
      <c r="BH28" s="1107"/>
      <c r="BI28" s="1107"/>
      <c r="BJ28" s="1111">
        <f>-U44</f>
        <v>-6000</v>
      </c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</row>
    <row r="29" spans="2:204" s="815" customFormat="1" ht="18" customHeight="1" x14ac:dyDescent="0.25">
      <c r="B29" s="975" t="s">
        <v>749</v>
      </c>
      <c r="C29" s="827"/>
      <c r="D29" s="855"/>
      <c r="E29" s="954">
        <f>+'-83-'!I17</f>
        <v>115000</v>
      </c>
      <c r="F29" s="855"/>
      <c r="G29" s="853">
        <f t="shared" si="0"/>
        <v>-115000</v>
      </c>
      <c r="H29" s="1068"/>
      <c r="I29" s="1069"/>
      <c r="J29" s="954">
        <f t="shared" si="1"/>
        <v>-115000</v>
      </c>
      <c r="K29" s="853"/>
      <c r="L29" s="853"/>
      <c r="M29" s="855"/>
      <c r="N29" s="853">
        <f>+J29</f>
        <v>-115000</v>
      </c>
      <c r="O29" s="855"/>
      <c r="P29" s="855"/>
      <c r="Q29" s="855"/>
      <c r="R29" s="855"/>
      <c r="S29" s="853"/>
      <c r="T29" s="954"/>
      <c r="U29" s="954"/>
      <c r="V29" s="855"/>
      <c r="W29" s="855"/>
      <c r="X29" s="855"/>
      <c r="Y29" s="855"/>
      <c r="Z29" s="855"/>
      <c r="AA29" s="855"/>
      <c r="AB29" s="855"/>
      <c r="AC29" s="855"/>
      <c r="AD29" s="855"/>
      <c r="AE29" s="855"/>
      <c r="AF29" s="855"/>
      <c r="AG29" s="855"/>
      <c r="AH29" s="953"/>
      <c r="AI29" s="816">
        <f t="shared" si="2"/>
        <v>0</v>
      </c>
      <c r="AK29" s="827" t="s">
        <v>432</v>
      </c>
      <c r="AL29" s="827"/>
      <c r="AM29" s="827"/>
      <c r="AN29" s="827"/>
      <c r="AO29" s="827"/>
      <c r="AP29" s="828">
        <f>+AO28</f>
        <v>80000</v>
      </c>
      <c r="AQ29" s="1092" t="s">
        <v>962</v>
      </c>
      <c r="AR29" s="1092"/>
      <c r="AS29" s="1092"/>
      <c r="AT29" s="1092"/>
      <c r="AU29" s="1092"/>
      <c r="AV29" s="1092"/>
      <c r="AX29" s="1106" t="s">
        <v>996</v>
      </c>
      <c r="AY29" s="1107"/>
      <c r="AZ29" s="1107"/>
      <c r="BA29" s="1107"/>
      <c r="BB29" s="1107"/>
      <c r="BC29" s="1111">
        <f>+AC54</f>
        <v>-45663.547062436555</v>
      </c>
      <c r="BE29" s="1106" t="s">
        <v>1094</v>
      </c>
      <c r="BF29" s="1107"/>
      <c r="BG29" s="1107"/>
      <c r="BH29" s="1107"/>
      <c r="BI29" s="1107"/>
      <c r="BJ29" s="1111">
        <f>-Z46</f>
        <v>1000</v>
      </c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</row>
    <row r="30" spans="2:204" s="815" customFormat="1" ht="18" customHeight="1" x14ac:dyDescent="0.25">
      <c r="B30" s="975" t="s">
        <v>750</v>
      </c>
      <c r="C30" s="827"/>
      <c r="D30" s="855"/>
      <c r="E30" s="954">
        <f>+'-83-'!I18</f>
        <v>65000</v>
      </c>
      <c r="F30" s="855"/>
      <c r="G30" s="853">
        <f t="shared" si="0"/>
        <v>-65000</v>
      </c>
      <c r="H30" s="1068"/>
      <c r="I30" s="1069"/>
      <c r="J30" s="954">
        <f t="shared" si="1"/>
        <v>-65000</v>
      </c>
      <c r="K30" s="853"/>
      <c r="L30" s="853">
        <f>+J30*(1+18%)</f>
        <v>-76700</v>
      </c>
      <c r="M30" s="855"/>
      <c r="N30" s="855"/>
      <c r="O30" s="855"/>
      <c r="P30" s="855"/>
      <c r="Q30" s="855"/>
      <c r="R30" s="855"/>
      <c r="S30" s="853">
        <v>11700</v>
      </c>
      <c r="T30" s="954"/>
      <c r="U30" s="954"/>
      <c r="V30" s="855"/>
      <c r="W30" s="855"/>
      <c r="X30" s="855"/>
      <c r="Y30" s="855"/>
      <c r="Z30" s="855"/>
      <c r="AA30" s="855"/>
      <c r="AB30" s="855"/>
      <c r="AC30" s="855"/>
      <c r="AD30" s="855"/>
      <c r="AE30" s="855"/>
      <c r="AF30" s="855"/>
      <c r="AG30" s="855"/>
      <c r="AH30" s="953"/>
      <c r="AI30" s="816">
        <f t="shared" si="2"/>
        <v>0</v>
      </c>
      <c r="AK30" s="827"/>
      <c r="AL30" s="827"/>
      <c r="AM30" s="827"/>
      <c r="AN30" s="827"/>
      <c r="AO30" s="827"/>
      <c r="AP30" s="827"/>
      <c r="AQ30" s="1092"/>
      <c r="AR30" s="1092"/>
      <c r="AS30" s="1092"/>
      <c r="AT30" s="1092"/>
      <c r="AU30" s="1092"/>
      <c r="AV30" s="1092"/>
      <c r="AX30" s="1106" t="s">
        <v>997</v>
      </c>
      <c r="AY30" s="1107"/>
      <c r="AZ30" s="1107"/>
      <c r="BA30" s="1107"/>
      <c r="BB30" s="1107"/>
      <c r="BC30" s="1111">
        <f>+AD54</f>
        <v>-30000</v>
      </c>
      <c r="BE30" s="1106"/>
      <c r="BF30" s="1107"/>
      <c r="BG30" s="1107"/>
      <c r="BH30" s="1107"/>
      <c r="BI30" s="1107"/>
      <c r="BJ30" s="1111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</row>
    <row r="31" spans="2:204" ht="18" customHeight="1" x14ac:dyDescent="0.25">
      <c r="B31" s="975" t="s">
        <v>753</v>
      </c>
      <c r="C31" s="827"/>
      <c r="D31" s="855"/>
      <c r="E31" s="954">
        <f>+'-83-'!I19</f>
        <v>10000</v>
      </c>
      <c r="F31" s="855"/>
      <c r="G31" s="853">
        <f t="shared" si="0"/>
        <v>-10000</v>
      </c>
      <c r="H31" s="1068"/>
      <c r="I31" s="1069"/>
      <c r="J31" s="954">
        <f t="shared" si="1"/>
        <v>-10000</v>
      </c>
      <c r="K31" s="853"/>
      <c r="L31" s="853"/>
      <c r="M31" s="855"/>
      <c r="N31" s="855"/>
      <c r="O31" s="855"/>
      <c r="P31" s="855"/>
      <c r="Q31" s="855"/>
      <c r="R31" s="855"/>
      <c r="S31" s="853">
        <f>+J31</f>
        <v>-10000</v>
      </c>
      <c r="T31" s="954"/>
      <c r="U31" s="954"/>
      <c r="V31" s="855"/>
      <c r="W31" s="855"/>
      <c r="X31" s="855"/>
      <c r="Y31" s="855"/>
      <c r="Z31" s="855"/>
      <c r="AA31" s="855"/>
      <c r="AB31" s="855"/>
      <c r="AC31" s="855"/>
      <c r="AD31" s="855"/>
      <c r="AE31" s="855"/>
      <c r="AF31" s="855"/>
      <c r="AG31" s="855"/>
      <c r="AH31" s="953"/>
      <c r="AI31" s="816">
        <f t="shared" si="2"/>
        <v>0</v>
      </c>
      <c r="AK31" s="827" t="s">
        <v>7</v>
      </c>
      <c r="AL31" s="827"/>
      <c r="AM31" s="827"/>
      <c r="AN31" s="827"/>
      <c r="AO31" s="828">
        <f>+'-103-'!D9</f>
        <v>30000</v>
      </c>
      <c r="AP31" s="827"/>
      <c r="AQ31" s="1092" t="s">
        <v>1073</v>
      </c>
      <c r="AR31" s="1092"/>
      <c r="AS31" s="1092"/>
      <c r="AT31" s="1092"/>
      <c r="AU31" s="1092"/>
      <c r="AV31" s="1092"/>
      <c r="AX31" s="1106" t="s">
        <v>282</v>
      </c>
      <c r="AY31" s="1107"/>
      <c r="AZ31" s="1107"/>
      <c r="BA31" s="1107"/>
      <c r="BB31" s="1107"/>
      <c r="BC31" s="1111">
        <f>+AE54</f>
        <v>435000</v>
      </c>
      <c r="BE31" s="1109" t="s">
        <v>1090</v>
      </c>
      <c r="BF31" s="1107"/>
      <c r="BG31" s="1107"/>
      <c r="BH31" s="1107"/>
      <c r="BI31" s="1107"/>
      <c r="BJ31" s="1111"/>
    </row>
    <row r="32" spans="2:204" ht="18" customHeight="1" x14ac:dyDescent="0.25">
      <c r="B32" s="940" t="s">
        <v>755</v>
      </c>
      <c r="C32" s="827"/>
      <c r="D32" s="855"/>
      <c r="E32" s="954">
        <f>+'-83-'!I20</f>
        <v>62000</v>
      </c>
      <c r="F32" s="855"/>
      <c r="G32" s="853">
        <f t="shared" si="0"/>
        <v>-62000</v>
      </c>
      <c r="H32" s="1068"/>
      <c r="I32" s="1069"/>
      <c r="J32" s="954">
        <f t="shared" si="1"/>
        <v>-62000</v>
      </c>
      <c r="K32" s="853"/>
      <c r="L32" s="853">
        <f>+J32*(1+18%)</f>
        <v>-73160</v>
      </c>
      <c r="M32" s="855"/>
      <c r="N32" s="855"/>
      <c r="O32" s="855"/>
      <c r="P32" s="855"/>
      <c r="Q32" s="855"/>
      <c r="R32" s="855"/>
      <c r="S32" s="853">
        <v>11160</v>
      </c>
      <c r="T32" s="954"/>
      <c r="U32" s="954"/>
      <c r="V32" s="855"/>
      <c r="W32" s="855"/>
      <c r="X32" s="855"/>
      <c r="Y32" s="855"/>
      <c r="Z32" s="855"/>
      <c r="AA32" s="855"/>
      <c r="AB32" s="855"/>
      <c r="AC32" s="855"/>
      <c r="AD32" s="855"/>
      <c r="AE32" s="855"/>
      <c r="AF32" s="855"/>
      <c r="AG32" s="855"/>
      <c r="AH32" s="953"/>
      <c r="AI32" s="816">
        <f t="shared" si="2"/>
        <v>0</v>
      </c>
      <c r="AK32" s="827" t="s">
        <v>8</v>
      </c>
      <c r="AL32" s="827"/>
      <c r="AM32" s="827"/>
      <c r="AN32" s="827"/>
      <c r="AO32" s="827"/>
      <c r="AP32" s="828">
        <f>+AO31</f>
        <v>30000</v>
      </c>
      <c r="AQ32" s="1092"/>
      <c r="AR32" s="1092"/>
      <c r="AS32" s="1092"/>
      <c r="AT32" s="1092"/>
      <c r="AU32" s="1092"/>
      <c r="AV32" s="1092"/>
      <c r="AX32" s="1106" t="s">
        <v>998</v>
      </c>
      <c r="AY32" s="1107"/>
      <c r="AZ32" s="1107"/>
      <c r="BA32" s="1107"/>
      <c r="BB32" s="1107"/>
      <c r="BC32" s="1111">
        <f>+AF54</f>
        <v>-246706.41889458487</v>
      </c>
      <c r="BE32" s="1106" t="s">
        <v>252</v>
      </c>
      <c r="BF32" s="1107"/>
      <c r="BG32" s="1107"/>
      <c r="BH32" s="1107"/>
      <c r="BI32" s="1107"/>
      <c r="BJ32" s="1111">
        <f>SUM(K6:S6)</f>
        <v>12000</v>
      </c>
    </row>
    <row r="33" spans="2:64" ht="18" customHeight="1" x14ac:dyDescent="0.25">
      <c r="B33" s="940" t="s">
        <v>756</v>
      </c>
      <c r="C33" s="827"/>
      <c r="D33" s="855"/>
      <c r="E33" s="954">
        <f>+'-83-'!I21</f>
        <v>12000</v>
      </c>
      <c r="F33" s="855"/>
      <c r="G33" s="853">
        <f t="shared" si="0"/>
        <v>-12000</v>
      </c>
      <c r="H33" s="1068"/>
      <c r="I33" s="1069">
        <f>+H7</f>
        <v>12000</v>
      </c>
      <c r="J33" s="954">
        <f t="shared" si="1"/>
        <v>0</v>
      </c>
      <c r="K33" s="853"/>
      <c r="L33" s="853"/>
      <c r="M33" s="855"/>
      <c r="N33" s="855"/>
      <c r="O33" s="855"/>
      <c r="P33" s="855"/>
      <c r="Q33" s="855"/>
      <c r="R33" s="855"/>
      <c r="S33" s="853"/>
      <c r="T33" s="954"/>
      <c r="U33" s="954"/>
      <c r="V33" s="855"/>
      <c r="W33" s="855"/>
      <c r="X33" s="855"/>
      <c r="Y33" s="855"/>
      <c r="Z33" s="855"/>
      <c r="AA33" s="855"/>
      <c r="AB33" s="855"/>
      <c r="AC33" s="855"/>
      <c r="AD33" s="855"/>
      <c r="AE33" s="855"/>
      <c r="AF33" s="855"/>
      <c r="AG33" s="855"/>
      <c r="AH33" s="953"/>
      <c r="AI33" s="816">
        <f t="shared" si="2"/>
        <v>0</v>
      </c>
      <c r="AK33" s="827"/>
      <c r="AL33" s="827"/>
      <c r="AM33" s="827"/>
      <c r="AN33" s="827"/>
      <c r="AO33" s="827"/>
      <c r="AP33" s="827"/>
      <c r="AQ33" s="1092"/>
      <c r="AR33" s="1092"/>
      <c r="AS33" s="1092"/>
      <c r="AT33" s="1092"/>
      <c r="AU33" s="1092"/>
      <c r="AV33" s="1092"/>
      <c r="AX33" s="1106" t="s">
        <v>999</v>
      </c>
      <c r="AY33" s="1107"/>
      <c r="AZ33" s="1107"/>
      <c r="BA33" s="1107"/>
      <c r="BB33" s="1107"/>
      <c r="BC33" s="1111">
        <f>+AG54</f>
        <v>70000</v>
      </c>
      <c r="BE33" s="1106" t="s">
        <v>674</v>
      </c>
      <c r="BF33" s="1107"/>
      <c r="BG33" s="1107"/>
      <c r="BH33" s="1107"/>
      <c r="BI33" s="1107"/>
      <c r="BJ33" s="1111">
        <f>SUM(K7:S7)</f>
        <v>-8000</v>
      </c>
    </row>
    <row r="34" spans="2:64" ht="18" customHeight="1" x14ac:dyDescent="0.25">
      <c r="B34" s="912" t="s">
        <v>929</v>
      </c>
      <c r="C34" s="827"/>
      <c r="D34" s="855"/>
      <c r="E34" s="954"/>
      <c r="F34" s="855"/>
      <c r="G34" s="853"/>
      <c r="H34" s="1068"/>
      <c r="I34" s="1069"/>
      <c r="J34" s="954">
        <f t="shared" si="1"/>
        <v>0</v>
      </c>
      <c r="K34" s="853"/>
      <c r="L34" s="853"/>
      <c r="M34" s="855"/>
      <c r="N34" s="855"/>
      <c r="O34" s="855"/>
      <c r="P34" s="855"/>
      <c r="Q34" s="855"/>
      <c r="R34" s="855"/>
      <c r="S34" s="853"/>
      <c r="T34" s="954"/>
      <c r="U34" s="954"/>
      <c r="V34" s="855"/>
      <c r="W34" s="855"/>
      <c r="X34" s="855"/>
      <c r="Y34" s="855"/>
      <c r="Z34" s="855"/>
      <c r="AA34" s="855"/>
      <c r="AB34" s="855"/>
      <c r="AC34" s="855"/>
      <c r="AD34" s="855"/>
      <c r="AE34" s="855"/>
      <c r="AF34" s="855"/>
      <c r="AG34" s="855"/>
      <c r="AH34" s="953"/>
      <c r="AI34" s="816">
        <f t="shared" si="2"/>
        <v>0</v>
      </c>
      <c r="AK34" s="827" t="s">
        <v>915</v>
      </c>
      <c r="AL34" s="827"/>
      <c r="AM34" s="827"/>
      <c r="AN34" s="827"/>
      <c r="AO34" s="828">
        <f>+'-89-'!L14</f>
        <v>120000</v>
      </c>
      <c r="AP34" s="827"/>
      <c r="AQ34" s="1092" t="s">
        <v>963</v>
      </c>
      <c r="AR34" s="1092"/>
      <c r="AS34" s="1092"/>
      <c r="AT34" s="1092"/>
      <c r="AU34" s="1092"/>
      <c r="AV34" s="1092"/>
      <c r="AX34" s="1106" t="s">
        <v>142</v>
      </c>
      <c r="AY34" s="1107"/>
      <c r="AZ34" s="1107"/>
      <c r="BA34" s="1107"/>
      <c r="BB34" s="1107"/>
      <c r="BC34" s="1111">
        <f>+AH54</f>
        <v>-86281</v>
      </c>
      <c r="BE34" s="1106" t="s">
        <v>249</v>
      </c>
      <c r="BF34" s="1107"/>
      <c r="BG34" s="1107"/>
      <c r="BH34" s="1107"/>
      <c r="BI34" s="1107"/>
      <c r="BJ34" s="1111">
        <f>SUM(K9:S9)</f>
        <v>998.56733893115597</v>
      </c>
    </row>
    <row r="35" spans="2:64" ht="18" customHeight="1" x14ac:dyDescent="0.25">
      <c r="B35" s="940" t="s">
        <v>930</v>
      </c>
      <c r="C35" s="827"/>
      <c r="D35" s="855"/>
      <c r="E35" s="954">
        <f>+'-96-'!I26</f>
        <v>20000</v>
      </c>
      <c r="F35" s="855"/>
      <c r="G35" s="853">
        <f t="shared" si="0"/>
        <v>-20000</v>
      </c>
      <c r="H35" s="1068"/>
      <c r="I35" s="1069"/>
      <c r="J35" s="954">
        <f t="shared" si="1"/>
        <v>-20000</v>
      </c>
      <c r="K35" s="853"/>
      <c r="L35" s="853"/>
      <c r="M35" s="855"/>
      <c r="N35" s="853">
        <f>+J35</f>
        <v>-20000</v>
      </c>
      <c r="O35" s="855"/>
      <c r="P35" s="855"/>
      <c r="Q35" s="855"/>
      <c r="R35" s="855"/>
      <c r="S35" s="853"/>
      <c r="T35" s="954"/>
      <c r="U35" s="954"/>
      <c r="V35" s="855"/>
      <c r="W35" s="855"/>
      <c r="X35" s="855"/>
      <c r="Y35" s="855"/>
      <c r="Z35" s="855"/>
      <c r="AA35" s="855"/>
      <c r="AB35" s="855"/>
      <c r="AC35" s="855"/>
      <c r="AD35" s="855"/>
      <c r="AE35" s="855"/>
      <c r="AF35" s="855"/>
      <c r="AG35" s="855"/>
      <c r="AH35" s="953"/>
      <c r="AI35" s="816">
        <f t="shared" si="2"/>
        <v>0</v>
      </c>
      <c r="AK35" s="827" t="s">
        <v>432</v>
      </c>
      <c r="AL35" s="827"/>
      <c r="AM35" s="827"/>
      <c r="AN35" s="827"/>
      <c r="AO35" s="827"/>
      <c r="AP35" s="828">
        <f>+AO34</f>
        <v>120000</v>
      </c>
      <c r="AQ35" s="1092" t="s">
        <v>964</v>
      </c>
      <c r="AR35" s="1092"/>
      <c r="AS35" s="1092"/>
      <c r="AT35" s="1092"/>
      <c r="AU35" s="1092"/>
      <c r="AV35" s="1092"/>
      <c r="AX35" s="1112" t="s">
        <v>719</v>
      </c>
      <c r="AY35" s="1008"/>
      <c r="AZ35" s="1008"/>
      <c r="BA35" s="1008"/>
      <c r="BB35" s="1008"/>
      <c r="BC35" s="1113"/>
      <c r="BE35" s="1106" t="s">
        <v>4</v>
      </c>
      <c r="BF35" s="1107"/>
      <c r="BG35" s="1107"/>
      <c r="BH35" s="1107"/>
      <c r="BI35" s="1107"/>
      <c r="BJ35" s="1111">
        <f>SUM(K15:S15)</f>
        <v>29300</v>
      </c>
      <c r="BL35" s="1187">
        <f>SUM(BJ32:BJ39)</f>
        <v>40962.114401367711</v>
      </c>
    </row>
    <row r="36" spans="2:64" ht="18" customHeight="1" x14ac:dyDescent="0.25">
      <c r="B36" s="912" t="s">
        <v>86</v>
      </c>
      <c r="C36" s="827"/>
      <c r="D36" s="855"/>
      <c r="E36" s="954"/>
      <c r="F36" s="855"/>
      <c r="G36" s="853"/>
      <c r="H36" s="1068"/>
      <c r="I36" s="1069"/>
      <c r="J36" s="954">
        <f t="shared" si="1"/>
        <v>0</v>
      </c>
      <c r="K36" s="853"/>
      <c r="L36" s="853"/>
      <c r="M36" s="855"/>
      <c r="N36" s="855"/>
      <c r="O36" s="855"/>
      <c r="P36" s="855"/>
      <c r="Q36" s="855"/>
      <c r="R36" s="855"/>
      <c r="S36" s="853"/>
      <c r="T36" s="954"/>
      <c r="U36" s="954"/>
      <c r="V36" s="855"/>
      <c r="W36" s="855"/>
      <c r="X36" s="855"/>
      <c r="Y36" s="855"/>
      <c r="Z36" s="855"/>
      <c r="AA36" s="855"/>
      <c r="AB36" s="855"/>
      <c r="AC36" s="855"/>
      <c r="AD36" s="855"/>
      <c r="AE36" s="855"/>
      <c r="AF36" s="855"/>
      <c r="AG36" s="855"/>
      <c r="AH36" s="953"/>
      <c r="AI36" s="816">
        <f t="shared" si="2"/>
        <v>0</v>
      </c>
      <c r="AK36" s="827"/>
      <c r="AL36" s="827"/>
      <c r="AM36" s="827"/>
      <c r="AN36" s="827"/>
      <c r="AO36" s="827"/>
      <c r="AP36" s="827"/>
      <c r="AQ36" s="1092" t="s">
        <v>965</v>
      </c>
      <c r="AR36" s="1092"/>
      <c r="AS36" s="1092"/>
      <c r="AT36" s="1092"/>
      <c r="AU36" s="1092"/>
      <c r="AV36" s="1092"/>
      <c r="AX36" s="1114" t="s">
        <v>722</v>
      </c>
      <c r="AY36" s="932"/>
      <c r="AZ36" s="932"/>
      <c r="BA36" s="932"/>
      <c r="BB36" s="932"/>
      <c r="BC36" s="1115">
        <f>SUM(BC29:BC34)</f>
        <v>96349.034042978543</v>
      </c>
      <c r="BE36" s="1106" t="s">
        <v>675</v>
      </c>
      <c r="BF36" s="1107"/>
      <c r="BG36" s="1107"/>
      <c r="BH36" s="1107"/>
      <c r="BI36" s="1107"/>
      <c r="BJ36" s="1111">
        <f>SUM(K16:S16)</f>
        <v>6000</v>
      </c>
    </row>
    <row r="37" spans="2:64" ht="18" customHeight="1" x14ac:dyDescent="0.25">
      <c r="B37" s="940" t="s">
        <v>930</v>
      </c>
      <c r="C37" s="827"/>
      <c r="D37" s="855"/>
      <c r="E37" s="954">
        <f>+'-96-'!I27</f>
        <v>8000</v>
      </c>
      <c r="F37" s="855"/>
      <c r="G37" s="853">
        <f t="shared" si="0"/>
        <v>-8000</v>
      </c>
      <c r="H37" s="1068"/>
      <c r="I37" s="1069"/>
      <c r="J37" s="954">
        <f t="shared" si="1"/>
        <v>-8000</v>
      </c>
      <c r="K37" s="853"/>
      <c r="L37" s="853"/>
      <c r="M37" s="855"/>
      <c r="N37" s="853">
        <f>+J37</f>
        <v>-8000</v>
      </c>
      <c r="O37" s="855"/>
      <c r="P37" s="855"/>
      <c r="Q37" s="855"/>
      <c r="R37" s="855"/>
      <c r="S37" s="853"/>
      <c r="T37" s="954"/>
      <c r="U37" s="954"/>
      <c r="V37" s="855"/>
      <c r="W37" s="855"/>
      <c r="X37" s="855"/>
      <c r="Y37" s="855"/>
      <c r="Z37" s="855"/>
      <c r="AA37" s="855"/>
      <c r="AB37" s="855"/>
      <c r="AC37" s="855"/>
      <c r="AD37" s="855"/>
      <c r="AE37" s="855"/>
      <c r="AF37" s="855"/>
      <c r="AG37" s="855"/>
      <c r="AH37" s="953"/>
      <c r="AI37" s="816">
        <f t="shared" si="2"/>
        <v>0</v>
      </c>
      <c r="AK37" s="827" t="s">
        <v>918</v>
      </c>
      <c r="AL37" s="827"/>
      <c r="AM37" s="827"/>
      <c r="AN37" s="827"/>
      <c r="AO37" s="828">
        <f>+'-90-'!L11</f>
        <v>135000</v>
      </c>
      <c r="AP37" s="827"/>
      <c r="AQ37" s="1092" t="s">
        <v>966</v>
      </c>
      <c r="AR37" s="1092"/>
      <c r="AS37" s="1092"/>
      <c r="AT37" s="1092"/>
      <c r="AU37" s="1092"/>
      <c r="AV37" s="1092"/>
      <c r="AX37" s="1116" t="s">
        <v>286</v>
      </c>
      <c r="AY37" s="861"/>
      <c r="AZ37" s="861"/>
      <c r="BA37" s="861"/>
      <c r="BB37" s="861"/>
      <c r="BC37" s="1117">
        <f>+BC15+BC27+BC36</f>
        <v>57119.000029930728</v>
      </c>
      <c r="BE37" s="1106" t="s">
        <v>1091</v>
      </c>
      <c r="BF37" s="1107"/>
      <c r="BG37" s="1107"/>
      <c r="BH37" s="1107"/>
      <c r="BI37" s="1107"/>
      <c r="BJ37" s="1111">
        <f>SUM(K17:S17)</f>
        <v>-105000</v>
      </c>
    </row>
    <row r="38" spans="2:64" ht="18" customHeight="1" x14ac:dyDescent="0.25">
      <c r="B38" s="912" t="s">
        <v>918</v>
      </c>
      <c r="C38" s="827"/>
      <c r="D38" s="855"/>
      <c r="E38" s="954">
        <f>+'-90-'!I11</f>
        <v>-135000</v>
      </c>
      <c r="F38" s="855"/>
      <c r="G38" s="853">
        <f t="shared" si="0"/>
        <v>135000</v>
      </c>
      <c r="H38" s="1068">
        <f>+AO37</f>
        <v>135000</v>
      </c>
      <c r="I38" s="1069"/>
      <c r="J38" s="954">
        <f t="shared" si="1"/>
        <v>0</v>
      </c>
      <c r="K38" s="853"/>
      <c r="L38" s="853"/>
      <c r="M38" s="855"/>
      <c r="N38" s="855"/>
      <c r="O38" s="855"/>
      <c r="P38" s="855"/>
      <c r="Q38" s="855"/>
      <c r="R38" s="855"/>
      <c r="S38" s="853"/>
      <c r="T38" s="954"/>
      <c r="U38" s="954"/>
      <c r="V38" s="855"/>
      <c r="W38" s="855"/>
      <c r="X38" s="855"/>
      <c r="Y38" s="855"/>
      <c r="Z38" s="855"/>
      <c r="AA38" s="855"/>
      <c r="AB38" s="855"/>
      <c r="AC38" s="855"/>
      <c r="AD38" s="855"/>
      <c r="AE38" s="855"/>
      <c r="AF38" s="855"/>
      <c r="AG38" s="855"/>
      <c r="AH38" s="953"/>
      <c r="AI38" s="816">
        <f t="shared" si="2"/>
        <v>0</v>
      </c>
      <c r="AK38" s="827" t="s">
        <v>917</v>
      </c>
      <c r="AL38" s="827"/>
      <c r="AM38" s="827"/>
      <c r="AN38" s="827"/>
      <c r="AO38" s="827"/>
      <c r="AP38" s="828">
        <f>+AO37</f>
        <v>135000</v>
      </c>
      <c r="AQ38" s="1092" t="s">
        <v>967</v>
      </c>
      <c r="AR38" s="1092"/>
      <c r="AS38" s="1092"/>
      <c r="AT38" s="1092"/>
      <c r="AU38" s="1092"/>
      <c r="AV38" s="1092"/>
      <c r="AX38" s="1112" t="s">
        <v>284</v>
      </c>
      <c r="AY38" s="1008"/>
      <c r="AZ38" s="1008"/>
      <c r="BA38" s="1008"/>
      <c r="BB38" s="1008"/>
      <c r="BC38" s="1113">
        <f>+'104-119'!F5</f>
        <v>338857</v>
      </c>
      <c r="BE38" s="1106" t="s">
        <v>913</v>
      </c>
      <c r="BF38" s="1107"/>
      <c r="BG38" s="1107"/>
      <c r="BH38" s="1107"/>
      <c r="BI38" s="1107"/>
      <c r="BJ38" s="1111">
        <f>SUM(K18:S18)</f>
        <v>120000</v>
      </c>
    </row>
    <row r="39" spans="2:64" ht="18" customHeight="1" x14ac:dyDescent="0.25">
      <c r="B39" s="912" t="s">
        <v>921</v>
      </c>
      <c r="C39" s="827"/>
      <c r="D39" s="855"/>
      <c r="E39" s="954">
        <f>+'-92-'!I19+'-92-'!I20</f>
        <v>-84000</v>
      </c>
      <c r="F39" s="855"/>
      <c r="G39" s="853">
        <f t="shared" ref="G39:G44" si="4">+F39-E39</f>
        <v>84000</v>
      </c>
      <c r="H39" s="1068">
        <f>+AO40</f>
        <v>84000</v>
      </c>
      <c r="I39" s="1069"/>
      <c r="J39" s="954">
        <f t="shared" si="1"/>
        <v>0</v>
      </c>
      <c r="K39" s="853"/>
      <c r="L39" s="853"/>
      <c r="M39" s="855"/>
      <c r="N39" s="855"/>
      <c r="O39" s="855"/>
      <c r="P39" s="855"/>
      <c r="Q39" s="855"/>
      <c r="R39" s="855"/>
      <c r="S39" s="853"/>
      <c r="T39" s="954"/>
      <c r="U39" s="954"/>
      <c r="V39" s="855"/>
      <c r="W39" s="855"/>
      <c r="X39" s="855"/>
      <c r="Y39" s="855"/>
      <c r="Z39" s="855"/>
      <c r="AA39" s="855"/>
      <c r="AB39" s="855"/>
      <c r="AC39" s="855"/>
      <c r="AD39" s="855"/>
      <c r="AE39" s="855"/>
      <c r="AF39" s="855"/>
      <c r="AG39" s="855"/>
      <c r="AH39" s="953"/>
      <c r="AI39" s="816">
        <f t="shared" si="2"/>
        <v>0</v>
      </c>
      <c r="AK39" s="827"/>
      <c r="AL39" s="827"/>
      <c r="AM39" s="827"/>
      <c r="AN39" s="827"/>
      <c r="AO39" s="827"/>
      <c r="AP39" s="827"/>
      <c r="AQ39" s="1092"/>
      <c r="AR39" s="1092"/>
      <c r="AS39" s="1092"/>
      <c r="AT39" s="1092"/>
      <c r="AU39" s="1092"/>
      <c r="AV39" s="1092"/>
      <c r="AX39" s="1011" t="s">
        <v>285</v>
      </c>
      <c r="AY39" s="1014"/>
      <c r="AZ39" s="1014"/>
      <c r="BA39" s="1014"/>
      <c r="BB39" s="1014"/>
      <c r="BC39" s="1118">
        <f>+BC37+BC38</f>
        <v>395976.00002993073</v>
      </c>
      <c r="BE39" s="1106" t="s">
        <v>1092</v>
      </c>
      <c r="BF39" s="1107"/>
      <c r="BG39" s="1107"/>
      <c r="BH39" s="1107"/>
      <c r="BI39" s="1107"/>
      <c r="BJ39" s="1111">
        <f>SUM(K20:S20)</f>
        <v>-14336.452937563443</v>
      </c>
    </row>
    <row r="40" spans="2:64" ht="18" customHeight="1" x14ac:dyDescent="0.25">
      <c r="B40" s="912" t="s">
        <v>925</v>
      </c>
      <c r="C40" s="827"/>
      <c r="D40" s="855"/>
      <c r="E40" s="954">
        <f>+'-93-'!I13</f>
        <v>-2300</v>
      </c>
      <c r="F40" s="855"/>
      <c r="G40" s="853">
        <f t="shared" si="4"/>
        <v>2300</v>
      </c>
      <c r="H40" s="1068"/>
      <c r="I40" s="1069"/>
      <c r="J40" s="954">
        <f t="shared" si="1"/>
        <v>2300</v>
      </c>
      <c r="K40" s="853"/>
      <c r="L40" s="853"/>
      <c r="M40" s="855"/>
      <c r="N40" s="855"/>
      <c r="O40" s="855"/>
      <c r="P40" s="855"/>
      <c r="Q40" s="855"/>
      <c r="R40" s="855"/>
      <c r="S40" s="853"/>
      <c r="T40" s="954"/>
      <c r="U40" s="954"/>
      <c r="V40" s="855"/>
      <c r="W40" s="855"/>
      <c r="X40" s="855"/>
      <c r="Y40" s="855"/>
      <c r="Z40" s="855"/>
      <c r="AA40" s="853">
        <f>+J40</f>
        <v>2300</v>
      </c>
      <c r="AB40" s="855"/>
      <c r="AC40" s="855"/>
      <c r="AD40" s="855"/>
      <c r="AE40" s="855"/>
      <c r="AF40" s="855"/>
      <c r="AG40" s="855"/>
      <c r="AH40" s="953"/>
      <c r="AI40" s="816">
        <f t="shared" si="2"/>
        <v>0</v>
      </c>
      <c r="AK40" s="827" t="s">
        <v>836</v>
      </c>
      <c r="AL40" s="827"/>
      <c r="AM40" s="827"/>
      <c r="AN40" s="827"/>
      <c r="AO40" s="828">
        <f>+'-92-'!L19+'-92-'!L20</f>
        <v>84000</v>
      </c>
      <c r="AP40" s="827"/>
      <c r="AQ40" s="1092" t="s">
        <v>968</v>
      </c>
      <c r="AR40" s="1092"/>
      <c r="AS40" s="1092"/>
      <c r="AT40" s="1092"/>
      <c r="AU40" s="1092"/>
      <c r="AV40" s="1092"/>
      <c r="BE40" s="1106"/>
      <c r="BF40" s="1107"/>
      <c r="BG40" s="1107"/>
      <c r="BH40" s="1107"/>
      <c r="BI40" s="1107"/>
      <c r="BJ40" s="1111"/>
    </row>
    <row r="41" spans="2:64" ht="18" customHeight="1" x14ac:dyDescent="0.25">
      <c r="B41" s="912" t="s">
        <v>926</v>
      </c>
      <c r="C41" s="827"/>
      <c r="D41" s="855"/>
      <c r="E41" s="954">
        <f>+'-94-'!I13</f>
        <v>-9801.4326610688258</v>
      </c>
      <c r="F41" s="855"/>
      <c r="G41" s="853">
        <f t="shared" si="4"/>
        <v>9801.4326610688258</v>
      </c>
      <c r="H41" s="1068"/>
      <c r="I41" s="1069"/>
      <c r="J41" s="954">
        <f t="shared" si="1"/>
        <v>9801.4326610688258</v>
      </c>
      <c r="K41" s="853"/>
      <c r="L41" s="853"/>
      <c r="M41" s="853">
        <f>+J41</f>
        <v>9801.4326610688258</v>
      </c>
      <c r="N41" s="855"/>
      <c r="O41" s="855"/>
      <c r="P41" s="855"/>
      <c r="Q41" s="855"/>
      <c r="R41" s="855"/>
      <c r="S41" s="853"/>
      <c r="T41" s="954"/>
      <c r="U41" s="954"/>
      <c r="V41" s="855"/>
      <c r="W41" s="855"/>
      <c r="X41" s="855"/>
      <c r="Y41" s="855"/>
      <c r="Z41" s="855"/>
      <c r="AA41" s="853"/>
      <c r="AB41" s="855"/>
      <c r="AC41" s="855"/>
      <c r="AD41" s="855"/>
      <c r="AE41" s="855"/>
      <c r="AF41" s="855"/>
      <c r="AG41" s="855"/>
      <c r="AH41" s="953"/>
      <c r="AI41" s="816">
        <f t="shared" si="2"/>
        <v>0</v>
      </c>
      <c r="AK41" s="827" t="s">
        <v>834</v>
      </c>
      <c r="AL41" s="827"/>
      <c r="AM41" s="827"/>
      <c r="AN41" s="827"/>
      <c r="AO41" s="827"/>
      <c r="AP41" s="828">
        <f>+'-92-'!M8</f>
        <v>62000</v>
      </c>
      <c r="AQ41" s="1092" t="s">
        <v>969</v>
      </c>
      <c r="AR41" s="1092"/>
      <c r="AS41" s="1092"/>
      <c r="AT41" s="1092"/>
      <c r="AU41" s="1092"/>
      <c r="AV41" s="1092"/>
      <c r="BE41" s="1112" t="s">
        <v>719</v>
      </c>
      <c r="BF41" s="1008"/>
      <c r="BG41" s="1008"/>
      <c r="BH41" s="1008"/>
      <c r="BI41" s="1008"/>
      <c r="BJ41" s="1113"/>
    </row>
    <row r="42" spans="2:64" ht="18" customHeight="1" x14ac:dyDescent="0.25">
      <c r="B42" s="912" t="s">
        <v>922</v>
      </c>
      <c r="C42" s="827"/>
      <c r="D42" s="855"/>
      <c r="E42" s="954">
        <f>+'-93-'!I14</f>
        <v>-3400</v>
      </c>
      <c r="F42" s="855"/>
      <c r="G42" s="853">
        <f t="shared" si="4"/>
        <v>3400</v>
      </c>
      <c r="H42" s="1068">
        <f>+AO44</f>
        <v>3400</v>
      </c>
      <c r="I42" s="1069"/>
      <c r="J42" s="954">
        <f t="shared" si="1"/>
        <v>0</v>
      </c>
      <c r="K42" s="853"/>
      <c r="L42" s="853"/>
      <c r="M42" s="855"/>
      <c r="N42" s="855"/>
      <c r="O42" s="855"/>
      <c r="P42" s="855"/>
      <c r="Q42" s="855"/>
      <c r="R42" s="855"/>
      <c r="S42" s="853"/>
      <c r="T42" s="954"/>
      <c r="U42" s="954"/>
      <c r="V42" s="855"/>
      <c r="W42" s="855"/>
      <c r="X42" s="855"/>
      <c r="Y42" s="855"/>
      <c r="Z42" s="855"/>
      <c r="AA42" s="855"/>
      <c r="AB42" s="855"/>
      <c r="AC42" s="855"/>
      <c r="AD42" s="855"/>
      <c r="AE42" s="855"/>
      <c r="AF42" s="855"/>
      <c r="AG42" s="855"/>
      <c r="AH42" s="953"/>
      <c r="AI42" s="816">
        <f t="shared" si="2"/>
        <v>0</v>
      </c>
      <c r="AK42" s="827" t="s">
        <v>919</v>
      </c>
      <c r="AL42" s="827"/>
      <c r="AM42" s="827"/>
      <c r="AN42" s="827"/>
      <c r="AO42" s="827"/>
      <c r="AP42" s="828">
        <f>+'-92-'!M9</f>
        <v>22000</v>
      </c>
      <c r="AQ42" s="1092"/>
      <c r="AR42" s="1092"/>
      <c r="AS42" s="1092"/>
      <c r="AT42" s="1092"/>
      <c r="AU42" s="1092"/>
      <c r="AV42" s="1092"/>
      <c r="BE42" s="1114" t="s">
        <v>720</v>
      </c>
      <c r="BF42" s="932"/>
      <c r="BG42" s="932"/>
      <c r="BH42" s="932"/>
      <c r="BI42" s="932"/>
      <c r="BJ42" s="1115">
        <f>SUM(BJ6:BJ40)</f>
        <v>253269.96598695216</v>
      </c>
    </row>
    <row r="43" spans="2:64" ht="18" customHeight="1" x14ac:dyDescent="0.25">
      <c r="B43" s="912" t="s">
        <v>857</v>
      </c>
      <c r="C43" s="827"/>
      <c r="D43" s="855"/>
      <c r="E43" s="954">
        <f>+'-93-'!I15</f>
        <v>-3200</v>
      </c>
      <c r="F43" s="855"/>
      <c r="G43" s="853">
        <f t="shared" si="4"/>
        <v>3200</v>
      </c>
      <c r="H43" s="1068"/>
      <c r="I43" s="1069">
        <f>+AP48</f>
        <v>40000</v>
      </c>
      <c r="J43" s="954">
        <f t="shared" si="1"/>
        <v>43200</v>
      </c>
      <c r="K43" s="853"/>
      <c r="L43" s="853"/>
      <c r="M43" s="855"/>
      <c r="N43" s="855"/>
      <c r="O43" s="855"/>
      <c r="P43" s="855"/>
      <c r="Q43" s="855"/>
      <c r="R43" s="855"/>
      <c r="S43" s="853"/>
      <c r="T43" s="954"/>
      <c r="U43" s="954"/>
      <c r="V43" s="855"/>
      <c r="W43" s="855"/>
      <c r="X43" s="855"/>
      <c r="Y43" s="855"/>
      <c r="Z43" s="855"/>
      <c r="AA43" s="855"/>
      <c r="AB43" s="853">
        <f>+J43</f>
        <v>43200</v>
      </c>
      <c r="AC43" s="855"/>
      <c r="AD43" s="855"/>
      <c r="AE43" s="855"/>
      <c r="AF43" s="855"/>
      <c r="AG43" s="855"/>
      <c r="AH43" s="953"/>
      <c r="AI43" s="816">
        <f t="shared" si="2"/>
        <v>0</v>
      </c>
      <c r="AK43" s="827"/>
      <c r="AL43" s="827"/>
      <c r="AM43" s="827"/>
      <c r="AN43" s="827"/>
      <c r="AO43" s="827"/>
      <c r="AP43" s="827"/>
      <c r="AQ43" s="1092"/>
      <c r="AR43" s="1092"/>
      <c r="AS43" s="1092"/>
      <c r="AT43" s="1092"/>
      <c r="AU43" s="1092"/>
      <c r="AV43" s="1092"/>
      <c r="BE43" s="815" t="s">
        <v>723</v>
      </c>
      <c r="BJ43" s="1185">
        <f>+BJ42-BC15</f>
        <v>0</v>
      </c>
    </row>
    <row r="44" spans="2:64" ht="18" customHeight="1" x14ac:dyDescent="0.25">
      <c r="B44" s="912" t="s">
        <v>840</v>
      </c>
      <c r="C44" s="827"/>
      <c r="D44" s="855"/>
      <c r="E44" s="954">
        <f>+'-89-'!I19</f>
        <v>-1000</v>
      </c>
      <c r="F44" s="855"/>
      <c r="G44" s="853">
        <f t="shared" si="4"/>
        <v>1000</v>
      </c>
      <c r="H44" s="1068"/>
      <c r="I44" s="1069">
        <f>+AP17</f>
        <v>5000</v>
      </c>
      <c r="J44" s="954">
        <f t="shared" si="1"/>
        <v>6000</v>
      </c>
      <c r="K44" s="853"/>
      <c r="L44" s="853"/>
      <c r="M44" s="855"/>
      <c r="N44" s="855"/>
      <c r="O44" s="855"/>
      <c r="P44" s="855"/>
      <c r="Q44" s="855"/>
      <c r="R44" s="855"/>
      <c r="S44" s="853"/>
      <c r="T44" s="954"/>
      <c r="U44" s="954">
        <f>+J44</f>
        <v>6000</v>
      </c>
      <c r="V44" s="855"/>
      <c r="W44" s="855"/>
      <c r="X44" s="855"/>
      <c r="Y44" s="855"/>
      <c r="Z44" s="855"/>
      <c r="AA44" s="855"/>
      <c r="AB44" s="855"/>
      <c r="AC44" s="855"/>
      <c r="AD44" s="855"/>
      <c r="AE44" s="855"/>
      <c r="AF44" s="855"/>
      <c r="AG44" s="855"/>
      <c r="AH44" s="953"/>
      <c r="AI44" s="816">
        <f t="shared" si="2"/>
        <v>0</v>
      </c>
      <c r="AK44" s="827" t="s">
        <v>836</v>
      </c>
      <c r="AL44" s="827"/>
      <c r="AM44" s="827"/>
      <c r="AN44" s="827"/>
      <c r="AO44" s="828">
        <f>+'-93-'!L14</f>
        <v>3400</v>
      </c>
      <c r="AP44" s="827"/>
      <c r="AQ44" s="1092" t="s">
        <v>968</v>
      </c>
      <c r="AR44" s="1092"/>
      <c r="AS44" s="1092"/>
      <c r="AT44" s="1092"/>
      <c r="AU44" s="1092"/>
      <c r="AV44" s="1092"/>
    </row>
    <row r="45" spans="2:64" ht="18" customHeight="1" x14ac:dyDescent="0.25">
      <c r="B45" s="912" t="s">
        <v>92</v>
      </c>
      <c r="C45" s="827"/>
      <c r="D45" s="855"/>
      <c r="E45" s="954">
        <f>+'-85-'!I22</f>
        <v>2000</v>
      </c>
      <c r="F45" s="855"/>
      <c r="G45" s="853">
        <f>+F45-E45</f>
        <v>-2000</v>
      </c>
      <c r="H45" s="1068"/>
      <c r="I45" s="1069">
        <f>+AP8</f>
        <v>2000</v>
      </c>
      <c r="J45" s="954">
        <f t="shared" si="1"/>
        <v>0</v>
      </c>
      <c r="K45" s="853"/>
      <c r="L45" s="853"/>
      <c r="M45" s="855"/>
      <c r="N45" s="855"/>
      <c r="O45" s="855"/>
      <c r="P45" s="855"/>
      <c r="Q45" s="855"/>
      <c r="R45" s="855"/>
      <c r="S45" s="853"/>
      <c r="T45" s="954"/>
      <c r="U45" s="954"/>
      <c r="V45" s="855"/>
      <c r="W45" s="855"/>
      <c r="X45" s="855"/>
      <c r="Y45" s="855"/>
      <c r="Z45" s="855"/>
      <c r="AA45" s="855"/>
      <c r="AB45" s="855"/>
      <c r="AC45" s="855"/>
      <c r="AD45" s="855"/>
      <c r="AE45" s="855"/>
      <c r="AF45" s="855"/>
      <c r="AG45" s="855"/>
      <c r="AH45" s="953"/>
      <c r="AI45" s="816">
        <f t="shared" si="2"/>
        <v>0</v>
      </c>
      <c r="AK45" s="827" t="s">
        <v>852</v>
      </c>
      <c r="AL45" s="827"/>
      <c r="AM45" s="827"/>
      <c r="AN45" s="827"/>
      <c r="AO45" s="827"/>
      <c r="AP45" s="828">
        <f>+AO44</f>
        <v>3400</v>
      </c>
      <c r="AQ45" s="1092" t="s">
        <v>970</v>
      </c>
      <c r="AR45" s="1092"/>
      <c r="AS45" s="1092"/>
      <c r="AT45" s="1092"/>
      <c r="AU45" s="1092"/>
      <c r="AV45" s="1092"/>
    </row>
    <row r="46" spans="2:64" ht="18" customHeight="1" x14ac:dyDescent="0.25">
      <c r="B46" s="912" t="s">
        <v>854</v>
      </c>
      <c r="C46" s="827"/>
      <c r="D46" s="855"/>
      <c r="E46" s="954">
        <f>+'-93-'!I12</f>
        <v>1000</v>
      </c>
      <c r="F46" s="855"/>
      <c r="G46" s="853">
        <f>+F46-E46</f>
        <v>-1000</v>
      </c>
      <c r="H46" s="1068"/>
      <c r="I46" s="1069"/>
      <c r="J46" s="954">
        <f t="shared" si="1"/>
        <v>-1000</v>
      </c>
      <c r="K46" s="853"/>
      <c r="L46" s="853"/>
      <c r="M46" s="855"/>
      <c r="N46" s="855"/>
      <c r="O46" s="855"/>
      <c r="P46" s="855"/>
      <c r="Q46" s="855"/>
      <c r="R46" s="855"/>
      <c r="S46" s="853"/>
      <c r="T46" s="954"/>
      <c r="U46" s="954"/>
      <c r="V46" s="855"/>
      <c r="W46" s="855"/>
      <c r="X46" s="855"/>
      <c r="Y46" s="855"/>
      <c r="Z46" s="853">
        <f>+J46</f>
        <v>-1000</v>
      </c>
      <c r="AA46" s="855"/>
      <c r="AB46" s="855"/>
      <c r="AC46" s="855"/>
      <c r="AD46" s="855"/>
      <c r="AE46" s="855"/>
      <c r="AF46" s="855"/>
      <c r="AG46" s="855"/>
      <c r="AH46" s="953"/>
      <c r="AI46" s="816">
        <f t="shared" si="2"/>
        <v>0</v>
      </c>
      <c r="AK46" s="827"/>
      <c r="AL46" s="827"/>
      <c r="AM46" s="827"/>
      <c r="AN46" s="827"/>
      <c r="AO46" s="827"/>
      <c r="AP46" s="827"/>
      <c r="AQ46" s="1092"/>
      <c r="AR46" s="1092"/>
      <c r="AS46" s="1092"/>
      <c r="AT46" s="1092"/>
      <c r="AU46" s="1092"/>
      <c r="AV46" s="1092"/>
    </row>
    <row r="47" spans="2:64" ht="18" customHeight="1" x14ac:dyDescent="0.25">
      <c r="B47" s="912" t="s">
        <v>69</v>
      </c>
      <c r="C47" s="827"/>
      <c r="D47" s="855"/>
      <c r="E47" s="954">
        <f>+'-89-'!I20</f>
        <v>240000</v>
      </c>
      <c r="F47" s="855"/>
      <c r="G47" s="853">
        <f t="shared" ref="G47:G53" si="5">+F47-E47</f>
        <v>-240000</v>
      </c>
      <c r="H47" s="1068"/>
      <c r="I47" s="1069">
        <f>+AP20</f>
        <v>240000</v>
      </c>
      <c r="J47" s="954">
        <f t="shared" si="1"/>
        <v>0</v>
      </c>
      <c r="K47" s="853"/>
      <c r="L47" s="853"/>
      <c r="M47" s="855"/>
      <c r="N47" s="855"/>
      <c r="O47" s="855"/>
      <c r="P47" s="855"/>
      <c r="Q47" s="855"/>
      <c r="R47" s="855"/>
      <c r="S47" s="853"/>
      <c r="T47" s="954"/>
      <c r="U47" s="954"/>
      <c r="V47" s="855"/>
      <c r="W47" s="855"/>
      <c r="X47" s="855"/>
      <c r="Y47" s="855"/>
      <c r="Z47" s="855"/>
      <c r="AA47" s="855"/>
      <c r="AB47" s="855"/>
      <c r="AC47" s="855"/>
      <c r="AD47" s="855"/>
      <c r="AE47" s="855"/>
      <c r="AF47" s="855"/>
      <c r="AG47" s="855"/>
      <c r="AH47" s="953"/>
      <c r="AI47" s="816">
        <f t="shared" si="2"/>
        <v>0</v>
      </c>
      <c r="AK47" s="827" t="s">
        <v>852</v>
      </c>
      <c r="AL47" s="827"/>
      <c r="AM47" s="827"/>
      <c r="AN47" s="827"/>
      <c r="AO47" s="828">
        <f>+'-93-'!L8</f>
        <v>40000</v>
      </c>
      <c r="AP47" s="827"/>
      <c r="AQ47" s="1092" t="s">
        <v>971</v>
      </c>
      <c r="AR47" s="1092"/>
      <c r="AS47" s="1092"/>
      <c r="AT47" s="1092"/>
      <c r="AU47" s="1092"/>
      <c r="AV47" s="1092"/>
    </row>
    <row r="48" spans="2:64" ht="18" customHeight="1" x14ac:dyDescent="0.25">
      <c r="B48" s="912" t="s">
        <v>934</v>
      </c>
      <c r="C48" s="827"/>
      <c r="D48" s="855"/>
      <c r="E48" s="954">
        <f>+'-98-'!J20</f>
        <v>50680.966812744788</v>
      </c>
      <c r="F48" s="855"/>
      <c r="G48" s="853">
        <f t="shared" si="5"/>
        <v>-50680.966812744788</v>
      </c>
      <c r="H48" s="1068"/>
      <c r="I48" s="1069">
        <f>+AP52</f>
        <v>50680.966812744788</v>
      </c>
      <c r="J48" s="954">
        <f t="shared" si="1"/>
        <v>0</v>
      </c>
      <c r="K48" s="853"/>
      <c r="L48" s="853"/>
      <c r="M48" s="855"/>
      <c r="N48" s="855"/>
      <c r="O48" s="855"/>
      <c r="P48" s="855"/>
      <c r="Q48" s="855"/>
      <c r="R48" s="855"/>
      <c r="S48" s="853"/>
      <c r="T48" s="954"/>
      <c r="U48" s="954"/>
      <c r="V48" s="855"/>
      <c r="W48" s="855"/>
      <c r="X48" s="855"/>
      <c r="Y48" s="855"/>
      <c r="Z48" s="855"/>
      <c r="AA48" s="855"/>
      <c r="AB48" s="855"/>
      <c r="AC48" s="855"/>
      <c r="AD48" s="855"/>
      <c r="AE48" s="855"/>
      <c r="AF48" s="855"/>
      <c r="AG48" s="855"/>
      <c r="AH48" s="953"/>
      <c r="AI48" s="816">
        <f t="shared" si="2"/>
        <v>0</v>
      </c>
      <c r="AK48" s="827" t="s">
        <v>857</v>
      </c>
      <c r="AL48" s="827"/>
      <c r="AM48" s="827"/>
      <c r="AN48" s="827"/>
      <c r="AO48" s="827"/>
      <c r="AP48" s="828">
        <f>+AO47</f>
        <v>40000</v>
      </c>
      <c r="AQ48" s="1092"/>
      <c r="AR48" s="1092"/>
      <c r="AS48" s="1092"/>
      <c r="AT48" s="1092"/>
      <c r="AU48" s="1092"/>
      <c r="AV48" s="1092"/>
    </row>
    <row r="49" spans="1:200" ht="18" customHeight="1" x14ac:dyDescent="0.25">
      <c r="B49" s="912" t="s">
        <v>932</v>
      </c>
      <c r="C49" s="827"/>
      <c r="D49" s="855"/>
      <c r="E49" s="954">
        <f>+'-89-'!I21</f>
        <v>4200</v>
      </c>
      <c r="F49" s="855"/>
      <c r="G49" s="853">
        <f t="shared" si="5"/>
        <v>-4200</v>
      </c>
      <c r="H49" s="1068"/>
      <c r="I49" s="1069"/>
      <c r="J49" s="954">
        <f t="shared" si="1"/>
        <v>-4200</v>
      </c>
      <c r="K49" s="853"/>
      <c r="L49" s="853"/>
      <c r="M49" s="855"/>
      <c r="N49" s="855"/>
      <c r="O49" s="855"/>
      <c r="P49" s="853">
        <f>+J49</f>
        <v>-4200</v>
      </c>
      <c r="Q49" s="853"/>
      <c r="R49" s="853"/>
      <c r="S49" s="853"/>
      <c r="T49" s="954"/>
      <c r="U49" s="954"/>
      <c r="V49" s="855"/>
      <c r="W49" s="855"/>
      <c r="X49" s="855"/>
      <c r="Y49" s="855"/>
      <c r="Z49" s="855"/>
      <c r="AA49" s="855"/>
      <c r="AB49" s="855"/>
      <c r="AC49" s="855"/>
      <c r="AD49" s="855"/>
      <c r="AE49" s="853"/>
      <c r="AF49" s="853"/>
      <c r="AG49" s="853"/>
      <c r="AH49" s="954"/>
      <c r="AI49" s="816">
        <f t="shared" si="2"/>
        <v>0</v>
      </c>
      <c r="AK49" s="827"/>
      <c r="AL49" s="827"/>
      <c r="AM49" s="827"/>
      <c r="AN49" s="827"/>
      <c r="AO49" s="827"/>
      <c r="AP49" s="827"/>
      <c r="AQ49" s="1092"/>
      <c r="AR49" s="1092"/>
      <c r="AS49" s="1092"/>
      <c r="AT49" s="1092"/>
      <c r="AU49" s="1092"/>
      <c r="AV49" s="1092"/>
    </row>
    <row r="50" spans="1:200" ht="18" customHeight="1" x14ac:dyDescent="0.25">
      <c r="B50" s="912" t="s">
        <v>933</v>
      </c>
      <c r="C50" s="827"/>
      <c r="D50" s="855"/>
      <c r="E50" s="954">
        <f>+'-98-'!J21</f>
        <v>14336.452937563443</v>
      </c>
      <c r="F50" s="855"/>
      <c r="G50" s="853">
        <f t="shared" si="5"/>
        <v>-14336.452937563443</v>
      </c>
      <c r="H50" s="1068"/>
      <c r="I50" s="1069">
        <f>+AP53</f>
        <v>14336.452937563443</v>
      </c>
      <c r="J50" s="954">
        <f t="shared" si="1"/>
        <v>0</v>
      </c>
      <c r="K50" s="853"/>
      <c r="L50" s="853"/>
      <c r="M50" s="855"/>
      <c r="N50" s="855"/>
      <c r="O50" s="855"/>
      <c r="P50" s="855"/>
      <c r="Q50" s="855"/>
      <c r="R50" s="855"/>
      <c r="S50" s="853"/>
      <c r="T50" s="954"/>
      <c r="U50" s="954"/>
      <c r="V50" s="855"/>
      <c r="W50" s="855"/>
      <c r="X50" s="855"/>
      <c r="Y50" s="855"/>
      <c r="Z50" s="855"/>
      <c r="AA50" s="855"/>
      <c r="AB50" s="855"/>
      <c r="AC50" s="855"/>
      <c r="AD50" s="855"/>
      <c r="AE50" s="855"/>
      <c r="AF50" s="855"/>
      <c r="AG50" s="855"/>
      <c r="AH50" s="953"/>
      <c r="AI50" s="816">
        <f t="shared" si="2"/>
        <v>0</v>
      </c>
      <c r="AK50" s="827" t="s">
        <v>888</v>
      </c>
      <c r="AL50" s="827"/>
      <c r="AM50" s="827"/>
      <c r="AN50" s="827"/>
      <c r="AO50" s="828">
        <f>+'-98-'!M10</f>
        <v>50680.966812744788</v>
      </c>
      <c r="AP50" s="827"/>
      <c r="AQ50" s="1092" t="s">
        <v>972</v>
      </c>
      <c r="AR50" s="1092"/>
      <c r="AS50" s="1092"/>
      <c r="AT50" s="1092"/>
      <c r="AU50" s="1092"/>
      <c r="AV50" s="1092"/>
    </row>
    <row r="51" spans="1:200" ht="18" customHeight="1" x14ac:dyDescent="0.25">
      <c r="B51" s="912" t="s">
        <v>939</v>
      </c>
      <c r="C51" s="827"/>
      <c r="D51" s="855"/>
      <c r="E51" s="954">
        <f>+'-99-'!J20+'-99-'!J138</f>
        <v>113293.58107548438</v>
      </c>
      <c r="F51" s="855"/>
      <c r="G51" s="853">
        <f t="shared" si="5"/>
        <v>-113293.58107548438</v>
      </c>
      <c r="H51" s="1068"/>
      <c r="I51" s="1069"/>
      <c r="J51" s="954">
        <f t="shared" si="1"/>
        <v>-113293.58107548438</v>
      </c>
      <c r="K51" s="853"/>
      <c r="L51" s="853"/>
      <c r="M51" s="855"/>
      <c r="N51" s="855"/>
      <c r="O51" s="855"/>
      <c r="P51" s="855"/>
      <c r="Q51" s="853">
        <f>+J51</f>
        <v>-113293.58107548438</v>
      </c>
      <c r="R51" s="855"/>
      <c r="S51" s="853"/>
      <c r="T51" s="954"/>
      <c r="U51" s="954"/>
      <c r="V51" s="855"/>
      <c r="W51" s="855"/>
      <c r="X51" s="855"/>
      <c r="Y51" s="855"/>
      <c r="Z51" s="855"/>
      <c r="AA51" s="855"/>
      <c r="AB51" s="855"/>
      <c r="AC51" s="855"/>
      <c r="AD51" s="855"/>
      <c r="AE51" s="855"/>
      <c r="AF51" s="855"/>
      <c r="AG51" s="855"/>
      <c r="AH51" s="953"/>
      <c r="AI51" s="816">
        <f t="shared" si="2"/>
        <v>0</v>
      </c>
      <c r="AK51" s="827" t="s">
        <v>931</v>
      </c>
      <c r="AL51" s="827"/>
      <c r="AM51" s="827"/>
      <c r="AN51" s="827"/>
      <c r="AO51" s="828">
        <f>+'-98-'!M14</f>
        <v>14336.452937563443</v>
      </c>
      <c r="AP51" s="827"/>
      <c r="AQ51" s="1092" t="s">
        <v>973</v>
      </c>
      <c r="AR51" s="1092"/>
      <c r="AS51" s="1092"/>
      <c r="AT51" s="1092"/>
      <c r="AU51" s="1092"/>
      <c r="AV51" s="1092"/>
    </row>
    <row r="52" spans="1:200" ht="18" customHeight="1" x14ac:dyDescent="0.25">
      <c r="B52" s="912" t="s">
        <v>827</v>
      </c>
      <c r="C52" s="827"/>
      <c r="D52" s="855"/>
      <c r="E52" s="954">
        <f>+'-89-'!I22</f>
        <v>4500</v>
      </c>
      <c r="F52" s="855"/>
      <c r="G52" s="853">
        <f t="shared" si="5"/>
        <v>-4500</v>
      </c>
      <c r="H52" s="1068"/>
      <c r="I52" s="1069">
        <f>+AP23</f>
        <v>4500</v>
      </c>
      <c r="J52" s="954">
        <f t="shared" si="1"/>
        <v>0</v>
      </c>
      <c r="K52" s="853"/>
      <c r="L52" s="853"/>
      <c r="M52" s="855"/>
      <c r="N52" s="855"/>
      <c r="O52" s="855"/>
      <c r="P52" s="855"/>
      <c r="Q52" s="855"/>
      <c r="R52" s="855"/>
      <c r="S52" s="853"/>
      <c r="T52" s="954"/>
      <c r="U52" s="954"/>
      <c r="V52" s="855"/>
      <c r="W52" s="855"/>
      <c r="X52" s="855"/>
      <c r="Y52" s="855"/>
      <c r="Z52" s="855"/>
      <c r="AA52" s="855"/>
      <c r="AB52" s="855"/>
      <c r="AC52" s="855"/>
      <c r="AD52" s="855"/>
      <c r="AE52" s="855"/>
      <c r="AF52" s="855"/>
      <c r="AG52" s="855"/>
      <c r="AH52" s="953"/>
      <c r="AI52" s="816">
        <f t="shared" si="2"/>
        <v>0</v>
      </c>
      <c r="AK52" s="827" t="s">
        <v>934</v>
      </c>
      <c r="AL52" s="827"/>
      <c r="AM52" s="827"/>
      <c r="AN52" s="827"/>
      <c r="AO52" s="827"/>
      <c r="AP52" s="828">
        <f>+'-98-'!N20</f>
        <v>50680.966812744788</v>
      </c>
      <c r="AQ52" s="1092" t="s">
        <v>974</v>
      </c>
      <c r="AR52" s="1092"/>
      <c r="AS52" s="1092"/>
      <c r="AT52" s="1092"/>
      <c r="AU52" s="1092"/>
      <c r="AV52" s="1092"/>
    </row>
    <row r="53" spans="1:200" ht="18" customHeight="1" x14ac:dyDescent="0.25">
      <c r="B53" s="913" t="s">
        <v>15</v>
      </c>
      <c r="C53" s="914"/>
      <c r="D53" s="916"/>
      <c r="E53" s="955">
        <f>+'-102-'!I17+'-102-'!I18</f>
        <v>144114.77407490753</v>
      </c>
      <c r="F53" s="916"/>
      <c r="G53" s="917">
        <f t="shared" si="5"/>
        <v>-144114.77407490753</v>
      </c>
      <c r="H53" s="1076"/>
      <c r="I53" s="1077">
        <f>+AP56+AP59</f>
        <v>144114.77407490753</v>
      </c>
      <c r="J53" s="955">
        <f t="shared" si="1"/>
        <v>0</v>
      </c>
      <c r="K53" s="917"/>
      <c r="L53" s="917"/>
      <c r="M53" s="916"/>
      <c r="N53" s="916"/>
      <c r="O53" s="916"/>
      <c r="P53" s="916"/>
      <c r="Q53" s="916"/>
      <c r="R53" s="916"/>
      <c r="S53" s="917"/>
      <c r="T53" s="955"/>
      <c r="U53" s="955"/>
      <c r="V53" s="916"/>
      <c r="W53" s="916"/>
      <c r="X53" s="916"/>
      <c r="Y53" s="916"/>
      <c r="Z53" s="916"/>
      <c r="AA53" s="916"/>
      <c r="AB53" s="916"/>
      <c r="AC53" s="916"/>
      <c r="AD53" s="916"/>
      <c r="AE53" s="916"/>
      <c r="AF53" s="916"/>
      <c r="AG53" s="916"/>
      <c r="AH53" s="1091"/>
      <c r="AI53" s="816">
        <f t="shared" si="2"/>
        <v>0</v>
      </c>
      <c r="AK53" s="827" t="s">
        <v>933</v>
      </c>
      <c r="AL53" s="827"/>
      <c r="AM53" s="827"/>
      <c r="AN53" s="827"/>
      <c r="AO53" s="827"/>
      <c r="AP53" s="828">
        <f>+'-98-'!N21</f>
        <v>14336.452937563443</v>
      </c>
      <c r="AQ53" s="1092"/>
      <c r="AR53" s="1092"/>
      <c r="AS53" s="1092"/>
      <c r="AT53" s="1092"/>
      <c r="AU53" s="1092"/>
      <c r="AV53" s="1092"/>
    </row>
    <row r="54" spans="1:200" ht="18" customHeight="1" x14ac:dyDescent="0.25">
      <c r="B54" s="1177"/>
      <c r="C54" s="869"/>
      <c r="D54" s="869"/>
      <c r="E54" s="963">
        <f t="shared" ref="E54:AH54" si="6">SUM(E5:E53)</f>
        <v>0.15406178351258859</v>
      </c>
      <c r="F54" s="962">
        <f t="shared" si="6"/>
        <v>0.15409171441569924</v>
      </c>
      <c r="G54" s="962">
        <f t="shared" si="6"/>
        <v>2.9930670280009508E-5</v>
      </c>
      <c r="H54" s="962">
        <f t="shared" si="6"/>
        <v>1805032.1938252156</v>
      </c>
      <c r="I54" s="963">
        <f t="shared" si="6"/>
        <v>1805032.1938252156</v>
      </c>
      <c r="J54" s="963">
        <f t="shared" si="6"/>
        <v>2.9930713935755193E-5</v>
      </c>
      <c r="K54" s="963">
        <f t="shared" si="6"/>
        <v>840000</v>
      </c>
      <c r="L54" s="963">
        <f t="shared" si="6"/>
        <v>-130000</v>
      </c>
      <c r="M54" s="963">
        <f t="shared" si="6"/>
        <v>10799.999999999982</v>
      </c>
      <c r="N54" s="963">
        <f t="shared" si="6"/>
        <v>-137000</v>
      </c>
      <c r="O54" s="963">
        <f t="shared" si="6"/>
        <v>-14336.452937563443</v>
      </c>
      <c r="P54" s="963">
        <f t="shared" si="6"/>
        <v>-4200</v>
      </c>
      <c r="Q54" s="963">
        <f t="shared" si="6"/>
        <v>-113293.58107548438</v>
      </c>
      <c r="R54" s="963">
        <f t="shared" si="6"/>
        <v>-105000</v>
      </c>
      <c r="S54" s="963">
        <f t="shared" si="6"/>
        <v>-93700</v>
      </c>
      <c r="T54" s="963">
        <f t="shared" si="6"/>
        <v>-100000</v>
      </c>
      <c r="U54" s="963">
        <f t="shared" si="6"/>
        <v>6000</v>
      </c>
      <c r="V54" s="963">
        <f t="shared" si="6"/>
        <v>-170000</v>
      </c>
      <c r="W54" s="963">
        <f t="shared" si="6"/>
        <v>42000</v>
      </c>
      <c r="X54" s="963">
        <f t="shared" si="6"/>
        <v>-50000</v>
      </c>
      <c r="Y54" s="963">
        <f t="shared" si="6"/>
        <v>-15000</v>
      </c>
      <c r="Z54" s="963">
        <f t="shared" si="6"/>
        <v>-51000</v>
      </c>
      <c r="AA54" s="963">
        <f t="shared" si="6"/>
        <v>2300</v>
      </c>
      <c r="AB54" s="963">
        <f t="shared" si="6"/>
        <v>43200</v>
      </c>
      <c r="AC54" s="963">
        <f t="shared" si="6"/>
        <v>-45663.547062436555</v>
      </c>
      <c r="AD54" s="963">
        <f t="shared" si="6"/>
        <v>-30000</v>
      </c>
      <c r="AE54" s="963">
        <f t="shared" si="6"/>
        <v>435000</v>
      </c>
      <c r="AF54" s="963">
        <f t="shared" si="6"/>
        <v>-246706.41889458487</v>
      </c>
      <c r="AG54" s="963">
        <f t="shared" si="6"/>
        <v>70000</v>
      </c>
      <c r="AH54" s="963">
        <f t="shared" si="6"/>
        <v>-86281</v>
      </c>
      <c r="AK54" s="827"/>
      <c r="AL54" s="827"/>
      <c r="AM54" s="827"/>
      <c r="AN54" s="827"/>
      <c r="AO54" s="827"/>
      <c r="AP54" s="827"/>
      <c r="AQ54" s="1092"/>
      <c r="AR54" s="1092"/>
      <c r="AS54" s="1092"/>
      <c r="AT54" s="1092"/>
      <c r="AU54" s="1092"/>
      <c r="AV54" s="1092"/>
    </row>
    <row r="55" spans="1:200" s="2" customFormat="1" ht="18" customHeight="1" x14ac:dyDescent="0.25">
      <c r="A55" s="1178"/>
      <c r="B55" s="1179" t="s">
        <v>1074</v>
      </c>
      <c r="C55" s="1178"/>
      <c r="D55" s="1178"/>
      <c r="E55" s="1178"/>
      <c r="F55" s="1178"/>
      <c r="G55" s="1178"/>
      <c r="H55" s="1178"/>
      <c r="I55" s="1178"/>
      <c r="J55" s="1178"/>
      <c r="K55" s="1180">
        <v>6.2</v>
      </c>
      <c r="L55" s="1180">
        <v>6.1</v>
      </c>
      <c r="M55" s="1180">
        <v>6.7</v>
      </c>
      <c r="N55" s="1180">
        <v>6.9</v>
      </c>
      <c r="O55" s="1183" t="s">
        <v>1075</v>
      </c>
      <c r="P55" s="1180">
        <v>6.3</v>
      </c>
      <c r="Q55" s="1180">
        <v>6.11</v>
      </c>
      <c r="R55" s="1180">
        <v>6.12</v>
      </c>
      <c r="S55" s="836"/>
      <c r="T55" s="1180">
        <v>6.3</v>
      </c>
      <c r="U55" s="1180">
        <v>6.3</v>
      </c>
      <c r="V55" s="1180">
        <v>6.4</v>
      </c>
      <c r="W55" s="1180">
        <v>6.4</v>
      </c>
      <c r="X55" s="1180">
        <v>6.5</v>
      </c>
      <c r="Y55" s="1180">
        <v>6.5</v>
      </c>
      <c r="Z55" s="1180">
        <v>6.6</v>
      </c>
      <c r="AA55" s="1180">
        <v>6.6</v>
      </c>
      <c r="AB55" s="1180">
        <v>6.6</v>
      </c>
      <c r="AC55" s="1183" t="s">
        <v>1075</v>
      </c>
      <c r="AD55" s="1180">
        <v>6.3</v>
      </c>
      <c r="AE55" s="1180">
        <v>6.11</v>
      </c>
      <c r="AF55" s="1180">
        <v>6.11</v>
      </c>
      <c r="AG55" s="1180">
        <v>6.13</v>
      </c>
      <c r="AH55" s="1180">
        <v>6.13</v>
      </c>
      <c r="AI55" s="836"/>
      <c r="AJ55" s="836"/>
      <c r="AK55" s="827" t="s">
        <v>23</v>
      </c>
      <c r="AL55" s="827"/>
      <c r="AM55" s="827"/>
      <c r="AN55" s="827"/>
      <c r="AO55" s="828">
        <f>+'-102-'!L13</f>
        <v>123000</v>
      </c>
      <c r="AP55" s="1181"/>
      <c r="AQ55" s="1182" t="s">
        <v>975</v>
      </c>
      <c r="AR55" s="1182"/>
      <c r="AS55" s="1182"/>
      <c r="AT55" s="1182"/>
      <c r="AU55" s="1182"/>
      <c r="AV55" s="1182"/>
      <c r="AW55" s="815"/>
      <c r="AX55" s="815"/>
      <c r="AY55" s="815"/>
      <c r="AZ55" s="815"/>
      <c r="BA55" s="815"/>
      <c r="BB55" s="815"/>
      <c r="BC55" s="815"/>
      <c r="BD55" s="815"/>
      <c r="BE55" s="815"/>
      <c r="BF55" s="815"/>
      <c r="BG55" s="815"/>
      <c r="BH55" s="815"/>
      <c r="BI55" s="815"/>
      <c r="BJ55" s="815"/>
      <c r="BK55" s="815"/>
      <c r="BL55" s="836"/>
      <c r="BM55" s="836"/>
      <c r="BN55" s="836"/>
      <c r="BO55" s="836"/>
    </row>
    <row r="56" spans="1:200" ht="18" customHeight="1" x14ac:dyDescent="0.25">
      <c r="A56" s="869"/>
      <c r="B56" s="869"/>
      <c r="C56" s="869"/>
      <c r="D56" s="869"/>
      <c r="E56" s="869"/>
      <c r="F56" s="869"/>
      <c r="G56" s="869"/>
      <c r="H56" s="869"/>
      <c r="I56" s="963">
        <f>+I54-H54</f>
        <v>0</v>
      </c>
      <c r="J56" s="869"/>
      <c r="AK56" s="827" t="s">
        <v>15</v>
      </c>
      <c r="AL56" s="827"/>
      <c r="AM56" s="827"/>
      <c r="AN56" s="827"/>
      <c r="AO56" s="827"/>
      <c r="AP56" s="828">
        <f>+AO55</f>
        <v>123000</v>
      </c>
      <c r="AQ56" s="1092"/>
      <c r="AR56" s="1092"/>
      <c r="AS56" s="1092"/>
      <c r="AT56" s="1092"/>
      <c r="AU56" s="1092"/>
      <c r="AV56" s="1092"/>
    </row>
    <row r="57" spans="1:200" ht="18" customHeight="1" x14ac:dyDescent="0.25">
      <c r="A57" s="869"/>
      <c r="B57" s="869"/>
      <c r="C57" s="869"/>
      <c r="D57" s="869"/>
      <c r="E57" s="869"/>
      <c r="F57" s="869"/>
      <c r="G57" s="869"/>
      <c r="H57" s="869"/>
      <c r="I57" s="928">
        <f>+I54-H54</f>
        <v>0</v>
      </c>
      <c r="J57" s="869"/>
      <c r="AK57" s="827"/>
      <c r="AL57" s="827"/>
      <c r="AM57" s="827"/>
      <c r="AN57" s="827"/>
      <c r="AO57" s="827"/>
      <c r="AP57" s="827"/>
      <c r="AQ57" s="1092"/>
      <c r="AR57" s="1092"/>
      <c r="AS57" s="1092"/>
      <c r="AT57" s="1092"/>
      <c r="AU57" s="1092"/>
      <c r="AV57" s="1092"/>
      <c r="BK57" s="836"/>
    </row>
    <row r="58" spans="1:200" ht="18" customHeight="1" x14ac:dyDescent="0.25">
      <c r="A58" s="869"/>
      <c r="AK58" s="827" t="s">
        <v>433</v>
      </c>
      <c r="AL58" s="827"/>
      <c r="AM58" s="827"/>
      <c r="AN58" s="827"/>
      <c r="AO58" s="828">
        <f>+AP59</f>
        <v>21114.774074907531</v>
      </c>
      <c r="AP58" s="827"/>
      <c r="AQ58" s="1092" t="s">
        <v>976</v>
      </c>
      <c r="AR58" s="1092"/>
      <c r="AS58" s="1092"/>
      <c r="AT58" s="1092"/>
      <c r="AU58" s="1092"/>
      <c r="AV58" s="1092"/>
      <c r="AW58" s="836"/>
      <c r="AX58" s="836"/>
      <c r="AY58" s="836"/>
      <c r="AZ58" s="836"/>
      <c r="BA58" s="836"/>
      <c r="BB58" s="836"/>
      <c r="BC58" s="836"/>
      <c r="BD58" s="836"/>
    </row>
    <row r="59" spans="1:200" ht="18" customHeight="1" x14ac:dyDescent="0.25">
      <c r="A59" s="869"/>
      <c r="AK59" s="827" t="s">
        <v>15</v>
      </c>
      <c r="AL59" s="827"/>
      <c r="AM59" s="827"/>
      <c r="AN59" s="827"/>
      <c r="AO59" s="827"/>
      <c r="AP59" s="828">
        <f>+'-102-'!M18</f>
        <v>21114.774074907531</v>
      </c>
      <c r="AQ59" s="1092" t="s">
        <v>977</v>
      </c>
      <c r="AR59" s="1092"/>
      <c r="AS59" s="1092"/>
      <c r="AT59" s="1092"/>
      <c r="AU59" s="1092"/>
      <c r="AV59" s="1092"/>
    </row>
    <row r="60" spans="1:200" ht="18" customHeight="1" x14ac:dyDescent="0.25">
      <c r="AK60" s="827"/>
      <c r="AL60" s="827"/>
      <c r="AM60" s="827"/>
      <c r="AN60" s="827"/>
      <c r="AO60" s="827"/>
      <c r="AP60" s="827"/>
      <c r="AQ60" s="1092"/>
      <c r="AR60" s="1092"/>
      <c r="AS60" s="1092"/>
      <c r="AT60" s="1092"/>
      <c r="AU60" s="1092"/>
      <c r="AV60" s="1092"/>
    </row>
    <row r="61" spans="1:200" s="815" customFormat="1" ht="18" customHeight="1" x14ac:dyDescent="0.25">
      <c r="AK61" s="827" t="s">
        <v>433</v>
      </c>
      <c r="AL61" s="827"/>
      <c r="AM61" s="827"/>
      <c r="AN61" s="827"/>
      <c r="AO61" s="828">
        <f>+'-102-'!M20</f>
        <v>150000</v>
      </c>
      <c r="AP61" s="827"/>
      <c r="AQ61" s="1092" t="s">
        <v>978</v>
      </c>
      <c r="AR61" s="1092"/>
      <c r="AS61" s="1092"/>
      <c r="AT61" s="1092"/>
      <c r="AU61" s="1092"/>
      <c r="AV61" s="1092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</row>
    <row r="62" spans="1:200" s="815" customFormat="1" ht="18" customHeight="1" x14ac:dyDescent="0.25">
      <c r="AK62" s="827" t="s">
        <v>185</v>
      </c>
      <c r="AL62" s="827"/>
      <c r="AM62" s="827"/>
      <c r="AN62" s="827"/>
      <c r="AO62" s="827"/>
      <c r="AP62" s="828">
        <f>+AO61</f>
        <v>150000</v>
      </c>
      <c r="AQ62" s="1092" t="s">
        <v>979</v>
      </c>
      <c r="AR62" s="1092"/>
      <c r="AS62" s="1092"/>
      <c r="AT62" s="1092"/>
      <c r="AU62" s="1092"/>
      <c r="AV62" s="109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</row>
    <row r="63" spans="1:200" s="815" customFormat="1" ht="18" customHeight="1" x14ac:dyDescent="0.25">
      <c r="AK63" s="1092"/>
      <c r="AL63" s="1092"/>
      <c r="AM63" s="1092"/>
      <c r="AN63" s="1092"/>
      <c r="AO63" s="1083">
        <f>SUM(AO4:AO62)</f>
        <v>1805032.1938252156</v>
      </c>
      <c r="AP63" s="1083">
        <f>SUM(AP4:AP62)</f>
        <v>1805032.1938252156</v>
      </c>
      <c r="AQ63" s="1092"/>
      <c r="AR63" s="1092"/>
      <c r="AS63" s="1092"/>
      <c r="AT63" s="1092"/>
      <c r="AU63" s="1092"/>
      <c r="AV63" s="1092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</row>
    <row r="64" spans="1:200" s="815" customFormat="1" ht="18" customHeight="1" x14ac:dyDescent="0.25"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</row>
    <row r="65" spans="57:200" s="815" customFormat="1" ht="18" customHeight="1" x14ac:dyDescent="0.25"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</row>
    <row r="66" spans="57:200" s="815" customFormat="1" ht="18" customHeight="1" x14ac:dyDescent="0.25"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</row>
    <row r="67" spans="57:200" s="815" customFormat="1" ht="18" customHeight="1" x14ac:dyDescent="0.25"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</row>
    <row r="68" spans="57:200" s="815" customFormat="1" ht="18" customHeight="1" x14ac:dyDescent="0.25"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</row>
    <row r="69" spans="57:200" s="815" customFormat="1" ht="18" customHeight="1" x14ac:dyDescent="0.25"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</row>
    <row r="70" spans="57:200" s="815" customFormat="1" ht="18" customHeight="1" x14ac:dyDescent="0.25"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</row>
    <row r="71" spans="57:200" s="815" customFormat="1" ht="18" customHeight="1" x14ac:dyDescent="0.25"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</row>
    <row r="72" spans="57:200" s="815" customFormat="1" ht="18" customHeight="1" x14ac:dyDescent="0.25"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</row>
    <row r="73" spans="57:200" s="815" customFormat="1" ht="18" customHeight="1" x14ac:dyDescent="0.25"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</row>
    <row r="74" spans="57:200" s="815" customFormat="1" ht="18" customHeight="1" x14ac:dyDescent="0.25"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</row>
    <row r="75" spans="57:200" s="815" customFormat="1" ht="18" customHeight="1" x14ac:dyDescent="0.25"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</row>
    <row r="76" spans="57:200" s="815" customFormat="1" ht="18" customHeight="1" x14ac:dyDescent="0.25"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</row>
    <row r="77" spans="57:200" s="815" customFormat="1" ht="18" customHeight="1" x14ac:dyDescent="0.25"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</row>
    <row r="78" spans="57:200" s="815" customFormat="1" ht="18" customHeight="1" x14ac:dyDescent="0.25">
      <c r="BE78" s="836"/>
      <c r="BF78" s="836"/>
      <c r="BG78" s="836"/>
      <c r="BH78" s="836"/>
      <c r="BI78" s="836"/>
      <c r="BJ78" s="836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</row>
    <row r="79" spans="57:200" s="815" customFormat="1" ht="18" customHeight="1" x14ac:dyDescent="0.25"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</row>
    <row r="80" spans="57:200" s="815" customFormat="1" ht="18" customHeight="1" x14ac:dyDescent="0.25"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</row>
    <row r="81" spans="43:200" s="815" customFormat="1" ht="18" customHeight="1" x14ac:dyDescent="0.25"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</row>
    <row r="82" spans="43:200" s="815" customFormat="1" ht="18" customHeight="1" x14ac:dyDescent="0.25"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</row>
    <row r="83" spans="43:200" s="815" customFormat="1" ht="18" customHeight="1" x14ac:dyDescent="0.25"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</row>
    <row r="84" spans="43:200" s="815" customFormat="1" ht="18" customHeight="1" x14ac:dyDescent="0.25"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</row>
    <row r="85" spans="43:200" s="815" customFormat="1" ht="18" customHeight="1" x14ac:dyDescent="0.25"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</row>
    <row r="86" spans="43:200" s="815" customFormat="1" ht="18" customHeight="1" x14ac:dyDescent="0.25"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</row>
    <row r="87" spans="43:200" s="815" customFormat="1" ht="18" customHeight="1" x14ac:dyDescent="0.25"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</row>
    <row r="88" spans="43:200" s="815" customFormat="1" ht="18" customHeight="1" x14ac:dyDescent="0.25"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</row>
    <row r="89" spans="43:200" s="815" customFormat="1" ht="18" customHeight="1" x14ac:dyDescent="0.25"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</row>
    <row r="90" spans="43:200" s="815" customFormat="1" ht="18" customHeight="1" x14ac:dyDescent="0.25"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</row>
    <row r="91" spans="43:200" s="815" customFormat="1" ht="18" customHeight="1" x14ac:dyDescent="0.25">
      <c r="AQ91" s="815" t="s">
        <v>946</v>
      </c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</row>
    <row r="92" spans="43:200" s="815" customFormat="1" ht="18" customHeight="1" x14ac:dyDescent="0.25"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</row>
    <row r="93" spans="43:200" s="815" customFormat="1" ht="18" customHeight="1" x14ac:dyDescent="0.25"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</row>
    <row r="94" spans="43:200" s="815" customFormat="1" ht="18" customHeight="1" x14ac:dyDescent="0.25"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</row>
    <row r="95" spans="43:200" s="815" customFormat="1" ht="18" customHeight="1" x14ac:dyDescent="0.25"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</row>
  </sheetData>
  <mergeCells count="1">
    <mergeCell ref="H3:I3"/>
  </mergeCells>
  <pageMargins left="0.7" right="0.7" top="0.75" bottom="0.75" header="0.3" footer="0.3"/>
  <pageSetup paperSize="9" orientation="portrait" r:id="rId1"/>
  <ignoredErrors>
    <ignoredError sqref="O55 AC5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C4BC4-9018-47C5-B385-917AB3F4711E}">
  <sheetPr>
    <tabColor rgb="FFFF0000"/>
  </sheetPr>
  <dimension ref="A1:BQ173"/>
  <sheetViews>
    <sheetView tabSelected="1" topLeftCell="A66" zoomScale="40" zoomScaleNormal="40" workbookViewId="0">
      <selection activeCell="Q132" sqref="Q132"/>
    </sheetView>
  </sheetViews>
  <sheetFormatPr baseColWidth="10" defaultRowHeight="15" x14ac:dyDescent="0.25"/>
  <cols>
    <col min="1" max="1" width="15.140625" customWidth="1"/>
    <col min="2" max="2" width="12.42578125" customWidth="1"/>
    <col min="3" max="3" width="11.42578125" style="1635"/>
    <col min="23" max="69" width="11.42578125" style="1680"/>
  </cols>
  <sheetData>
    <row r="1" spans="1:4" x14ac:dyDescent="0.25">
      <c r="A1" s="2" t="s">
        <v>1329</v>
      </c>
    </row>
    <row r="3" spans="1:4" x14ac:dyDescent="0.25">
      <c r="A3" s="2" t="s">
        <v>1330</v>
      </c>
    </row>
    <row r="4" spans="1:4" x14ac:dyDescent="0.25">
      <c r="A4" s="1634" t="s">
        <v>1331</v>
      </c>
      <c r="B4" s="1634"/>
      <c r="C4" s="1636">
        <f>+EASY!L8</f>
        <v>2432</v>
      </c>
    </row>
    <row r="5" spans="1:4" x14ac:dyDescent="0.25">
      <c r="A5" s="1638" t="s">
        <v>1334</v>
      </c>
      <c r="B5" s="1638"/>
      <c r="C5" s="1639">
        <v>10</v>
      </c>
    </row>
    <row r="6" spans="1:4" x14ac:dyDescent="0.25">
      <c r="A6" s="1641" t="s">
        <v>1336</v>
      </c>
      <c r="B6" s="1641"/>
      <c r="C6" s="1642">
        <v>1418</v>
      </c>
      <c r="D6" s="2" t="s">
        <v>1335</v>
      </c>
    </row>
    <row r="7" spans="1:4" x14ac:dyDescent="0.25">
      <c r="A7" s="1638" t="s">
        <v>1333</v>
      </c>
      <c r="B7" s="1638"/>
      <c r="C7" s="1639">
        <v>-360</v>
      </c>
    </row>
    <row r="8" spans="1:4" x14ac:dyDescent="0.25">
      <c r="A8" s="1634" t="s">
        <v>1332</v>
      </c>
      <c r="B8" s="1634"/>
      <c r="C8" s="1636">
        <f>+EASY!K8</f>
        <v>3500</v>
      </c>
      <c r="D8" s="1637">
        <f>SUM(C4:C7)-C8</f>
        <v>0</v>
      </c>
    </row>
    <row r="10" spans="1:4" x14ac:dyDescent="0.25">
      <c r="A10" s="2" t="s">
        <v>1338</v>
      </c>
    </row>
    <row r="11" spans="1:4" x14ac:dyDescent="0.25">
      <c r="A11" s="1634" t="s">
        <v>1331</v>
      </c>
      <c r="B11" s="1634"/>
      <c r="C11" s="1636">
        <f>-+EASY!L14</f>
        <v>2022</v>
      </c>
    </row>
    <row r="12" spans="1:4" x14ac:dyDescent="0.25">
      <c r="A12" s="1638" t="s">
        <v>1339</v>
      </c>
      <c r="B12" s="1638"/>
      <c r="C12" s="1639">
        <f>-SUM(EASY!K15:K21)</f>
        <v>1600</v>
      </c>
    </row>
    <row r="13" spans="1:4" x14ac:dyDescent="0.25">
      <c r="A13" s="1638" t="s">
        <v>1340</v>
      </c>
      <c r="B13" s="1638"/>
      <c r="C13" s="1639">
        <v>-20</v>
      </c>
      <c r="D13" s="2"/>
    </row>
    <row r="14" spans="1:4" x14ac:dyDescent="0.25">
      <c r="A14" s="1641" t="s">
        <v>1341</v>
      </c>
      <c r="B14" s="1641"/>
      <c r="C14" s="1642">
        <v>-60</v>
      </c>
    </row>
    <row r="15" spans="1:4" x14ac:dyDescent="0.25">
      <c r="A15" s="1634" t="s">
        <v>1332</v>
      </c>
      <c r="B15" s="1634"/>
      <c r="C15" s="1636">
        <f>-SUM(EASY!K14:K21)</f>
        <v>3542</v>
      </c>
      <c r="D15" s="1637">
        <f>SUM(C11:C14)-C15</f>
        <v>0</v>
      </c>
    </row>
    <row r="17" spans="1:4" x14ac:dyDescent="0.25">
      <c r="A17" s="2" t="s">
        <v>1342</v>
      </c>
    </row>
    <row r="18" spans="1:4" x14ac:dyDescent="0.25">
      <c r="A18" s="1634" t="s">
        <v>1331</v>
      </c>
      <c r="B18" s="1634"/>
      <c r="C18" s="1636">
        <f>-+EASY!L13</f>
        <v>1600</v>
      </c>
    </row>
    <row r="19" spans="1:4" x14ac:dyDescent="0.25">
      <c r="A19" s="1638" t="s">
        <v>1340</v>
      </c>
      <c r="B19" s="1638"/>
      <c r="C19" s="1639">
        <f>-C13</f>
        <v>20</v>
      </c>
    </row>
    <row r="20" spans="1:4" x14ac:dyDescent="0.25">
      <c r="A20" s="1638" t="s">
        <v>1343</v>
      </c>
      <c r="B20" s="1638"/>
      <c r="C20" s="1639">
        <f>+C5</f>
        <v>10</v>
      </c>
    </row>
    <row r="21" spans="1:4" x14ac:dyDescent="0.25">
      <c r="A21" s="1638" t="s">
        <v>1344</v>
      </c>
      <c r="B21" s="1641"/>
      <c r="C21" s="1639">
        <v>20</v>
      </c>
    </row>
    <row r="22" spans="1:4" x14ac:dyDescent="0.25">
      <c r="A22" s="1634" t="s">
        <v>1332</v>
      </c>
      <c r="B22" s="1634"/>
      <c r="C22" s="1636">
        <f>-+EASY!K13</f>
        <v>1650</v>
      </c>
      <c r="D22" s="1637">
        <f>SUM(C18:C21)-C22</f>
        <v>0</v>
      </c>
    </row>
    <row r="25" spans="1:4" x14ac:dyDescent="0.25">
      <c r="A25" s="2" t="s">
        <v>1345</v>
      </c>
    </row>
    <row r="26" spans="1:4" x14ac:dyDescent="0.25">
      <c r="A26" s="1634" t="s">
        <v>1331</v>
      </c>
      <c r="B26" s="1634"/>
      <c r="C26" s="1636">
        <f>+EASY!L6</f>
        <v>1300</v>
      </c>
    </row>
    <row r="27" spans="1:4" x14ac:dyDescent="0.25">
      <c r="A27" s="1638" t="s">
        <v>1346</v>
      </c>
      <c r="B27" s="1638"/>
      <c r="C27" s="1639">
        <v>12000</v>
      </c>
    </row>
    <row r="28" spans="1:4" x14ac:dyDescent="0.25">
      <c r="A28" s="1638" t="s">
        <v>1347</v>
      </c>
      <c r="B28" s="1638"/>
      <c r="C28" s="1639">
        <v>-12420</v>
      </c>
    </row>
    <row r="29" spans="1:4" x14ac:dyDescent="0.25">
      <c r="A29" s="1638" t="s">
        <v>1348</v>
      </c>
      <c r="B29" s="1641"/>
      <c r="C29" s="1639">
        <v>-90</v>
      </c>
    </row>
    <row r="30" spans="1:4" x14ac:dyDescent="0.25">
      <c r="A30" s="1634" t="s">
        <v>1332</v>
      </c>
      <c r="B30" s="1634"/>
      <c r="C30" s="1636">
        <f>+EASY!K6</f>
        <v>790</v>
      </c>
      <c r="D30" s="1637">
        <f>SUM(C26:C29)-C30</f>
        <v>0</v>
      </c>
    </row>
    <row r="31" spans="1:4" ht="15.75" thickBot="1" x14ac:dyDescent="0.3"/>
    <row r="32" spans="1:4" ht="15.75" thickBot="1" x14ac:dyDescent="0.3">
      <c r="A32" s="1646" t="s">
        <v>1349</v>
      </c>
      <c r="B32" s="1647"/>
      <c r="C32" s="1648">
        <f>-C28</f>
        <v>12420</v>
      </c>
    </row>
    <row r="34" spans="1:4" x14ac:dyDescent="0.25">
      <c r="A34" s="2" t="s">
        <v>1350</v>
      </c>
      <c r="B34" s="2"/>
      <c r="C34" s="1649">
        <f>+C26-C30</f>
        <v>510</v>
      </c>
    </row>
    <row r="35" spans="1:4" x14ac:dyDescent="0.25">
      <c r="A35" s="2" t="s">
        <v>9</v>
      </c>
      <c r="B35" s="2"/>
      <c r="C35" s="1650">
        <f>+C27</f>
        <v>12000</v>
      </c>
    </row>
    <row r="36" spans="1:4" x14ac:dyDescent="0.25">
      <c r="A36" s="2" t="s">
        <v>1351</v>
      </c>
      <c r="B36" s="2"/>
      <c r="C36" s="1650">
        <f>+C29</f>
        <v>-90</v>
      </c>
    </row>
    <row r="37" spans="1:4" x14ac:dyDescent="0.25">
      <c r="A37" s="1634"/>
      <c r="B37" s="1634"/>
      <c r="C37" s="1652">
        <f>SUM(C34:C36)</f>
        <v>12420</v>
      </c>
    </row>
    <row r="40" spans="1:4" x14ac:dyDescent="0.25">
      <c r="A40" s="2" t="s">
        <v>1352</v>
      </c>
    </row>
    <row r="41" spans="1:4" x14ac:dyDescent="0.25">
      <c r="A41" s="1634" t="s">
        <v>1331</v>
      </c>
      <c r="B41" s="1634"/>
      <c r="C41" s="1636">
        <f>-+EASY!L11</f>
        <v>500</v>
      </c>
    </row>
    <row r="42" spans="1:4" x14ac:dyDescent="0.25">
      <c r="A42" s="1638" t="s">
        <v>1353</v>
      </c>
      <c r="B42" s="1638"/>
      <c r="C42" s="1639">
        <v>390</v>
      </c>
    </row>
    <row r="43" spans="1:4" x14ac:dyDescent="0.25">
      <c r="A43" s="1638" t="s">
        <v>1357</v>
      </c>
      <c r="B43" s="1638"/>
      <c r="C43" s="1639">
        <v>36</v>
      </c>
    </row>
    <row r="44" spans="1:4" x14ac:dyDescent="0.25">
      <c r="A44" s="1653" t="s">
        <v>1354</v>
      </c>
      <c r="B44" s="1653"/>
      <c r="C44" s="1654">
        <v>-396</v>
      </c>
    </row>
    <row r="45" spans="1:4" x14ac:dyDescent="0.25">
      <c r="A45" s="1634" t="s">
        <v>1332</v>
      </c>
      <c r="B45" s="1634"/>
      <c r="C45" s="1636">
        <f>-EASY!K11</f>
        <v>530</v>
      </c>
      <c r="D45" s="1637">
        <f>SUM(C41:C44)-C45</f>
        <v>0</v>
      </c>
    </row>
    <row r="46" spans="1:4" ht="15.75" thickBot="1" x14ac:dyDescent="0.3"/>
    <row r="47" spans="1:4" ht="15.75" thickBot="1" x14ac:dyDescent="0.3">
      <c r="A47" s="1646" t="s">
        <v>1349</v>
      </c>
      <c r="B47" s="1647"/>
      <c r="C47" s="1648">
        <f>-C43</f>
        <v>-36</v>
      </c>
    </row>
    <row r="49" spans="1:6" x14ac:dyDescent="0.25">
      <c r="A49" s="2" t="s">
        <v>1355</v>
      </c>
      <c r="B49" s="2"/>
      <c r="C49" s="1649">
        <f>+C41-C45</f>
        <v>-30</v>
      </c>
    </row>
    <row r="50" spans="1:6" x14ac:dyDescent="0.25">
      <c r="A50" s="2" t="s">
        <v>1356</v>
      </c>
      <c r="B50" s="2"/>
      <c r="C50" s="1650">
        <f>+C42+C43</f>
        <v>426</v>
      </c>
    </row>
    <row r="51" spans="1:6" x14ac:dyDescent="0.25">
      <c r="A51" s="1655"/>
      <c r="B51" s="1655"/>
      <c r="C51" s="1656">
        <f>+C44</f>
        <v>-396</v>
      </c>
    </row>
    <row r="52" spans="1:6" x14ac:dyDescent="0.25">
      <c r="C52"/>
    </row>
    <row r="53" spans="1:6" x14ac:dyDescent="0.25">
      <c r="A53" s="1655" t="s">
        <v>1358</v>
      </c>
      <c r="B53" s="1645"/>
      <c r="C53" s="1645"/>
    </row>
    <row r="54" spans="1:6" ht="15.75" thickBot="1" x14ac:dyDescent="0.3"/>
    <row r="55" spans="1:6" ht="15.75" thickBot="1" x14ac:dyDescent="0.3">
      <c r="A55" s="1657" t="s">
        <v>1359</v>
      </c>
      <c r="B55" s="1658"/>
      <c r="C55" s="1659"/>
    </row>
    <row r="56" spans="1:6" ht="15.75" thickBot="1" x14ac:dyDescent="0.3"/>
    <row r="57" spans="1:6" ht="15.75" thickBot="1" x14ac:dyDescent="0.3">
      <c r="A57" s="1657" t="s">
        <v>1360</v>
      </c>
      <c r="B57" s="1660"/>
      <c r="C57" s="1661"/>
      <c r="D57" s="1662" t="s">
        <v>1361</v>
      </c>
    </row>
    <row r="59" spans="1:6" ht="15.75" thickBot="1" x14ac:dyDescent="0.3"/>
    <row r="60" spans="1:6" ht="15.75" thickBot="1" x14ac:dyDescent="0.3">
      <c r="A60" s="1663" t="s">
        <v>1362</v>
      </c>
      <c r="B60" s="1664"/>
      <c r="C60" s="1665"/>
    </row>
    <row r="61" spans="1:6" ht="15.75" thickBot="1" x14ac:dyDescent="0.3"/>
    <row r="62" spans="1:6" ht="15.75" thickBot="1" x14ac:dyDescent="0.3">
      <c r="A62" s="1657" t="s">
        <v>1364</v>
      </c>
      <c r="B62" s="1660"/>
      <c r="C62" s="1661"/>
      <c r="D62" s="1662" t="s">
        <v>1363</v>
      </c>
    </row>
    <row r="63" spans="1:6" ht="15.75" thickBot="1" x14ac:dyDescent="0.3"/>
    <row r="64" spans="1:6" ht="15.75" thickBot="1" x14ac:dyDescent="0.3">
      <c r="A64" s="1657" t="s">
        <v>1365</v>
      </c>
      <c r="B64" s="1660"/>
      <c r="C64" s="1660"/>
      <c r="D64" s="1660"/>
      <c r="E64" s="1661"/>
      <c r="F64" s="1662"/>
    </row>
    <row r="65" spans="1:6" ht="15.75" thickBot="1" x14ac:dyDescent="0.3"/>
    <row r="66" spans="1:6" ht="15.75" thickBot="1" x14ac:dyDescent="0.3">
      <c r="A66" s="1663" t="s">
        <v>1366</v>
      </c>
      <c r="B66" s="1666"/>
      <c r="C66" s="1666"/>
      <c r="D66" s="1666"/>
      <c r="E66" s="1667"/>
      <c r="F66" s="1662"/>
    </row>
    <row r="173" spans="1:1" ht="26.25" x14ac:dyDescent="0.4">
      <c r="A173" s="1679" t="s">
        <v>1367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C711-2A98-432E-8969-BA6845681F1A}">
  <dimension ref="B1:I27"/>
  <sheetViews>
    <sheetView zoomScale="70" zoomScaleNormal="70" workbookViewId="0">
      <selection activeCell="F9" sqref="F9"/>
    </sheetView>
  </sheetViews>
  <sheetFormatPr baseColWidth="10" defaultRowHeight="15" x14ac:dyDescent="0.25"/>
  <cols>
    <col min="1" max="1" width="6" customWidth="1"/>
    <col min="6" max="6" width="13" bestFit="1" customWidth="1"/>
    <col min="7" max="9" width="13.42578125" bestFit="1" customWidth="1"/>
  </cols>
  <sheetData>
    <row r="1" spans="2:9" x14ac:dyDescent="0.25">
      <c r="F1" s="1093" t="s">
        <v>980</v>
      </c>
      <c r="G1" s="1093" t="s">
        <v>981</v>
      </c>
      <c r="H1" s="1093" t="s">
        <v>982</v>
      </c>
      <c r="I1" s="1093" t="s">
        <v>983</v>
      </c>
    </row>
    <row r="2" spans="2:9" x14ac:dyDescent="0.25">
      <c r="F2" s="1096" t="s">
        <v>371</v>
      </c>
      <c r="G2" s="1096" t="s">
        <v>371</v>
      </c>
      <c r="H2" s="1096" t="s">
        <v>371</v>
      </c>
      <c r="I2" s="1096" t="s">
        <v>371</v>
      </c>
    </row>
    <row r="3" spans="2:9" x14ac:dyDescent="0.25">
      <c r="B3" s="2" t="s">
        <v>984</v>
      </c>
    </row>
    <row r="4" spans="2:9" x14ac:dyDescent="0.25">
      <c r="B4" s="2"/>
    </row>
    <row r="5" spans="2:9" x14ac:dyDescent="0.25">
      <c r="B5" s="2"/>
    </row>
    <row r="6" spans="2:9" x14ac:dyDescent="0.25">
      <c r="B6" s="2"/>
    </row>
    <row r="7" spans="2:9" x14ac:dyDescent="0.25">
      <c r="B7" s="2"/>
    </row>
    <row r="8" spans="2:9" x14ac:dyDescent="0.25">
      <c r="B8" s="2"/>
    </row>
    <row r="9" spans="2:9" x14ac:dyDescent="0.25">
      <c r="B9" s="2"/>
    </row>
    <row r="10" spans="2:9" x14ac:dyDescent="0.25">
      <c r="B10" s="1095" t="s">
        <v>987</v>
      </c>
      <c r="C10" s="1094"/>
      <c r="D10" s="1094"/>
      <c r="E10" s="1094"/>
      <c r="F10" s="1094">
        <f>SUM(F4:F9)</f>
        <v>0</v>
      </c>
      <c r="G10" s="1094">
        <f t="shared" ref="G10:I10" si="0">SUM(G4:G9)</f>
        <v>0</v>
      </c>
      <c r="H10" s="1094">
        <f t="shared" si="0"/>
        <v>0</v>
      </c>
      <c r="I10" s="1094">
        <f t="shared" si="0"/>
        <v>0</v>
      </c>
    </row>
    <row r="11" spans="2:9" x14ac:dyDescent="0.25">
      <c r="B11" s="2"/>
    </row>
    <row r="12" spans="2:9" x14ac:dyDescent="0.25">
      <c r="B12" s="2" t="s">
        <v>985</v>
      </c>
    </row>
    <row r="13" spans="2:9" x14ac:dyDescent="0.25">
      <c r="B13" s="2"/>
    </row>
    <row r="14" spans="2:9" x14ac:dyDescent="0.25">
      <c r="B14" s="2"/>
    </row>
    <row r="15" spans="2:9" x14ac:dyDescent="0.25">
      <c r="B15" s="2"/>
    </row>
    <row r="16" spans="2:9" x14ac:dyDescent="0.25">
      <c r="B16" s="2"/>
    </row>
    <row r="17" spans="2:9" x14ac:dyDescent="0.25">
      <c r="B17" s="2"/>
    </row>
    <row r="18" spans="2:9" x14ac:dyDescent="0.25">
      <c r="B18" s="2"/>
    </row>
    <row r="19" spans="2:9" x14ac:dyDescent="0.25">
      <c r="B19" s="1095" t="s">
        <v>988</v>
      </c>
      <c r="C19" s="1094"/>
      <c r="D19" s="1094"/>
      <c r="E19" s="1094"/>
      <c r="F19" s="1094">
        <f>SUM(F13:F18)</f>
        <v>0</v>
      </c>
      <c r="G19" s="1094">
        <f t="shared" ref="G19" si="1">SUM(G13:G18)</f>
        <v>0</v>
      </c>
      <c r="H19" s="1094">
        <f t="shared" ref="H19" si="2">SUM(H13:H18)</f>
        <v>0</v>
      </c>
      <c r="I19" s="1094">
        <f t="shared" ref="I19" si="3">SUM(I13:I18)</f>
        <v>0</v>
      </c>
    </row>
    <row r="20" spans="2:9" x14ac:dyDescent="0.25">
      <c r="B20" s="2"/>
    </row>
    <row r="21" spans="2:9" x14ac:dyDescent="0.25">
      <c r="B21" s="2" t="s">
        <v>986</v>
      </c>
    </row>
    <row r="27" spans="2:9" x14ac:dyDescent="0.25">
      <c r="B27" s="1095" t="s">
        <v>989</v>
      </c>
      <c r="C27" s="1094"/>
      <c r="D27" s="1094"/>
      <c r="E27" s="1094"/>
      <c r="F27" s="1094">
        <f>SUM(F21:F26)</f>
        <v>0</v>
      </c>
      <c r="G27" s="1094">
        <f t="shared" ref="G27" si="4">SUM(G21:G26)</f>
        <v>0</v>
      </c>
      <c r="H27" s="1094">
        <f t="shared" ref="H27" si="5">SUM(H21:H26)</f>
        <v>0</v>
      </c>
      <c r="I27" s="1094">
        <f t="shared" ref="I27" si="6">SUM(I21:I26)</f>
        <v>0</v>
      </c>
    </row>
  </sheetData>
  <phoneticPr fontId="34" type="noConversion"/>
  <pageMargins left="0.7" right="0.7" top="0.75" bottom="0.75" header="0.3" footer="0.3"/>
  <ignoredErrors>
    <ignoredError sqref="F2:I2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FC42"/>
  <sheetViews>
    <sheetView topLeftCell="W1" zoomScale="70" zoomScaleNormal="70" workbookViewId="0">
      <selection activeCell="BB17" sqref="BB17"/>
    </sheetView>
  </sheetViews>
  <sheetFormatPr baseColWidth="10" defaultColWidth="0" defaultRowHeight="19.5" customHeight="1" x14ac:dyDescent="0.25"/>
  <cols>
    <col min="1" max="1" width="9.7109375" customWidth="1"/>
    <col min="2" max="8" width="9.85546875" customWidth="1"/>
    <col min="9" max="9" width="3.5703125" customWidth="1"/>
    <col min="10" max="16" width="9.85546875" customWidth="1"/>
    <col min="17" max="17" width="1.7109375" customWidth="1"/>
    <col min="18" max="18" width="14" customWidth="1"/>
    <col min="19" max="19" width="12.140625" customWidth="1"/>
    <col min="20" max="20" width="11.85546875" customWidth="1"/>
    <col min="21" max="21" width="9.85546875" customWidth="1"/>
    <col min="22" max="22" width="11.85546875" customWidth="1"/>
    <col min="23" max="24" width="20" bestFit="1" customWidth="1"/>
    <col min="25" max="25" width="10.5703125" customWidth="1"/>
    <col min="26" max="32" width="9.85546875" customWidth="1"/>
    <col min="33" max="33" width="10" customWidth="1"/>
    <col min="34" max="34" width="8.7109375" bestFit="1" customWidth="1"/>
    <col min="35" max="38" width="10.7109375" customWidth="1"/>
    <col min="39" max="40" width="11.7109375" customWidth="1"/>
    <col min="41" max="41" width="16.7109375" customWidth="1"/>
    <col min="42" max="42" width="39.85546875" customWidth="1"/>
    <col min="43" max="43" width="15.5703125" hidden="1" customWidth="1"/>
    <col min="44" max="44" width="17.7109375" hidden="1" customWidth="1"/>
    <col min="45" max="45" width="16.7109375" hidden="1" customWidth="1"/>
    <col min="46" max="46" width="17.42578125" hidden="1" customWidth="1"/>
    <col min="47" max="47" width="16.28515625" hidden="1" customWidth="1"/>
    <col min="48" max="48" width="17" customWidth="1"/>
    <col min="49" max="49" width="16" customWidth="1"/>
    <col min="50" max="50" width="17.42578125" customWidth="1"/>
    <col min="51" max="51" width="16.7109375" customWidth="1"/>
    <col min="52" max="52" width="16" customWidth="1"/>
    <col min="53" max="53" width="16.7109375" customWidth="1"/>
    <col min="54" max="54" width="19.28515625" customWidth="1"/>
    <col min="55" max="56" width="16.7109375" customWidth="1"/>
    <col min="57" max="57" width="17.85546875" customWidth="1"/>
    <col min="58" max="59" width="15.28515625" customWidth="1"/>
    <col min="60" max="60" width="6.140625" hidden="1" customWidth="1"/>
    <col min="61" max="61" width="3.85546875" customWidth="1"/>
    <col min="62" max="64" width="14.7109375" customWidth="1"/>
    <col min="65" max="65" width="6.42578125" customWidth="1"/>
    <col min="66" max="66" width="8" customWidth="1"/>
    <col min="67" max="67" width="14.7109375" customWidth="1"/>
    <col min="68" max="68" width="2.7109375" customWidth="1"/>
    <col min="69" max="69" width="40.42578125" customWidth="1"/>
    <col min="70" max="70" width="17" bestFit="1" customWidth="1"/>
    <col min="71" max="76" width="16.5703125" customWidth="1"/>
    <col min="77" max="77" width="12.7109375" customWidth="1"/>
    <col min="78" max="78" width="2.42578125" customWidth="1"/>
    <col min="79" max="85" width="10.7109375" customWidth="1"/>
    <col min="86" max="86" width="4.5703125" customWidth="1"/>
    <col min="87" max="87" width="14.140625" bestFit="1" customWidth="1"/>
    <col min="88" max="88" width="7.140625" customWidth="1"/>
    <col min="89" max="89" width="9.42578125" bestFit="1" customWidth="1"/>
    <col min="90" max="90" width="5.85546875" customWidth="1"/>
    <col min="91" max="159" width="0" hidden="1" customWidth="1"/>
    <col min="160" max="16384" width="11.42578125" hidden="1"/>
  </cols>
  <sheetData>
    <row r="1" spans="1:90" ht="19.5" customHeight="1" x14ac:dyDescent="0.35">
      <c r="B1" s="109" t="s">
        <v>1020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10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10"/>
      <c r="BI1" s="110"/>
      <c r="BJ1" s="110"/>
      <c r="BK1" s="110"/>
      <c r="BL1" s="110"/>
      <c r="BM1" s="110"/>
      <c r="BN1" s="110"/>
      <c r="BO1" s="110"/>
      <c r="BP1" s="110"/>
      <c r="BQ1" s="108"/>
      <c r="BR1" s="108"/>
      <c r="BS1" s="108"/>
      <c r="BT1" s="108"/>
      <c r="BU1" s="108"/>
      <c r="BV1" s="108"/>
      <c r="BW1" s="108"/>
      <c r="BX1" s="110"/>
      <c r="BY1" s="34"/>
      <c r="BZ1" s="241"/>
      <c r="CA1" s="110"/>
      <c r="CB1" s="110"/>
      <c r="CC1" s="110"/>
      <c r="CD1" s="110"/>
      <c r="CE1" s="108"/>
      <c r="CF1" s="108"/>
      <c r="CG1" s="108"/>
      <c r="CH1" s="108"/>
      <c r="CI1" s="108"/>
      <c r="CJ1" s="108"/>
      <c r="CK1" s="108"/>
      <c r="CL1" s="110"/>
    </row>
    <row r="2" spans="1:90" ht="19.5" customHeight="1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34"/>
      <c r="AH2" s="20"/>
      <c r="AI2" s="20"/>
      <c r="AJ2" s="20"/>
      <c r="AK2" s="20"/>
      <c r="AL2" s="20"/>
      <c r="AM2" s="20"/>
      <c r="AN2" s="20"/>
      <c r="AO2" s="20"/>
      <c r="AP2" s="1539" t="s">
        <v>1009</v>
      </c>
      <c r="AQ2" s="1540"/>
      <c r="AR2" s="1540"/>
      <c r="AS2" s="1541"/>
      <c r="AT2" s="1536" t="s">
        <v>1010</v>
      </c>
      <c r="AU2" s="1537"/>
      <c r="AV2" s="153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10"/>
      <c r="BI2" s="34"/>
      <c r="BJ2" s="34"/>
      <c r="BK2" s="34"/>
      <c r="BL2" s="34"/>
      <c r="BM2" s="34"/>
      <c r="BN2" s="34"/>
      <c r="BO2" s="34"/>
      <c r="BP2" s="34"/>
      <c r="BQ2" s="1123"/>
      <c r="BR2" s="1141"/>
      <c r="BS2" s="1141"/>
      <c r="BT2" s="1141"/>
      <c r="BU2" s="1141"/>
      <c r="BV2" s="1141"/>
      <c r="BW2" s="1141"/>
      <c r="BX2" s="1141"/>
      <c r="BY2" s="34"/>
      <c r="BZ2" s="241"/>
      <c r="CA2" s="1123"/>
      <c r="CB2" s="1123"/>
      <c r="CC2" s="1123"/>
      <c r="CD2" s="1123"/>
      <c r="CE2" s="1123"/>
      <c r="CF2" s="1123"/>
      <c r="CG2" s="1123"/>
      <c r="CH2" s="1123"/>
      <c r="CI2" s="1141"/>
      <c r="CJ2" s="34"/>
      <c r="CK2" s="34"/>
      <c r="CL2" s="20"/>
    </row>
    <row r="3" spans="1:90" s="42" customFormat="1" ht="19.5" customHeight="1" x14ac:dyDescent="0.35">
      <c r="A3" s="20"/>
      <c r="B3" s="16" t="s">
        <v>62</v>
      </c>
      <c r="C3" s="17"/>
      <c r="D3" s="17"/>
      <c r="E3" s="17"/>
      <c r="F3" s="17"/>
      <c r="G3" s="19"/>
      <c r="H3" s="19"/>
      <c r="I3" s="34"/>
      <c r="J3" s="16" t="s">
        <v>101</v>
      </c>
      <c r="K3" s="16"/>
      <c r="L3" s="17"/>
      <c r="M3" s="17"/>
      <c r="N3" s="17"/>
      <c r="O3" s="18"/>
      <c r="P3" s="19"/>
      <c r="Q3" s="34"/>
      <c r="R3" s="16" t="s">
        <v>345</v>
      </c>
      <c r="S3" s="46"/>
      <c r="T3" s="46"/>
      <c r="U3" s="46"/>
      <c r="V3" s="19" t="s">
        <v>96</v>
      </c>
      <c r="W3" s="19" t="s">
        <v>1004</v>
      </c>
      <c r="X3" s="46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799"/>
      <c r="AQ3" s="279"/>
      <c r="AR3" s="279"/>
      <c r="AS3" s="279"/>
      <c r="AT3" s="279"/>
      <c r="AU3" s="279"/>
      <c r="AV3" s="297" t="s">
        <v>166</v>
      </c>
      <c r="AW3" s="1542" t="s">
        <v>1011</v>
      </c>
      <c r="AX3" s="1543"/>
      <c r="AY3" s="1543"/>
      <c r="AZ3" s="1543"/>
      <c r="BA3" s="1543"/>
      <c r="BB3" s="1543"/>
      <c r="BC3" s="1543"/>
      <c r="BD3" s="1543"/>
      <c r="BE3" s="1543"/>
      <c r="BF3" s="1543"/>
      <c r="BG3" s="1140"/>
      <c r="BH3" s="1137"/>
      <c r="BI3" s="241"/>
      <c r="BJ3" s="1142"/>
      <c r="BK3" s="1142"/>
      <c r="BL3" s="1142"/>
      <c r="BM3" s="1142"/>
      <c r="BN3" s="1142"/>
      <c r="BO3" s="1142"/>
      <c r="BP3" s="34"/>
      <c r="BQ3" s="281" t="s">
        <v>497</v>
      </c>
      <c r="BR3" s="279"/>
      <c r="BS3" s="1544" t="s">
        <v>131</v>
      </c>
      <c r="BT3" s="1544"/>
      <c r="BU3" s="1544"/>
      <c r="BV3" s="1544"/>
      <c r="BW3" s="1544"/>
      <c r="BX3" s="1544"/>
      <c r="BY3" s="241"/>
      <c r="BZ3" s="241"/>
      <c r="CA3" s="222" t="s">
        <v>1102</v>
      </c>
      <c r="CB3" s="1151"/>
      <c r="CC3" s="1151"/>
      <c r="CD3" s="1151"/>
      <c r="CE3" s="336"/>
      <c r="CF3" s="336"/>
      <c r="CG3" s="336"/>
      <c r="CH3" s="336"/>
      <c r="CI3" s="157"/>
      <c r="CJ3" s="241"/>
      <c r="CK3" s="241"/>
    </row>
    <row r="4" spans="1:90" s="42" customFormat="1" ht="19.5" customHeight="1" x14ac:dyDescent="0.35">
      <c r="A4" s="20"/>
      <c r="B4" s="16" t="s">
        <v>625</v>
      </c>
      <c r="C4" s="17"/>
      <c r="D4" s="17"/>
      <c r="E4" s="17"/>
      <c r="F4" s="17"/>
      <c r="G4" s="19">
        <v>2020</v>
      </c>
      <c r="H4" s="19">
        <v>2019</v>
      </c>
      <c r="I4" s="34"/>
      <c r="J4" s="16" t="s">
        <v>705</v>
      </c>
      <c r="K4" s="16"/>
      <c r="L4" s="17"/>
      <c r="M4" s="17"/>
      <c r="N4" s="17"/>
      <c r="O4" s="18"/>
      <c r="P4" s="19"/>
      <c r="Q4" s="34"/>
      <c r="R4" s="16" t="s">
        <v>1006</v>
      </c>
      <c r="S4" s="46"/>
      <c r="T4" s="46"/>
      <c r="U4" s="46"/>
      <c r="V4" s="19" t="s">
        <v>97</v>
      </c>
      <c r="W4" s="19" t="s">
        <v>1005</v>
      </c>
      <c r="X4" s="19" t="s">
        <v>40</v>
      </c>
      <c r="Y4" s="34"/>
      <c r="Z4" s="1120" t="s">
        <v>90</v>
      </c>
      <c r="AA4" s="1121"/>
      <c r="AB4" s="1121"/>
      <c r="AC4" s="1121"/>
      <c r="AD4" s="1121"/>
      <c r="AE4" s="1122">
        <v>2020</v>
      </c>
      <c r="AF4" s="1122">
        <v>2019</v>
      </c>
      <c r="AG4" s="35"/>
      <c r="AH4" s="1144"/>
      <c r="AI4" s="16" t="s">
        <v>109</v>
      </c>
      <c r="AJ4" s="16"/>
      <c r="AK4" s="16"/>
      <c r="AL4" s="16"/>
      <c r="AM4" s="19" t="s">
        <v>110</v>
      </c>
      <c r="AN4" s="19" t="s">
        <v>111</v>
      </c>
      <c r="AO4" s="34"/>
      <c r="AP4" s="222" t="s">
        <v>108</v>
      </c>
      <c r="AQ4" s="58" t="s">
        <v>105</v>
      </c>
      <c r="AR4" s="336" t="s">
        <v>106</v>
      </c>
      <c r="AS4" s="58" t="s">
        <v>107</v>
      </c>
      <c r="AT4" s="1547" t="s">
        <v>109</v>
      </c>
      <c r="AU4" s="1546"/>
      <c r="AV4" s="157" t="s">
        <v>103</v>
      </c>
      <c r="AW4" s="1545" t="s">
        <v>132</v>
      </c>
      <c r="AX4" s="1545"/>
      <c r="AY4" s="1545"/>
      <c r="AZ4" s="1545"/>
      <c r="BA4" s="1545"/>
      <c r="BB4" s="72" t="s">
        <v>133</v>
      </c>
      <c r="BC4" s="1547" t="s">
        <v>134</v>
      </c>
      <c r="BD4" s="1545"/>
      <c r="BE4" s="1545"/>
      <c r="BF4" s="1545"/>
      <c r="BG4" s="58"/>
      <c r="BH4" s="1138"/>
      <c r="BI4" s="241"/>
      <c r="BJ4" s="281" t="s">
        <v>1013</v>
      </c>
      <c r="BK4" s="281"/>
      <c r="BL4" s="281"/>
      <c r="BM4" s="281"/>
      <c r="BN4" s="281"/>
      <c r="BO4" s="281"/>
      <c r="BP4" s="34"/>
      <c r="BQ4" s="222" t="s">
        <v>108</v>
      </c>
      <c r="BR4" s="58" t="s">
        <v>103</v>
      </c>
      <c r="BS4" s="1545" t="s">
        <v>132</v>
      </c>
      <c r="BT4" s="1545"/>
      <c r="BU4" s="1545"/>
      <c r="BV4" s="1545"/>
      <c r="BW4" s="1545"/>
      <c r="BX4" s="1546"/>
      <c r="BY4" s="241"/>
      <c r="BZ4" s="241"/>
      <c r="CA4" s="123" t="s">
        <v>1103</v>
      </c>
      <c r="CB4" s="16"/>
      <c r="CC4" s="16"/>
      <c r="CD4" s="16"/>
      <c r="CE4" s="19"/>
      <c r="CF4" s="19"/>
      <c r="CG4" s="19"/>
      <c r="CH4" s="19"/>
      <c r="CI4" s="297"/>
      <c r="CJ4" s="241"/>
      <c r="CK4" s="241"/>
    </row>
    <row r="5" spans="1:90" s="42" customFormat="1" ht="19.5" customHeight="1" x14ac:dyDescent="0.35">
      <c r="A5" s="20"/>
      <c r="B5" s="16"/>
      <c r="C5" s="17"/>
      <c r="D5" s="17"/>
      <c r="E5" s="17"/>
      <c r="F5" s="17"/>
      <c r="G5" s="19" t="s">
        <v>387</v>
      </c>
      <c r="H5" s="19" t="s">
        <v>387</v>
      </c>
      <c r="I5" s="34"/>
      <c r="J5" s="16"/>
      <c r="K5" s="16"/>
      <c r="L5" s="17"/>
      <c r="M5" s="17"/>
      <c r="N5" s="17"/>
      <c r="O5" s="18"/>
      <c r="P5" s="19" t="s">
        <v>387</v>
      </c>
      <c r="Q5" s="34"/>
      <c r="R5" s="16" t="s">
        <v>1007</v>
      </c>
      <c r="S5" s="46"/>
      <c r="T5" s="46"/>
      <c r="U5" s="46"/>
      <c r="V5" s="19" t="s">
        <v>387</v>
      </c>
      <c r="W5" s="19" t="s">
        <v>387</v>
      </c>
      <c r="X5" s="19" t="s">
        <v>387</v>
      </c>
      <c r="Y5" s="34"/>
      <c r="Z5" s="1121"/>
      <c r="AA5" s="1121"/>
      <c r="AB5" s="1121"/>
      <c r="AC5" s="1121"/>
      <c r="AD5" s="1121"/>
      <c r="AE5" s="1122" t="s">
        <v>387</v>
      </c>
      <c r="AF5" s="1122" t="s">
        <v>387</v>
      </c>
      <c r="AG5" s="35"/>
      <c r="AH5" s="1144"/>
      <c r="AI5" s="16"/>
      <c r="AJ5" s="16"/>
      <c r="AK5" s="16"/>
      <c r="AL5" s="16"/>
      <c r="AM5" s="19" t="s">
        <v>387</v>
      </c>
      <c r="AN5" s="19" t="s">
        <v>387</v>
      </c>
      <c r="AO5" s="34"/>
      <c r="AP5" s="123"/>
      <c r="AQ5" s="59">
        <v>2020</v>
      </c>
      <c r="AR5" s="19">
        <v>2019</v>
      </c>
      <c r="AS5" s="59" t="s">
        <v>103</v>
      </c>
      <c r="AT5" s="58" t="s">
        <v>164</v>
      </c>
      <c r="AU5" s="58" t="s">
        <v>165</v>
      </c>
      <c r="AV5" s="297" t="s">
        <v>104</v>
      </c>
      <c r="AW5" s="58" t="s">
        <v>17</v>
      </c>
      <c r="AX5" s="157" t="s">
        <v>21</v>
      </c>
      <c r="AY5" s="157" t="s">
        <v>22</v>
      </c>
      <c r="AZ5" s="157" t="s">
        <v>21</v>
      </c>
      <c r="BA5" s="157" t="s">
        <v>1012</v>
      </c>
      <c r="BB5" s="58" t="s">
        <v>128</v>
      </c>
      <c r="BC5" s="157" t="s">
        <v>22</v>
      </c>
      <c r="BD5" s="157" t="s">
        <v>22</v>
      </c>
      <c r="BE5" s="156" t="s">
        <v>24</v>
      </c>
      <c r="BF5" s="156" t="s">
        <v>22</v>
      </c>
      <c r="BG5" s="58" t="s">
        <v>533</v>
      </c>
      <c r="BH5" s="1138"/>
      <c r="BI5" s="241"/>
      <c r="BJ5" s="16" t="s">
        <v>382</v>
      </c>
      <c r="BK5" s="17"/>
      <c r="BL5" s="18"/>
      <c r="BM5" s="18"/>
      <c r="BN5" s="18"/>
      <c r="BO5" s="18"/>
      <c r="BP5" s="34"/>
      <c r="BQ5" s="123"/>
      <c r="BR5" s="59" t="s">
        <v>104</v>
      </c>
      <c r="BS5" s="58" t="s">
        <v>17</v>
      </c>
      <c r="BT5" s="157" t="s">
        <v>21</v>
      </c>
      <c r="BU5" s="157" t="s">
        <v>22</v>
      </c>
      <c r="BV5" s="157" t="s">
        <v>21</v>
      </c>
      <c r="BW5" s="157" t="s">
        <v>22</v>
      </c>
      <c r="BX5" s="157" t="s">
        <v>25</v>
      </c>
      <c r="BY5" s="241"/>
      <c r="BZ5" s="241"/>
      <c r="CA5" s="123"/>
      <c r="CB5" s="16"/>
      <c r="CC5" s="16"/>
      <c r="CD5" s="16"/>
      <c r="CE5" s="19"/>
      <c r="CF5" s="19"/>
      <c r="CG5" s="19"/>
      <c r="CH5" s="19"/>
      <c r="CI5" s="297"/>
      <c r="CJ5" s="241"/>
      <c r="CK5" s="241"/>
    </row>
    <row r="6" spans="1:90" s="42" customFormat="1" ht="19.5" customHeight="1" x14ac:dyDescent="0.35">
      <c r="A6" s="20"/>
      <c r="B6" s="1150" t="s">
        <v>1</v>
      </c>
      <c r="C6" s="1150"/>
      <c r="D6" s="1150"/>
      <c r="E6" s="1150"/>
      <c r="F6" s="1150"/>
      <c r="G6" s="1188">
        <f>9415+-380</f>
        <v>9035</v>
      </c>
      <c r="H6" s="1188">
        <f>7295-380</f>
        <v>6915</v>
      </c>
      <c r="I6" s="34"/>
      <c r="J6" s="1150" t="s">
        <v>9</v>
      </c>
      <c r="K6" s="1150"/>
      <c r="L6" s="1150"/>
      <c r="M6" s="1150"/>
      <c r="N6" s="1150"/>
      <c r="O6" s="1150"/>
      <c r="P6" s="1188">
        <v>19780</v>
      </c>
      <c r="Q6" s="34"/>
      <c r="R6" s="1148" t="s">
        <v>30</v>
      </c>
      <c r="S6" s="1144"/>
      <c r="T6" s="1144"/>
      <c r="U6" s="1144"/>
      <c r="V6" s="1144">
        <f>+H26</f>
        <v>500</v>
      </c>
      <c r="W6" s="1144">
        <f>+H27</f>
        <v>4500</v>
      </c>
      <c r="X6" s="1144">
        <f>+V6+W6</f>
        <v>5000</v>
      </c>
      <c r="Y6" s="34"/>
      <c r="Z6" s="1150" t="s">
        <v>91</v>
      </c>
      <c r="AA6" s="1144"/>
      <c r="AB6" s="1144"/>
      <c r="AC6" s="1144"/>
      <c r="AD6" s="1144"/>
      <c r="AE6" s="1144">
        <v>3000</v>
      </c>
      <c r="AF6" s="1144">
        <v>3300</v>
      </c>
      <c r="AG6" s="35"/>
      <c r="AH6" s="1144"/>
      <c r="AI6" s="1148" t="s">
        <v>117</v>
      </c>
      <c r="AJ6" s="1148"/>
      <c r="AK6" s="1148"/>
      <c r="AL6" s="1148"/>
      <c r="AM6" s="1198"/>
      <c r="AN6" s="1198"/>
      <c r="AO6" s="34"/>
      <c r="AP6" s="123"/>
      <c r="AQ6" s="62" t="s">
        <v>387</v>
      </c>
      <c r="AR6" s="298" t="s">
        <v>387</v>
      </c>
      <c r="AS6" s="62" t="s">
        <v>387</v>
      </c>
      <c r="AT6" s="62" t="s">
        <v>387</v>
      </c>
      <c r="AU6" s="62" t="s">
        <v>387</v>
      </c>
      <c r="AV6" s="159" t="s">
        <v>387</v>
      </c>
      <c r="AW6" s="62" t="s">
        <v>121</v>
      </c>
      <c r="AX6" s="159" t="s">
        <v>122</v>
      </c>
      <c r="AY6" s="159" t="s">
        <v>123</v>
      </c>
      <c r="AZ6" s="159" t="s">
        <v>408</v>
      </c>
      <c r="BA6" s="159" t="s">
        <v>942</v>
      </c>
      <c r="BB6" s="62" t="s">
        <v>129</v>
      </c>
      <c r="BC6" s="159" t="s">
        <v>125</v>
      </c>
      <c r="BD6" s="298" t="s">
        <v>258</v>
      </c>
      <c r="BE6" s="158" t="s">
        <v>126</v>
      </c>
      <c r="BF6" s="158" t="s">
        <v>127</v>
      </c>
      <c r="BG6" s="62" t="s">
        <v>541</v>
      </c>
      <c r="BH6" s="1139"/>
      <c r="BI6" s="241"/>
      <c r="BJ6" s="17" t="s">
        <v>705</v>
      </c>
      <c r="BK6" s="17"/>
      <c r="BL6" s="18"/>
      <c r="BM6" s="18"/>
      <c r="BN6" s="18"/>
      <c r="BO6" s="18"/>
      <c r="BP6" s="34"/>
      <c r="BQ6" s="470"/>
      <c r="BR6" s="62" t="s">
        <v>387</v>
      </c>
      <c r="BS6" s="62" t="s">
        <v>121</v>
      </c>
      <c r="BT6" s="159" t="s">
        <v>438</v>
      </c>
      <c r="BU6" s="159" t="s">
        <v>123</v>
      </c>
      <c r="BV6" s="159" t="s">
        <v>408</v>
      </c>
      <c r="BW6" s="159" t="s">
        <v>258</v>
      </c>
      <c r="BX6" s="159" t="s">
        <v>124</v>
      </c>
      <c r="BY6" s="241"/>
      <c r="BZ6" s="241"/>
      <c r="CA6" s="337"/>
      <c r="CB6" s="16"/>
      <c r="CC6" s="16"/>
      <c r="CD6" s="16"/>
      <c r="CE6" s="19"/>
      <c r="CF6" s="19"/>
      <c r="CG6" s="19"/>
      <c r="CH6" s="19"/>
      <c r="CI6" s="297" t="s">
        <v>387</v>
      </c>
      <c r="CJ6" s="241"/>
      <c r="CK6" s="241"/>
    </row>
    <row r="7" spans="1:90" s="42" customFormat="1" ht="19.5" customHeight="1" x14ac:dyDescent="0.3">
      <c r="A7" s="20"/>
      <c r="B7" s="1150" t="s">
        <v>90</v>
      </c>
      <c r="C7" s="1150"/>
      <c r="D7" s="1150"/>
      <c r="E7" s="1150"/>
      <c r="F7" s="1150"/>
      <c r="G7" s="1188">
        <f>+AE8</f>
        <v>2600</v>
      </c>
      <c r="H7" s="1188">
        <f>+AF8</f>
        <v>3000</v>
      </c>
      <c r="I7" s="34"/>
      <c r="J7" s="1150" t="s">
        <v>84</v>
      </c>
      <c r="K7" s="1150"/>
      <c r="L7" s="1150"/>
      <c r="M7" s="1150"/>
      <c r="N7" s="1150"/>
      <c r="O7" s="1150"/>
      <c r="P7" s="1144"/>
      <c r="Q7" s="34"/>
      <c r="R7" s="1150" t="s">
        <v>16</v>
      </c>
      <c r="S7" s="1144"/>
      <c r="T7" s="1144"/>
      <c r="U7" s="1144"/>
      <c r="V7" s="1144">
        <v>0</v>
      </c>
      <c r="W7" s="1144">
        <f>+P28</f>
        <v>7620</v>
      </c>
      <c r="X7" s="1144">
        <f>+V7+W7</f>
        <v>7620</v>
      </c>
      <c r="Y7" s="34"/>
      <c r="Z7" s="1150" t="s">
        <v>92</v>
      </c>
      <c r="AA7" s="1144"/>
      <c r="AB7" s="1144"/>
      <c r="AC7" s="1144"/>
      <c r="AD7" s="1144"/>
      <c r="AE7" s="1193">
        <v>-400</v>
      </c>
      <c r="AF7" s="1193">
        <v>-300</v>
      </c>
      <c r="AG7" s="35"/>
      <c r="AH7" s="1200" t="s">
        <v>112</v>
      </c>
      <c r="AI7" s="1150" t="s">
        <v>90</v>
      </c>
      <c r="AJ7" s="1150"/>
      <c r="AK7" s="1150"/>
      <c r="AL7" s="1150"/>
      <c r="AM7" s="1144">
        <f>+AN8</f>
        <v>100</v>
      </c>
      <c r="AN7" s="1144"/>
      <c r="AO7" s="34"/>
      <c r="AP7" s="1201" t="s">
        <v>1</v>
      </c>
      <c r="AQ7" s="1202">
        <f t="shared" ref="AQ7:AR9" si="0">+G6</f>
        <v>9035</v>
      </c>
      <c r="AR7" s="1203">
        <f t="shared" si="0"/>
        <v>6915</v>
      </c>
      <c r="AS7" s="1204">
        <f>+AR7-AQ7</f>
        <v>-2120</v>
      </c>
      <c r="AT7" s="1124"/>
      <c r="AU7" s="1125"/>
      <c r="AV7" s="1131">
        <f>AS7+AU7-AT7</f>
        <v>-2120</v>
      </c>
      <c r="AW7" s="1211"/>
      <c r="AX7" s="1212"/>
      <c r="AY7" s="1212"/>
      <c r="AZ7" s="1212"/>
      <c r="BA7" s="1212"/>
      <c r="BB7" s="1213"/>
      <c r="BC7" s="1212"/>
      <c r="BD7" s="1214"/>
      <c r="BE7" s="1215"/>
      <c r="BF7" s="1213"/>
      <c r="BG7" s="178"/>
      <c r="BH7" s="1133"/>
      <c r="BI7" s="241"/>
      <c r="BJ7" s="16"/>
      <c r="BK7" s="17"/>
      <c r="BL7" s="18"/>
      <c r="BM7" s="18"/>
      <c r="BN7" s="18"/>
      <c r="BO7" s="19" t="s">
        <v>387</v>
      </c>
      <c r="BP7" s="34"/>
      <c r="BQ7" s="1219" t="s">
        <v>1</v>
      </c>
      <c r="BR7" s="1220">
        <f t="shared" ref="BR7:BR38" si="1">+AV7</f>
        <v>-2120</v>
      </c>
      <c r="BS7" s="1229"/>
      <c r="BT7" s="1229"/>
      <c r="BU7" s="1229"/>
      <c r="BV7" s="1229"/>
      <c r="BW7" s="1229"/>
      <c r="BX7" s="1229"/>
      <c r="BY7" s="1230" t="s">
        <v>304</v>
      </c>
      <c r="BZ7" s="241"/>
      <c r="CA7" s="117" t="s">
        <v>16</v>
      </c>
      <c r="CB7" s="118"/>
      <c r="CC7" s="118"/>
      <c r="CD7" s="118"/>
      <c r="CE7" s="221"/>
      <c r="CF7" s="221"/>
      <c r="CG7" s="221"/>
      <c r="CH7" s="221"/>
      <c r="CI7" s="1145">
        <f>P28</f>
        <v>7620</v>
      </c>
      <c r="CJ7" s="241"/>
      <c r="CK7" s="241"/>
    </row>
    <row r="8" spans="1:90" s="42" customFormat="1" ht="19.5" customHeight="1" x14ac:dyDescent="0.3">
      <c r="A8" s="20"/>
      <c r="B8" s="1150" t="s">
        <v>1003</v>
      </c>
      <c r="C8" s="1150"/>
      <c r="D8" s="1150"/>
      <c r="E8" s="1150"/>
      <c r="F8" s="1150"/>
      <c r="G8" s="1189">
        <v>100</v>
      </c>
      <c r="H8" s="1189">
        <v>300</v>
      </c>
      <c r="I8" s="34"/>
      <c r="J8" s="1195" t="s">
        <v>11</v>
      </c>
      <c r="K8" s="1195"/>
      <c r="L8" s="1150"/>
      <c r="M8" s="1150"/>
      <c r="N8" s="1150"/>
      <c r="O8" s="1150"/>
      <c r="P8" s="1144">
        <v>-8500</v>
      </c>
      <c r="Q8" s="34"/>
      <c r="R8" s="1150" t="s">
        <v>116</v>
      </c>
      <c r="S8" s="1144"/>
      <c r="T8" s="1144"/>
      <c r="U8" s="1144"/>
      <c r="V8" s="1144">
        <f>-W8</f>
        <v>2250</v>
      </c>
      <c r="W8" s="1144">
        <v>-2250</v>
      </c>
      <c r="X8" s="1144">
        <f>+V8+W8</f>
        <v>0</v>
      </c>
      <c r="Y8" s="34"/>
      <c r="Z8" s="1144"/>
      <c r="AA8" s="1144"/>
      <c r="AB8" s="1144"/>
      <c r="AC8" s="1144"/>
      <c r="AD8" s="1144"/>
      <c r="AE8" s="1197">
        <f>+AE6+AE7</f>
        <v>2600</v>
      </c>
      <c r="AF8" s="1197">
        <f>+AF6+AF7</f>
        <v>3000</v>
      </c>
      <c r="AG8" s="1119">
        <f>+AE8-G7</f>
        <v>0</v>
      </c>
      <c r="AH8" s="1200" t="s">
        <v>113</v>
      </c>
      <c r="AI8" s="1150" t="s">
        <v>92</v>
      </c>
      <c r="AJ8" s="1150"/>
      <c r="AK8" s="1150"/>
      <c r="AL8" s="1150"/>
      <c r="AM8" s="1144"/>
      <c r="AN8" s="1144">
        <f>+AE13</f>
        <v>100</v>
      </c>
      <c r="AO8" s="34"/>
      <c r="AP8" s="1149" t="s">
        <v>90</v>
      </c>
      <c r="AQ8" s="1205">
        <f t="shared" si="0"/>
        <v>2600</v>
      </c>
      <c r="AR8" s="1188">
        <f t="shared" si="0"/>
        <v>3000</v>
      </c>
      <c r="AS8" s="1206">
        <f t="shared" ref="AS8:AS38" si="2">+AR8-AQ8</f>
        <v>400</v>
      </c>
      <c r="AT8" s="1126">
        <f>+AM7</f>
        <v>100</v>
      </c>
      <c r="AU8" s="1127"/>
      <c r="AV8" s="516">
        <f>AS8+AU8-AT8</f>
        <v>300</v>
      </c>
      <c r="AW8" s="1213">
        <f>+AV8</f>
        <v>300</v>
      </c>
      <c r="AX8" s="1212"/>
      <c r="AY8" s="1212"/>
      <c r="AZ8" s="1212"/>
      <c r="BA8" s="1212"/>
      <c r="BB8" s="1213"/>
      <c r="BC8" s="1212"/>
      <c r="BD8" s="1214"/>
      <c r="BE8" s="1215"/>
      <c r="BF8" s="1213"/>
      <c r="BG8" s="178"/>
      <c r="BH8" s="1134">
        <f t="shared" ref="BH8:BH35" si="3">SUM(AW8:BG8)-AV8</f>
        <v>0</v>
      </c>
      <c r="BI8" s="241"/>
      <c r="BJ8" s="1216" t="s">
        <v>51</v>
      </c>
      <c r="BK8" s="271"/>
      <c r="BL8" s="271"/>
      <c r="BM8" s="271"/>
      <c r="BN8" s="271"/>
      <c r="BO8" s="1217"/>
      <c r="BP8" s="34"/>
      <c r="BQ8" s="1221" t="s">
        <v>90</v>
      </c>
      <c r="BR8" s="1222">
        <f t="shared" si="1"/>
        <v>300</v>
      </c>
      <c r="BS8" s="1229">
        <f>+BR8</f>
        <v>300</v>
      </c>
      <c r="BT8" s="1229"/>
      <c r="BU8" s="1229"/>
      <c r="BV8" s="1229"/>
      <c r="BW8" s="1229"/>
      <c r="BX8" s="1229"/>
      <c r="BY8" s="177">
        <f>SUM(BS7:BX16)</f>
        <v>770</v>
      </c>
      <c r="BZ8" s="241"/>
      <c r="CA8" s="117"/>
      <c r="CB8" s="118"/>
      <c r="CC8" s="118"/>
      <c r="CD8" s="118"/>
      <c r="CE8" s="221"/>
      <c r="CF8" s="221"/>
      <c r="CG8" s="221"/>
      <c r="CH8" s="221"/>
      <c r="CI8" s="1145"/>
      <c r="CJ8" s="241"/>
      <c r="CK8" s="241"/>
    </row>
    <row r="9" spans="1:90" s="42" customFormat="1" ht="19.5" customHeight="1" x14ac:dyDescent="0.3">
      <c r="A9" s="20"/>
      <c r="B9" s="1148" t="s">
        <v>78</v>
      </c>
      <c r="C9" s="1150"/>
      <c r="D9" s="1150"/>
      <c r="E9" s="1150"/>
      <c r="F9" s="1150"/>
      <c r="G9" s="1190">
        <f>SUM(G6:G8)</f>
        <v>11735</v>
      </c>
      <c r="H9" s="1190">
        <f>SUM(H6:H8)</f>
        <v>10215</v>
      </c>
      <c r="I9" s="34"/>
      <c r="J9" s="1195" t="s">
        <v>88</v>
      </c>
      <c r="K9" s="1195"/>
      <c r="L9" s="1150"/>
      <c r="M9" s="1150"/>
      <c r="N9" s="1150"/>
      <c r="O9" s="1150"/>
      <c r="P9" s="1144">
        <v>-500</v>
      </c>
      <c r="Q9" s="34"/>
      <c r="R9" s="1150" t="s">
        <v>180</v>
      </c>
      <c r="S9" s="1144"/>
      <c r="T9" s="1144"/>
      <c r="U9" s="1144"/>
      <c r="V9" s="1144">
        <v>1250</v>
      </c>
      <c r="W9" s="1144">
        <v>0</v>
      </c>
      <c r="X9" s="1144">
        <f>+V9+W9</f>
        <v>1250</v>
      </c>
      <c r="Y9" s="34"/>
      <c r="Z9" s="34"/>
      <c r="AA9" s="34"/>
      <c r="AB9" s="34"/>
      <c r="AC9" s="34"/>
      <c r="AD9" s="34"/>
      <c r="AE9" s="34"/>
      <c r="AF9" s="34"/>
      <c r="AG9" s="35"/>
      <c r="AH9" s="1200"/>
      <c r="AI9" s="1148"/>
      <c r="AJ9" s="1148"/>
      <c r="AK9" s="1148"/>
      <c r="AL9" s="1148"/>
      <c r="AM9" s="1148"/>
      <c r="AN9" s="1148"/>
      <c r="AO9" s="34"/>
      <c r="AP9" s="1149" t="str">
        <f>+B8</f>
        <v>Activos de contrato con clientes</v>
      </c>
      <c r="AQ9" s="1205">
        <f t="shared" si="0"/>
        <v>100</v>
      </c>
      <c r="AR9" s="1188">
        <f t="shared" si="0"/>
        <v>300</v>
      </c>
      <c r="AS9" s="1206">
        <f t="shared" si="2"/>
        <v>200</v>
      </c>
      <c r="AT9" s="1126"/>
      <c r="AU9" s="1127"/>
      <c r="AV9" s="516">
        <f t="shared" ref="AV9:AV38" si="4">AS9+AU9-AT9</f>
        <v>200</v>
      </c>
      <c r="AW9" s="1213"/>
      <c r="AX9" s="1212">
        <f>+AV9</f>
        <v>200</v>
      </c>
      <c r="AY9" s="1212"/>
      <c r="AZ9" s="1212"/>
      <c r="BA9" s="1212"/>
      <c r="BB9" s="1213"/>
      <c r="BC9" s="1212"/>
      <c r="BD9" s="1214"/>
      <c r="BE9" s="1215"/>
      <c r="BF9" s="1213"/>
      <c r="BG9" s="178"/>
      <c r="BH9" s="1134">
        <f t="shared" si="3"/>
        <v>0</v>
      </c>
      <c r="BI9" s="241"/>
      <c r="BJ9" s="271" t="s">
        <v>135</v>
      </c>
      <c r="BK9" s="271"/>
      <c r="BL9" s="271"/>
      <c r="BM9" s="271"/>
      <c r="BN9" s="271"/>
      <c r="BO9" s="1217">
        <f>AW39</f>
        <v>23640.399999999998</v>
      </c>
      <c r="BP9" s="34"/>
      <c r="BQ9" s="1221" t="str">
        <f>+B8</f>
        <v>Activos de contrato con clientes</v>
      </c>
      <c r="BR9" s="1222">
        <f t="shared" si="1"/>
        <v>200</v>
      </c>
      <c r="BS9" s="1229"/>
      <c r="BT9" s="1229">
        <f>+BR9</f>
        <v>200</v>
      </c>
      <c r="BU9" s="1229"/>
      <c r="BV9" s="1229"/>
      <c r="BW9" s="1229"/>
      <c r="BX9" s="1229"/>
      <c r="BY9" s="1228" t="s">
        <v>440</v>
      </c>
      <c r="BZ9" s="241"/>
      <c r="CA9" s="117" t="s">
        <v>151</v>
      </c>
      <c r="CB9" s="118"/>
      <c r="CC9" s="118"/>
      <c r="CD9" s="118"/>
      <c r="CE9" s="677"/>
      <c r="CF9" s="677"/>
      <c r="CG9" s="677"/>
      <c r="CH9" s="677"/>
      <c r="CI9" s="1145"/>
      <c r="CJ9" s="241"/>
      <c r="CK9" s="241"/>
    </row>
    <row r="10" spans="1:90" s="42" customFormat="1" ht="19.5" customHeight="1" x14ac:dyDescent="0.3">
      <c r="A10" s="20"/>
      <c r="B10" s="1150" t="s">
        <v>114</v>
      </c>
      <c r="C10" s="1150"/>
      <c r="D10" s="1150"/>
      <c r="E10" s="1150"/>
      <c r="F10" s="1150"/>
      <c r="G10" s="1188">
        <v>30</v>
      </c>
      <c r="H10" s="1188">
        <v>60</v>
      </c>
      <c r="I10" s="34"/>
      <c r="J10" s="1195" t="s">
        <v>38</v>
      </c>
      <c r="K10" s="1195"/>
      <c r="L10" s="1150"/>
      <c r="M10" s="1150"/>
      <c r="N10" s="1150"/>
      <c r="O10" s="1150"/>
      <c r="P10" s="1193">
        <v>-40</v>
      </c>
      <c r="Q10" s="34"/>
      <c r="R10" s="1150" t="s">
        <v>100</v>
      </c>
      <c r="S10" s="1144"/>
      <c r="T10" s="1144"/>
      <c r="U10" s="1144"/>
      <c r="V10" s="1193">
        <v>0</v>
      </c>
      <c r="W10" s="1193">
        <f>-12000+5130</f>
        <v>-6870</v>
      </c>
      <c r="X10" s="1193">
        <f>+V10+W10</f>
        <v>-6870</v>
      </c>
      <c r="Y10" s="34"/>
      <c r="Z10" s="1120" t="s">
        <v>92</v>
      </c>
      <c r="AA10" s="1121"/>
      <c r="AB10" s="1121"/>
      <c r="AC10" s="1121"/>
      <c r="AD10" s="1121"/>
      <c r="AE10" s="1122">
        <v>2020</v>
      </c>
      <c r="AF10" s="1122">
        <v>2019</v>
      </c>
      <c r="AG10" s="35"/>
      <c r="AH10" s="1200"/>
      <c r="AI10" s="1148" t="s">
        <v>118</v>
      </c>
      <c r="AJ10" s="1148"/>
      <c r="AK10" s="1148"/>
      <c r="AL10" s="1148"/>
      <c r="AM10" s="1198"/>
      <c r="AN10" s="1198"/>
      <c r="AO10" s="34"/>
      <c r="AP10" s="1149" t="s">
        <v>114</v>
      </c>
      <c r="AQ10" s="1205">
        <f>+G10</f>
        <v>30</v>
      </c>
      <c r="AR10" s="1188">
        <f>+H10</f>
        <v>60</v>
      </c>
      <c r="AS10" s="1206">
        <f t="shared" si="2"/>
        <v>30</v>
      </c>
      <c r="AT10" s="1126">
        <f>AM11</f>
        <v>30</v>
      </c>
      <c r="AU10" s="1127"/>
      <c r="AV10" s="516">
        <f t="shared" si="4"/>
        <v>0</v>
      </c>
      <c r="AW10" s="1213"/>
      <c r="AX10" s="1212"/>
      <c r="AY10" s="1212"/>
      <c r="AZ10" s="1212"/>
      <c r="BA10" s="1212"/>
      <c r="BB10" s="1213"/>
      <c r="BC10" s="1212"/>
      <c r="BD10" s="1214"/>
      <c r="BE10" s="1215"/>
      <c r="BF10" s="1213"/>
      <c r="BG10" s="178"/>
      <c r="BH10" s="1134">
        <f t="shared" si="3"/>
        <v>0</v>
      </c>
      <c r="BI10" s="241"/>
      <c r="BJ10" s="271" t="s">
        <v>136</v>
      </c>
      <c r="BK10" s="271"/>
      <c r="BL10" s="271"/>
      <c r="BM10" s="271"/>
      <c r="BN10" s="271"/>
      <c r="BO10" s="1217">
        <f>AX39</f>
        <v>-8505</v>
      </c>
      <c r="BP10" s="34"/>
      <c r="BQ10" s="1221" t="s">
        <v>114</v>
      </c>
      <c r="BR10" s="1222">
        <f t="shared" si="1"/>
        <v>0</v>
      </c>
      <c r="BS10" s="1229"/>
      <c r="BT10" s="1229"/>
      <c r="BU10" s="1229"/>
      <c r="BV10" s="1229"/>
      <c r="BW10" s="1229"/>
      <c r="BX10" s="1229"/>
      <c r="BY10" s="241"/>
      <c r="BZ10" s="241"/>
      <c r="CA10" s="1146" t="s">
        <v>92</v>
      </c>
      <c r="CB10" s="1143"/>
      <c r="CC10" s="1143"/>
      <c r="CD10" s="1143"/>
      <c r="CE10" s="677"/>
      <c r="CF10" s="677"/>
      <c r="CG10" s="677"/>
      <c r="CH10" s="677"/>
      <c r="CI10" s="1147">
        <f>+AN8</f>
        <v>100</v>
      </c>
      <c r="CJ10" s="241"/>
      <c r="CK10" s="1535">
        <f>SUM(CI7:CI14)</f>
        <v>8016</v>
      </c>
    </row>
    <row r="11" spans="1:90" s="42" customFormat="1" ht="19.5" customHeight="1" x14ac:dyDescent="0.3">
      <c r="A11" s="20"/>
      <c r="B11" s="1150" t="s">
        <v>115</v>
      </c>
      <c r="C11" s="1150"/>
      <c r="D11" s="1150"/>
      <c r="E11" s="1150"/>
      <c r="F11" s="1150"/>
      <c r="G11" s="1189">
        <f>AF22</f>
        <v>100</v>
      </c>
      <c r="H11" s="1189">
        <f>+AD22</f>
        <v>120</v>
      </c>
      <c r="I11" s="34"/>
      <c r="J11" s="1148" t="s">
        <v>13</v>
      </c>
      <c r="K11" s="1148"/>
      <c r="L11" s="1148"/>
      <c r="M11" s="1148"/>
      <c r="N11" s="1150"/>
      <c r="O11" s="1148"/>
      <c r="P11" s="1190">
        <f>SUM(P6:P10)</f>
        <v>10740</v>
      </c>
      <c r="Q11" s="34"/>
      <c r="R11" s="1148" t="s">
        <v>32</v>
      </c>
      <c r="S11" s="1144"/>
      <c r="T11" s="1144"/>
      <c r="U11" s="1144"/>
      <c r="V11" s="1193">
        <f>SUM(V6:V10)</f>
        <v>4000</v>
      </c>
      <c r="W11" s="1197">
        <f>SUM(W6:W10)</f>
        <v>3000</v>
      </c>
      <c r="X11" s="1193">
        <f>SUM(X6:X10)</f>
        <v>7000</v>
      </c>
      <c r="Y11" s="34"/>
      <c r="Z11" s="1121"/>
      <c r="AA11" s="1121"/>
      <c r="AB11" s="1121"/>
      <c r="AC11" s="1121"/>
      <c r="AD11" s="1121"/>
      <c r="AE11" s="1122" t="s">
        <v>387</v>
      </c>
      <c r="AF11" s="1122" t="s">
        <v>387</v>
      </c>
      <c r="AG11" s="35"/>
      <c r="AH11" s="1200" t="s">
        <v>112</v>
      </c>
      <c r="AI11" s="1150" t="s">
        <v>114</v>
      </c>
      <c r="AJ11" s="1150"/>
      <c r="AK11" s="1150"/>
      <c r="AL11" s="1150"/>
      <c r="AM11" s="1144">
        <f>H10-G10</f>
        <v>30</v>
      </c>
      <c r="AN11" s="1144"/>
      <c r="AO11" s="34"/>
      <c r="AP11" s="1149" t="s">
        <v>115</v>
      </c>
      <c r="AQ11" s="1205">
        <f>+G11</f>
        <v>100</v>
      </c>
      <c r="AR11" s="1188">
        <f>+H11</f>
        <v>120</v>
      </c>
      <c r="AS11" s="1206">
        <f t="shared" si="2"/>
        <v>20</v>
      </c>
      <c r="AT11" s="1126">
        <f>AM15</f>
        <v>46</v>
      </c>
      <c r="AU11" s="1127"/>
      <c r="AV11" s="516">
        <f t="shared" si="4"/>
        <v>-26</v>
      </c>
      <c r="AW11" s="1213"/>
      <c r="AX11" s="1212"/>
      <c r="AY11" s="1212"/>
      <c r="AZ11" s="1212"/>
      <c r="BA11" s="1212"/>
      <c r="BB11" s="1213">
        <f>+AV11</f>
        <v>-26</v>
      </c>
      <c r="BC11" s="1212"/>
      <c r="BD11" s="1214"/>
      <c r="BE11" s="1215"/>
      <c r="BF11" s="1213"/>
      <c r="BG11" s="178"/>
      <c r="BH11" s="1134">
        <f t="shared" si="3"/>
        <v>0</v>
      </c>
      <c r="BI11" s="241"/>
      <c r="BJ11" s="271" t="s">
        <v>137</v>
      </c>
      <c r="BK11" s="271"/>
      <c r="BL11" s="271"/>
      <c r="BM11" s="271"/>
      <c r="BN11" s="271"/>
      <c r="BO11" s="1217">
        <f>AY39</f>
        <v>-2225</v>
      </c>
      <c r="BP11" s="34"/>
      <c r="BQ11" s="1221" t="s">
        <v>115</v>
      </c>
      <c r="BR11" s="1222">
        <f t="shared" si="1"/>
        <v>-26</v>
      </c>
      <c r="BS11" s="1229"/>
      <c r="BT11" s="1229"/>
      <c r="BU11" s="1229"/>
      <c r="BV11" s="1229"/>
      <c r="BW11" s="1229"/>
      <c r="BX11" s="1229"/>
      <c r="BY11" s="241"/>
      <c r="BZ11" s="241"/>
      <c r="CA11" s="1146" t="s">
        <v>149</v>
      </c>
      <c r="CB11" s="1143"/>
      <c r="CC11" s="1143"/>
      <c r="CD11" s="1143"/>
      <c r="CE11" s="677"/>
      <c r="CF11" s="677"/>
      <c r="CG11" s="677"/>
      <c r="CH11" s="677"/>
      <c r="CI11" s="1147">
        <f>AN17+AN18+AN16</f>
        <v>46</v>
      </c>
      <c r="CJ11" s="241"/>
      <c r="CK11" s="1535"/>
    </row>
    <row r="12" spans="1:90" s="42" customFormat="1" ht="19.5" customHeight="1" x14ac:dyDescent="0.3">
      <c r="A12" s="20"/>
      <c r="B12" s="1148" t="s">
        <v>75</v>
      </c>
      <c r="C12" s="1150"/>
      <c r="D12" s="1150"/>
      <c r="E12" s="1150"/>
      <c r="F12" s="1150"/>
      <c r="G12" s="1191">
        <f>+G9+G10+G11</f>
        <v>11865</v>
      </c>
      <c r="H12" s="1191">
        <f>+H9+H10+H11</f>
        <v>10395</v>
      </c>
      <c r="I12" s="34"/>
      <c r="J12" s="1150" t="s">
        <v>86</v>
      </c>
      <c r="K12" s="1150"/>
      <c r="L12" s="1150"/>
      <c r="M12" s="1150"/>
      <c r="N12" s="1150"/>
      <c r="O12" s="1150"/>
      <c r="P12" s="1188"/>
      <c r="Q12" s="34"/>
      <c r="R12" s="34"/>
      <c r="S12" s="34"/>
      <c r="T12" s="34"/>
      <c r="U12" s="34"/>
      <c r="V12" s="34"/>
      <c r="W12" s="34"/>
      <c r="X12" s="34"/>
      <c r="Y12" s="34"/>
      <c r="Z12" s="1148" t="s">
        <v>30</v>
      </c>
      <c r="AA12" s="1144"/>
      <c r="AB12" s="1144"/>
      <c r="AC12" s="1144"/>
      <c r="AD12" s="1144"/>
      <c r="AE12" s="1144">
        <f>+AF14</f>
        <v>300</v>
      </c>
      <c r="AF12" s="1144">
        <v>100</v>
      </c>
      <c r="AG12" s="35"/>
      <c r="AH12" s="1200" t="s">
        <v>113</v>
      </c>
      <c r="AI12" s="1150" t="s">
        <v>15</v>
      </c>
      <c r="AJ12" s="1150"/>
      <c r="AK12" s="1150"/>
      <c r="AL12" s="1150"/>
      <c r="AM12" s="1144"/>
      <c r="AN12" s="1144">
        <f>+AM11</f>
        <v>30</v>
      </c>
      <c r="AO12" s="34"/>
      <c r="AP12" s="1149" t="s">
        <v>5</v>
      </c>
      <c r="AQ12" s="1206">
        <f t="shared" ref="AQ12:AR16" si="5">-G15</f>
        <v>-225</v>
      </c>
      <c r="AR12" s="1144">
        <f t="shared" si="5"/>
        <v>-230</v>
      </c>
      <c r="AS12" s="1206">
        <f t="shared" si="2"/>
        <v>-5</v>
      </c>
      <c r="AT12" s="1128"/>
      <c r="AU12" s="515"/>
      <c r="AV12" s="516">
        <f t="shared" si="4"/>
        <v>-5</v>
      </c>
      <c r="AW12" s="1213"/>
      <c r="AX12" s="1212">
        <f>+AV12</f>
        <v>-5</v>
      </c>
      <c r="AY12" s="1212"/>
      <c r="AZ12" s="1212"/>
      <c r="BA12" s="1212"/>
      <c r="BB12" s="1213"/>
      <c r="BC12" s="1212"/>
      <c r="BD12" s="1214"/>
      <c r="BE12" s="1215"/>
      <c r="BF12" s="1213"/>
      <c r="BG12" s="178"/>
      <c r="BH12" s="1134">
        <f t="shared" si="3"/>
        <v>0</v>
      </c>
      <c r="BI12" s="241"/>
      <c r="BJ12" s="271" t="s">
        <v>138</v>
      </c>
      <c r="BK12" s="271"/>
      <c r="BL12" s="271"/>
      <c r="BM12" s="271"/>
      <c r="BN12" s="271"/>
      <c r="BO12" s="1217">
        <f>AZ39</f>
        <v>-887.12</v>
      </c>
      <c r="BP12" s="34"/>
      <c r="BQ12" s="1221" t="s">
        <v>5</v>
      </c>
      <c r="BR12" s="1222">
        <f t="shared" si="1"/>
        <v>-5</v>
      </c>
      <c r="BS12" s="1229"/>
      <c r="BT12" s="1229">
        <f>+BR12</f>
        <v>-5</v>
      </c>
      <c r="BU12" s="1229"/>
      <c r="BV12" s="1229"/>
      <c r="BW12" s="1229"/>
      <c r="BX12" s="1229"/>
      <c r="BY12" s="241"/>
      <c r="BZ12" s="241"/>
      <c r="CA12" s="1146" t="s">
        <v>150</v>
      </c>
      <c r="CB12" s="1143"/>
      <c r="CC12" s="1143"/>
      <c r="CD12" s="1143"/>
      <c r="CE12" s="677"/>
      <c r="CF12" s="677"/>
      <c r="CG12" s="677"/>
      <c r="CH12" s="677"/>
      <c r="CI12" s="1147">
        <f>+AN12</f>
        <v>30</v>
      </c>
      <c r="CJ12" s="241"/>
      <c r="CK12" s="241"/>
    </row>
    <row r="13" spans="1:90" s="42" customFormat="1" ht="19.5" customHeight="1" x14ac:dyDescent="0.3">
      <c r="A13" s="20"/>
      <c r="B13" s="1150"/>
      <c r="C13" s="1150"/>
      <c r="D13" s="1150"/>
      <c r="E13" s="1150"/>
      <c r="F13" s="1150"/>
      <c r="G13" s="1192"/>
      <c r="H13" s="1192"/>
      <c r="I13" s="34"/>
      <c r="J13" s="1195" t="s">
        <v>11</v>
      </c>
      <c r="K13" s="1195"/>
      <c r="L13" s="1150"/>
      <c r="M13" s="1150"/>
      <c r="N13" s="1150"/>
      <c r="O13" s="1150"/>
      <c r="P13" s="1144">
        <v>-50</v>
      </c>
      <c r="Q13" s="34"/>
      <c r="R13" s="34"/>
      <c r="S13" s="34"/>
      <c r="T13" s="34"/>
      <c r="U13" s="34"/>
      <c r="V13" s="34">
        <f>+V11-G26</f>
        <v>0</v>
      </c>
      <c r="W13" s="34">
        <f>+W11-G27</f>
        <v>0</v>
      </c>
      <c r="X13" s="34">
        <f>+X11-G28</f>
        <v>0</v>
      </c>
      <c r="Y13" s="34"/>
      <c r="Z13" s="1150" t="s">
        <v>93</v>
      </c>
      <c r="AA13" s="1144"/>
      <c r="AB13" s="1144"/>
      <c r="AC13" s="1144"/>
      <c r="AD13" s="1144"/>
      <c r="AE13" s="1144">
        <v>100</v>
      </c>
      <c r="AF13" s="1144">
        <v>200</v>
      </c>
      <c r="AG13" s="35"/>
      <c r="AH13" s="1200"/>
      <c r="AI13" s="1148"/>
      <c r="AJ13" s="1148"/>
      <c r="AK13" s="1148"/>
      <c r="AL13" s="1148"/>
      <c r="AM13" s="1148"/>
      <c r="AN13" s="1148"/>
      <c r="AO13" s="34"/>
      <c r="AP13" s="1149" t="s">
        <v>23</v>
      </c>
      <c r="AQ13" s="1206">
        <f t="shared" si="5"/>
        <v>-300</v>
      </c>
      <c r="AR13" s="1144">
        <f t="shared" si="5"/>
        <v>-145</v>
      </c>
      <c r="AS13" s="1206">
        <f t="shared" si="2"/>
        <v>155</v>
      </c>
      <c r="AT13" s="1128"/>
      <c r="AU13" s="515"/>
      <c r="AV13" s="516">
        <f t="shared" si="4"/>
        <v>155</v>
      </c>
      <c r="AW13" s="1213"/>
      <c r="AX13" s="1212"/>
      <c r="AY13" s="1212">
        <f>+AV13</f>
        <v>155</v>
      </c>
      <c r="AZ13" s="1212"/>
      <c r="BA13" s="1212"/>
      <c r="BB13" s="1213"/>
      <c r="BC13" s="1212"/>
      <c r="BD13" s="1214"/>
      <c r="BE13" s="1215"/>
      <c r="BF13" s="1213"/>
      <c r="BG13" s="178"/>
      <c r="BH13" s="1134">
        <f t="shared" si="3"/>
        <v>0</v>
      </c>
      <c r="BI13" s="241"/>
      <c r="BJ13" s="271" t="s">
        <v>1014</v>
      </c>
      <c r="BK13" s="271"/>
      <c r="BL13" s="271"/>
      <c r="BM13" s="271"/>
      <c r="BN13" s="271"/>
      <c r="BO13" s="1217">
        <f>+BA39</f>
        <v>-3237.2799999999975</v>
      </c>
      <c r="BP13" s="34"/>
      <c r="BQ13" s="1221" t="s">
        <v>23</v>
      </c>
      <c r="BR13" s="1222">
        <f t="shared" si="1"/>
        <v>155</v>
      </c>
      <c r="BS13" s="1229"/>
      <c r="BT13" s="1229"/>
      <c r="BU13" s="1229">
        <f>+BR13</f>
        <v>155</v>
      </c>
      <c r="BV13" s="1229"/>
      <c r="BW13" s="1229"/>
      <c r="BX13" s="1229"/>
      <c r="BY13" s="241"/>
      <c r="BZ13" s="241"/>
      <c r="CA13" s="1146" t="s">
        <v>466</v>
      </c>
      <c r="CB13" s="1143"/>
      <c r="CC13" s="1143"/>
      <c r="CD13" s="1143"/>
      <c r="CE13" s="677"/>
      <c r="CF13" s="677"/>
      <c r="CG13" s="677"/>
      <c r="CH13" s="677"/>
      <c r="CI13" s="1147">
        <f>-BD39</f>
        <v>120</v>
      </c>
      <c r="CJ13" s="241"/>
      <c r="CK13" s="241"/>
    </row>
    <row r="14" spans="1:90" s="42" customFormat="1" ht="19.5" customHeight="1" x14ac:dyDescent="0.3">
      <c r="A14" s="20"/>
      <c r="B14" s="1148" t="s">
        <v>79</v>
      </c>
      <c r="C14" s="1150"/>
      <c r="D14" s="1150"/>
      <c r="E14" s="1150"/>
      <c r="F14" s="1150"/>
      <c r="G14" s="1192"/>
      <c r="H14" s="1192"/>
      <c r="I14" s="34"/>
      <c r="J14" s="1195" t="s">
        <v>87</v>
      </c>
      <c r="K14" s="1195"/>
      <c r="L14" s="1150"/>
      <c r="M14" s="1150"/>
      <c r="N14" s="1150"/>
      <c r="O14" s="1150"/>
      <c r="P14" s="1144">
        <v>-100</v>
      </c>
      <c r="Q14" s="34"/>
      <c r="R14" s="34"/>
      <c r="S14" s="34"/>
      <c r="T14" s="34"/>
      <c r="U14" s="34"/>
      <c r="V14" s="34"/>
      <c r="W14" s="34"/>
      <c r="X14" s="34"/>
      <c r="Y14" s="34"/>
      <c r="Z14" s="1148" t="s">
        <v>32</v>
      </c>
      <c r="AA14" s="1144"/>
      <c r="AB14" s="1144"/>
      <c r="AC14" s="1144"/>
      <c r="AD14" s="1144"/>
      <c r="AE14" s="1197">
        <f>+AE12+AE13</f>
        <v>400</v>
      </c>
      <c r="AF14" s="1197">
        <f>+AF12+AF13</f>
        <v>300</v>
      </c>
      <c r="AG14" s="1119">
        <f>+AE7+AE14</f>
        <v>0</v>
      </c>
      <c r="AH14" s="1200"/>
      <c r="AI14" s="1148" t="s">
        <v>119</v>
      </c>
      <c r="AJ14" s="1148"/>
      <c r="AK14" s="1148"/>
      <c r="AL14" s="1148"/>
      <c r="AM14" s="1198"/>
      <c r="AN14" s="1198"/>
      <c r="AO14" s="34"/>
      <c r="AP14" s="1149" t="s">
        <v>27</v>
      </c>
      <c r="AQ14" s="1206">
        <f t="shared" si="5"/>
        <v>-120</v>
      </c>
      <c r="AR14" s="1144">
        <f t="shared" si="5"/>
        <v>-200</v>
      </c>
      <c r="AS14" s="1206">
        <f t="shared" si="2"/>
        <v>-80</v>
      </c>
      <c r="AT14" s="1128"/>
      <c r="AU14" s="515"/>
      <c r="AV14" s="516">
        <f t="shared" si="4"/>
        <v>-80</v>
      </c>
      <c r="AW14" s="1213"/>
      <c r="AX14" s="1212"/>
      <c r="AY14" s="1212"/>
      <c r="AZ14" s="1212">
        <f>+AV14</f>
        <v>-80</v>
      </c>
      <c r="BA14" s="1212"/>
      <c r="BB14" s="1213"/>
      <c r="BC14" s="1212"/>
      <c r="BD14" s="1214"/>
      <c r="BE14" s="1215"/>
      <c r="BF14" s="1213"/>
      <c r="BG14" s="178"/>
      <c r="BH14" s="1134">
        <f t="shared" si="3"/>
        <v>0</v>
      </c>
      <c r="BI14" s="241"/>
      <c r="BJ14" s="16" t="s">
        <v>1097</v>
      </c>
      <c r="BK14" s="17"/>
      <c r="BL14" s="17"/>
      <c r="BM14" s="17"/>
      <c r="BN14" s="17"/>
      <c r="BO14" s="17"/>
      <c r="BP14" s="34"/>
      <c r="BQ14" s="1221" t="s">
        <v>27</v>
      </c>
      <c r="BR14" s="1222">
        <f t="shared" si="1"/>
        <v>-80</v>
      </c>
      <c r="BS14" s="1229"/>
      <c r="BT14" s="1229"/>
      <c r="BU14" s="1229"/>
      <c r="BV14" s="1229">
        <f>+BR14</f>
        <v>-80</v>
      </c>
      <c r="BW14" s="1229"/>
      <c r="BX14" s="1229"/>
      <c r="BY14" s="241"/>
      <c r="BZ14" s="241"/>
      <c r="CA14" s="1146" t="s">
        <v>532</v>
      </c>
      <c r="CB14" s="1143"/>
      <c r="CC14" s="1143"/>
      <c r="CD14" s="1143"/>
      <c r="CE14" s="677"/>
      <c r="CF14" s="677"/>
      <c r="CG14" s="677"/>
      <c r="CH14" s="677"/>
      <c r="CI14" s="1147">
        <f>-+BO28</f>
        <v>100</v>
      </c>
      <c r="CJ14" s="241"/>
      <c r="CK14" s="241"/>
    </row>
    <row r="15" spans="1:90" s="42" customFormat="1" ht="19.5" customHeight="1" x14ac:dyDescent="0.3">
      <c r="A15" s="20"/>
      <c r="B15" s="1150" t="s">
        <v>5</v>
      </c>
      <c r="C15" s="1150"/>
      <c r="D15" s="1150"/>
      <c r="E15" s="1150"/>
      <c r="F15" s="1150"/>
      <c r="G15" s="1188">
        <v>225</v>
      </c>
      <c r="H15" s="1188">
        <v>230</v>
      </c>
      <c r="I15" s="34"/>
      <c r="J15" s="1195" t="s">
        <v>38</v>
      </c>
      <c r="K15" s="1195"/>
      <c r="L15" s="1150"/>
      <c r="M15" s="1150"/>
      <c r="N15" s="1150"/>
      <c r="O15" s="1150"/>
      <c r="P15" s="1144">
        <v>-3</v>
      </c>
      <c r="Q15" s="34"/>
      <c r="R15" s="16" t="s">
        <v>1096</v>
      </c>
      <c r="S15" s="46"/>
      <c r="T15" s="46"/>
      <c r="U15" s="46"/>
      <c r="V15" s="19"/>
      <c r="W15" s="19"/>
      <c r="X15" s="19" t="s">
        <v>387</v>
      </c>
      <c r="Y15" s="34"/>
      <c r="Z15" s="34"/>
      <c r="AA15" s="34"/>
      <c r="AB15" s="34"/>
      <c r="AC15" s="34"/>
      <c r="AD15" s="34"/>
      <c r="AE15" s="34"/>
      <c r="AF15" s="34"/>
      <c r="AG15" s="34"/>
      <c r="AH15" s="1200" t="s">
        <v>112</v>
      </c>
      <c r="AI15" s="1150" t="s">
        <v>115</v>
      </c>
      <c r="AJ15" s="1150"/>
      <c r="AK15" s="1150"/>
      <c r="AL15" s="1150"/>
      <c r="AM15" s="1199">
        <f>+AN17+AN16+AN18</f>
        <v>46</v>
      </c>
      <c r="AN15" s="1148"/>
      <c r="AO15" s="34"/>
      <c r="AP15" s="1149" t="s">
        <v>42</v>
      </c>
      <c r="AQ15" s="1206">
        <f t="shared" si="5"/>
        <v>-1100</v>
      </c>
      <c r="AR15" s="1144">
        <f t="shared" si="5"/>
        <v>-900</v>
      </c>
      <c r="AS15" s="1206">
        <f t="shared" si="2"/>
        <v>200</v>
      </c>
      <c r="AT15" s="1128"/>
      <c r="AU15" s="515"/>
      <c r="AV15" s="516">
        <f t="shared" si="4"/>
        <v>200</v>
      </c>
      <c r="AW15" s="1213"/>
      <c r="AX15" s="1212"/>
      <c r="AY15" s="1212"/>
      <c r="AZ15" s="1212"/>
      <c r="BA15" s="1212">
        <f>+AV15</f>
        <v>200</v>
      </c>
      <c r="BB15" s="1213"/>
      <c r="BC15" s="1212"/>
      <c r="BD15" s="1214"/>
      <c r="BE15" s="1215"/>
      <c r="BF15" s="1213"/>
      <c r="BG15" s="178"/>
      <c r="BH15" s="1134">
        <f t="shared" si="3"/>
        <v>0</v>
      </c>
      <c r="BI15" s="241"/>
      <c r="BJ15" s="16" t="s">
        <v>367</v>
      </c>
      <c r="BK15" s="17"/>
      <c r="BL15" s="17"/>
      <c r="BM15" s="17"/>
      <c r="BN15" s="17"/>
      <c r="BO15" s="48">
        <f>SUM(BO9:BO13)</f>
        <v>8786</v>
      </c>
      <c r="BP15" s="34"/>
      <c r="BQ15" s="1221" t="s">
        <v>42</v>
      </c>
      <c r="BR15" s="1222">
        <f t="shared" si="1"/>
        <v>200</v>
      </c>
      <c r="BS15" s="1229"/>
      <c r="BT15" s="1229"/>
      <c r="BU15" s="1229"/>
      <c r="BV15" s="1229"/>
      <c r="BW15" s="1229"/>
      <c r="BX15" s="1229">
        <f>+BR15</f>
        <v>200</v>
      </c>
      <c r="BY15" s="241"/>
      <c r="BZ15" s="241"/>
      <c r="CA15" s="1231" t="s">
        <v>152</v>
      </c>
      <c r="CB15" s="1232"/>
      <c r="CC15" s="1232"/>
      <c r="CD15" s="1232"/>
      <c r="CE15" s="1233"/>
      <c r="CF15" s="1233"/>
      <c r="CG15" s="1233"/>
      <c r="CH15" s="1233"/>
      <c r="CI15" s="1229"/>
      <c r="CJ15" s="241"/>
      <c r="CK15" s="241"/>
    </row>
    <row r="16" spans="1:90" s="42" customFormat="1" ht="19.5" customHeight="1" x14ac:dyDescent="0.3">
      <c r="A16" s="20"/>
      <c r="B16" s="1150" t="s">
        <v>23</v>
      </c>
      <c r="C16" s="1150"/>
      <c r="D16" s="1150"/>
      <c r="E16" s="1150"/>
      <c r="F16" s="1150"/>
      <c r="G16" s="1188">
        <v>300</v>
      </c>
      <c r="H16" s="1188">
        <v>145</v>
      </c>
      <c r="I16" s="34"/>
      <c r="J16" s="1150" t="s">
        <v>85</v>
      </c>
      <c r="K16" s="1150"/>
      <c r="L16" s="1150"/>
      <c r="M16" s="1150"/>
      <c r="N16" s="1150"/>
      <c r="O16" s="1150"/>
      <c r="P16" s="1188"/>
      <c r="Q16" s="34"/>
      <c r="R16" s="1148" t="s">
        <v>30</v>
      </c>
      <c r="S16" s="1144"/>
      <c r="T16" s="1144"/>
      <c r="U16" s="1144"/>
      <c r="V16" s="1144"/>
      <c r="W16" s="1144"/>
      <c r="X16" s="1227">
        <f>+W6</f>
        <v>4500</v>
      </c>
      <c r="Y16" s="34"/>
      <c r="Z16" s="34"/>
      <c r="AA16" s="34"/>
      <c r="AB16" s="34"/>
      <c r="AC16" s="34"/>
      <c r="AD16" s="34"/>
      <c r="AE16" s="34"/>
      <c r="AF16" s="34"/>
      <c r="AG16" s="34"/>
      <c r="AH16" s="1200" t="s">
        <v>113</v>
      </c>
      <c r="AI16" s="1150" t="s">
        <v>84</v>
      </c>
      <c r="AJ16" s="1150"/>
      <c r="AK16" s="1150"/>
      <c r="AL16" s="1150"/>
      <c r="AM16" s="1148"/>
      <c r="AN16" s="1199">
        <f>-P10</f>
        <v>40</v>
      </c>
      <c r="AO16" s="34"/>
      <c r="AP16" s="1149" t="s">
        <v>251</v>
      </c>
      <c r="AQ16" s="1206">
        <f t="shared" si="5"/>
        <v>-120</v>
      </c>
      <c r="AR16" s="1144">
        <f t="shared" si="5"/>
        <v>-120</v>
      </c>
      <c r="AS16" s="1206">
        <f t="shared" si="2"/>
        <v>0</v>
      </c>
      <c r="AT16" s="1128"/>
      <c r="AU16" s="515"/>
      <c r="AV16" s="516">
        <f t="shared" si="4"/>
        <v>0</v>
      </c>
      <c r="AW16" s="1213"/>
      <c r="AX16" s="1212"/>
      <c r="AY16" s="1212"/>
      <c r="AZ16" s="1212"/>
      <c r="BA16" s="1212"/>
      <c r="BB16" s="1213"/>
      <c r="BC16" s="1212"/>
      <c r="BD16" s="1214"/>
      <c r="BE16" s="1215"/>
      <c r="BF16" s="1213"/>
      <c r="BG16" s="178"/>
      <c r="BH16" s="1134">
        <f t="shared" si="3"/>
        <v>0</v>
      </c>
      <c r="BI16" s="241"/>
      <c r="BJ16" s="1217"/>
      <c r="BK16" s="1217"/>
      <c r="BL16" s="1217"/>
      <c r="BM16" s="1217"/>
      <c r="BN16" s="1217"/>
      <c r="BO16" s="1217"/>
      <c r="BP16" s="34"/>
      <c r="BQ16" s="1221" t="s">
        <v>251</v>
      </c>
      <c r="BR16" s="1222">
        <f t="shared" si="1"/>
        <v>0</v>
      </c>
      <c r="BS16" s="1229"/>
      <c r="BT16" s="1229"/>
      <c r="BU16" s="1229"/>
      <c r="BV16" s="1229"/>
      <c r="BW16" s="1229">
        <f>+BR16</f>
        <v>0</v>
      </c>
      <c r="BX16" s="1229"/>
      <c r="BY16" s="241"/>
      <c r="BZ16" s="241"/>
      <c r="CA16" s="1234" t="s">
        <v>153</v>
      </c>
      <c r="CB16" s="1235"/>
      <c r="CC16" s="1235"/>
      <c r="CD16" s="1235"/>
      <c r="CE16" s="1233"/>
      <c r="CF16" s="1233"/>
      <c r="CG16" s="1233"/>
      <c r="CH16" s="1233"/>
      <c r="CI16" s="1229">
        <f>+BS8</f>
        <v>300</v>
      </c>
      <c r="CJ16" s="241"/>
      <c r="CK16" s="241"/>
    </row>
    <row r="17" spans="1:90" s="42" customFormat="1" ht="19.5" customHeight="1" x14ac:dyDescent="0.3">
      <c r="A17" s="20"/>
      <c r="B17" s="1150" t="s">
        <v>27</v>
      </c>
      <c r="C17" s="1150"/>
      <c r="D17" s="1150"/>
      <c r="E17" s="1150"/>
      <c r="F17" s="1150"/>
      <c r="G17" s="1188">
        <v>120</v>
      </c>
      <c r="H17" s="1188">
        <v>200</v>
      </c>
      <c r="I17" s="34"/>
      <c r="J17" s="1195" t="s">
        <v>11</v>
      </c>
      <c r="K17" s="1195"/>
      <c r="L17" s="1150"/>
      <c r="M17" s="1150"/>
      <c r="N17" s="1150"/>
      <c r="O17" s="1150"/>
      <c r="P17" s="1144">
        <v>-150</v>
      </c>
      <c r="Q17" s="34"/>
      <c r="R17" s="1150" t="s">
        <v>116</v>
      </c>
      <c r="S17" s="1144"/>
      <c r="T17" s="1144"/>
      <c r="U17" s="1144"/>
      <c r="V17" s="1144"/>
      <c r="W17" s="1144"/>
      <c r="X17" s="1144">
        <f>+W8</f>
        <v>-2250</v>
      </c>
      <c r="Y17" s="34"/>
      <c r="Z17" s="1120" t="s">
        <v>28</v>
      </c>
      <c r="AA17" s="1121"/>
      <c r="AB17" s="1121"/>
      <c r="AC17" s="1121"/>
      <c r="AD17" s="1122" t="s">
        <v>94</v>
      </c>
      <c r="AE17" s="1122"/>
      <c r="AF17" s="1122" t="s">
        <v>94</v>
      </c>
      <c r="AG17" s="34"/>
      <c r="AH17" s="1200" t="s">
        <v>113</v>
      </c>
      <c r="AI17" s="1150" t="s">
        <v>86</v>
      </c>
      <c r="AJ17" s="1150"/>
      <c r="AK17" s="1150"/>
      <c r="AL17" s="1150"/>
      <c r="AM17" s="1148"/>
      <c r="AN17" s="1199">
        <f>-P15</f>
        <v>3</v>
      </c>
      <c r="AO17" s="34"/>
      <c r="AP17" s="1149" t="s">
        <v>83</v>
      </c>
      <c r="AQ17" s="1206">
        <f>-G22-G20</f>
        <v>-3000</v>
      </c>
      <c r="AR17" s="1144">
        <f>-H22-H20</f>
        <v>-3800</v>
      </c>
      <c r="AS17" s="1206">
        <f t="shared" si="2"/>
        <v>-800</v>
      </c>
      <c r="AT17" s="1128"/>
      <c r="AU17" s="515"/>
      <c r="AV17" s="516">
        <f t="shared" si="4"/>
        <v>-800</v>
      </c>
      <c r="AW17" s="1213"/>
      <c r="AX17" s="1212"/>
      <c r="AY17" s="1212"/>
      <c r="AZ17" s="1212"/>
      <c r="BA17" s="1212"/>
      <c r="BB17" s="1213"/>
      <c r="BC17" s="1212">
        <f>+AV17</f>
        <v>-800</v>
      </c>
      <c r="BD17" s="1214"/>
      <c r="BE17" s="1215"/>
      <c r="BF17" s="1213"/>
      <c r="BG17" s="178"/>
      <c r="BH17" s="1134">
        <f t="shared" si="3"/>
        <v>0</v>
      </c>
      <c r="BI17" s="241"/>
      <c r="BJ17" s="1216" t="s">
        <v>143</v>
      </c>
      <c r="BK17" s="271"/>
      <c r="BL17" s="271"/>
      <c r="BM17" s="271"/>
      <c r="BN17" s="271"/>
      <c r="BO17" s="1218"/>
      <c r="BP17" s="34"/>
      <c r="BQ17" s="1221" t="s">
        <v>83</v>
      </c>
      <c r="BR17" s="1222">
        <f t="shared" si="1"/>
        <v>-800</v>
      </c>
      <c r="BS17" s="172"/>
      <c r="BT17" s="172"/>
      <c r="BU17" s="172"/>
      <c r="BV17" s="172"/>
      <c r="BW17" s="172"/>
      <c r="BX17" s="172"/>
      <c r="BY17" s="301" t="s">
        <v>304</v>
      </c>
      <c r="BZ17" s="241"/>
      <c r="CA17" s="1234" t="s">
        <v>154</v>
      </c>
      <c r="CB17" s="1235"/>
      <c r="CC17" s="1235"/>
      <c r="CD17" s="1235"/>
      <c r="CE17" s="1233"/>
      <c r="CF17" s="1233"/>
      <c r="CG17" s="1233"/>
      <c r="CH17" s="1233"/>
      <c r="CI17" s="1229">
        <f>+BT9</f>
        <v>200</v>
      </c>
      <c r="CJ17" s="241"/>
      <c r="CK17" s="241"/>
    </row>
    <row r="18" spans="1:90" s="42" customFormat="1" ht="19.5" customHeight="1" x14ac:dyDescent="0.3">
      <c r="A18" s="20"/>
      <c r="B18" s="1150" t="s">
        <v>42</v>
      </c>
      <c r="C18" s="1150"/>
      <c r="D18" s="1150"/>
      <c r="E18" s="1150"/>
      <c r="F18" s="1150"/>
      <c r="G18" s="1188">
        <v>1100</v>
      </c>
      <c r="H18" s="1188">
        <v>900</v>
      </c>
      <c r="I18" s="34"/>
      <c r="J18" s="1195" t="s">
        <v>37</v>
      </c>
      <c r="K18" s="1195"/>
      <c r="L18" s="1150"/>
      <c r="M18" s="1150"/>
      <c r="N18" s="1150"/>
      <c r="O18" s="1150"/>
      <c r="P18" s="1144">
        <v>-24</v>
      </c>
      <c r="Q18" s="34"/>
      <c r="R18" s="1150" t="s">
        <v>100</v>
      </c>
      <c r="S18" s="1144"/>
      <c r="T18" s="1144"/>
      <c r="U18" s="1144"/>
      <c r="V18" s="1144"/>
      <c r="W18" s="1144"/>
      <c r="X18" s="1193">
        <f>+W10</f>
        <v>-6870</v>
      </c>
      <c r="Y18" s="34"/>
      <c r="Z18" s="1121"/>
      <c r="AA18" s="1121"/>
      <c r="AB18" s="1121"/>
      <c r="AC18" s="1121"/>
      <c r="AD18" s="1122" t="s">
        <v>70</v>
      </c>
      <c r="AE18" s="1122" t="s">
        <v>68</v>
      </c>
      <c r="AF18" s="1122" t="s">
        <v>71</v>
      </c>
      <c r="AG18" s="34"/>
      <c r="AH18" s="1200" t="s">
        <v>113</v>
      </c>
      <c r="AI18" s="1150" t="s">
        <v>85</v>
      </c>
      <c r="AJ18" s="1150"/>
      <c r="AK18" s="1150"/>
      <c r="AL18" s="1150"/>
      <c r="AM18" s="1148"/>
      <c r="AN18" s="1199">
        <f>-P21</f>
        <v>3</v>
      </c>
      <c r="AO18" s="34"/>
      <c r="AP18" s="1149" t="s">
        <v>7</v>
      </c>
      <c r="AQ18" s="1206">
        <f>-G26</f>
        <v>-4000</v>
      </c>
      <c r="AR18" s="1144">
        <f>-H26</f>
        <v>-500</v>
      </c>
      <c r="AS18" s="1206">
        <f t="shared" si="2"/>
        <v>3500</v>
      </c>
      <c r="AT18" s="1128">
        <f>AM21</f>
        <v>2250</v>
      </c>
      <c r="AU18" s="515"/>
      <c r="AV18" s="516">
        <f t="shared" si="4"/>
        <v>1250</v>
      </c>
      <c r="AW18" s="1213"/>
      <c r="AX18" s="1212"/>
      <c r="AY18" s="1212"/>
      <c r="AZ18" s="1212"/>
      <c r="BA18" s="1212"/>
      <c r="BB18" s="1213"/>
      <c r="BC18" s="1212"/>
      <c r="BD18" s="1214"/>
      <c r="BE18" s="1215">
        <f>+AV18</f>
        <v>1250</v>
      </c>
      <c r="BF18" s="1213"/>
      <c r="BG18" s="178"/>
      <c r="BH18" s="1134">
        <f t="shared" si="3"/>
        <v>0</v>
      </c>
      <c r="BI18" s="241"/>
      <c r="BJ18" s="271" t="s">
        <v>139</v>
      </c>
      <c r="BK18" s="271"/>
      <c r="BL18" s="271"/>
      <c r="BM18" s="271"/>
      <c r="BN18" s="271"/>
      <c r="BO18" s="1217">
        <f>BB39</f>
        <v>-26</v>
      </c>
      <c r="BP18" s="34"/>
      <c r="BQ18" s="1221" t="s">
        <v>7</v>
      </c>
      <c r="BR18" s="1222">
        <f t="shared" si="1"/>
        <v>1250</v>
      </c>
      <c r="BS18" s="172"/>
      <c r="BT18" s="172"/>
      <c r="BU18" s="172"/>
      <c r="BV18" s="172"/>
      <c r="BW18" s="172"/>
      <c r="BX18" s="172"/>
      <c r="BY18" s="177">
        <f>SUM(BS17:BX37)</f>
        <v>8016</v>
      </c>
      <c r="BZ18" s="241"/>
      <c r="CA18" s="1234" t="s">
        <v>155</v>
      </c>
      <c r="CB18" s="1235"/>
      <c r="CC18" s="1235"/>
      <c r="CD18" s="1235"/>
      <c r="CE18" s="1233"/>
      <c r="CF18" s="1233"/>
      <c r="CG18" s="1233"/>
      <c r="CH18" s="1233"/>
      <c r="CI18" s="1229">
        <f>+BT12</f>
        <v>-5</v>
      </c>
      <c r="CJ18" s="241"/>
      <c r="CK18" s="1233">
        <f>SUM(CI16:CI21)</f>
        <v>770</v>
      </c>
    </row>
    <row r="19" spans="1:90" s="42" customFormat="1" ht="19.5" customHeight="1" x14ac:dyDescent="0.3">
      <c r="A19" s="20"/>
      <c r="B19" s="1150" t="s">
        <v>251</v>
      </c>
      <c r="C19" s="1150"/>
      <c r="D19" s="1150"/>
      <c r="E19" s="1150"/>
      <c r="F19" s="1150"/>
      <c r="G19" s="1188">
        <v>120</v>
      </c>
      <c r="H19" s="1188">
        <v>120</v>
      </c>
      <c r="I19" s="34"/>
      <c r="J19" s="1195" t="s">
        <v>29</v>
      </c>
      <c r="K19" s="1195"/>
      <c r="L19" s="1150"/>
      <c r="M19" s="1150"/>
      <c r="N19" s="1150"/>
      <c r="O19" s="1150"/>
      <c r="P19" s="1144">
        <v>-60</v>
      </c>
      <c r="Q19" s="34"/>
      <c r="R19" s="1148" t="s">
        <v>32</v>
      </c>
      <c r="S19" s="1144"/>
      <c r="T19" s="1144"/>
      <c r="U19" s="1144"/>
      <c r="V19" s="1144"/>
      <c r="W19" s="1144"/>
      <c r="X19" s="1226">
        <f>SUM(X16:X18)</f>
        <v>-4620</v>
      </c>
      <c r="Y19" s="34"/>
      <c r="Z19" s="1148" t="s">
        <v>1008</v>
      </c>
      <c r="AA19" s="1144"/>
      <c r="AB19" s="1144"/>
      <c r="AC19" s="1144"/>
      <c r="AD19" s="1198" t="s">
        <v>387</v>
      </c>
      <c r="AE19" s="1198" t="s">
        <v>387</v>
      </c>
      <c r="AF19" s="1150"/>
      <c r="AG19" s="34"/>
      <c r="AH19" s="1200"/>
      <c r="AI19" s="1150"/>
      <c r="AJ19" s="1150"/>
      <c r="AK19" s="1150"/>
      <c r="AL19" s="1150"/>
      <c r="AM19" s="1148"/>
      <c r="AN19" s="1148"/>
      <c r="AO19" s="34"/>
      <c r="AP19" s="1149" t="s">
        <v>8</v>
      </c>
      <c r="AQ19" s="1206">
        <f>-G27+P28</f>
        <v>4620</v>
      </c>
      <c r="AR19" s="1144">
        <f>-H27</f>
        <v>-4500</v>
      </c>
      <c r="AS19" s="1206">
        <f t="shared" si="2"/>
        <v>-9120</v>
      </c>
      <c r="AT19" s="1128"/>
      <c r="AU19" s="515">
        <f>+AT18</f>
        <v>2250</v>
      </c>
      <c r="AV19" s="516">
        <f t="shared" si="4"/>
        <v>-6870</v>
      </c>
      <c r="AW19" s="1213"/>
      <c r="AX19" s="1212"/>
      <c r="AY19" s="1212"/>
      <c r="AZ19" s="1212"/>
      <c r="BA19" s="1212"/>
      <c r="BB19" s="1213"/>
      <c r="BC19" s="1212"/>
      <c r="BD19" s="1214"/>
      <c r="BE19" s="1215"/>
      <c r="BF19" s="1213">
        <f>+AV19</f>
        <v>-6870</v>
      </c>
      <c r="BG19" s="178"/>
      <c r="BH19" s="1134">
        <f t="shared" si="3"/>
        <v>0</v>
      </c>
      <c r="BI19" s="241"/>
      <c r="BJ19" s="16" t="s">
        <v>1098</v>
      </c>
      <c r="BK19" s="17"/>
      <c r="BL19" s="17"/>
      <c r="BM19" s="17"/>
      <c r="BN19" s="17"/>
      <c r="BO19" s="17"/>
      <c r="BP19" s="34"/>
      <c r="BQ19" s="1221" t="s">
        <v>8</v>
      </c>
      <c r="BR19" s="1222">
        <f t="shared" si="1"/>
        <v>-6870</v>
      </c>
      <c r="BS19" s="172"/>
      <c r="BT19" s="172"/>
      <c r="BU19" s="172"/>
      <c r="BV19" s="172"/>
      <c r="BW19" s="172"/>
      <c r="BX19" s="172"/>
      <c r="BY19" s="1228" t="s">
        <v>439</v>
      </c>
      <c r="BZ19" s="241"/>
      <c r="CA19" s="1234" t="s">
        <v>1015</v>
      </c>
      <c r="CB19" s="1235"/>
      <c r="CC19" s="1235"/>
      <c r="CD19" s="1235"/>
      <c r="CE19" s="1233"/>
      <c r="CF19" s="1233"/>
      <c r="CG19" s="1233"/>
      <c r="CH19" s="1233"/>
      <c r="CI19" s="1229">
        <f>+BU13</f>
        <v>155</v>
      </c>
      <c r="CJ19" s="241"/>
      <c r="CK19" s="241"/>
    </row>
    <row r="20" spans="1:90" s="42" customFormat="1" ht="19.5" customHeight="1" x14ac:dyDescent="0.3">
      <c r="A20" s="20"/>
      <c r="B20" s="1150" t="s">
        <v>83</v>
      </c>
      <c r="C20" s="1150"/>
      <c r="D20" s="1150"/>
      <c r="E20" s="1150"/>
      <c r="F20" s="1150"/>
      <c r="G20" s="1189">
        <v>800</v>
      </c>
      <c r="H20" s="1189">
        <v>800</v>
      </c>
      <c r="I20" s="34"/>
      <c r="J20" s="1195" t="s">
        <v>92</v>
      </c>
      <c r="K20" s="1195"/>
      <c r="L20" s="1150"/>
      <c r="M20" s="1150"/>
      <c r="N20" s="1150"/>
      <c r="O20" s="1150"/>
      <c r="P20" s="1144">
        <v>-100</v>
      </c>
      <c r="Q20" s="34"/>
      <c r="R20" s="34"/>
      <c r="S20" s="34"/>
      <c r="T20" s="34"/>
      <c r="U20" s="34"/>
      <c r="V20" s="34"/>
      <c r="W20" s="34"/>
      <c r="X20" s="34"/>
      <c r="Y20" s="34"/>
      <c r="Z20" s="1150" t="s">
        <v>35</v>
      </c>
      <c r="AA20" s="1144"/>
      <c r="AB20" s="1144"/>
      <c r="AC20" s="1144"/>
      <c r="AD20" s="1144">
        <v>200</v>
      </c>
      <c r="AE20" s="1144">
        <v>26</v>
      </c>
      <c r="AF20" s="1144">
        <f>+AD20+AE20</f>
        <v>226</v>
      </c>
      <c r="AG20" s="34"/>
      <c r="AH20" s="1200"/>
      <c r="AI20" s="1148" t="s">
        <v>120</v>
      </c>
      <c r="AJ20" s="1148"/>
      <c r="AK20" s="1148"/>
      <c r="AL20" s="1148"/>
      <c r="AM20" s="1198"/>
      <c r="AN20" s="1198"/>
      <c r="AO20" s="34"/>
      <c r="AP20" s="1149" t="s">
        <v>9</v>
      </c>
      <c r="AQ20" s="1206">
        <f>-P6</f>
        <v>-19780</v>
      </c>
      <c r="AR20" s="1188"/>
      <c r="AS20" s="1206">
        <f t="shared" si="2"/>
        <v>19780</v>
      </c>
      <c r="AT20" s="1128"/>
      <c r="AU20" s="515"/>
      <c r="AV20" s="516">
        <f t="shared" si="4"/>
        <v>19780</v>
      </c>
      <c r="AW20" s="1213">
        <f>+AV20*(1+18%)</f>
        <v>23340.399999999998</v>
      </c>
      <c r="AX20" s="1212"/>
      <c r="AY20" s="1212"/>
      <c r="AZ20" s="1212"/>
      <c r="BA20" s="1212">
        <f>+AV20-AW20</f>
        <v>-3560.3999999999978</v>
      </c>
      <c r="BB20" s="1213"/>
      <c r="BC20" s="1212"/>
      <c r="BD20" s="1214"/>
      <c r="BE20" s="1215"/>
      <c r="BF20" s="1213"/>
      <c r="BG20" s="178"/>
      <c r="BH20" s="1134">
        <f t="shared" si="3"/>
        <v>0</v>
      </c>
      <c r="BI20" s="241"/>
      <c r="BJ20" s="16" t="s">
        <v>1099</v>
      </c>
      <c r="BK20" s="17"/>
      <c r="BL20" s="17"/>
      <c r="BM20" s="17"/>
      <c r="BN20" s="17"/>
      <c r="BO20" s="48">
        <f>+BO18</f>
        <v>-26</v>
      </c>
      <c r="BP20" s="34"/>
      <c r="BQ20" s="1221" t="s">
        <v>9</v>
      </c>
      <c r="BR20" s="1222">
        <f t="shared" si="1"/>
        <v>19780</v>
      </c>
      <c r="BS20" s="172">
        <f>+BR20</f>
        <v>19780</v>
      </c>
      <c r="BT20" s="172"/>
      <c r="BU20" s="172"/>
      <c r="BV20" s="172"/>
      <c r="BW20" s="172"/>
      <c r="BX20" s="172"/>
      <c r="BY20" s="241"/>
      <c r="BZ20" s="241"/>
      <c r="CA20" s="1234" t="s">
        <v>405</v>
      </c>
      <c r="CB20" s="1235"/>
      <c r="CC20" s="1235"/>
      <c r="CD20" s="1235"/>
      <c r="CE20" s="1233"/>
      <c r="CF20" s="1233"/>
      <c r="CG20" s="1233"/>
      <c r="CH20" s="1233"/>
      <c r="CI20" s="1229">
        <f>+BV14</f>
        <v>-80</v>
      </c>
      <c r="CJ20" s="241"/>
      <c r="CK20" s="241"/>
    </row>
    <row r="21" spans="1:90" s="42" customFormat="1" ht="19.5" customHeight="1" x14ac:dyDescent="0.3">
      <c r="A21" s="20"/>
      <c r="B21" s="1148" t="s">
        <v>77</v>
      </c>
      <c r="C21" s="1150"/>
      <c r="D21" s="1150"/>
      <c r="E21" s="1150"/>
      <c r="F21" s="1150"/>
      <c r="G21" s="1190">
        <f>SUM(G15:G20)</f>
        <v>2665</v>
      </c>
      <c r="H21" s="1190">
        <f>SUM(H15:H20)</f>
        <v>2395</v>
      </c>
      <c r="I21" s="34"/>
      <c r="J21" s="1195" t="s">
        <v>38</v>
      </c>
      <c r="K21" s="1195"/>
      <c r="L21" s="1150"/>
      <c r="M21" s="1150"/>
      <c r="N21" s="1150"/>
      <c r="O21" s="1150"/>
      <c r="P21" s="1193">
        <v>-3</v>
      </c>
      <c r="Q21" s="34"/>
      <c r="R21" s="34"/>
      <c r="S21" s="34"/>
      <c r="T21" s="34"/>
      <c r="U21" s="34"/>
      <c r="V21" s="34"/>
      <c r="W21" s="34"/>
      <c r="X21" s="34"/>
      <c r="Y21" s="34"/>
      <c r="Z21" s="1150" t="s">
        <v>36</v>
      </c>
      <c r="AA21" s="1144"/>
      <c r="AB21" s="1144"/>
      <c r="AC21" s="1144"/>
      <c r="AD21" s="1193">
        <v>-80</v>
      </c>
      <c r="AE21" s="1193">
        <v>-46</v>
      </c>
      <c r="AF21" s="1193">
        <f>+AD21+AE21</f>
        <v>-126</v>
      </c>
      <c r="AG21" s="34"/>
      <c r="AH21" s="1200" t="s">
        <v>112</v>
      </c>
      <c r="AI21" s="1150" t="s">
        <v>7</v>
      </c>
      <c r="AJ21" s="1150"/>
      <c r="AK21" s="1150"/>
      <c r="AL21" s="1150"/>
      <c r="AM21" s="1199">
        <f>+AN22</f>
        <v>2250</v>
      </c>
      <c r="AN21" s="1148"/>
      <c r="AO21" s="34"/>
      <c r="AP21" s="1149" t="s">
        <v>84</v>
      </c>
      <c r="AQ21" s="1206"/>
      <c r="AR21" s="1188"/>
      <c r="AS21" s="1206">
        <f t="shared" si="2"/>
        <v>0</v>
      </c>
      <c r="AT21" s="1128"/>
      <c r="AU21" s="515"/>
      <c r="AV21" s="516"/>
      <c r="AW21" s="1213"/>
      <c r="AX21" s="1212"/>
      <c r="AY21" s="1212"/>
      <c r="AZ21" s="1212"/>
      <c r="BA21" s="1212"/>
      <c r="BB21" s="1213"/>
      <c r="BC21" s="1212"/>
      <c r="BD21" s="1214"/>
      <c r="BE21" s="1215"/>
      <c r="BF21" s="1213"/>
      <c r="BG21" s="178"/>
      <c r="BH21" s="1134">
        <f t="shared" si="3"/>
        <v>0</v>
      </c>
      <c r="BI21" s="241"/>
      <c r="BJ21" s="1216" t="s">
        <v>144</v>
      </c>
      <c r="BK21" s="271"/>
      <c r="BL21" s="271"/>
      <c r="BM21" s="271"/>
      <c r="BN21" s="271"/>
      <c r="BO21" s="1218"/>
      <c r="BP21" s="34"/>
      <c r="BQ21" s="1221" t="s">
        <v>84</v>
      </c>
      <c r="BR21" s="1222">
        <f t="shared" si="1"/>
        <v>0</v>
      </c>
      <c r="BS21" s="172"/>
      <c r="BT21" s="172"/>
      <c r="BU21" s="172"/>
      <c r="BV21" s="172"/>
      <c r="BW21" s="172"/>
      <c r="BX21" s="172"/>
      <c r="BY21" s="241"/>
      <c r="BZ21" s="241"/>
      <c r="CA21" s="1234" t="s">
        <v>1016</v>
      </c>
      <c r="CB21" s="1235"/>
      <c r="CC21" s="1235"/>
      <c r="CD21" s="1235"/>
      <c r="CE21" s="1233"/>
      <c r="CF21" s="1233"/>
      <c r="CG21" s="1233"/>
      <c r="CH21" s="1233"/>
      <c r="CI21" s="1229">
        <f>+BX15</f>
        <v>200</v>
      </c>
      <c r="CJ21" s="241"/>
      <c r="CK21" s="241"/>
    </row>
    <row r="22" spans="1:90" s="42" customFormat="1" ht="19.5" customHeight="1" x14ac:dyDescent="0.3">
      <c r="A22" s="20"/>
      <c r="B22" s="1150" t="s">
        <v>83</v>
      </c>
      <c r="C22" s="1150"/>
      <c r="D22" s="1150"/>
      <c r="E22" s="1150"/>
      <c r="F22" s="1150"/>
      <c r="G22" s="1189">
        <v>2200</v>
      </c>
      <c r="H22" s="1189">
        <v>3000</v>
      </c>
      <c r="I22" s="34"/>
      <c r="J22" s="1148" t="s">
        <v>14</v>
      </c>
      <c r="K22" s="1148"/>
      <c r="L22" s="1148"/>
      <c r="M22" s="1148"/>
      <c r="N22" s="1150"/>
      <c r="O22" s="1148"/>
      <c r="P22" s="1190">
        <f>SUM(P11:P21)</f>
        <v>10250</v>
      </c>
      <c r="Q22" s="34"/>
      <c r="R22" s="34"/>
      <c r="S22" s="34"/>
      <c r="T22" s="34"/>
      <c r="U22" s="34"/>
      <c r="V22" s="34"/>
      <c r="W22" s="34"/>
      <c r="X22" s="34"/>
      <c r="Y22" s="34"/>
      <c r="Z22" s="1144"/>
      <c r="AA22" s="1144"/>
      <c r="AB22" s="1144"/>
      <c r="AC22" s="1144"/>
      <c r="AD22" s="1197">
        <f>+AD20+AD21</f>
        <v>120</v>
      </c>
      <c r="AE22" s="1197">
        <f>+AE20+AE21</f>
        <v>-20</v>
      </c>
      <c r="AF22" s="1197">
        <f>+AF20+AF21</f>
        <v>100</v>
      </c>
      <c r="AG22" s="34">
        <f>+H11-AD22</f>
        <v>0</v>
      </c>
      <c r="AH22" s="1200" t="s">
        <v>112</v>
      </c>
      <c r="AI22" s="1150" t="s">
        <v>8</v>
      </c>
      <c r="AJ22" s="1150"/>
      <c r="AK22" s="1150"/>
      <c r="AL22" s="1150"/>
      <c r="AM22" s="1148"/>
      <c r="AN22" s="1199">
        <f>V8</f>
        <v>2250</v>
      </c>
      <c r="AO22" s="34"/>
      <c r="AP22" s="1207" t="s">
        <v>11</v>
      </c>
      <c r="AQ22" s="1206">
        <f>-P8</f>
        <v>8500</v>
      </c>
      <c r="AR22" s="1188"/>
      <c r="AS22" s="1206">
        <f t="shared" si="2"/>
        <v>-8500</v>
      </c>
      <c r="AT22" s="1128"/>
      <c r="AU22" s="515"/>
      <c r="AV22" s="516">
        <f t="shared" si="4"/>
        <v>-8500</v>
      </c>
      <c r="AW22" s="1213"/>
      <c r="AX22" s="1212">
        <f>+AV22</f>
        <v>-8500</v>
      </c>
      <c r="AY22" s="1212"/>
      <c r="AZ22" s="1212"/>
      <c r="BA22" s="1212"/>
      <c r="BB22" s="1213"/>
      <c r="BC22" s="1212"/>
      <c r="BD22" s="1214"/>
      <c r="BE22" s="1215"/>
      <c r="BF22" s="1213"/>
      <c r="BG22" s="178"/>
      <c r="BH22" s="1134">
        <f t="shared" si="3"/>
        <v>0</v>
      </c>
      <c r="BI22" s="241"/>
      <c r="BJ22" s="271" t="s">
        <v>140</v>
      </c>
      <c r="BK22" s="271"/>
      <c r="BL22" s="271"/>
      <c r="BM22" s="271"/>
      <c r="BN22" s="271"/>
      <c r="BO22" s="1217">
        <f>BC39</f>
        <v>-800</v>
      </c>
      <c r="BP22" s="34"/>
      <c r="BQ22" s="1223" t="s">
        <v>11</v>
      </c>
      <c r="BR22" s="1222">
        <f t="shared" si="1"/>
        <v>-8500</v>
      </c>
      <c r="BS22" s="172"/>
      <c r="BT22" s="172">
        <f>+BR22</f>
        <v>-8500</v>
      </c>
      <c r="BU22" s="172"/>
      <c r="BV22" s="172"/>
      <c r="BW22" s="172"/>
      <c r="BX22" s="172"/>
      <c r="BY22" s="241"/>
      <c r="BZ22" s="241"/>
      <c r="CA22" s="123" t="s">
        <v>1097</v>
      </c>
      <c r="CB22" s="16"/>
      <c r="CC22" s="16"/>
      <c r="CD22" s="16"/>
      <c r="CE22" s="48"/>
      <c r="CF22" s="48"/>
      <c r="CG22" s="48"/>
      <c r="CH22" s="48"/>
      <c r="CI22" s="695"/>
      <c r="CJ22" s="241"/>
      <c r="CK22" s="241"/>
    </row>
    <row r="23" spans="1:90" s="42" customFormat="1" ht="19.5" customHeight="1" x14ac:dyDescent="0.3">
      <c r="A23" s="20"/>
      <c r="B23" s="1148" t="s">
        <v>76</v>
      </c>
      <c r="C23" s="1150"/>
      <c r="D23" s="1150"/>
      <c r="E23" s="1150"/>
      <c r="F23" s="1150"/>
      <c r="G23" s="1191">
        <f>+G21+G22</f>
        <v>4865</v>
      </c>
      <c r="H23" s="1191">
        <f>+H21+H22</f>
        <v>5395</v>
      </c>
      <c r="I23" s="34"/>
      <c r="J23" s="1196" t="s">
        <v>45</v>
      </c>
      <c r="K23" s="1195"/>
      <c r="L23" s="1150"/>
      <c r="M23" s="1150"/>
      <c r="N23" s="1150"/>
      <c r="O23" s="1150"/>
      <c r="P23" s="1144">
        <v>-120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1144"/>
      <c r="AI23" s="17"/>
      <c r="AJ23" s="17"/>
      <c r="AK23" s="17"/>
      <c r="AL23" s="17"/>
      <c r="AM23" s="77">
        <f>SUM(AM7:AM22)</f>
        <v>2426</v>
      </c>
      <c r="AN23" s="77">
        <f>SUM(AN7:AN22)</f>
        <v>2426</v>
      </c>
      <c r="AO23" s="34"/>
      <c r="AP23" s="1207" t="s">
        <v>88</v>
      </c>
      <c r="AQ23" s="1206">
        <f>-P9</f>
        <v>500</v>
      </c>
      <c r="AR23" s="1188"/>
      <c r="AS23" s="1206">
        <f t="shared" si="2"/>
        <v>-500</v>
      </c>
      <c r="AT23" s="1128"/>
      <c r="AU23" s="515"/>
      <c r="AV23" s="516">
        <f t="shared" si="4"/>
        <v>-500</v>
      </c>
      <c r="AW23" s="1213"/>
      <c r="AX23" s="1212"/>
      <c r="AY23" s="1212"/>
      <c r="AZ23" s="1212">
        <f>+AV23*(1+18%)</f>
        <v>-590</v>
      </c>
      <c r="BA23" s="1212">
        <f>+AV23-AZ23</f>
        <v>90</v>
      </c>
      <c r="BB23" s="1213"/>
      <c r="BC23" s="1212"/>
      <c r="BD23" s="1214"/>
      <c r="BE23" s="1215"/>
      <c r="BF23" s="1213"/>
      <c r="BG23" s="178"/>
      <c r="BH23" s="1134">
        <f t="shared" si="3"/>
        <v>0</v>
      </c>
      <c r="BI23" s="241"/>
      <c r="BJ23" s="271" t="s">
        <v>269</v>
      </c>
      <c r="BK23" s="271"/>
      <c r="BL23" s="271"/>
      <c r="BM23" s="271"/>
      <c r="BN23" s="271"/>
      <c r="BO23" s="1217">
        <f>+BD39</f>
        <v>-120</v>
      </c>
      <c r="BP23" s="34"/>
      <c r="BQ23" s="1223" t="s">
        <v>88</v>
      </c>
      <c r="BR23" s="1222">
        <f t="shared" si="1"/>
        <v>-500</v>
      </c>
      <c r="BS23" s="172"/>
      <c r="BT23" s="172"/>
      <c r="BU23" s="172"/>
      <c r="BV23" s="172">
        <f>+BR23</f>
        <v>-500</v>
      </c>
      <c r="BW23" s="172"/>
      <c r="BX23" s="172"/>
      <c r="BY23" s="241"/>
      <c r="BZ23" s="241"/>
      <c r="CA23" s="470" t="s">
        <v>1104</v>
      </c>
      <c r="CB23" s="471"/>
      <c r="CC23" s="471"/>
      <c r="CD23" s="471"/>
      <c r="CE23" s="269"/>
      <c r="CF23" s="269"/>
      <c r="CG23" s="269"/>
      <c r="CH23" s="269"/>
      <c r="CI23" s="802">
        <f>SUM(CI7:CI21)</f>
        <v>8786</v>
      </c>
      <c r="CJ23" s="241"/>
      <c r="CK23" s="241"/>
    </row>
    <row r="24" spans="1:90" s="42" customFormat="1" ht="19.5" customHeight="1" x14ac:dyDescent="0.3">
      <c r="A24" s="20"/>
      <c r="B24" s="1150"/>
      <c r="C24" s="1150"/>
      <c r="D24" s="1150"/>
      <c r="E24" s="1150"/>
      <c r="F24" s="1150"/>
      <c r="G24" s="1188"/>
      <c r="H24" s="1188"/>
      <c r="I24" s="34"/>
      <c r="J24" s="1150" t="s">
        <v>532</v>
      </c>
      <c r="K24" s="1150"/>
      <c r="L24" s="1150"/>
      <c r="M24" s="1150"/>
      <c r="N24" s="1150"/>
      <c r="O24" s="1150"/>
      <c r="P24" s="1193">
        <v>-100</v>
      </c>
      <c r="Q24" s="34"/>
      <c r="R24" s="34"/>
      <c r="S24" s="34"/>
      <c r="T24" s="34"/>
      <c r="U24" s="34"/>
      <c r="V24" s="34"/>
      <c r="W24" s="34"/>
      <c r="X24" s="34"/>
      <c r="Y24" s="34"/>
      <c r="Z24" s="1120" t="s">
        <v>95</v>
      </c>
      <c r="AA24" s="1121"/>
      <c r="AB24" s="1121"/>
      <c r="AC24" s="1121"/>
      <c r="AD24" s="1122"/>
      <c r="AE24" s="1122"/>
      <c r="AF24" s="1122"/>
      <c r="AG24" s="34"/>
      <c r="AH24" s="34"/>
      <c r="AI24" s="34"/>
      <c r="AJ24" s="34"/>
      <c r="AK24" s="34"/>
      <c r="AL24" s="34"/>
      <c r="AM24" s="34"/>
      <c r="AN24" s="34"/>
      <c r="AO24" s="34"/>
      <c r="AP24" s="1207" t="s">
        <v>38</v>
      </c>
      <c r="AQ24" s="1206">
        <f>-P10</f>
        <v>40</v>
      </c>
      <c r="AR24" s="1188"/>
      <c r="AS24" s="1206">
        <f t="shared" si="2"/>
        <v>-40</v>
      </c>
      <c r="AT24" s="1128"/>
      <c r="AU24" s="515">
        <f>+AN16</f>
        <v>40</v>
      </c>
      <c r="AV24" s="516">
        <f t="shared" si="4"/>
        <v>0</v>
      </c>
      <c r="AW24" s="1213"/>
      <c r="AX24" s="1212"/>
      <c r="AY24" s="1212"/>
      <c r="AZ24" s="1212"/>
      <c r="BA24" s="1212"/>
      <c r="BB24" s="1213"/>
      <c r="BC24" s="1212"/>
      <c r="BD24" s="1214"/>
      <c r="BE24" s="1215"/>
      <c r="BF24" s="1213"/>
      <c r="BG24" s="178"/>
      <c r="BH24" s="1134">
        <f t="shared" si="3"/>
        <v>0</v>
      </c>
      <c r="BI24" s="241"/>
      <c r="BJ24" s="271" t="s">
        <v>141</v>
      </c>
      <c r="BK24" s="271"/>
      <c r="BL24" s="271"/>
      <c r="BM24" s="271"/>
      <c r="BN24" s="271"/>
      <c r="BO24" s="1217">
        <f>BE39</f>
        <v>1250</v>
      </c>
      <c r="BP24" s="34"/>
      <c r="BQ24" s="1223" t="s">
        <v>38</v>
      </c>
      <c r="BR24" s="1222">
        <f t="shared" si="1"/>
        <v>0</v>
      </c>
      <c r="BS24" s="172"/>
      <c r="BT24" s="172"/>
      <c r="BU24" s="172"/>
      <c r="BV24" s="172"/>
      <c r="BW24" s="172"/>
      <c r="BX24" s="172"/>
      <c r="BY24" s="241"/>
      <c r="BZ24" s="241"/>
      <c r="CA24" s="34"/>
      <c r="CB24" s="34"/>
      <c r="CC24" s="34"/>
      <c r="CD24" s="34"/>
      <c r="CE24" s="34"/>
      <c r="CF24" s="34"/>
      <c r="CG24" s="34"/>
      <c r="CH24" s="34"/>
      <c r="CI24" s="34">
        <f>+BO15-CI23</f>
        <v>0</v>
      </c>
      <c r="CJ24" s="34"/>
      <c r="CK24" s="241"/>
      <c r="CL24" s="20"/>
    </row>
    <row r="25" spans="1:90" s="42" customFormat="1" ht="19.5" customHeight="1" x14ac:dyDescent="0.3">
      <c r="A25" s="20"/>
      <c r="B25" s="1148" t="s">
        <v>80</v>
      </c>
      <c r="C25" s="1150"/>
      <c r="D25" s="1150"/>
      <c r="E25" s="1150"/>
      <c r="F25" s="1150"/>
      <c r="G25" s="1188"/>
      <c r="H25" s="1188"/>
      <c r="I25" s="34"/>
      <c r="J25" s="1148" t="s">
        <v>89</v>
      </c>
      <c r="K25" s="1148"/>
      <c r="L25" s="1148"/>
      <c r="M25" s="1148"/>
      <c r="N25" s="1150"/>
      <c r="O25" s="1148"/>
      <c r="P25" s="1191">
        <f>SUM(P22:P24)</f>
        <v>10030</v>
      </c>
      <c r="Q25" s="34"/>
      <c r="R25" s="34"/>
      <c r="S25" s="34"/>
      <c r="T25" s="34"/>
      <c r="U25" s="34"/>
      <c r="V25" s="34"/>
      <c r="W25" s="34"/>
      <c r="X25" s="34"/>
      <c r="Y25" s="34"/>
      <c r="Z25" s="1121"/>
      <c r="AA25" s="1121"/>
      <c r="AB25" s="1121"/>
      <c r="AC25" s="1121"/>
      <c r="AD25" s="1122"/>
      <c r="AE25" s="1122"/>
      <c r="AF25" s="1122"/>
      <c r="AG25" s="34"/>
      <c r="AH25" s="34"/>
      <c r="AI25" s="34"/>
      <c r="AJ25" s="34"/>
      <c r="AK25" s="34"/>
      <c r="AL25" s="34"/>
      <c r="AM25" s="34"/>
      <c r="AN25" s="34"/>
      <c r="AO25" s="35"/>
      <c r="AP25" s="1149" t="s">
        <v>86</v>
      </c>
      <c r="AQ25" s="1206"/>
      <c r="AR25" s="1188"/>
      <c r="AS25" s="1206">
        <f t="shared" si="2"/>
        <v>0</v>
      </c>
      <c r="AT25" s="1128"/>
      <c r="AU25" s="515"/>
      <c r="AV25" s="516"/>
      <c r="AW25" s="1213"/>
      <c r="AX25" s="1212"/>
      <c r="AY25" s="1212"/>
      <c r="AZ25" s="1212"/>
      <c r="BA25" s="1212"/>
      <c r="BB25" s="1213"/>
      <c r="BC25" s="1212"/>
      <c r="BD25" s="1214"/>
      <c r="BE25" s="1215"/>
      <c r="BF25" s="1213"/>
      <c r="BG25" s="178"/>
      <c r="BH25" s="1134">
        <f t="shared" si="3"/>
        <v>0</v>
      </c>
      <c r="BI25" s="241"/>
      <c r="BJ25" s="271" t="s">
        <v>142</v>
      </c>
      <c r="BK25" s="271"/>
      <c r="BL25" s="271"/>
      <c r="BM25" s="271"/>
      <c r="BN25" s="271"/>
      <c r="BO25" s="1217">
        <f>BF39</f>
        <v>-6870</v>
      </c>
      <c r="BP25" s="34"/>
      <c r="BQ25" s="1221" t="s">
        <v>86</v>
      </c>
      <c r="BR25" s="1222">
        <f t="shared" si="1"/>
        <v>0</v>
      </c>
      <c r="BS25" s="172"/>
      <c r="BT25" s="172"/>
      <c r="BU25" s="172"/>
      <c r="BV25" s="172"/>
      <c r="BW25" s="172"/>
      <c r="BX25" s="172"/>
      <c r="BY25" s="241"/>
      <c r="BZ25" s="241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20"/>
    </row>
    <row r="26" spans="1:90" s="42" customFormat="1" ht="19.5" customHeight="1" x14ac:dyDescent="0.3">
      <c r="A26" s="20"/>
      <c r="B26" s="1150" t="s">
        <v>7</v>
      </c>
      <c r="C26" s="1150"/>
      <c r="D26" s="1150"/>
      <c r="E26" s="1150"/>
      <c r="F26" s="1150"/>
      <c r="G26" s="1188">
        <f>+V11</f>
        <v>4000</v>
      </c>
      <c r="H26" s="1188">
        <v>500</v>
      </c>
      <c r="I26" s="34"/>
      <c r="J26" s="1150" t="s">
        <v>437</v>
      </c>
      <c r="K26" s="1150"/>
      <c r="L26" s="1150"/>
      <c r="M26" s="1150"/>
      <c r="N26" s="1150"/>
      <c r="O26" s="1150"/>
      <c r="P26" s="1144">
        <f>-2500+120</f>
        <v>-2380</v>
      </c>
      <c r="Q26" s="34"/>
      <c r="R26" s="34"/>
      <c r="S26" s="34"/>
      <c r="T26" s="34"/>
      <c r="U26" s="34"/>
      <c r="V26" s="34"/>
      <c r="W26" s="34"/>
      <c r="X26" s="34"/>
      <c r="Y26" s="34"/>
      <c r="Z26" s="1148" t="s">
        <v>30</v>
      </c>
      <c r="AA26" s="1150"/>
      <c r="AB26" s="1150"/>
      <c r="AC26" s="1199"/>
      <c r="AD26" s="1150"/>
      <c r="AE26" s="1150"/>
      <c r="AF26" s="1144">
        <f>+H20+H22</f>
        <v>3800</v>
      </c>
      <c r="AG26" s="34"/>
      <c r="AH26" s="34"/>
      <c r="AI26" s="34"/>
      <c r="AJ26" s="34"/>
      <c r="AK26" s="34"/>
      <c r="AL26" s="34"/>
      <c r="AM26" s="34"/>
      <c r="AN26" s="34"/>
      <c r="AO26" s="35"/>
      <c r="AP26" s="1207" t="s">
        <v>11</v>
      </c>
      <c r="AQ26" s="1206">
        <f>-P13</f>
        <v>50</v>
      </c>
      <c r="AR26" s="1188"/>
      <c r="AS26" s="1206">
        <f t="shared" si="2"/>
        <v>-50</v>
      </c>
      <c r="AT26" s="1128"/>
      <c r="AU26" s="515"/>
      <c r="AV26" s="516">
        <f t="shared" si="4"/>
        <v>-50</v>
      </c>
      <c r="AW26" s="1213"/>
      <c r="AX26" s="1212">
        <f>+AV26</f>
        <v>-50</v>
      </c>
      <c r="AY26" s="1212"/>
      <c r="AZ26" s="1212"/>
      <c r="BA26" s="1212"/>
      <c r="BB26" s="1213"/>
      <c r="BC26" s="1212"/>
      <c r="BD26" s="1214"/>
      <c r="BE26" s="1215"/>
      <c r="BF26" s="1213"/>
      <c r="BG26" s="178"/>
      <c r="BH26" s="1134">
        <f t="shared" si="3"/>
        <v>0</v>
      </c>
      <c r="BI26" s="241"/>
      <c r="BJ26" s="16" t="s">
        <v>1100</v>
      </c>
      <c r="BK26" s="17"/>
      <c r="BL26" s="17"/>
      <c r="BM26" s="17"/>
      <c r="BN26" s="17"/>
      <c r="BO26" s="17"/>
      <c r="BP26" s="34"/>
      <c r="BQ26" s="1223" t="s">
        <v>11</v>
      </c>
      <c r="BR26" s="1222">
        <f t="shared" si="1"/>
        <v>-50</v>
      </c>
      <c r="BS26" s="172"/>
      <c r="BT26" s="172">
        <f>+BR26</f>
        <v>-50</v>
      </c>
      <c r="BU26" s="172"/>
      <c r="BV26" s="172"/>
      <c r="BW26" s="172"/>
      <c r="BX26" s="172"/>
      <c r="BY26" s="241"/>
      <c r="BZ26" s="241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20"/>
    </row>
    <row r="27" spans="1:90" s="42" customFormat="1" ht="19.5" customHeight="1" x14ac:dyDescent="0.3">
      <c r="A27" s="20"/>
      <c r="B27" s="1150" t="s">
        <v>8</v>
      </c>
      <c r="C27" s="1150"/>
      <c r="D27" s="1150"/>
      <c r="E27" s="1150"/>
      <c r="F27" s="1150"/>
      <c r="G27" s="1193">
        <f>+W11</f>
        <v>3000</v>
      </c>
      <c r="H27" s="1193">
        <v>4500</v>
      </c>
      <c r="I27" s="34"/>
      <c r="J27" s="1150" t="s">
        <v>150</v>
      </c>
      <c r="K27" s="1150"/>
      <c r="L27" s="1150"/>
      <c r="M27" s="1150"/>
      <c r="N27" s="1150"/>
      <c r="O27" s="1150"/>
      <c r="P27" s="1193">
        <v>-30</v>
      </c>
      <c r="Q27" s="34"/>
      <c r="R27" s="34"/>
      <c r="S27" s="34"/>
      <c r="T27" s="34"/>
      <c r="U27" s="34"/>
      <c r="V27" s="34"/>
      <c r="W27" s="34"/>
      <c r="X27" s="34"/>
      <c r="Y27" s="34"/>
      <c r="Z27" s="1150" t="s">
        <v>923</v>
      </c>
      <c r="AA27" s="1150"/>
      <c r="AB27" s="1150"/>
      <c r="AC27" s="1199"/>
      <c r="AD27" s="1150"/>
      <c r="AE27" s="1150"/>
      <c r="AF27" s="1144">
        <v>120</v>
      </c>
      <c r="AG27" s="34"/>
      <c r="AH27" s="34"/>
      <c r="AI27" s="34"/>
      <c r="AJ27" s="34"/>
      <c r="AK27" s="34"/>
      <c r="AL27" s="34"/>
      <c r="AM27" s="34"/>
      <c r="AN27" s="34"/>
      <c r="AO27" s="35"/>
      <c r="AP27" s="1207" t="s">
        <v>87</v>
      </c>
      <c r="AQ27" s="1206">
        <f>-P14</f>
        <v>100</v>
      </c>
      <c r="AR27" s="1188"/>
      <c r="AS27" s="1206">
        <f t="shared" si="2"/>
        <v>-100</v>
      </c>
      <c r="AT27" s="1128"/>
      <c r="AU27" s="515"/>
      <c r="AV27" s="516">
        <f t="shared" si="4"/>
        <v>-100</v>
      </c>
      <c r="AW27" s="1213"/>
      <c r="AX27" s="1212"/>
      <c r="AY27" s="1212"/>
      <c r="AZ27" s="1212">
        <f>+AV27*(1+18%)</f>
        <v>-118</v>
      </c>
      <c r="BA27" s="1212">
        <f>+AV27-AZ27</f>
        <v>18</v>
      </c>
      <c r="BB27" s="1213"/>
      <c r="BC27" s="1212"/>
      <c r="BD27" s="1214"/>
      <c r="BE27" s="1215"/>
      <c r="BF27" s="1213"/>
      <c r="BG27" s="178"/>
      <c r="BH27" s="1134">
        <f t="shared" si="3"/>
        <v>0</v>
      </c>
      <c r="BI27" s="241"/>
      <c r="BJ27" s="16" t="s">
        <v>1101</v>
      </c>
      <c r="BK27" s="17"/>
      <c r="BL27" s="17"/>
      <c r="BM27" s="17"/>
      <c r="BN27" s="17"/>
      <c r="BO27" s="48">
        <f>SUM(BO22:BO25)</f>
        <v>-6540</v>
      </c>
      <c r="BP27" s="34"/>
      <c r="BQ27" s="1223" t="s">
        <v>87</v>
      </c>
      <c r="BR27" s="1222">
        <f t="shared" si="1"/>
        <v>-100</v>
      </c>
      <c r="BS27" s="172"/>
      <c r="BT27" s="172"/>
      <c r="BU27" s="172"/>
      <c r="BV27" s="172">
        <f>+BR27</f>
        <v>-100</v>
      </c>
      <c r="BW27" s="172"/>
      <c r="BX27" s="172"/>
      <c r="BY27" s="241"/>
      <c r="BZ27" s="241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20"/>
    </row>
    <row r="28" spans="1:90" s="42" customFormat="1" ht="19.5" customHeight="1" x14ac:dyDescent="0.3">
      <c r="A28" s="20"/>
      <c r="B28" s="1148" t="s">
        <v>81</v>
      </c>
      <c r="C28" s="1150"/>
      <c r="D28" s="1150"/>
      <c r="E28" s="1150"/>
      <c r="F28" s="1150"/>
      <c r="G28" s="1194">
        <f>+G26+G27</f>
        <v>7000</v>
      </c>
      <c r="H28" s="1194">
        <f>+H26+H27</f>
        <v>5000</v>
      </c>
      <c r="I28" s="34"/>
      <c r="J28" s="1148" t="s">
        <v>16</v>
      </c>
      <c r="K28" s="1148"/>
      <c r="L28" s="1148"/>
      <c r="M28" s="1148"/>
      <c r="N28" s="1150"/>
      <c r="O28" s="1148"/>
      <c r="P28" s="1194">
        <f>+P25+P26+P27</f>
        <v>7620</v>
      </c>
      <c r="Q28" s="34"/>
      <c r="R28" s="34"/>
      <c r="S28" s="34"/>
      <c r="T28" s="34"/>
      <c r="U28" s="34"/>
      <c r="V28" s="34"/>
      <c r="W28" s="34"/>
      <c r="X28" s="34"/>
      <c r="Y28" s="34"/>
      <c r="Z28" s="1150" t="s">
        <v>43</v>
      </c>
      <c r="AA28" s="1150"/>
      <c r="AB28" s="1150"/>
      <c r="AC28" s="1199"/>
      <c r="AD28" s="1150"/>
      <c r="AE28" s="1150"/>
      <c r="AF28" s="1193">
        <f>-840+-80</f>
        <v>-920</v>
      </c>
      <c r="AG28" s="34"/>
      <c r="AH28" s="34"/>
      <c r="AI28" s="34"/>
      <c r="AJ28" s="34"/>
      <c r="AK28" s="34"/>
      <c r="AL28" s="34"/>
      <c r="AM28" s="34"/>
      <c r="AN28" s="34"/>
      <c r="AO28" s="34"/>
      <c r="AP28" s="1207" t="s">
        <v>38</v>
      </c>
      <c r="AQ28" s="1206">
        <f>-P15</f>
        <v>3</v>
      </c>
      <c r="AR28" s="1188"/>
      <c r="AS28" s="1206">
        <f t="shared" si="2"/>
        <v>-3</v>
      </c>
      <c r="AT28" s="1128"/>
      <c r="AU28" s="515">
        <f>+AN17</f>
        <v>3</v>
      </c>
      <c r="AV28" s="516">
        <f t="shared" si="4"/>
        <v>0</v>
      </c>
      <c r="AW28" s="1213"/>
      <c r="AX28" s="1212"/>
      <c r="AY28" s="1212"/>
      <c r="AZ28" s="1212"/>
      <c r="BA28" s="1212"/>
      <c r="BB28" s="1213"/>
      <c r="BC28" s="1212"/>
      <c r="BD28" s="1214"/>
      <c r="BE28" s="1215"/>
      <c r="BF28" s="1213"/>
      <c r="BG28" s="178"/>
      <c r="BH28" s="1134">
        <f t="shared" si="3"/>
        <v>0</v>
      </c>
      <c r="BI28" s="241"/>
      <c r="BJ28" s="271" t="s">
        <v>532</v>
      </c>
      <c r="BK28" s="271"/>
      <c r="BL28" s="271"/>
      <c r="BM28" s="271"/>
      <c r="BN28" s="271"/>
      <c r="BO28" s="1217">
        <f>+BG39</f>
        <v>-100</v>
      </c>
      <c r="BP28" s="34"/>
      <c r="BQ28" s="1223" t="s">
        <v>38</v>
      </c>
      <c r="BR28" s="1222">
        <f t="shared" si="1"/>
        <v>0</v>
      </c>
      <c r="BS28" s="172"/>
      <c r="BT28" s="172"/>
      <c r="BU28" s="172"/>
      <c r="BV28" s="172"/>
      <c r="BW28" s="172"/>
      <c r="BX28" s="172"/>
      <c r="BY28" s="241"/>
      <c r="BZ28" s="241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20"/>
    </row>
    <row r="29" spans="1:90" s="42" customFormat="1" ht="19.5" customHeight="1" x14ac:dyDescent="0.3">
      <c r="A29" s="20"/>
      <c r="B29" s="1148" t="s">
        <v>82</v>
      </c>
      <c r="C29" s="1150"/>
      <c r="D29" s="1150"/>
      <c r="E29" s="1150"/>
      <c r="F29" s="1150"/>
      <c r="G29" s="1191">
        <f>+G23+G28</f>
        <v>11865</v>
      </c>
      <c r="H29" s="1191">
        <f>+H23+H28</f>
        <v>10395</v>
      </c>
      <c r="I29" s="34"/>
      <c r="J29" s="34"/>
      <c r="K29" s="34"/>
      <c r="L29" s="34"/>
      <c r="M29" s="34"/>
      <c r="N29" s="20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1148" t="s">
        <v>32</v>
      </c>
      <c r="AA29" s="1150"/>
      <c r="AB29" s="1150"/>
      <c r="AC29" s="1199"/>
      <c r="AD29" s="1150"/>
      <c r="AE29" s="1150"/>
      <c r="AF29" s="1193">
        <f>SUM(AF26:AF28)</f>
        <v>3000</v>
      </c>
      <c r="AG29" s="20"/>
      <c r="AH29" s="34"/>
      <c r="AI29" s="34"/>
      <c r="AJ29" s="34"/>
      <c r="AK29" s="34"/>
      <c r="AL29" s="34"/>
      <c r="AM29" s="34"/>
      <c r="AN29" s="34"/>
      <c r="AO29" s="34"/>
      <c r="AP29" s="1149" t="s">
        <v>85</v>
      </c>
      <c r="AQ29" s="1206"/>
      <c r="AR29" s="1188"/>
      <c r="AS29" s="1206">
        <f t="shared" si="2"/>
        <v>0</v>
      </c>
      <c r="AT29" s="1128"/>
      <c r="AU29" s="515"/>
      <c r="AV29" s="516"/>
      <c r="AW29" s="1213"/>
      <c r="AX29" s="1212"/>
      <c r="AY29" s="1212"/>
      <c r="AZ29" s="1212"/>
      <c r="BA29" s="1212"/>
      <c r="BB29" s="1213"/>
      <c r="BC29" s="1212"/>
      <c r="BD29" s="1214"/>
      <c r="BE29" s="1215"/>
      <c r="BF29" s="1213"/>
      <c r="BG29" s="178"/>
      <c r="BH29" s="1134">
        <f t="shared" si="3"/>
        <v>0</v>
      </c>
      <c r="BI29" s="241"/>
      <c r="BJ29" s="16" t="s">
        <v>148</v>
      </c>
      <c r="BK29" s="17"/>
      <c r="BL29" s="17"/>
      <c r="BM29" s="17"/>
      <c r="BN29" s="17"/>
      <c r="BO29" s="48">
        <f>+BO15+BO20+BO27+BO28</f>
        <v>2120</v>
      </c>
      <c r="BP29" s="34"/>
      <c r="BQ29" s="1221" t="s">
        <v>85</v>
      </c>
      <c r="BR29" s="1222">
        <f t="shared" si="1"/>
        <v>0</v>
      </c>
      <c r="BS29" s="172"/>
      <c r="BT29" s="172"/>
      <c r="BU29" s="172"/>
      <c r="BV29" s="172"/>
      <c r="BW29" s="172"/>
      <c r="BX29" s="172"/>
      <c r="BY29" s="241"/>
      <c r="BZ29" s="241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20"/>
    </row>
    <row r="30" spans="1:90" s="42" customFormat="1" ht="19.5" customHeight="1" x14ac:dyDescent="0.3">
      <c r="A30" s="20"/>
      <c r="B30" s="26"/>
      <c r="C30" s="20"/>
      <c r="D30" s="20"/>
      <c r="E30" s="20"/>
      <c r="F30" s="20"/>
      <c r="G30" s="218">
        <f>+G12-G29</f>
        <v>0</v>
      </c>
      <c r="H30" s="218">
        <f>+H12-H29</f>
        <v>0</v>
      </c>
      <c r="I30" s="34"/>
      <c r="J30" s="34"/>
      <c r="K30" s="34"/>
      <c r="L30" s="34"/>
      <c r="M30" s="34"/>
      <c r="N30" s="20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H30" s="34"/>
      <c r="AI30" s="34"/>
      <c r="AJ30" s="34"/>
      <c r="AK30" s="34"/>
      <c r="AL30" s="34"/>
      <c r="AM30" s="34"/>
      <c r="AN30" s="34"/>
      <c r="AO30" s="34"/>
      <c r="AP30" s="1207" t="s">
        <v>11</v>
      </c>
      <c r="AQ30" s="1206">
        <f>-P17</f>
        <v>150</v>
      </c>
      <c r="AR30" s="1188"/>
      <c r="AS30" s="1206">
        <f t="shared" si="2"/>
        <v>-150</v>
      </c>
      <c r="AT30" s="1128"/>
      <c r="AU30" s="515"/>
      <c r="AV30" s="516">
        <f t="shared" si="4"/>
        <v>-150</v>
      </c>
      <c r="AW30" s="1213"/>
      <c r="AX30" s="1212">
        <f>+AV30</f>
        <v>-150</v>
      </c>
      <c r="AY30" s="1212"/>
      <c r="AZ30" s="1212"/>
      <c r="BA30" s="1212"/>
      <c r="BB30" s="1213"/>
      <c r="BC30" s="1212"/>
      <c r="BD30" s="1214"/>
      <c r="BE30" s="1215"/>
      <c r="BF30" s="1213"/>
      <c r="BG30" s="178"/>
      <c r="BH30" s="1134">
        <f t="shared" si="3"/>
        <v>0</v>
      </c>
      <c r="BI30" s="241"/>
      <c r="BJ30" s="16" t="s">
        <v>47</v>
      </c>
      <c r="BK30" s="17"/>
      <c r="BL30" s="17"/>
      <c r="BM30" s="17"/>
      <c r="BN30" s="17"/>
      <c r="BO30" s="48">
        <f>H6</f>
        <v>6915</v>
      </c>
      <c r="BP30" s="34"/>
      <c r="BQ30" s="1223" t="s">
        <v>11</v>
      </c>
      <c r="BR30" s="1222">
        <f t="shared" si="1"/>
        <v>-150</v>
      </c>
      <c r="BS30" s="172"/>
      <c r="BT30" s="172">
        <f>+BR30</f>
        <v>-150</v>
      </c>
      <c r="BU30" s="172"/>
      <c r="BV30" s="172"/>
      <c r="BW30" s="172"/>
      <c r="BX30" s="172"/>
      <c r="BY30" s="241"/>
      <c r="BZ30" s="241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20"/>
    </row>
    <row r="31" spans="1:90" s="42" customFormat="1" ht="19.5" customHeight="1" x14ac:dyDescent="0.3">
      <c r="A31" s="20"/>
      <c r="B31" s="20"/>
      <c r="C31" s="20"/>
      <c r="D31" s="20"/>
      <c r="E31" s="20"/>
      <c r="F31" s="20"/>
      <c r="G31" s="20"/>
      <c r="H31" s="20"/>
      <c r="I31" s="34"/>
      <c r="J31" s="34"/>
      <c r="K31" s="34"/>
      <c r="L31" s="34"/>
      <c r="M31" s="34"/>
      <c r="N31" s="20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1207" t="s">
        <v>37</v>
      </c>
      <c r="AQ31" s="1206">
        <f>-P18</f>
        <v>24</v>
      </c>
      <c r="AR31" s="1188"/>
      <c r="AS31" s="1206">
        <f t="shared" si="2"/>
        <v>-24</v>
      </c>
      <c r="AT31" s="1128"/>
      <c r="AU31" s="515"/>
      <c r="AV31" s="516">
        <f t="shared" si="4"/>
        <v>-24</v>
      </c>
      <c r="AW31" s="1213"/>
      <c r="AX31" s="1212"/>
      <c r="AY31" s="1212"/>
      <c r="AZ31" s="1212">
        <f t="shared" ref="AZ31:AZ32" si="6">+AV31*(1+18%)</f>
        <v>-28.32</v>
      </c>
      <c r="BA31" s="1212">
        <f t="shared" ref="BA31:BA32" si="7">+AV31-AZ31</f>
        <v>4.32</v>
      </c>
      <c r="BB31" s="1213"/>
      <c r="BC31" s="1212"/>
      <c r="BD31" s="1214"/>
      <c r="BE31" s="1215"/>
      <c r="BF31" s="1213"/>
      <c r="BG31" s="178"/>
      <c r="BH31" s="1134">
        <f t="shared" si="3"/>
        <v>0</v>
      </c>
      <c r="BI31" s="241"/>
      <c r="BJ31" s="16" t="s">
        <v>49</v>
      </c>
      <c r="BK31" s="17"/>
      <c r="BL31" s="17"/>
      <c r="BM31" s="17"/>
      <c r="BN31" s="17"/>
      <c r="BO31" s="48">
        <f>+BO29+BO30</f>
        <v>9035</v>
      </c>
      <c r="BP31" s="34"/>
      <c r="BQ31" s="1223" t="s">
        <v>37</v>
      </c>
      <c r="BR31" s="1222">
        <f t="shared" si="1"/>
        <v>-24</v>
      </c>
      <c r="BS31" s="172"/>
      <c r="BT31" s="172"/>
      <c r="BU31" s="172"/>
      <c r="BV31" s="172">
        <f>+BR31</f>
        <v>-24</v>
      </c>
      <c r="BW31" s="172"/>
      <c r="BX31" s="172"/>
      <c r="BY31" s="241"/>
      <c r="BZ31" s="241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20"/>
    </row>
    <row r="32" spans="1:90" s="42" customFormat="1" ht="19.5" customHeight="1" x14ac:dyDescent="0.3">
      <c r="A32" s="20"/>
      <c r="B32" s="20"/>
      <c r="C32" s="20"/>
      <c r="D32" s="20"/>
      <c r="E32" s="20"/>
      <c r="F32" s="20"/>
      <c r="G32" s="20"/>
      <c r="H32" s="20"/>
      <c r="I32" s="34"/>
      <c r="J32" s="34"/>
      <c r="K32" s="34"/>
      <c r="L32" s="34"/>
      <c r="M32" s="34"/>
      <c r="N32" s="20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1207" t="s">
        <v>29</v>
      </c>
      <c r="AQ32" s="1206">
        <f>-P19</f>
        <v>60</v>
      </c>
      <c r="AR32" s="1188"/>
      <c r="AS32" s="1206">
        <f t="shared" si="2"/>
        <v>-60</v>
      </c>
      <c r="AT32" s="1128"/>
      <c r="AU32" s="515"/>
      <c r="AV32" s="516">
        <f t="shared" si="4"/>
        <v>-60</v>
      </c>
      <c r="AW32" s="1213"/>
      <c r="AX32" s="1212"/>
      <c r="AY32" s="1212"/>
      <c r="AZ32" s="1212">
        <f t="shared" si="6"/>
        <v>-70.8</v>
      </c>
      <c r="BA32" s="1212">
        <f t="shared" si="7"/>
        <v>10.799999999999997</v>
      </c>
      <c r="BB32" s="1213"/>
      <c r="BC32" s="1212"/>
      <c r="BD32" s="1214"/>
      <c r="BE32" s="1215"/>
      <c r="BF32" s="1213"/>
      <c r="BG32" s="178"/>
      <c r="BH32" s="1134">
        <f t="shared" si="3"/>
        <v>0</v>
      </c>
      <c r="BI32" s="241"/>
      <c r="BJ32" s="241"/>
      <c r="BK32" s="241"/>
      <c r="BL32" s="241"/>
      <c r="BM32" s="241"/>
      <c r="BN32" s="241"/>
      <c r="BO32" s="241">
        <f>+BO31-G6</f>
        <v>0</v>
      </c>
      <c r="BP32" s="34"/>
      <c r="BQ32" s="1223" t="s">
        <v>29</v>
      </c>
      <c r="BR32" s="1222">
        <f t="shared" si="1"/>
        <v>-60</v>
      </c>
      <c r="BS32" s="172"/>
      <c r="BT32" s="172"/>
      <c r="BU32" s="172"/>
      <c r="BV32" s="172">
        <f>+BR32</f>
        <v>-60</v>
      </c>
      <c r="BW32" s="172"/>
      <c r="BX32" s="172"/>
      <c r="BY32" s="241"/>
      <c r="BZ32" s="241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20"/>
    </row>
    <row r="33" spans="1:90" s="42" customFormat="1" ht="19.5" customHeight="1" x14ac:dyDescent="0.3">
      <c r="A33" s="20"/>
      <c r="B33" s="20"/>
      <c r="C33" s="20"/>
      <c r="D33" s="20"/>
      <c r="E33" s="20"/>
      <c r="F33" s="20"/>
      <c r="G33" s="20"/>
      <c r="H33" s="20"/>
      <c r="I33" s="34"/>
      <c r="J33" s="34"/>
      <c r="K33" s="34"/>
      <c r="L33" s="34"/>
      <c r="M33" s="34"/>
      <c r="N33" s="20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>
        <f>+AF26-H20-H22</f>
        <v>0</v>
      </c>
      <c r="AH33" s="34"/>
      <c r="AI33" s="34"/>
      <c r="AJ33" s="34"/>
      <c r="AK33" s="34"/>
      <c r="AL33" s="34"/>
      <c r="AM33" s="34"/>
      <c r="AN33" s="34"/>
      <c r="AO33" s="34"/>
      <c r="AP33" s="1207" t="s">
        <v>92</v>
      </c>
      <c r="AQ33" s="1206">
        <f>-P20</f>
        <v>100</v>
      </c>
      <c r="AR33" s="1188"/>
      <c r="AS33" s="1206">
        <f t="shared" si="2"/>
        <v>-100</v>
      </c>
      <c r="AT33" s="1128"/>
      <c r="AU33" s="515">
        <f>+AN8</f>
        <v>100</v>
      </c>
      <c r="AV33" s="516">
        <f t="shared" si="4"/>
        <v>0</v>
      </c>
      <c r="AW33" s="1213"/>
      <c r="AX33" s="1212"/>
      <c r="AY33" s="1212"/>
      <c r="AZ33" s="1212"/>
      <c r="BA33" s="1212"/>
      <c r="BB33" s="1213"/>
      <c r="BC33" s="1212"/>
      <c r="BD33" s="1214"/>
      <c r="BE33" s="1215"/>
      <c r="BF33" s="1213"/>
      <c r="BG33" s="178"/>
      <c r="BH33" s="1134">
        <f t="shared" si="3"/>
        <v>0</v>
      </c>
      <c r="BI33" s="241"/>
      <c r="BJ33" s="241"/>
      <c r="BK33" s="241"/>
      <c r="BL33" s="241"/>
      <c r="BM33" s="241"/>
      <c r="BN33" s="241"/>
      <c r="BO33" s="241"/>
      <c r="BP33" s="34"/>
      <c r="BQ33" s="1223" t="s">
        <v>92</v>
      </c>
      <c r="BR33" s="1222">
        <f t="shared" si="1"/>
        <v>0</v>
      </c>
      <c r="BS33" s="172"/>
      <c r="BT33" s="172"/>
      <c r="BU33" s="172"/>
      <c r="BV33" s="172"/>
      <c r="BW33" s="172"/>
      <c r="BX33" s="172"/>
      <c r="BZ33" s="241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20"/>
    </row>
    <row r="34" spans="1:90" s="42" customFormat="1" ht="19.5" customHeight="1" x14ac:dyDescent="0.3">
      <c r="A34" s="20"/>
      <c r="B34" s="20"/>
      <c r="C34" s="20"/>
      <c r="D34" s="20"/>
      <c r="E34" s="20"/>
      <c r="F34" s="20"/>
      <c r="G34" s="20"/>
      <c r="H34" s="20"/>
      <c r="I34" s="34"/>
      <c r="J34" s="34"/>
      <c r="K34" s="34"/>
      <c r="L34" s="34"/>
      <c r="M34" s="34"/>
      <c r="N34" s="20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1207" t="s">
        <v>38</v>
      </c>
      <c r="AQ34" s="1206">
        <f>-P21</f>
        <v>3</v>
      </c>
      <c r="AR34" s="1188"/>
      <c r="AS34" s="1206">
        <f t="shared" si="2"/>
        <v>-3</v>
      </c>
      <c r="AT34" s="1128"/>
      <c r="AU34" s="515">
        <f>+AN18</f>
        <v>3</v>
      </c>
      <c r="AV34" s="516">
        <f t="shared" si="4"/>
        <v>0</v>
      </c>
      <c r="AW34" s="1213"/>
      <c r="AX34" s="1212"/>
      <c r="AY34" s="1212"/>
      <c r="AZ34" s="1212"/>
      <c r="BA34" s="1212"/>
      <c r="BB34" s="1213"/>
      <c r="BC34" s="1212"/>
      <c r="BD34" s="1214"/>
      <c r="BE34" s="1215"/>
      <c r="BF34" s="1213"/>
      <c r="BG34" s="178"/>
      <c r="BH34" s="1134">
        <f t="shared" si="3"/>
        <v>0</v>
      </c>
      <c r="BI34" s="241"/>
      <c r="BJ34" s="241"/>
      <c r="BK34" s="241"/>
      <c r="BL34" s="241"/>
      <c r="BM34" s="241"/>
      <c r="BN34" s="241"/>
      <c r="BO34" s="241"/>
      <c r="BP34" s="34"/>
      <c r="BQ34" s="1223" t="s">
        <v>38</v>
      </c>
      <c r="BR34" s="1222">
        <f t="shared" si="1"/>
        <v>0</v>
      </c>
      <c r="BS34" s="172"/>
      <c r="BT34" s="172"/>
      <c r="BU34" s="172"/>
      <c r="BV34" s="172"/>
      <c r="BW34" s="172"/>
      <c r="BX34" s="172"/>
      <c r="BZ34" s="241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20"/>
    </row>
    <row r="35" spans="1:90" s="42" customFormat="1" ht="19.5" customHeight="1" x14ac:dyDescent="0.3">
      <c r="A35" s="20"/>
      <c r="B35" s="20"/>
      <c r="C35" s="20"/>
      <c r="D35" s="20"/>
      <c r="E35" s="20"/>
      <c r="F35" s="20"/>
      <c r="G35" s="20"/>
      <c r="H35" s="20"/>
      <c r="I35" s="34"/>
      <c r="J35" s="34"/>
      <c r="K35" s="34"/>
      <c r="L35" s="34"/>
      <c r="M35" s="34"/>
      <c r="N35" s="20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1208" t="s">
        <v>466</v>
      </c>
      <c r="AQ35" s="1206">
        <f>-P23</f>
        <v>120</v>
      </c>
      <c r="AR35" s="1188"/>
      <c r="AS35" s="1206">
        <f t="shared" ref="AS35" si="8">+AR35-AQ35</f>
        <v>-120</v>
      </c>
      <c r="AT35" s="1128"/>
      <c r="AU35" s="515"/>
      <c r="AV35" s="516">
        <f t="shared" ref="AV35" si="9">AS35+AU35-AT35</f>
        <v>-120</v>
      </c>
      <c r="AW35" s="1213"/>
      <c r="AX35" s="1212"/>
      <c r="AY35" s="1212"/>
      <c r="AZ35" s="1212"/>
      <c r="BA35" s="1212"/>
      <c r="BB35" s="1213"/>
      <c r="BC35" s="1212"/>
      <c r="BD35" s="1214">
        <f>+AV35</f>
        <v>-120</v>
      </c>
      <c r="BE35" s="1215"/>
      <c r="BF35" s="1213"/>
      <c r="BG35" s="178"/>
      <c r="BH35" s="1134">
        <f t="shared" si="3"/>
        <v>0</v>
      </c>
      <c r="BI35" s="241"/>
      <c r="BJ35" s="241"/>
      <c r="BK35" s="241"/>
      <c r="BL35" s="241"/>
      <c r="BM35" s="241"/>
      <c r="BN35" s="241"/>
      <c r="BO35" s="241"/>
      <c r="BP35" s="34"/>
      <c r="BQ35" s="1221" t="s">
        <v>466</v>
      </c>
      <c r="BR35" s="1222">
        <f t="shared" si="1"/>
        <v>-120</v>
      </c>
      <c r="BS35" s="172"/>
      <c r="BT35" s="172"/>
      <c r="BU35" s="172"/>
      <c r="BV35" s="172"/>
      <c r="BW35" s="172"/>
      <c r="BX35" s="172"/>
      <c r="BZ35" s="241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20"/>
    </row>
    <row r="36" spans="1:90" s="42" customFormat="1" ht="19.5" customHeight="1" x14ac:dyDescent="0.3">
      <c r="A36" s="20"/>
      <c r="B36" s="20"/>
      <c r="C36" s="20"/>
      <c r="D36" s="20"/>
      <c r="E36" s="20"/>
      <c r="F36" s="20"/>
      <c r="G36" s="20"/>
      <c r="H36" s="20"/>
      <c r="I36" s="34"/>
      <c r="J36" s="34"/>
      <c r="K36" s="34"/>
      <c r="L36" s="34"/>
      <c r="M36" s="34"/>
      <c r="N36" s="20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1149" t="s">
        <v>532</v>
      </c>
      <c r="AQ36" s="1206">
        <f>-P24</f>
        <v>100</v>
      </c>
      <c r="AR36" s="1188"/>
      <c r="AS36" s="1206">
        <f t="shared" si="2"/>
        <v>-100</v>
      </c>
      <c r="AT36" s="1128"/>
      <c r="AU36" s="515"/>
      <c r="AV36" s="516">
        <f t="shared" si="4"/>
        <v>-100</v>
      </c>
      <c r="AW36" s="1213"/>
      <c r="AX36" s="1212"/>
      <c r="AY36" s="1212"/>
      <c r="AZ36" s="1212"/>
      <c r="BA36" s="1212"/>
      <c r="BB36" s="1213"/>
      <c r="BC36" s="1212"/>
      <c r="BD36" s="1214"/>
      <c r="BE36" s="1215"/>
      <c r="BF36" s="1213"/>
      <c r="BG36" s="178">
        <f>+AV36</f>
        <v>-100</v>
      </c>
      <c r="BH36" s="1134">
        <f>SUM(AW36:BG36)-AV36</f>
        <v>0</v>
      </c>
      <c r="BI36" s="241"/>
      <c r="BJ36" s="241"/>
      <c r="BK36" s="241"/>
      <c r="BL36" s="241"/>
      <c r="BM36" s="241"/>
      <c r="BN36" s="241"/>
      <c r="BO36" s="241"/>
      <c r="BP36" s="34"/>
      <c r="BQ36" s="1221" t="s">
        <v>532</v>
      </c>
      <c r="BR36" s="1222">
        <f t="shared" si="1"/>
        <v>-100</v>
      </c>
      <c r="BS36" s="172"/>
      <c r="BT36" s="172"/>
      <c r="BU36" s="172"/>
      <c r="BV36" s="172"/>
      <c r="BW36" s="172"/>
      <c r="BX36" s="172"/>
      <c r="BY36" s="241"/>
      <c r="BZ36" s="241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20"/>
    </row>
    <row r="37" spans="1:90" s="42" customFormat="1" ht="19.5" customHeight="1" x14ac:dyDescent="0.3">
      <c r="A37" s="20"/>
      <c r="B37" s="20"/>
      <c r="C37" s="20"/>
      <c r="D37" s="20"/>
      <c r="E37" s="20"/>
      <c r="F37" s="20"/>
      <c r="G37" s="20"/>
      <c r="H37" s="20"/>
      <c r="I37" s="34"/>
      <c r="J37" s="34"/>
      <c r="K37" s="34"/>
      <c r="L37" s="34"/>
      <c r="M37" s="34"/>
      <c r="N37" s="20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1149" t="s">
        <v>437</v>
      </c>
      <c r="AQ37" s="1206">
        <f>-P26</f>
        <v>2380</v>
      </c>
      <c r="AR37" s="1188"/>
      <c r="AS37" s="1206">
        <f t="shared" si="2"/>
        <v>-2380</v>
      </c>
      <c r="AT37" s="1128"/>
      <c r="AU37" s="515"/>
      <c r="AV37" s="516">
        <f t="shared" si="4"/>
        <v>-2380</v>
      </c>
      <c r="AW37" s="1213"/>
      <c r="AX37" s="1212"/>
      <c r="AY37" s="1212">
        <f>+AV37</f>
        <v>-2380</v>
      </c>
      <c r="AZ37" s="1212"/>
      <c r="BA37" s="1212"/>
      <c r="BB37" s="1213"/>
      <c r="BC37" s="1212"/>
      <c r="BD37" s="1214"/>
      <c r="BE37" s="1215"/>
      <c r="BF37" s="1213"/>
      <c r="BG37" s="178"/>
      <c r="BH37" s="1134">
        <f>SUM(AW37:BG37)-AV37</f>
        <v>0</v>
      </c>
      <c r="BI37" s="241"/>
      <c r="BJ37" s="241"/>
      <c r="BK37" s="241"/>
      <c r="BL37" s="241"/>
      <c r="BM37" s="241"/>
      <c r="BN37" s="241"/>
      <c r="BO37" s="241"/>
      <c r="BP37" s="34"/>
      <c r="BQ37" s="1221" t="s">
        <v>437</v>
      </c>
      <c r="BR37" s="1222">
        <f t="shared" si="1"/>
        <v>-2380</v>
      </c>
      <c r="BS37" s="172"/>
      <c r="BT37" s="172"/>
      <c r="BU37" s="172">
        <f>+BR37</f>
        <v>-2380</v>
      </c>
      <c r="BV37" s="172"/>
      <c r="BW37" s="172"/>
      <c r="BX37" s="172"/>
      <c r="BY37" s="241"/>
      <c r="BZ37" s="241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20"/>
    </row>
    <row r="38" spans="1:90" s="42" customFormat="1" ht="19.5" customHeight="1" x14ac:dyDescent="0.3">
      <c r="A38" s="20"/>
      <c r="B38" s="20"/>
      <c r="C38" s="20"/>
      <c r="D38" s="20"/>
      <c r="E38" s="20"/>
      <c r="F38" s="20"/>
      <c r="G38" s="20"/>
      <c r="H38" s="20"/>
      <c r="I38" s="34"/>
      <c r="J38" s="34"/>
      <c r="K38" s="34"/>
      <c r="L38" s="34"/>
      <c r="M38" s="34"/>
      <c r="N38" s="20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1209" t="s">
        <v>150</v>
      </c>
      <c r="AQ38" s="1210">
        <f>-P27</f>
        <v>30</v>
      </c>
      <c r="AR38" s="1189"/>
      <c r="AS38" s="1210">
        <f t="shared" si="2"/>
        <v>-30</v>
      </c>
      <c r="AT38" s="1129"/>
      <c r="AU38" s="1130">
        <f>+AN12</f>
        <v>30</v>
      </c>
      <c r="AV38" s="1132">
        <f t="shared" si="4"/>
        <v>0</v>
      </c>
      <c r="AW38" s="1213"/>
      <c r="AX38" s="1212"/>
      <c r="AY38" s="1212"/>
      <c r="AZ38" s="1212"/>
      <c r="BA38" s="1212"/>
      <c r="BB38" s="1213"/>
      <c r="BC38" s="1212"/>
      <c r="BD38" s="1214"/>
      <c r="BE38" s="1215"/>
      <c r="BF38" s="1213"/>
      <c r="BG38" s="178"/>
      <c r="BH38" s="1134">
        <f>SUM(AW38:BG38)-AV38</f>
        <v>0</v>
      </c>
      <c r="BI38" s="241"/>
      <c r="BJ38" s="241"/>
      <c r="BK38" s="241"/>
      <c r="BL38" s="241"/>
      <c r="BM38" s="241"/>
      <c r="BN38" s="241"/>
      <c r="BO38" s="241"/>
      <c r="BP38" s="34"/>
      <c r="BQ38" s="1224" t="s">
        <v>150</v>
      </c>
      <c r="BR38" s="1225">
        <f t="shared" si="1"/>
        <v>0</v>
      </c>
      <c r="BS38" s="172"/>
      <c r="BT38" s="172"/>
      <c r="BU38" s="172">
        <f>+BR38</f>
        <v>0</v>
      </c>
      <c r="BV38" s="172"/>
      <c r="BW38" s="172"/>
      <c r="BX38" s="172"/>
      <c r="BY38" s="1228" t="s">
        <v>441</v>
      </c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20"/>
    </row>
    <row r="39" spans="1:90" s="42" customFormat="1" ht="19.5" customHeight="1" x14ac:dyDescent="0.3">
      <c r="A39" s="20"/>
      <c r="B39" s="20"/>
      <c r="C39" s="20"/>
      <c r="D39" s="20"/>
      <c r="E39" s="20"/>
      <c r="F39" s="20"/>
      <c r="G39" s="20"/>
      <c r="H39" s="20"/>
      <c r="I39" s="34"/>
      <c r="J39" s="34"/>
      <c r="K39" s="34"/>
      <c r="L39" s="34"/>
      <c r="M39" s="34"/>
      <c r="N39" s="20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223"/>
      <c r="AQ39" s="57">
        <f t="shared" ref="AQ39:AV39" si="10">SUM(AQ7:AQ38)</f>
        <v>0</v>
      </c>
      <c r="AR39" s="224">
        <f t="shared" si="10"/>
        <v>0</v>
      </c>
      <c r="AS39" s="57">
        <f t="shared" si="10"/>
        <v>0</v>
      </c>
      <c r="AT39" s="224">
        <f t="shared" si="10"/>
        <v>2426</v>
      </c>
      <c r="AU39" s="243">
        <f t="shared" si="10"/>
        <v>2426</v>
      </c>
      <c r="AV39" s="225">
        <f t="shared" si="10"/>
        <v>0</v>
      </c>
      <c r="AW39" s="66">
        <f t="shared" ref="AW39:BG39" si="11">SUM(AW7:AW37)</f>
        <v>23640.399999999998</v>
      </c>
      <c r="AX39" s="67">
        <f t="shared" si="11"/>
        <v>-8505</v>
      </c>
      <c r="AY39" s="67">
        <f t="shared" si="11"/>
        <v>-2225</v>
      </c>
      <c r="AZ39" s="67">
        <f t="shared" si="11"/>
        <v>-887.12</v>
      </c>
      <c r="BA39" s="67">
        <f t="shared" si="11"/>
        <v>-3237.2799999999975</v>
      </c>
      <c r="BB39" s="66">
        <f t="shared" si="11"/>
        <v>-26</v>
      </c>
      <c r="BC39" s="67">
        <f t="shared" si="11"/>
        <v>-800</v>
      </c>
      <c r="BD39" s="67">
        <f t="shared" si="11"/>
        <v>-120</v>
      </c>
      <c r="BE39" s="68">
        <f t="shared" si="11"/>
        <v>1250</v>
      </c>
      <c r="BF39" s="66">
        <f t="shared" si="11"/>
        <v>-6870</v>
      </c>
      <c r="BG39" s="66">
        <f t="shared" si="11"/>
        <v>-100</v>
      </c>
      <c r="BH39" s="695"/>
      <c r="BI39" s="241"/>
      <c r="BJ39" s="241"/>
      <c r="BK39" s="241"/>
      <c r="BL39" s="241"/>
      <c r="BM39" s="241"/>
      <c r="BN39" s="241"/>
      <c r="BO39" s="241"/>
      <c r="BP39" s="34"/>
      <c r="BQ39" s="223"/>
      <c r="BR39" s="243">
        <f>SUM(BR7:BR37)</f>
        <v>0</v>
      </c>
      <c r="BS39" s="67">
        <f t="shared" ref="BS39:BX39" si="12">SUM(BS7:BS38)</f>
        <v>20080</v>
      </c>
      <c r="BT39" s="67">
        <f t="shared" si="12"/>
        <v>-8505</v>
      </c>
      <c r="BU39" s="67">
        <f t="shared" si="12"/>
        <v>-2225</v>
      </c>
      <c r="BV39" s="67">
        <f t="shared" si="12"/>
        <v>-764</v>
      </c>
      <c r="BW39" s="67">
        <f t="shared" si="12"/>
        <v>0</v>
      </c>
      <c r="BX39" s="67">
        <f t="shared" si="12"/>
        <v>200</v>
      </c>
      <c r="BY39" s="182">
        <f>SUM(BS39:BX39)</f>
        <v>8786</v>
      </c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20"/>
    </row>
    <row r="40" spans="1:90" s="42" customFormat="1" ht="19.5" customHeight="1" x14ac:dyDescent="0.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1136"/>
      <c r="AQ40" s="1136"/>
      <c r="AR40" s="1136"/>
      <c r="AS40" s="1136"/>
      <c r="AT40" s="1136"/>
      <c r="AU40" s="1136"/>
      <c r="AV40" s="1136"/>
      <c r="AW40" s="1152"/>
      <c r="AX40" s="1152"/>
      <c r="AY40" s="1152"/>
      <c r="AZ40" s="1152"/>
      <c r="BA40" s="1152"/>
      <c r="BB40" s="1152"/>
      <c r="BC40" s="1152"/>
      <c r="BD40" s="1152"/>
      <c r="BE40" s="1152"/>
      <c r="BF40" s="1153"/>
      <c r="BG40" s="66">
        <f>SUM(AW39:BG39)</f>
        <v>2120</v>
      </c>
      <c r="BH40" s="1135"/>
      <c r="BI40" s="241"/>
      <c r="BJ40" s="241"/>
      <c r="BK40" s="241"/>
      <c r="BL40" s="241"/>
      <c r="BM40" s="241"/>
      <c r="BN40" s="241"/>
      <c r="BO40" s="241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20"/>
    </row>
    <row r="41" spans="1:90" ht="19.5" customHeight="1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41"/>
      <c r="BJ41" s="241"/>
      <c r="BK41" s="241"/>
      <c r="BL41" s="241"/>
      <c r="BM41" s="241"/>
      <c r="BN41" s="241"/>
      <c r="BO41" s="241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1154"/>
      <c r="CK41" s="1154"/>
      <c r="CL41" s="20"/>
    </row>
    <row r="42" spans="1:90" s="42" customFormat="1" ht="19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</row>
  </sheetData>
  <mergeCells count="9">
    <mergeCell ref="CK10:CK11"/>
    <mergeCell ref="AT2:AV2"/>
    <mergeCell ref="AP2:AS2"/>
    <mergeCell ref="AW3:BF3"/>
    <mergeCell ref="BS3:BX3"/>
    <mergeCell ref="BS4:BX4"/>
    <mergeCell ref="AT4:AU4"/>
    <mergeCell ref="AW4:BA4"/>
    <mergeCell ref="BC4:BF4"/>
  </mergeCells>
  <pageMargins left="0.7" right="0.7" top="0.75" bottom="0.75" header="0.3" footer="0.3"/>
  <pageSetup paperSize="9" orientation="portrait" horizontalDpi="4294967294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CR189"/>
  <sheetViews>
    <sheetView topLeftCell="W1" zoomScale="55" zoomScaleNormal="55" workbookViewId="0">
      <selection activeCell="BP37" sqref="BP37"/>
    </sheetView>
  </sheetViews>
  <sheetFormatPr baseColWidth="10" defaultColWidth="0" defaultRowHeight="18.75" zeroHeight="1" x14ac:dyDescent="0.3"/>
  <cols>
    <col min="1" max="1" width="11.42578125" style="42" customWidth="1"/>
    <col min="2" max="5" width="16.42578125" style="42" customWidth="1"/>
    <col min="6" max="6" width="13.140625" style="42" customWidth="1"/>
    <col min="7" max="7" width="13.85546875" style="42" customWidth="1"/>
    <col min="8" max="8" width="11.7109375" style="42" customWidth="1"/>
    <col min="9" max="12" width="16.42578125" style="42" customWidth="1"/>
    <col min="13" max="16" width="11.7109375" style="42" customWidth="1"/>
    <col min="17" max="17" width="10.7109375" style="42" customWidth="1"/>
    <col min="18" max="18" width="12.7109375" style="42" customWidth="1"/>
    <col min="19" max="20" width="14.140625" style="42" customWidth="1"/>
    <col min="21" max="21" width="12.7109375" style="42" customWidth="1"/>
    <col min="22" max="22" width="11.28515625" style="42" customWidth="1"/>
    <col min="23" max="23" width="12.7109375" style="42" customWidth="1"/>
    <col min="24" max="24" width="5.42578125" style="42" customWidth="1"/>
    <col min="25" max="27" width="12.7109375" style="42" customWidth="1"/>
    <col min="28" max="28" width="16" style="42" customWidth="1"/>
    <col min="29" max="29" width="12.7109375" style="42" customWidth="1"/>
    <col min="30" max="32" width="9" style="42" customWidth="1"/>
    <col min="33" max="39" width="12.7109375" style="42" customWidth="1"/>
    <col min="40" max="40" width="4.5703125" style="42" bestFit="1" customWidth="1"/>
    <col min="41" max="41" width="38.140625" style="42" customWidth="1"/>
    <col min="42" max="44" width="12.7109375" style="42" hidden="1" customWidth="1"/>
    <col min="45" max="46" width="11.7109375" style="42" hidden="1" customWidth="1"/>
    <col min="47" max="47" width="11.7109375" style="42" customWidth="1"/>
    <col min="48" max="48" width="13.28515625" style="42" customWidth="1"/>
    <col min="49" max="49" width="14" style="42" customWidth="1"/>
    <col min="50" max="50" width="13.5703125" style="42" customWidth="1"/>
    <col min="51" max="51" width="13.7109375" style="42" customWidth="1"/>
    <col min="52" max="52" width="12.42578125" style="42" customWidth="1"/>
    <col min="53" max="53" width="11.7109375" style="42" customWidth="1"/>
    <col min="54" max="54" width="13.5703125" style="42" customWidth="1"/>
    <col min="55" max="55" width="13.28515625" style="42" customWidth="1"/>
    <col min="56" max="58" width="11.7109375" style="42" customWidth="1"/>
    <col min="59" max="59" width="12.28515625" style="42" customWidth="1"/>
    <col min="60" max="60" width="13.42578125" style="42" bestFit="1" customWidth="1"/>
    <col min="61" max="69" width="7.7109375" style="42" customWidth="1"/>
    <col min="70" max="70" width="4.42578125" style="42" customWidth="1"/>
    <col min="71" max="71" width="14.140625" style="42" customWidth="1"/>
    <col min="72" max="72" width="7.7109375" style="42" customWidth="1"/>
    <col min="73" max="77" width="14.7109375" style="42" customWidth="1"/>
    <col min="78" max="78" width="6.42578125" style="42" customWidth="1"/>
    <col min="79" max="79" width="12" style="42" bestFit="1" customWidth="1"/>
    <col min="80" max="85" width="11.42578125" style="42" customWidth="1"/>
    <col min="86" max="86" width="17.85546875" style="42" customWidth="1"/>
    <col min="87" max="95" width="11.42578125" style="42" customWidth="1"/>
    <col min="96" max="16384" width="11.42578125" style="42" hidden="1"/>
  </cols>
  <sheetData>
    <row r="1" spans="1:96" customFormat="1" ht="18.75" customHeight="1" x14ac:dyDescent="0.35">
      <c r="A1" s="42"/>
      <c r="B1" s="109" t="s">
        <v>1021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10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10"/>
      <c r="BV1" s="110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10"/>
      <c r="CH1" s="108"/>
      <c r="CI1" s="108"/>
      <c r="CJ1" s="108"/>
      <c r="CK1" s="108"/>
      <c r="CL1" s="108"/>
      <c r="CM1" s="108"/>
      <c r="CN1" s="108"/>
      <c r="CO1" s="108"/>
      <c r="CP1" s="108"/>
      <c r="CQ1" s="110"/>
      <c r="CR1" s="110"/>
    </row>
    <row r="2" spans="1:96" x14ac:dyDescent="0.3">
      <c r="A2" s="20"/>
      <c r="B2" s="282"/>
      <c r="C2" s="282"/>
      <c r="D2" s="282"/>
      <c r="E2" s="282"/>
      <c r="F2" s="282"/>
      <c r="G2" s="279"/>
      <c r="H2" s="282"/>
      <c r="I2" s="282"/>
      <c r="J2" s="282"/>
      <c r="K2" s="282"/>
      <c r="L2" s="282"/>
      <c r="M2" s="279"/>
      <c r="N2" s="279"/>
      <c r="O2" s="279"/>
      <c r="P2" s="279"/>
      <c r="Q2" s="279"/>
      <c r="R2" s="279"/>
      <c r="S2" s="279"/>
      <c r="T2" s="279"/>
      <c r="U2" s="279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T2" s="20"/>
      <c r="BU2" s="20"/>
      <c r="BV2" s="20"/>
      <c r="BW2" s="20"/>
      <c r="BX2" s="20"/>
      <c r="BY2" s="20"/>
      <c r="BZ2" s="20"/>
      <c r="CA2" s="20"/>
    </row>
    <row r="3" spans="1:96" x14ac:dyDescent="0.3">
      <c r="A3" s="20"/>
      <c r="B3" s="16" t="s">
        <v>1036</v>
      </c>
      <c r="C3" s="16"/>
      <c r="D3" s="16"/>
      <c r="E3" s="16"/>
      <c r="F3" s="19"/>
      <c r="G3" s="19"/>
      <c r="H3" s="20"/>
      <c r="I3" s="16" t="s">
        <v>1036</v>
      </c>
      <c r="J3" s="16"/>
      <c r="K3" s="16"/>
      <c r="L3" s="16"/>
      <c r="M3" s="18"/>
      <c r="N3" s="20"/>
      <c r="O3" s="16" t="s">
        <v>1036</v>
      </c>
      <c r="P3" s="48"/>
      <c r="Q3" s="48"/>
      <c r="R3" s="19"/>
      <c r="S3" s="19"/>
      <c r="T3" s="19"/>
      <c r="U3" s="48"/>
      <c r="V3" s="34"/>
      <c r="W3" s="16" t="s">
        <v>401</v>
      </c>
      <c r="X3" s="46"/>
      <c r="Y3" s="46"/>
      <c r="Z3" s="46"/>
      <c r="AA3" s="46"/>
      <c r="AB3" s="46"/>
      <c r="AC3" s="46"/>
      <c r="AD3" s="34"/>
      <c r="AE3" s="34"/>
      <c r="AF3" s="34"/>
      <c r="AN3" s="34"/>
      <c r="AO3" s="798"/>
      <c r="AP3" s="1156"/>
      <c r="AQ3" s="1156"/>
      <c r="AR3" s="771"/>
      <c r="AS3" s="1157"/>
      <c r="AT3" s="1158"/>
      <c r="AU3" s="1158"/>
      <c r="AV3" s="1552" t="s">
        <v>1115</v>
      </c>
      <c r="AW3" s="1553"/>
      <c r="AX3" s="1553"/>
      <c r="AY3" s="1553"/>
      <c r="AZ3" s="1553"/>
      <c r="BA3" s="1553"/>
      <c r="BB3" s="1553"/>
      <c r="BC3" s="1553"/>
      <c r="BD3" s="1553"/>
      <c r="BE3" s="1553"/>
      <c r="BF3" s="1553"/>
      <c r="BG3" s="1554"/>
      <c r="BH3" s="20"/>
      <c r="BI3" s="20"/>
      <c r="BT3" s="20"/>
      <c r="BU3" s="20"/>
      <c r="BV3" s="20"/>
      <c r="BW3" s="20"/>
      <c r="BX3" s="20"/>
      <c r="BY3" s="20"/>
      <c r="BZ3" s="20"/>
      <c r="CA3" s="20"/>
    </row>
    <row r="4" spans="1:96" x14ac:dyDescent="0.3">
      <c r="A4" s="20"/>
      <c r="B4" s="16" t="s">
        <v>62</v>
      </c>
      <c r="C4" s="16"/>
      <c r="D4" s="16"/>
      <c r="E4" s="16"/>
      <c r="F4" s="19">
        <v>2020</v>
      </c>
      <c r="G4" s="19">
        <v>2019</v>
      </c>
      <c r="H4" s="20"/>
      <c r="I4" s="16" t="s">
        <v>372</v>
      </c>
      <c r="J4" s="16"/>
      <c r="K4" s="16"/>
      <c r="L4" s="16"/>
      <c r="M4" s="18"/>
      <c r="N4" s="20"/>
      <c r="O4" s="16" t="s">
        <v>1038</v>
      </c>
      <c r="P4" s="48"/>
      <c r="Q4" s="48"/>
      <c r="R4" s="19"/>
      <c r="S4" s="19"/>
      <c r="T4" s="19"/>
      <c r="U4" s="19"/>
      <c r="V4" s="34"/>
      <c r="W4" s="26" t="s">
        <v>221</v>
      </c>
      <c r="X4" s="34"/>
      <c r="Y4" s="34"/>
      <c r="Z4" s="34"/>
      <c r="AA4" s="34"/>
      <c r="AB4" s="35">
        <v>2020</v>
      </c>
      <c r="AC4" s="35">
        <v>2019</v>
      </c>
      <c r="AD4" s="34"/>
      <c r="AE4" s="34"/>
      <c r="AF4" s="34"/>
      <c r="AG4" s="16" t="s">
        <v>757</v>
      </c>
      <c r="AH4" s="17"/>
      <c r="AI4" s="17"/>
      <c r="AJ4" s="17"/>
      <c r="AK4" s="17"/>
      <c r="AL4" s="190" t="s">
        <v>110</v>
      </c>
      <c r="AM4" s="190" t="s">
        <v>111</v>
      </c>
      <c r="AN4" s="34"/>
      <c r="AO4" s="798"/>
      <c r="AP4" s="1158"/>
      <c r="AQ4" s="1158"/>
      <c r="AR4" s="1252"/>
      <c r="AS4" s="1157"/>
      <c r="AT4" s="1158"/>
      <c r="AU4" s="1158"/>
      <c r="AV4" s="1555" t="s">
        <v>132</v>
      </c>
      <c r="AW4" s="1556"/>
      <c r="AX4" s="1556"/>
      <c r="AY4" s="1556"/>
      <c r="AZ4" s="1556"/>
      <c r="BA4" s="1556"/>
      <c r="BB4" s="1550" t="s">
        <v>133</v>
      </c>
      <c r="BC4" s="1551"/>
      <c r="BD4" s="1557" t="s">
        <v>134</v>
      </c>
      <c r="BE4" s="1558"/>
      <c r="BF4" s="1558"/>
      <c r="BG4" s="1559"/>
      <c r="BH4" s="20"/>
      <c r="BI4" s="20"/>
      <c r="BT4" s="20"/>
    </row>
    <row r="5" spans="1:96" x14ac:dyDescent="0.3">
      <c r="A5" s="20"/>
      <c r="B5" s="16" t="s">
        <v>625</v>
      </c>
      <c r="C5" s="16"/>
      <c r="D5" s="16"/>
      <c r="E5" s="16"/>
      <c r="F5" s="19" t="s">
        <v>387</v>
      </c>
      <c r="G5" s="19" t="s">
        <v>387</v>
      </c>
      <c r="H5" s="20"/>
      <c r="I5" s="16" t="s">
        <v>1037</v>
      </c>
      <c r="J5" s="16"/>
      <c r="K5" s="16"/>
      <c r="L5" s="16"/>
      <c r="M5" s="19">
        <v>2020</v>
      </c>
      <c r="N5" s="20"/>
      <c r="O5" s="16" t="s">
        <v>1037</v>
      </c>
      <c r="P5" s="48"/>
      <c r="Q5" s="48"/>
      <c r="R5" s="48"/>
      <c r="S5" s="19"/>
      <c r="T5" s="19"/>
      <c r="U5" s="48"/>
      <c r="V5" s="34"/>
      <c r="W5" s="34"/>
      <c r="X5" s="34"/>
      <c r="Y5" s="34"/>
      <c r="Z5" s="34"/>
      <c r="AA5" s="34"/>
      <c r="AB5" s="35" t="s">
        <v>387</v>
      </c>
      <c r="AC5" s="35" t="s">
        <v>387</v>
      </c>
      <c r="AD5" s="34"/>
      <c r="AE5" s="34"/>
      <c r="AF5" s="34"/>
      <c r="AG5" s="20"/>
      <c r="AH5" s="20"/>
      <c r="AI5" s="20"/>
      <c r="AJ5" s="20"/>
      <c r="AK5" s="20"/>
      <c r="AL5" s="35" t="s">
        <v>156</v>
      </c>
      <c r="AM5" s="35" t="s">
        <v>233</v>
      </c>
      <c r="AN5" s="34"/>
      <c r="AO5" s="138" t="s">
        <v>108</v>
      </c>
      <c r="AP5" s="226" t="s">
        <v>105</v>
      </c>
      <c r="AQ5" s="227" t="s">
        <v>106</v>
      </c>
      <c r="AR5" s="227" t="s">
        <v>107</v>
      </c>
      <c r="AS5" s="1548" t="s">
        <v>1113</v>
      </c>
      <c r="AT5" s="1549"/>
      <c r="AU5" s="1256" t="s">
        <v>623</v>
      </c>
      <c r="AV5" s="226" t="s">
        <v>17</v>
      </c>
      <c r="AW5" s="227" t="s">
        <v>21</v>
      </c>
      <c r="AX5" s="227" t="s">
        <v>22</v>
      </c>
      <c r="AY5" s="227" t="s">
        <v>21</v>
      </c>
      <c r="AZ5" s="227" t="s">
        <v>1105</v>
      </c>
      <c r="BA5" s="227" t="s">
        <v>25</v>
      </c>
      <c r="BB5" s="226" t="s">
        <v>128</v>
      </c>
      <c r="BC5" s="227" t="s">
        <v>214</v>
      </c>
      <c r="BD5" s="227" t="s">
        <v>22</v>
      </c>
      <c r="BE5" s="227" t="s">
        <v>22</v>
      </c>
      <c r="BF5" s="229" t="s">
        <v>24</v>
      </c>
      <c r="BG5" s="226" t="s">
        <v>22</v>
      </c>
      <c r="BH5" s="20"/>
      <c r="BI5" s="20"/>
      <c r="BJ5" s="281" t="s">
        <v>1013</v>
      </c>
      <c r="BK5" s="281"/>
      <c r="BL5" s="281"/>
      <c r="BM5" s="281"/>
      <c r="BN5" s="281"/>
      <c r="BO5" s="281"/>
      <c r="BP5" s="281"/>
      <c r="BQ5" s="281"/>
      <c r="BR5" s="281"/>
      <c r="BS5" s="281"/>
      <c r="BT5" s="20"/>
    </row>
    <row r="6" spans="1:96" x14ac:dyDescent="0.3">
      <c r="A6" s="34"/>
      <c r="B6" s="20" t="s">
        <v>1</v>
      </c>
      <c r="C6" s="20"/>
      <c r="D6" s="20"/>
      <c r="E6" s="20"/>
      <c r="F6" s="21">
        <v>2110</v>
      </c>
      <c r="G6" s="21">
        <v>7575</v>
      </c>
      <c r="H6" s="20"/>
      <c r="I6" s="16"/>
      <c r="J6" s="16"/>
      <c r="K6" s="16"/>
      <c r="L6" s="16"/>
      <c r="M6" s="19" t="s">
        <v>387</v>
      </c>
      <c r="N6" s="20"/>
      <c r="O6" s="16"/>
      <c r="P6" s="48"/>
      <c r="Q6" s="48"/>
      <c r="R6" s="48"/>
      <c r="S6" s="19" t="s">
        <v>96</v>
      </c>
      <c r="T6" s="19" t="s">
        <v>445</v>
      </c>
      <c r="U6" s="48"/>
      <c r="V6" s="34"/>
      <c r="W6" s="20" t="s">
        <v>222</v>
      </c>
      <c r="X6" s="34"/>
      <c r="Y6" s="34"/>
      <c r="Z6" s="34"/>
      <c r="AA6" s="34"/>
      <c r="AB6" s="34">
        <v>600</v>
      </c>
      <c r="AC6" s="34">
        <v>500</v>
      </c>
      <c r="AD6" s="34"/>
      <c r="AE6" s="34"/>
      <c r="AF6" s="34"/>
      <c r="AG6" s="17" t="s">
        <v>117</v>
      </c>
      <c r="AH6" s="16"/>
      <c r="AI6" s="26"/>
      <c r="AJ6" s="26"/>
      <c r="AK6" s="26"/>
      <c r="AL6" s="35"/>
      <c r="AM6" s="35"/>
      <c r="AN6" s="34"/>
      <c r="AO6" s="230" t="s">
        <v>388</v>
      </c>
      <c r="AP6" s="231">
        <v>2020</v>
      </c>
      <c r="AQ6" s="232">
        <v>2019</v>
      </c>
      <c r="AR6" s="232" t="s">
        <v>103</v>
      </c>
      <c r="AS6" s="228" t="s">
        <v>110</v>
      </c>
      <c r="AT6" s="228" t="s">
        <v>111</v>
      </c>
      <c r="AU6" s="1257" t="s">
        <v>1114</v>
      </c>
      <c r="AV6" s="231" t="s">
        <v>121</v>
      </c>
      <c r="AW6" s="232" t="s">
        <v>122</v>
      </c>
      <c r="AX6" s="232" t="s">
        <v>123</v>
      </c>
      <c r="AY6" s="232" t="s">
        <v>130</v>
      </c>
      <c r="AZ6" s="232" t="s">
        <v>31</v>
      </c>
      <c r="BA6" s="232" t="s">
        <v>215</v>
      </c>
      <c r="BB6" s="231" t="s">
        <v>129</v>
      </c>
      <c r="BC6" s="232" t="s">
        <v>127</v>
      </c>
      <c r="BD6" s="232" t="s">
        <v>447</v>
      </c>
      <c r="BE6" s="233" t="s">
        <v>448</v>
      </c>
      <c r="BF6" s="234" t="s">
        <v>126</v>
      </c>
      <c r="BG6" s="231" t="s">
        <v>350</v>
      </c>
      <c r="BH6" s="20"/>
      <c r="BI6" s="20"/>
      <c r="BJ6" s="16" t="s">
        <v>382</v>
      </c>
      <c r="BK6" s="17"/>
      <c r="BL6" s="18"/>
      <c r="BM6" s="18"/>
      <c r="BN6" s="18"/>
      <c r="BO6" s="18"/>
      <c r="BP6" s="18"/>
      <c r="BQ6" s="18"/>
      <c r="BR6" s="18"/>
      <c r="BS6" s="18"/>
      <c r="BT6" s="20"/>
      <c r="BU6" s="240" t="s">
        <v>403</v>
      </c>
      <c r="BV6" s="16"/>
      <c r="BW6" s="16"/>
      <c r="BX6" s="16"/>
      <c r="BY6" s="16"/>
      <c r="BZ6" s="16"/>
      <c r="CA6" s="19"/>
      <c r="CC6" s="240" t="s">
        <v>403</v>
      </c>
      <c r="CD6" s="16"/>
      <c r="CE6" s="16"/>
      <c r="CF6" s="16"/>
      <c r="CG6" s="16"/>
      <c r="CH6" s="16"/>
      <c r="CI6" s="19"/>
    </row>
    <row r="7" spans="1:96" x14ac:dyDescent="0.3">
      <c r="A7" s="20"/>
      <c r="B7" s="20" t="s">
        <v>90</v>
      </c>
      <c r="C7" s="20"/>
      <c r="D7" s="20"/>
      <c r="E7" s="20"/>
      <c r="F7" s="21">
        <v>2500</v>
      </c>
      <c r="G7" s="21">
        <v>1900</v>
      </c>
      <c r="H7" s="20"/>
      <c r="I7" s="20" t="s">
        <v>9</v>
      </c>
      <c r="J7" s="20"/>
      <c r="K7" s="20"/>
      <c r="L7" s="20"/>
      <c r="M7" s="21">
        <f>30550+65</f>
        <v>30615</v>
      </c>
      <c r="N7" s="20"/>
      <c r="O7" s="16"/>
      <c r="P7" s="48"/>
      <c r="Q7" s="48"/>
      <c r="R7" s="48"/>
      <c r="S7" s="19" t="s">
        <v>97</v>
      </c>
      <c r="T7" s="19" t="s">
        <v>407</v>
      </c>
      <c r="U7" s="19" t="s">
        <v>40</v>
      </c>
      <c r="V7" s="34"/>
      <c r="W7" s="20" t="s">
        <v>223</v>
      </c>
      <c r="X7" s="34"/>
      <c r="Y7" s="34"/>
      <c r="Z7" s="34"/>
      <c r="AA7" s="34"/>
      <c r="AB7" s="34">
        <f>+AB9-AB6-AB8</f>
        <v>1510</v>
      </c>
      <c r="AC7" s="34">
        <f>+AC9-AC6-AC8</f>
        <v>1075</v>
      </c>
      <c r="AD7" s="34"/>
      <c r="AE7" s="34"/>
      <c r="AF7" s="34"/>
      <c r="AG7" s="20" t="s">
        <v>90</v>
      </c>
      <c r="AH7" s="20"/>
      <c r="AI7" s="20"/>
      <c r="AJ7" s="20"/>
      <c r="AK7" s="20" t="s">
        <v>112</v>
      </c>
      <c r="AL7" s="34">
        <f>AB22</f>
        <v>150</v>
      </c>
      <c r="AM7" s="34"/>
      <c r="AN7" s="34"/>
      <c r="AO7" s="53" t="s">
        <v>1112</v>
      </c>
      <c r="AP7" s="264">
        <f>+F6-F17</f>
        <v>1610</v>
      </c>
      <c r="AQ7" s="264">
        <f>+G6-G17</f>
        <v>7275</v>
      </c>
      <c r="AR7" s="265">
        <f>+AQ7-AP7</f>
        <v>5665</v>
      </c>
      <c r="AS7" s="60">
        <f t="shared" ref="AS7:AS46" ca="1" si="0">SUMIF($AG$6:$AM$34,AO7,$AL$6:$AL$34)</f>
        <v>0</v>
      </c>
      <c r="AT7" s="55">
        <f t="shared" ref="AT7:AT46" ca="1" si="1">SUMIF($AG$6:$AM$34,AO7,$AM$6:$AM$34)</f>
        <v>0</v>
      </c>
      <c r="AU7" s="55">
        <f ca="1">+AR7+AT7-AS7</f>
        <v>5665</v>
      </c>
      <c r="AV7" s="1275"/>
      <c r="AW7" s="1276"/>
      <c r="AX7" s="1276"/>
      <c r="AY7" s="1277"/>
      <c r="AZ7" s="1276"/>
      <c r="BA7" s="1276"/>
      <c r="BB7" s="1206"/>
      <c r="BC7" s="1266"/>
      <c r="BD7" s="1268"/>
      <c r="BE7" s="1269"/>
      <c r="BF7" s="1270"/>
      <c r="BG7" s="584"/>
      <c r="BH7" s="237">
        <f t="shared" ref="BH7:BH46" ca="1" si="2">AU7-SUM(AV7:BG7)</f>
        <v>5665</v>
      </c>
      <c r="BI7" s="20"/>
      <c r="BJ7" s="16" t="s">
        <v>705</v>
      </c>
      <c r="BK7" s="17"/>
      <c r="BL7" s="18"/>
      <c r="BM7" s="18"/>
      <c r="BN7" s="18"/>
      <c r="BO7" s="18"/>
      <c r="BP7" s="18"/>
      <c r="BQ7" s="18"/>
      <c r="BR7" s="18"/>
      <c r="BS7" s="18"/>
      <c r="BT7" s="20"/>
      <c r="BU7" s="240" t="s">
        <v>404</v>
      </c>
      <c r="BV7" s="16"/>
      <c r="BW7" s="16"/>
      <c r="BX7" s="16"/>
      <c r="BY7" s="16"/>
      <c r="BZ7" s="16"/>
      <c r="CA7" s="19"/>
      <c r="CC7" s="240" t="s">
        <v>404</v>
      </c>
      <c r="CD7" s="16"/>
      <c r="CE7" s="16"/>
      <c r="CF7" s="16"/>
      <c r="CG7" s="16"/>
      <c r="CH7" s="16"/>
      <c r="CI7" s="19"/>
    </row>
    <row r="8" spans="1:96" x14ac:dyDescent="0.3">
      <c r="A8" s="20"/>
      <c r="B8" s="20" t="s">
        <v>169</v>
      </c>
      <c r="C8" s="20"/>
      <c r="D8" s="20"/>
      <c r="E8" s="20"/>
      <c r="F8" s="21">
        <v>600</v>
      </c>
      <c r="G8" s="21">
        <v>700</v>
      </c>
      <c r="H8" s="20"/>
      <c r="I8" s="20" t="s">
        <v>10</v>
      </c>
      <c r="J8" s="20"/>
      <c r="K8" s="20"/>
      <c r="L8" s="20"/>
      <c r="M8" s="34"/>
      <c r="N8" s="20"/>
      <c r="O8" s="48"/>
      <c r="P8" s="48"/>
      <c r="Q8" s="48"/>
      <c r="R8" s="48"/>
      <c r="S8" s="19" t="s">
        <v>387</v>
      </c>
      <c r="T8" s="19" t="s">
        <v>387</v>
      </c>
      <c r="U8" s="19" t="s">
        <v>387</v>
      </c>
      <c r="V8" s="34"/>
      <c r="W8" s="20" t="s">
        <v>224</v>
      </c>
      <c r="X8" s="34"/>
      <c r="Y8" s="34"/>
      <c r="Z8" s="34"/>
      <c r="AA8" s="34"/>
      <c r="AB8" s="32">
        <v>0</v>
      </c>
      <c r="AC8" s="32">
        <v>6000</v>
      </c>
      <c r="AD8" s="34"/>
      <c r="AE8" s="34"/>
      <c r="AF8" s="34"/>
      <c r="AG8" s="20" t="s">
        <v>92</v>
      </c>
      <c r="AH8" s="20"/>
      <c r="AI8" s="20"/>
      <c r="AJ8" s="20"/>
      <c r="AK8" s="20" t="s">
        <v>113</v>
      </c>
      <c r="AL8" s="34"/>
      <c r="AM8" s="34">
        <f>+AL7</f>
        <v>150</v>
      </c>
      <c r="AN8" s="34"/>
      <c r="AO8" s="53" t="s">
        <v>90</v>
      </c>
      <c r="AP8" s="264">
        <f t="shared" ref="AP8:AQ10" si="3">+F7</f>
        <v>2500</v>
      </c>
      <c r="AQ8" s="264">
        <f t="shared" si="3"/>
        <v>1900</v>
      </c>
      <c r="AR8" s="265">
        <f t="shared" ref="AR8:AR9" si="4">+AQ8-AP8</f>
        <v>-600</v>
      </c>
      <c r="AS8" s="60">
        <f t="shared" ca="1" si="0"/>
        <v>150</v>
      </c>
      <c r="AT8" s="55">
        <f t="shared" ca="1" si="1"/>
        <v>0</v>
      </c>
      <c r="AU8" s="55">
        <f t="shared" ref="AU8:AU46" ca="1" si="5">+AR8+AT8-AS8</f>
        <v>-750</v>
      </c>
      <c r="AV8" s="1275">
        <f ca="1">+AU8</f>
        <v>-750</v>
      </c>
      <c r="AW8" s="1276"/>
      <c r="AX8" s="1276"/>
      <c r="AY8" s="1275"/>
      <c r="AZ8" s="1276"/>
      <c r="BA8" s="1276"/>
      <c r="BB8" s="1206"/>
      <c r="BC8" s="1266"/>
      <c r="BD8" s="1268"/>
      <c r="BE8" s="1269"/>
      <c r="BF8" s="1270"/>
      <c r="BG8" s="584"/>
      <c r="BH8" s="238">
        <f t="shared" ca="1" si="2"/>
        <v>0</v>
      </c>
      <c r="BI8" s="20"/>
      <c r="BJ8" s="16"/>
      <c r="BK8" s="17"/>
      <c r="BL8" s="18"/>
      <c r="BM8" s="18"/>
      <c r="BN8" s="18"/>
      <c r="BO8" s="18"/>
      <c r="BP8" s="18"/>
      <c r="BQ8" s="18"/>
      <c r="BR8" s="18"/>
      <c r="BS8" s="19" t="s">
        <v>387</v>
      </c>
      <c r="BT8" s="20"/>
      <c r="BU8" s="459" t="s">
        <v>16</v>
      </c>
      <c r="BV8" s="459"/>
      <c r="BW8" s="459"/>
      <c r="BX8" s="459"/>
      <c r="BY8" s="459"/>
      <c r="BZ8" s="459"/>
      <c r="CA8" s="1285">
        <f>+M31</f>
        <v>1859.6155950650564</v>
      </c>
      <c r="CC8" s="459" t="s">
        <v>1117</v>
      </c>
      <c r="CD8" s="459"/>
      <c r="CE8" s="459"/>
      <c r="CF8" s="459"/>
      <c r="CG8" s="459"/>
      <c r="CH8" s="459"/>
      <c r="CI8" s="1285">
        <f ca="1">+CA8+CA15+CA16+CA17+CA19</f>
        <v>7794</v>
      </c>
    </row>
    <row r="9" spans="1:96" x14ac:dyDescent="0.3">
      <c r="A9" s="20"/>
      <c r="B9" s="20" t="s">
        <v>1027</v>
      </c>
      <c r="C9" s="20"/>
      <c r="D9" s="20"/>
      <c r="E9" s="20"/>
      <c r="F9" s="23">
        <f>+AC47</f>
        <v>359.77999999999975</v>
      </c>
      <c r="G9" s="23">
        <f>+AC44</f>
        <v>100</v>
      </c>
      <c r="H9" s="20"/>
      <c r="I9" s="28" t="s">
        <v>173</v>
      </c>
      <c r="J9" s="28"/>
      <c r="K9" s="28"/>
      <c r="L9" s="28"/>
      <c r="M9" s="34">
        <f>-20000+470+349</f>
        <v>-19181</v>
      </c>
      <c r="N9" s="20"/>
      <c r="O9" s="37"/>
      <c r="P9" s="37"/>
      <c r="Q9" s="37"/>
      <c r="R9" s="37"/>
      <c r="S9" s="37"/>
      <c r="T9" s="37"/>
      <c r="U9" s="37"/>
      <c r="V9" s="34"/>
      <c r="W9" s="16" t="s">
        <v>225</v>
      </c>
      <c r="X9" s="48"/>
      <c r="Y9" s="48"/>
      <c r="Z9" s="48"/>
      <c r="AA9" s="48"/>
      <c r="AB9" s="267">
        <f>+F6</f>
        <v>2110</v>
      </c>
      <c r="AC9" s="267">
        <f>+G6</f>
        <v>7575</v>
      </c>
      <c r="AD9" s="34">
        <f>+F6-AB9</f>
        <v>0</v>
      </c>
      <c r="AE9" s="34">
        <f>+G6-AC9</f>
        <v>0</v>
      </c>
      <c r="AF9" s="34"/>
      <c r="AG9" s="17" t="s">
        <v>118</v>
      </c>
      <c r="AH9" s="16"/>
      <c r="AI9" s="26"/>
      <c r="AJ9" s="26"/>
      <c r="AK9" s="20"/>
      <c r="AL9" s="35"/>
      <c r="AM9" s="35"/>
      <c r="AN9" s="34"/>
      <c r="AO9" s="53" t="s">
        <v>169</v>
      </c>
      <c r="AP9" s="264">
        <f t="shared" si="3"/>
        <v>600</v>
      </c>
      <c r="AQ9" s="264">
        <f t="shared" si="3"/>
        <v>700</v>
      </c>
      <c r="AR9" s="265">
        <f t="shared" si="4"/>
        <v>100</v>
      </c>
      <c r="AS9" s="60">
        <f t="shared" ca="1" si="0"/>
        <v>20</v>
      </c>
      <c r="AT9" s="55">
        <f t="shared" ca="1" si="1"/>
        <v>0</v>
      </c>
      <c r="AU9" s="55">
        <f t="shared" ca="1" si="5"/>
        <v>80</v>
      </c>
      <c r="AV9" s="1275"/>
      <c r="AW9" s="1276"/>
      <c r="AX9" s="1276"/>
      <c r="AY9" s="1275">
        <f ca="1">+AU9*(1+18%)</f>
        <v>94.399999999999991</v>
      </c>
      <c r="AZ9" s="1276">
        <f ca="1">+AU9-AY9</f>
        <v>-14.399999999999991</v>
      </c>
      <c r="BA9" s="1276"/>
      <c r="BB9" s="1206"/>
      <c r="BC9" s="1266"/>
      <c r="BD9" s="1268"/>
      <c r="BE9" s="1269"/>
      <c r="BF9" s="1270"/>
      <c r="BG9" s="584"/>
      <c r="BH9" s="238">
        <f t="shared" ca="1" si="2"/>
        <v>0</v>
      </c>
      <c r="BI9" s="20"/>
      <c r="BJ9" s="26"/>
      <c r="BK9" s="20"/>
      <c r="BL9" s="20"/>
      <c r="BM9" s="20"/>
      <c r="BN9" s="20"/>
      <c r="BO9" s="20"/>
      <c r="BP9" s="20"/>
      <c r="BQ9" s="20"/>
      <c r="BR9" s="20"/>
      <c r="BS9" s="34"/>
      <c r="BT9" s="20"/>
      <c r="BU9" s="455"/>
      <c r="BV9" s="455"/>
      <c r="BW9" s="455"/>
      <c r="BX9" s="455"/>
      <c r="BY9" s="455"/>
      <c r="BZ9" s="455"/>
      <c r="CA9" s="475"/>
      <c r="CC9" s="455"/>
      <c r="CD9" s="455"/>
      <c r="CE9" s="455"/>
      <c r="CF9" s="455"/>
      <c r="CG9" s="455"/>
      <c r="CH9" s="455"/>
      <c r="CI9" s="475"/>
    </row>
    <row r="10" spans="1:96" x14ac:dyDescent="0.3">
      <c r="A10" s="20"/>
      <c r="B10" s="16" t="s">
        <v>78</v>
      </c>
      <c r="C10" s="16"/>
      <c r="D10" s="16"/>
      <c r="E10" s="16"/>
      <c r="F10" s="24">
        <f>SUM(F6:F9)</f>
        <v>5569.78</v>
      </c>
      <c r="G10" s="24">
        <f>SUM(G6:G9)</f>
        <v>10275</v>
      </c>
      <c r="H10" s="20"/>
      <c r="I10" s="28" t="s">
        <v>174</v>
      </c>
      <c r="J10" s="28"/>
      <c r="K10" s="28"/>
      <c r="L10" s="28"/>
      <c r="M10" s="34">
        <f>-AB34</f>
        <v>-20</v>
      </c>
      <c r="N10" s="20"/>
      <c r="O10" s="16" t="s">
        <v>30</v>
      </c>
      <c r="P10" s="48"/>
      <c r="Q10" s="48"/>
      <c r="R10" s="48"/>
      <c r="S10" s="48">
        <f>+G31</f>
        <v>5000</v>
      </c>
      <c r="T10" s="48">
        <f>+G32</f>
        <v>3000</v>
      </c>
      <c r="U10" s="48">
        <f t="shared" ref="U10:U15" si="6">SUM(S10:T10)</f>
        <v>8000</v>
      </c>
      <c r="V10" s="34"/>
      <c r="W10" s="20" t="s">
        <v>226</v>
      </c>
      <c r="X10" s="34"/>
      <c r="Y10" s="34"/>
      <c r="Z10" s="34"/>
      <c r="AA10" s="34"/>
      <c r="AB10" s="32">
        <f>-F17</f>
        <v>-500</v>
      </c>
      <c r="AC10" s="32">
        <f>-G17</f>
        <v>-300</v>
      </c>
      <c r="AD10" s="34">
        <f>+AB10+F17</f>
        <v>0</v>
      </c>
      <c r="AE10" s="34">
        <f>+AC10+G17</f>
        <v>0</v>
      </c>
      <c r="AF10" s="34"/>
      <c r="AG10" s="20" t="s">
        <v>169</v>
      </c>
      <c r="AH10" s="20"/>
      <c r="AI10" s="20"/>
      <c r="AJ10" s="20"/>
      <c r="AK10" s="20" t="s">
        <v>112</v>
      </c>
      <c r="AL10" s="34">
        <f>AB34</f>
        <v>20</v>
      </c>
      <c r="AM10" s="34"/>
      <c r="AN10" s="34"/>
      <c r="AO10" s="53" t="s">
        <v>1027</v>
      </c>
      <c r="AP10" s="264">
        <f t="shared" si="3"/>
        <v>359.77999999999975</v>
      </c>
      <c r="AQ10" s="264">
        <f t="shared" si="3"/>
        <v>100</v>
      </c>
      <c r="AR10" s="265">
        <f t="shared" ref="AR10" si="7">+AQ10-AP10</f>
        <v>-259.77999999999975</v>
      </c>
      <c r="AS10" s="60">
        <f t="shared" ca="1" si="0"/>
        <v>0</v>
      </c>
      <c r="AT10" s="55">
        <f t="shared" ca="1" si="1"/>
        <v>0</v>
      </c>
      <c r="AU10" s="55">
        <f t="shared" ref="AU10" ca="1" si="8">+AR10+AT10-AS10</f>
        <v>-259.77999999999975</v>
      </c>
      <c r="AV10" s="1275"/>
      <c r="AW10" s="1276"/>
      <c r="AX10" s="1276"/>
      <c r="AY10" s="1275"/>
      <c r="AZ10" s="1276">
        <f ca="1">+AU10</f>
        <v>-259.77999999999975</v>
      </c>
      <c r="BA10" s="1276"/>
      <c r="BB10" s="1206"/>
      <c r="BC10" s="1266"/>
      <c r="BD10" s="1268"/>
      <c r="BE10" s="1269"/>
      <c r="BF10" s="1270"/>
      <c r="BG10" s="584"/>
      <c r="BH10" s="238">
        <f t="shared" ca="1" si="2"/>
        <v>0</v>
      </c>
      <c r="BI10" s="20"/>
      <c r="BJ10" s="26" t="s">
        <v>51</v>
      </c>
      <c r="BK10" s="20"/>
      <c r="BL10" s="20"/>
      <c r="BM10" s="20"/>
      <c r="BN10" s="20"/>
      <c r="BO10" s="20"/>
      <c r="BP10" s="20"/>
      <c r="BQ10" s="20"/>
      <c r="BR10" s="20"/>
      <c r="BS10" s="34"/>
      <c r="BT10" s="20"/>
      <c r="BU10" s="459" t="s">
        <v>402</v>
      </c>
      <c r="BV10" s="459"/>
      <c r="BW10" s="459"/>
      <c r="BX10" s="459"/>
      <c r="BY10" s="459"/>
      <c r="BZ10" s="459"/>
      <c r="CA10" s="475"/>
      <c r="CC10" s="459" t="s">
        <v>402</v>
      </c>
      <c r="CD10" s="459"/>
      <c r="CE10" s="459"/>
      <c r="CF10" s="459"/>
      <c r="CG10" s="459"/>
      <c r="CH10" s="459"/>
      <c r="CI10" s="475"/>
    </row>
    <row r="11" spans="1:96" x14ac:dyDescent="0.3">
      <c r="A11" s="20"/>
      <c r="B11" s="20" t="s">
        <v>172</v>
      </c>
      <c r="C11" s="20"/>
      <c r="D11" s="20"/>
      <c r="E11" s="20"/>
      <c r="F11" s="21">
        <v>2600</v>
      </c>
      <c r="G11" s="21">
        <v>3000</v>
      </c>
      <c r="H11" s="20"/>
      <c r="I11" s="28" t="s">
        <v>518</v>
      </c>
      <c r="J11" s="28"/>
      <c r="K11" s="28"/>
      <c r="L11" s="28"/>
      <c r="M11" s="32">
        <f>-AC80</f>
        <v>-5000</v>
      </c>
      <c r="N11" s="20"/>
      <c r="O11" s="20" t="s">
        <v>16</v>
      </c>
      <c r="P11" s="34"/>
      <c r="Q11" s="34"/>
      <c r="R11" s="34"/>
      <c r="S11" s="34">
        <v>0</v>
      </c>
      <c r="T11" s="34">
        <f>+M31</f>
        <v>1859.6155950650564</v>
      </c>
      <c r="U11" s="34">
        <f t="shared" si="6"/>
        <v>1859.6155950650564</v>
      </c>
      <c r="V11" s="34"/>
      <c r="W11" s="16" t="s">
        <v>227</v>
      </c>
      <c r="X11" s="48"/>
      <c r="Y11" s="48"/>
      <c r="Z11" s="48"/>
      <c r="AA11" s="48"/>
      <c r="AB11" s="49">
        <f>+AB9+AB10</f>
        <v>1610</v>
      </c>
      <c r="AC11" s="49">
        <f>+AC9+AC10</f>
        <v>7275</v>
      </c>
      <c r="AD11" s="34"/>
      <c r="AE11" s="34"/>
      <c r="AF11" s="34"/>
      <c r="AG11" s="20" t="s">
        <v>174</v>
      </c>
      <c r="AH11" s="20"/>
      <c r="AI11" s="20"/>
      <c r="AJ11" s="20"/>
      <c r="AK11" s="20" t="s">
        <v>113</v>
      </c>
      <c r="AL11" s="34"/>
      <c r="AM11" s="34">
        <f>+AL10</f>
        <v>20</v>
      </c>
      <c r="AN11" s="34"/>
      <c r="AO11" s="53" t="s">
        <v>172</v>
      </c>
      <c r="AP11" s="264">
        <f>+F11</f>
        <v>2600</v>
      </c>
      <c r="AQ11" s="264">
        <f>+G11</f>
        <v>3000</v>
      </c>
      <c r="AR11" s="265">
        <f t="shared" ref="AR11:AR16" si="9">+AQ11-AP11</f>
        <v>400</v>
      </c>
      <c r="AS11" s="60">
        <f t="shared" ca="1" si="0"/>
        <v>0</v>
      </c>
      <c r="AT11" s="55">
        <f t="shared" ca="1" si="1"/>
        <v>2500</v>
      </c>
      <c r="AU11" s="55">
        <f t="shared" ref="AU11:AU23" ca="1" si="10">+AR11+AT11-AS11</f>
        <v>2900</v>
      </c>
      <c r="AV11" s="1275"/>
      <c r="AW11" s="1276"/>
      <c r="AX11" s="1276"/>
      <c r="AY11" s="1275"/>
      <c r="AZ11" s="1276"/>
      <c r="BA11" s="1276"/>
      <c r="BB11" s="1206"/>
      <c r="BC11" s="1266">
        <f ca="1">+AU11</f>
        <v>2900</v>
      </c>
      <c r="BD11" s="1268"/>
      <c r="BE11" s="1269"/>
      <c r="BF11" s="1270"/>
      <c r="BG11" s="584"/>
      <c r="BH11" s="238">
        <f t="shared" ca="1" si="2"/>
        <v>0</v>
      </c>
      <c r="BI11" s="20"/>
      <c r="BJ11" s="20" t="s">
        <v>135</v>
      </c>
      <c r="BK11" s="20"/>
      <c r="BL11" s="20"/>
      <c r="BM11" s="20"/>
      <c r="BN11" s="20"/>
      <c r="BO11" s="20"/>
      <c r="BP11" s="20"/>
      <c r="BQ11" s="20"/>
      <c r="BR11" s="20"/>
      <c r="BS11" s="34">
        <f ca="1">+AV47</f>
        <v>29965</v>
      </c>
      <c r="BT11" s="20"/>
      <c r="BU11" s="1286" t="s">
        <v>1019</v>
      </c>
      <c r="BV11" s="1287"/>
      <c r="BW11" s="1287"/>
      <c r="BX11" s="1287"/>
      <c r="BY11" s="1287"/>
      <c r="BZ11" s="1287"/>
      <c r="CA11" s="475"/>
      <c r="CC11" s="1286" t="s">
        <v>1019</v>
      </c>
      <c r="CD11" s="1287"/>
      <c r="CE11" s="1287"/>
      <c r="CF11" s="1287"/>
      <c r="CG11" s="1287"/>
      <c r="CH11" s="1287"/>
      <c r="CI11" s="475"/>
    </row>
    <row r="12" spans="1:96" x14ac:dyDescent="0.3">
      <c r="A12" s="20"/>
      <c r="B12" s="20" t="s">
        <v>1017</v>
      </c>
      <c r="C12" s="20"/>
      <c r="D12" s="20"/>
      <c r="E12" s="20"/>
      <c r="F12" s="21">
        <f>+AC77</f>
        <v>10000</v>
      </c>
      <c r="G12" s="21">
        <f>+AA77</f>
        <v>7000</v>
      </c>
      <c r="H12" s="20"/>
      <c r="I12" s="16" t="s">
        <v>13</v>
      </c>
      <c r="J12" s="16"/>
      <c r="K12" s="16"/>
      <c r="L12" s="16"/>
      <c r="M12" s="24">
        <f>SUM(M7:M11)</f>
        <v>6414</v>
      </c>
      <c r="N12" s="20"/>
      <c r="O12" s="20" t="s">
        <v>116</v>
      </c>
      <c r="P12" s="34"/>
      <c r="Q12" s="34"/>
      <c r="R12" s="34"/>
      <c r="S12" s="34">
        <v>100</v>
      </c>
      <c r="T12" s="34">
        <f>-S12</f>
        <v>-100</v>
      </c>
      <c r="U12" s="34">
        <f t="shared" si="6"/>
        <v>0</v>
      </c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17" t="s">
        <v>119</v>
      </c>
      <c r="AH12" s="16"/>
      <c r="AI12" s="26"/>
      <c r="AJ12" s="26"/>
      <c r="AK12" s="20"/>
      <c r="AL12" s="34"/>
      <c r="AM12" s="34"/>
      <c r="AN12" s="34"/>
      <c r="AO12" s="53" t="s">
        <v>171</v>
      </c>
      <c r="AP12" s="264">
        <f>+F13</f>
        <v>880</v>
      </c>
      <c r="AQ12" s="264">
        <f>+G13</f>
        <v>1000</v>
      </c>
      <c r="AR12" s="265">
        <f t="shared" si="9"/>
        <v>120</v>
      </c>
      <c r="AS12" s="60">
        <f t="shared" ca="1" si="0"/>
        <v>120</v>
      </c>
      <c r="AT12" s="55">
        <f t="shared" ca="1" si="1"/>
        <v>0</v>
      </c>
      <c r="AU12" s="55">
        <f t="shared" ca="1" si="10"/>
        <v>0</v>
      </c>
      <c r="AV12" s="1275"/>
      <c r="AW12" s="1276"/>
      <c r="AX12" s="1276"/>
      <c r="AY12" s="1275"/>
      <c r="AZ12" s="1276"/>
      <c r="BA12" s="1276"/>
      <c r="BB12" s="1206"/>
      <c r="BC12" s="1266"/>
      <c r="BD12" s="1268"/>
      <c r="BE12" s="1269"/>
      <c r="BF12" s="1270"/>
      <c r="BG12" s="584"/>
      <c r="BH12" s="238">
        <f t="shared" ca="1" si="2"/>
        <v>0</v>
      </c>
      <c r="BI12" s="20"/>
      <c r="BJ12" s="20" t="s">
        <v>136</v>
      </c>
      <c r="BK12" s="20"/>
      <c r="BL12" s="20"/>
      <c r="BM12" s="20"/>
      <c r="BN12" s="20"/>
      <c r="BO12" s="20"/>
      <c r="BP12" s="20"/>
      <c r="BQ12" s="20"/>
      <c r="BR12" s="20"/>
      <c r="BS12" s="34">
        <f ca="1">+AW47</f>
        <v>-2600</v>
      </c>
      <c r="BU12" s="1284" t="s">
        <v>92</v>
      </c>
      <c r="BV12" s="1287"/>
      <c r="BW12" s="1287"/>
      <c r="BX12" s="1287"/>
      <c r="BY12" s="1287"/>
      <c r="BZ12" s="1287"/>
      <c r="CA12" s="475">
        <f t="shared" ref="CA12:CA18" si="11">+AM39</f>
        <v>150</v>
      </c>
      <c r="CC12" s="1284" t="s">
        <v>92</v>
      </c>
      <c r="CD12" s="1287"/>
      <c r="CE12" s="1287"/>
      <c r="CF12" s="1287"/>
      <c r="CG12" s="1287"/>
      <c r="CH12" s="1287"/>
      <c r="CI12" s="475">
        <f>+CA12</f>
        <v>150</v>
      </c>
    </row>
    <row r="13" spans="1:96" x14ac:dyDescent="0.3">
      <c r="A13" s="20"/>
      <c r="B13" s="20" t="s">
        <v>171</v>
      </c>
      <c r="C13" s="20"/>
      <c r="D13" s="20"/>
      <c r="E13" s="20"/>
      <c r="F13" s="21">
        <f>+AC70</f>
        <v>880</v>
      </c>
      <c r="G13" s="21">
        <f>+AA70</f>
        <v>1000</v>
      </c>
      <c r="H13" s="20"/>
      <c r="I13" s="20" t="s">
        <v>176</v>
      </c>
      <c r="J13" s="20"/>
      <c r="K13" s="20"/>
      <c r="L13" s="20"/>
      <c r="M13" s="21">
        <f>+AC61</f>
        <v>2500</v>
      </c>
      <c r="N13" s="20"/>
      <c r="O13" s="20" t="s">
        <v>179</v>
      </c>
      <c r="P13" s="34"/>
      <c r="Q13" s="34"/>
      <c r="R13" s="34"/>
      <c r="S13" s="34">
        <v>600</v>
      </c>
      <c r="T13" s="34">
        <v>0</v>
      </c>
      <c r="U13" s="34">
        <f t="shared" si="6"/>
        <v>600</v>
      </c>
      <c r="V13" s="34"/>
      <c r="W13" s="26" t="s">
        <v>90</v>
      </c>
      <c r="X13" s="26"/>
      <c r="Y13" s="34"/>
      <c r="Z13" s="34"/>
      <c r="AA13" s="34"/>
      <c r="AB13" s="35">
        <v>2020</v>
      </c>
      <c r="AC13" s="35">
        <v>2019</v>
      </c>
      <c r="AD13" s="34"/>
      <c r="AE13" s="34"/>
      <c r="AF13" s="34"/>
      <c r="AG13" s="20" t="s">
        <v>176</v>
      </c>
      <c r="AH13" s="20"/>
      <c r="AI13" s="20"/>
      <c r="AJ13" s="20"/>
      <c r="AK13" s="20" t="s">
        <v>113</v>
      </c>
      <c r="AL13" s="75">
        <f>+AM14</f>
        <v>2500</v>
      </c>
      <c r="AM13" s="20"/>
      <c r="AN13" s="34"/>
      <c r="AO13" s="53" t="s">
        <v>170</v>
      </c>
      <c r="AP13" s="264">
        <f>+F12</f>
        <v>10000</v>
      </c>
      <c r="AQ13" s="264">
        <f>+G12</f>
        <v>7000</v>
      </c>
      <c r="AR13" s="265">
        <f t="shared" si="9"/>
        <v>-3000</v>
      </c>
      <c r="AS13" s="60">
        <f t="shared" ca="1" si="0"/>
        <v>5200</v>
      </c>
      <c r="AT13" s="55">
        <f t="shared" ca="1" si="1"/>
        <v>600</v>
      </c>
      <c r="AU13" s="55">
        <f t="shared" ca="1" si="10"/>
        <v>-7600</v>
      </c>
      <c r="AV13" s="1275"/>
      <c r="AW13" s="1276"/>
      <c r="AX13" s="1276"/>
      <c r="AY13" s="1275"/>
      <c r="AZ13" s="1276"/>
      <c r="BA13" s="1276"/>
      <c r="BB13" s="1206">
        <f ca="1">+AU13</f>
        <v>-7600</v>
      </c>
      <c r="BC13" s="1266"/>
      <c r="BD13" s="1268"/>
      <c r="BE13" s="1269"/>
      <c r="BF13" s="1270"/>
      <c r="BG13" s="584"/>
      <c r="BH13" s="238">
        <f t="shared" ca="1" si="2"/>
        <v>0</v>
      </c>
      <c r="BI13" s="20"/>
      <c r="BJ13" s="20" t="s">
        <v>137</v>
      </c>
      <c r="BK13" s="20"/>
      <c r="BL13" s="20"/>
      <c r="BM13" s="20"/>
      <c r="BN13" s="20"/>
      <c r="BO13" s="20"/>
      <c r="BP13" s="20"/>
      <c r="BQ13" s="20"/>
      <c r="BR13" s="20"/>
      <c r="BS13" s="34">
        <f ca="1">+AX47</f>
        <v>-650</v>
      </c>
      <c r="BT13" s="20"/>
      <c r="BU13" s="1284" t="s">
        <v>174</v>
      </c>
      <c r="BV13" s="1287"/>
      <c r="BW13" s="1287"/>
      <c r="BX13" s="1287"/>
      <c r="BY13" s="1287"/>
      <c r="BZ13" s="1287"/>
      <c r="CA13" s="475">
        <f t="shared" si="11"/>
        <v>20</v>
      </c>
      <c r="CC13" s="1284" t="s">
        <v>174</v>
      </c>
      <c r="CD13" s="1287"/>
      <c r="CE13" s="1287"/>
      <c r="CF13" s="1287"/>
      <c r="CG13" s="1287"/>
      <c r="CH13" s="1287"/>
      <c r="CI13" s="475">
        <f t="shared" ref="CI13:CI18" si="12">+CA13</f>
        <v>20</v>
      </c>
    </row>
    <row r="14" spans="1:96" x14ac:dyDescent="0.3">
      <c r="A14" s="20"/>
      <c r="B14" s="20" t="s">
        <v>114</v>
      </c>
      <c r="C14" s="20"/>
      <c r="D14" s="20"/>
      <c r="E14" s="20"/>
      <c r="F14" s="21">
        <f>+AC90</f>
        <v>105</v>
      </c>
      <c r="G14" s="21">
        <f>+AC88</f>
        <v>54</v>
      </c>
      <c r="H14" s="20"/>
      <c r="I14" s="20" t="s">
        <v>86</v>
      </c>
      <c r="J14" s="20"/>
      <c r="K14" s="20"/>
      <c r="L14" s="20"/>
      <c r="M14" s="21"/>
      <c r="N14" s="20"/>
      <c r="O14" s="20" t="s">
        <v>180</v>
      </c>
      <c r="P14" s="34"/>
      <c r="Q14" s="34"/>
      <c r="R14" s="34"/>
      <c r="S14" s="34">
        <v>1300</v>
      </c>
      <c r="T14" s="34">
        <v>0</v>
      </c>
      <c r="U14" s="34">
        <f t="shared" si="6"/>
        <v>1300</v>
      </c>
      <c r="V14" s="34"/>
      <c r="W14" s="34"/>
      <c r="X14" s="34"/>
      <c r="Y14" s="34"/>
      <c r="Z14" s="34"/>
      <c r="AA14" s="34"/>
      <c r="AB14" s="35" t="s">
        <v>387</v>
      </c>
      <c r="AC14" s="35" t="s">
        <v>387</v>
      </c>
      <c r="AD14" s="34"/>
      <c r="AE14" s="34"/>
      <c r="AF14" s="34"/>
      <c r="AG14" s="20" t="s">
        <v>172</v>
      </c>
      <c r="AH14" s="20"/>
      <c r="AI14" s="20"/>
      <c r="AJ14" s="20"/>
      <c r="AK14" s="20" t="s">
        <v>112</v>
      </c>
      <c r="AL14" s="34"/>
      <c r="AM14" s="34">
        <f>AC61</f>
        <v>2500</v>
      </c>
      <c r="AN14" s="34"/>
      <c r="AO14" s="53" t="s">
        <v>114</v>
      </c>
      <c r="AP14" s="264">
        <f>+F14</f>
        <v>105</v>
      </c>
      <c r="AQ14" s="264">
        <f>+G14</f>
        <v>54</v>
      </c>
      <c r="AR14" s="265">
        <f t="shared" si="9"/>
        <v>-51</v>
      </c>
      <c r="AS14" s="60">
        <f t="shared" ca="1" si="0"/>
        <v>0</v>
      </c>
      <c r="AT14" s="55">
        <f t="shared" ca="1" si="1"/>
        <v>51</v>
      </c>
      <c r="AU14" s="55">
        <f t="shared" ca="1" si="10"/>
        <v>0</v>
      </c>
      <c r="AV14" s="1275"/>
      <c r="AW14" s="1276"/>
      <c r="AX14" s="1276"/>
      <c r="AY14" s="1275"/>
      <c r="AZ14" s="1276"/>
      <c r="BA14" s="1276"/>
      <c r="BB14" s="1206"/>
      <c r="BC14" s="1266"/>
      <c r="BD14" s="1268"/>
      <c r="BE14" s="1269"/>
      <c r="BF14" s="1270"/>
      <c r="BG14" s="584"/>
      <c r="BH14" s="238">
        <f t="shared" ca="1" si="2"/>
        <v>0</v>
      </c>
      <c r="BI14" s="20"/>
      <c r="BJ14" s="20" t="s">
        <v>138</v>
      </c>
      <c r="BK14" s="20"/>
      <c r="BL14" s="20"/>
      <c r="BM14" s="20"/>
      <c r="BN14" s="20"/>
      <c r="BO14" s="20"/>
      <c r="BP14" s="20"/>
      <c r="BQ14" s="20"/>
      <c r="BR14" s="20"/>
      <c r="BS14" s="34">
        <f ca="1">+AY47</f>
        <v>-24706.780000000002</v>
      </c>
      <c r="BT14" s="20"/>
      <c r="BU14" s="1284" t="s">
        <v>176</v>
      </c>
      <c r="BV14" s="1286"/>
      <c r="BW14" s="1286"/>
      <c r="BX14" s="1286"/>
      <c r="BY14" s="1286"/>
      <c r="BZ14" s="1286"/>
      <c r="CA14" s="475">
        <f t="shared" si="11"/>
        <v>-2500</v>
      </c>
      <c r="CC14" s="1284" t="s">
        <v>176</v>
      </c>
      <c r="CD14" s="1286"/>
      <c r="CE14" s="1286"/>
      <c r="CF14" s="1286"/>
      <c r="CG14" s="1286"/>
      <c r="CH14" s="1286"/>
      <c r="CI14" s="475">
        <f t="shared" si="12"/>
        <v>-2500</v>
      </c>
    </row>
    <row r="15" spans="1:96" x14ac:dyDescent="0.3">
      <c r="A15" s="20"/>
      <c r="B15" s="16" t="s">
        <v>75</v>
      </c>
      <c r="C15" s="16"/>
      <c r="D15" s="16"/>
      <c r="E15" s="16"/>
      <c r="F15" s="25">
        <f>SUM(F10:F14)</f>
        <v>19154.78</v>
      </c>
      <c r="G15" s="25">
        <f>SUM(G10:G14)</f>
        <v>21329</v>
      </c>
      <c r="H15" s="20"/>
      <c r="I15" s="28" t="s">
        <v>11</v>
      </c>
      <c r="J15" s="28"/>
      <c r="K15" s="28"/>
      <c r="L15" s="28"/>
      <c r="M15" s="34">
        <v>-300</v>
      </c>
      <c r="N15" s="20"/>
      <c r="O15" s="20" t="s">
        <v>100</v>
      </c>
      <c r="P15" s="34"/>
      <c r="Q15" s="34"/>
      <c r="R15" s="34"/>
      <c r="S15" s="32">
        <v>0</v>
      </c>
      <c r="T15" s="32">
        <v>-230</v>
      </c>
      <c r="U15" s="32">
        <f t="shared" si="6"/>
        <v>-230</v>
      </c>
      <c r="V15" s="34"/>
      <c r="W15" s="20" t="s">
        <v>91</v>
      </c>
      <c r="X15" s="20"/>
      <c r="Y15" s="34"/>
      <c r="Z15" s="34"/>
      <c r="AA15" s="34"/>
      <c r="AB15" s="34">
        <f>+AB17-AB16</f>
        <v>2750</v>
      </c>
      <c r="AC15" s="34">
        <f>+AC17-AC16</f>
        <v>2000</v>
      </c>
      <c r="AD15" s="34"/>
      <c r="AE15" s="34"/>
      <c r="AF15" s="34"/>
      <c r="AG15" s="17" t="s">
        <v>120</v>
      </c>
      <c r="AH15" s="16"/>
      <c r="AI15" s="26"/>
      <c r="AJ15" s="26"/>
      <c r="AK15" s="20"/>
      <c r="AL15" s="34"/>
      <c r="AM15" s="34"/>
      <c r="AN15" s="37"/>
      <c r="AO15" s="53" t="s">
        <v>4</v>
      </c>
      <c r="AP15" s="250">
        <f>-F18</f>
        <v>-700</v>
      </c>
      <c r="AQ15" s="250">
        <f>-G18</f>
        <v>-800</v>
      </c>
      <c r="AR15" s="265">
        <f t="shared" si="9"/>
        <v>-100</v>
      </c>
      <c r="AS15" s="60">
        <f t="shared" ca="1" si="0"/>
        <v>0</v>
      </c>
      <c r="AT15" s="55">
        <f t="shared" ca="1" si="1"/>
        <v>0</v>
      </c>
      <c r="AU15" s="55">
        <f t="shared" ca="1" si="10"/>
        <v>-100</v>
      </c>
      <c r="AV15" s="1275"/>
      <c r="AW15" s="1276"/>
      <c r="AX15" s="1276"/>
      <c r="AY15" s="1275">
        <f ca="1">+AU15</f>
        <v>-100</v>
      </c>
      <c r="AZ15" s="1276"/>
      <c r="BA15" s="1276"/>
      <c r="BB15" s="1206"/>
      <c r="BC15" s="1266"/>
      <c r="BD15" s="1268"/>
      <c r="BE15" s="1269"/>
      <c r="BF15" s="1270"/>
      <c r="BG15" s="584"/>
      <c r="BH15" s="238">
        <f t="shared" ca="1" si="2"/>
        <v>0</v>
      </c>
      <c r="BI15" s="20"/>
      <c r="BJ15" s="20" t="s">
        <v>1116</v>
      </c>
      <c r="BK15" s="20"/>
      <c r="BL15" s="20"/>
      <c r="BM15" s="20"/>
      <c r="BN15" s="20"/>
      <c r="BO15" s="20"/>
      <c r="BP15" s="20"/>
      <c r="BQ15" s="20"/>
      <c r="BR15" s="20"/>
      <c r="BS15" s="34">
        <f ca="1">+AZ47</f>
        <v>3506</v>
      </c>
      <c r="BT15" s="20"/>
      <c r="BU15" s="1284" t="s">
        <v>1018</v>
      </c>
      <c r="BV15" s="1286"/>
      <c r="BW15" s="1286"/>
      <c r="BX15" s="1286"/>
      <c r="BY15" s="1286"/>
      <c r="BZ15" s="1286"/>
      <c r="CA15" s="475">
        <f t="shared" si="11"/>
        <v>120</v>
      </c>
      <c r="CC15" s="1284"/>
      <c r="CD15" s="1286"/>
      <c r="CE15" s="1286"/>
      <c r="CF15" s="1286"/>
      <c r="CG15" s="1286"/>
      <c r="CH15" s="1286"/>
      <c r="CI15" s="475"/>
    </row>
    <row r="16" spans="1:96" x14ac:dyDescent="0.3">
      <c r="A16" s="20"/>
      <c r="B16" s="26" t="s">
        <v>79</v>
      </c>
      <c r="C16" s="26"/>
      <c r="D16" s="26"/>
      <c r="E16" s="26"/>
      <c r="F16" s="27"/>
      <c r="G16" s="27"/>
      <c r="H16" s="20"/>
      <c r="I16" s="28" t="s">
        <v>87</v>
      </c>
      <c r="J16" s="28"/>
      <c r="K16" s="28"/>
      <c r="L16" s="28"/>
      <c r="M16" s="34">
        <v>-400</v>
      </c>
      <c r="N16" s="20"/>
      <c r="O16" s="16" t="s">
        <v>32</v>
      </c>
      <c r="P16" s="48"/>
      <c r="Q16" s="48"/>
      <c r="R16" s="48"/>
      <c r="S16" s="269">
        <f>SUM(S10:S15)</f>
        <v>7000</v>
      </c>
      <c r="T16" s="49">
        <f>SUM(T10:T15)</f>
        <v>4529.6155950650564</v>
      </c>
      <c r="U16" s="269">
        <f>SUM(U10:U15)</f>
        <v>11529.615595065057</v>
      </c>
      <c r="V16" s="34"/>
      <c r="W16" s="20" t="s">
        <v>92</v>
      </c>
      <c r="X16" s="20"/>
      <c r="Y16" s="34"/>
      <c r="Z16" s="34"/>
      <c r="AA16" s="34"/>
      <c r="AB16" s="32">
        <v>-250</v>
      </c>
      <c r="AC16" s="32">
        <v>-100</v>
      </c>
      <c r="AD16" s="34"/>
      <c r="AE16" s="34"/>
      <c r="AF16" s="34"/>
      <c r="AG16" s="20" t="s">
        <v>171</v>
      </c>
      <c r="AH16" s="20"/>
      <c r="AI16" s="20"/>
      <c r="AJ16" s="20"/>
      <c r="AK16" s="20" t="s">
        <v>112</v>
      </c>
      <c r="AL16" s="75">
        <f>-AB69</f>
        <v>120</v>
      </c>
      <c r="AM16" s="20"/>
      <c r="AN16" s="34"/>
      <c r="AO16" s="53" t="s">
        <v>23</v>
      </c>
      <c r="AP16" s="250">
        <f>-F19</f>
        <v>-650</v>
      </c>
      <c r="AQ16" s="250">
        <f>-G19</f>
        <v>-400</v>
      </c>
      <c r="AR16" s="265">
        <f t="shared" si="9"/>
        <v>250</v>
      </c>
      <c r="AS16" s="60">
        <f t="shared" ca="1" si="0"/>
        <v>0</v>
      </c>
      <c r="AT16" s="55">
        <f t="shared" ca="1" si="1"/>
        <v>0</v>
      </c>
      <c r="AU16" s="55">
        <f t="shared" ca="1" si="10"/>
        <v>250</v>
      </c>
      <c r="AV16" s="1275"/>
      <c r="AW16" s="1276"/>
      <c r="AX16" s="1276">
        <f ca="1">+AU16</f>
        <v>250</v>
      </c>
      <c r="AY16" s="1275"/>
      <c r="AZ16" s="1276"/>
      <c r="BA16" s="1276"/>
      <c r="BB16" s="1206"/>
      <c r="BC16" s="1266"/>
      <c r="BD16" s="1268"/>
      <c r="BE16" s="1269"/>
      <c r="BF16" s="1270"/>
      <c r="BG16" s="584"/>
      <c r="BH16" s="238">
        <f t="shared" ca="1" si="2"/>
        <v>0</v>
      </c>
      <c r="BI16" s="20"/>
      <c r="BJ16" s="20" t="s">
        <v>429</v>
      </c>
      <c r="BK16" s="20"/>
      <c r="BL16" s="20"/>
      <c r="BM16" s="20"/>
      <c r="BN16" s="20"/>
      <c r="BO16" s="20"/>
      <c r="BP16" s="20"/>
      <c r="BQ16" s="20"/>
      <c r="BR16" s="20"/>
      <c r="BS16" s="34">
        <f ca="1">+BA47</f>
        <v>-950</v>
      </c>
      <c r="BT16" s="20"/>
      <c r="BU16" s="1284" t="s">
        <v>1002</v>
      </c>
      <c r="BV16" s="1286"/>
      <c r="BW16" s="1286"/>
      <c r="BX16" s="1286"/>
      <c r="BY16" s="1286"/>
      <c r="BZ16" s="1286"/>
      <c r="CA16" s="475">
        <f t="shared" si="11"/>
        <v>5200</v>
      </c>
      <c r="CC16" s="1284"/>
      <c r="CD16" s="1286"/>
      <c r="CE16" s="1286"/>
      <c r="CF16" s="1286"/>
      <c r="CG16" s="1286"/>
      <c r="CH16" s="1286"/>
      <c r="CI16" s="475"/>
    </row>
    <row r="17" spans="1:87" x14ac:dyDescent="0.3">
      <c r="A17" s="20"/>
      <c r="B17" s="20" t="s">
        <v>163</v>
      </c>
      <c r="C17" s="20"/>
      <c r="D17" s="20"/>
      <c r="E17" s="20"/>
      <c r="F17" s="21">
        <v>500</v>
      </c>
      <c r="G17" s="21">
        <v>300</v>
      </c>
      <c r="H17" s="20"/>
      <c r="I17" s="28" t="s">
        <v>177</v>
      </c>
      <c r="J17" s="28"/>
      <c r="K17" s="28"/>
      <c r="L17" s="28"/>
      <c r="M17" s="34">
        <f>-(+AC96+AC97)</f>
        <v>-750</v>
      </c>
      <c r="N17" s="20"/>
      <c r="O17" s="34"/>
      <c r="P17" s="34"/>
      <c r="Q17" s="34"/>
      <c r="R17" s="34"/>
      <c r="S17" s="34"/>
      <c r="T17" s="34"/>
      <c r="U17" s="34"/>
      <c r="V17" s="34"/>
      <c r="W17" s="20"/>
      <c r="X17" s="20"/>
      <c r="Y17" s="34"/>
      <c r="Z17" s="34"/>
      <c r="AA17" s="34"/>
      <c r="AB17" s="49">
        <f>+F7</f>
        <v>2500</v>
      </c>
      <c r="AC17" s="49">
        <f>+G7</f>
        <v>1900</v>
      </c>
      <c r="AD17" s="34">
        <f>+F7-AB17</f>
        <v>0</v>
      </c>
      <c r="AE17" s="34">
        <f>+G7-AC17</f>
        <v>0</v>
      </c>
      <c r="AF17" s="34"/>
      <c r="AG17" s="20" t="s">
        <v>178</v>
      </c>
      <c r="AH17" s="20"/>
      <c r="AI17" s="20"/>
      <c r="AJ17" s="20"/>
      <c r="AK17" s="20" t="s">
        <v>113</v>
      </c>
      <c r="AL17" s="26"/>
      <c r="AM17" s="34">
        <f>+AL16</f>
        <v>120</v>
      </c>
      <c r="AN17" s="34"/>
      <c r="AO17" s="53" t="s">
        <v>53</v>
      </c>
      <c r="AP17" s="250"/>
      <c r="AQ17" s="250"/>
      <c r="AR17" s="265"/>
      <c r="AS17" s="60">
        <f t="shared" ca="1" si="0"/>
        <v>0</v>
      </c>
      <c r="AT17" s="55">
        <f t="shared" ca="1" si="1"/>
        <v>0</v>
      </c>
      <c r="AU17" s="55">
        <f t="shared" ca="1" si="10"/>
        <v>0</v>
      </c>
      <c r="AV17" s="1275"/>
      <c r="AW17" s="1276"/>
      <c r="AX17" s="1276"/>
      <c r="AY17" s="1275"/>
      <c r="AZ17" s="1276"/>
      <c r="BA17" s="1276"/>
      <c r="BB17" s="1206"/>
      <c r="BC17" s="1266"/>
      <c r="BD17" s="1268"/>
      <c r="BE17" s="1269"/>
      <c r="BF17" s="1270"/>
      <c r="BG17" s="584"/>
      <c r="BH17" s="238">
        <f t="shared" ca="1" si="2"/>
        <v>0</v>
      </c>
      <c r="BI17" s="20"/>
      <c r="BJ17" s="16" t="s">
        <v>1097</v>
      </c>
      <c r="BK17" s="17"/>
      <c r="BL17" s="17"/>
      <c r="BM17" s="17"/>
      <c r="BN17" s="17"/>
      <c r="BO17" s="17"/>
      <c r="BP17" s="17"/>
      <c r="BQ17" s="17"/>
      <c r="BR17" s="17"/>
      <c r="BS17" s="48"/>
      <c r="BT17" s="20"/>
      <c r="BU17" s="1284" t="s">
        <v>150</v>
      </c>
      <c r="BV17" s="1286"/>
      <c r="BW17" s="1286"/>
      <c r="BX17" s="1286"/>
      <c r="BY17" s="1286"/>
      <c r="BZ17" s="1286"/>
      <c r="CA17" s="475">
        <f t="shared" si="11"/>
        <v>-51</v>
      </c>
      <c r="CC17" s="1284"/>
      <c r="CD17" s="1286"/>
      <c r="CE17" s="1286"/>
      <c r="CF17" s="1286"/>
      <c r="CG17" s="1286"/>
      <c r="CH17" s="1286"/>
      <c r="CI17" s="475"/>
    </row>
    <row r="18" spans="1:87" x14ac:dyDescent="0.3">
      <c r="A18" s="20"/>
      <c r="B18" s="20" t="s">
        <v>4</v>
      </c>
      <c r="C18" s="20"/>
      <c r="D18" s="20"/>
      <c r="E18" s="20"/>
      <c r="F18" s="21">
        <v>700</v>
      </c>
      <c r="G18" s="21">
        <v>800</v>
      </c>
      <c r="H18" s="20"/>
      <c r="I18" s="28" t="s">
        <v>216</v>
      </c>
      <c r="J18" s="28"/>
      <c r="K18" s="28"/>
      <c r="L18" s="28"/>
      <c r="M18" s="34">
        <v>-100</v>
      </c>
      <c r="N18" s="20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17" t="s">
        <v>208</v>
      </c>
      <c r="AH18" s="16"/>
      <c r="AI18" s="26"/>
      <c r="AJ18" s="26"/>
      <c r="AK18" s="20"/>
      <c r="AL18" s="26"/>
      <c r="AM18" s="34"/>
      <c r="AN18" s="34"/>
      <c r="AO18" s="56" t="s">
        <v>5</v>
      </c>
      <c r="AP18" s="250">
        <f t="shared" ref="AP18:AQ22" si="13">-F21</f>
        <v>-200</v>
      </c>
      <c r="AQ18" s="250">
        <f t="shared" si="13"/>
        <v>-300</v>
      </c>
      <c r="AR18" s="265">
        <f t="shared" ref="AR18:AR23" si="14">+AQ18-AP18</f>
        <v>-100</v>
      </c>
      <c r="AS18" s="60">
        <f t="shared" ca="1" si="0"/>
        <v>0</v>
      </c>
      <c r="AT18" s="55">
        <f t="shared" ca="1" si="1"/>
        <v>0</v>
      </c>
      <c r="AU18" s="55">
        <f t="shared" ca="1" si="10"/>
        <v>-100</v>
      </c>
      <c r="AV18" s="1275"/>
      <c r="AW18" s="1276">
        <f ca="1">+AU18</f>
        <v>-100</v>
      </c>
      <c r="AX18" s="1276"/>
      <c r="AY18" s="1275"/>
      <c r="AZ18" s="1276"/>
      <c r="BA18" s="1276"/>
      <c r="BB18" s="1206"/>
      <c r="BC18" s="1266"/>
      <c r="BD18" s="1268"/>
      <c r="BE18" s="1269"/>
      <c r="BF18" s="1270"/>
      <c r="BG18" s="584"/>
      <c r="BH18" s="238">
        <f t="shared" ca="1" si="2"/>
        <v>0</v>
      </c>
      <c r="BI18" s="20"/>
      <c r="BJ18" s="16" t="s">
        <v>367</v>
      </c>
      <c r="BK18" s="17"/>
      <c r="BL18" s="17"/>
      <c r="BM18" s="17"/>
      <c r="BN18" s="17"/>
      <c r="BO18" s="17"/>
      <c r="BP18" s="17"/>
      <c r="BQ18" s="17"/>
      <c r="BR18" s="17"/>
      <c r="BS18" s="48">
        <f ca="1">SUM(BS11:BS16)</f>
        <v>4564.2199999999975</v>
      </c>
      <c r="BT18" s="20"/>
      <c r="BU18" s="1284" t="s">
        <v>177</v>
      </c>
      <c r="BV18" s="1286"/>
      <c r="BW18" s="1286"/>
      <c r="BX18" s="1286"/>
      <c r="BY18" s="1286"/>
      <c r="BZ18" s="1286"/>
      <c r="CA18" s="475">
        <f t="shared" si="11"/>
        <v>750</v>
      </c>
      <c r="CC18" s="1284" t="s">
        <v>177</v>
      </c>
      <c r="CD18" s="1286"/>
      <c r="CE18" s="1286"/>
      <c r="CF18" s="1286"/>
      <c r="CG18" s="1286"/>
      <c r="CH18" s="1286"/>
      <c r="CI18" s="475">
        <f t="shared" si="12"/>
        <v>750</v>
      </c>
    </row>
    <row r="19" spans="1:87" x14ac:dyDescent="0.3">
      <c r="A19" s="20"/>
      <c r="B19" s="20" t="s">
        <v>23</v>
      </c>
      <c r="C19" s="20"/>
      <c r="D19" s="20"/>
      <c r="E19" s="20"/>
      <c r="F19" s="21">
        <v>650</v>
      </c>
      <c r="G19" s="21">
        <v>400</v>
      </c>
      <c r="H19" s="20"/>
      <c r="I19" s="20" t="s">
        <v>85</v>
      </c>
      <c r="J19" s="20"/>
      <c r="K19" s="20"/>
      <c r="L19" s="20"/>
      <c r="M19" s="21"/>
      <c r="N19" s="20"/>
      <c r="O19" s="34"/>
      <c r="P19" s="34"/>
      <c r="Q19" s="34"/>
      <c r="R19" s="34"/>
      <c r="S19" s="34"/>
      <c r="T19" s="34"/>
      <c r="U19" s="34"/>
      <c r="V19" s="34"/>
      <c r="W19" s="26" t="s">
        <v>92</v>
      </c>
      <c r="X19" s="26"/>
      <c r="Y19" s="34"/>
      <c r="Z19" s="34"/>
      <c r="AA19" s="34"/>
      <c r="AB19" s="35">
        <v>2020</v>
      </c>
      <c r="AC19" s="35">
        <v>2019</v>
      </c>
      <c r="AD19" s="34"/>
      <c r="AE19" s="34"/>
      <c r="AF19" s="34"/>
      <c r="AG19" s="20" t="s">
        <v>170</v>
      </c>
      <c r="AH19" s="20"/>
      <c r="AI19" s="20"/>
      <c r="AJ19" s="20"/>
      <c r="AK19" s="20" t="s">
        <v>112</v>
      </c>
      <c r="AL19" s="75">
        <f>-AB76</f>
        <v>5200</v>
      </c>
      <c r="AM19" s="20"/>
      <c r="AN19" s="34"/>
      <c r="AO19" s="56" t="s">
        <v>1035</v>
      </c>
      <c r="AP19" s="250">
        <f t="shared" si="13"/>
        <v>-980</v>
      </c>
      <c r="AQ19" s="250">
        <f t="shared" si="13"/>
        <v>-900</v>
      </c>
      <c r="AR19" s="265">
        <f t="shared" si="14"/>
        <v>80</v>
      </c>
      <c r="AS19" s="60">
        <f t="shared" ca="1" si="0"/>
        <v>0</v>
      </c>
      <c r="AT19" s="55">
        <f t="shared" ca="1" si="1"/>
        <v>0</v>
      </c>
      <c r="AU19" s="55">
        <f t="shared" ca="1" si="10"/>
        <v>80</v>
      </c>
      <c r="AV19" s="1278"/>
      <c r="AW19" s="1279"/>
      <c r="AX19" s="1279"/>
      <c r="AY19" s="1278">
        <f ca="1">+AU19</f>
        <v>80</v>
      </c>
      <c r="AZ19" s="1279"/>
      <c r="BA19" s="1279"/>
      <c r="BB19" s="1205"/>
      <c r="BC19" s="1267"/>
      <c r="BD19" s="1271"/>
      <c r="BE19" s="1272"/>
      <c r="BF19" s="1273"/>
      <c r="BG19" s="1274"/>
      <c r="BH19" s="238">
        <f t="shared" ca="1" si="2"/>
        <v>0</v>
      </c>
      <c r="BI19" s="20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20"/>
      <c r="BU19" s="1284" t="s">
        <v>45</v>
      </c>
      <c r="BV19" s="1286"/>
      <c r="BW19" s="1286"/>
      <c r="BX19" s="1286"/>
      <c r="BY19" s="1286"/>
      <c r="BZ19" s="1286"/>
      <c r="CA19" s="475">
        <f ca="1">+-BE44</f>
        <v>665.38440493494352</v>
      </c>
      <c r="CC19" s="1284"/>
      <c r="CD19" s="1286"/>
      <c r="CE19" s="1286"/>
      <c r="CF19" s="1286"/>
      <c r="CG19" s="1286"/>
      <c r="CH19" s="1286"/>
      <c r="CI19" s="475"/>
    </row>
    <row r="20" spans="1:87" x14ac:dyDescent="0.3">
      <c r="A20" s="20"/>
      <c r="B20" s="20" t="s">
        <v>53</v>
      </c>
      <c r="C20" s="20"/>
      <c r="D20" s="20"/>
      <c r="E20" s="20"/>
      <c r="F20" s="27"/>
      <c r="G20" s="27"/>
      <c r="H20" s="20"/>
      <c r="I20" s="28" t="s">
        <v>11</v>
      </c>
      <c r="J20" s="28"/>
      <c r="K20" s="28"/>
      <c r="L20" s="28"/>
      <c r="M20" s="34">
        <v>-2200</v>
      </c>
      <c r="N20" s="20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5" t="s">
        <v>387</v>
      </c>
      <c r="AC20" s="35" t="s">
        <v>387</v>
      </c>
      <c r="AD20" s="34"/>
      <c r="AE20" s="34"/>
      <c r="AF20" s="34"/>
      <c r="AG20" s="20" t="s">
        <v>1029</v>
      </c>
      <c r="AH20" s="20"/>
      <c r="AI20" s="20"/>
      <c r="AJ20" s="20"/>
      <c r="AK20" s="20" t="s">
        <v>113</v>
      </c>
      <c r="AL20" s="26"/>
      <c r="AM20" s="75">
        <f>-M11</f>
        <v>5000</v>
      </c>
      <c r="AN20" s="34"/>
      <c r="AO20" s="56" t="s">
        <v>1031</v>
      </c>
      <c r="AP20" s="250">
        <f t="shared" si="13"/>
        <v>-750</v>
      </c>
      <c r="AQ20" s="250">
        <f t="shared" si="13"/>
        <v>-850</v>
      </c>
      <c r="AR20" s="265">
        <f t="shared" si="14"/>
        <v>-100</v>
      </c>
      <c r="AS20" s="60">
        <f t="shared" ca="1" si="0"/>
        <v>0</v>
      </c>
      <c r="AT20" s="55">
        <f t="shared" ca="1" si="1"/>
        <v>0</v>
      </c>
      <c r="AU20" s="55">
        <f t="shared" ca="1" si="10"/>
        <v>-100</v>
      </c>
      <c r="AV20" s="1278"/>
      <c r="AW20" s="1279"/>
      <c r="AX20" s="1279"/>
      <c r="AY20" s="1278"/>
      <c r="AZ20" s="1279"/>
      <c r="BA20" s="1276">
        <f ca="1">+AU20</f>
        <v>-100</v>
      </c>
      <c r="BB20" s="1205"/>
      <c r="BC20" s="1267"/>
      <c r="BD20" s="1271"/>
      <c r="BE20" s="1272"/>
      <c r="BF20" s="1273"/>
      <c r="BG20" s="1274"/>
      <c r="BH20" s="238">
        <f t="shared" ca="1" si="2"/>
        <v>0</v>
      </c>
      <c r="BI20" s="20"/>
      <c r="BJ20" s="26" t="s">
        <v>143</v>
      </c>
      <c r="BK20" s="20"/>
      <c r="BL20" s="20"/>
      <c r="BM20" s="20"/>
      <c r="BN20" s="20"/>
      <c r="BO20" s="20"/>
      <c r="BP20" s="20"/>
      <c r="BQ20" s="20"/>
      <c r="BR20" s="20"/>
      <c r="BS20" s="37"/>
      <c r="BT20" s="20"/>
      <c r="BU20" s="1282" t="s">
        <v>152</v>
      </c>
      <c r="BV20" s="1282"/>
      <c r="BW20" s="1282"/>
      <c r="BX20" s="1282"/>
      <c r="BY20" s="1282"/>
      <c r="BZ20" s="1282"/>
      <c r="CA20" s="1281"/>
      <c r="CC20" s="1282" t="s">
        <v>152</v>
      </c>
      <c r="CD20" s="1282"/>
      <c r="CE20" s="1282"/>
      <c r="CF20" s="1282"/>
      <c r="CG20" s="1282"/>
      <c r="CH20" s="1282"/>
      <c r="CI20" s="1281"/>
    </row>
    <row r="21" spans="1:87" x14ac:dyDescent="0.3">
      <c r="A21" s="20"/>
      <c r="B21" s="28" t="s">
        <v>5</v>
      </c>
      <c r="C21" s="28"/>
      <c r="D21" s="28"/>
      <c r="E21" s="28"/>
      <c r="F21" s="21">
        <v>200</v>
      </c>
      <c r="G21" s="21">
        <v>300</v>
      </c>
      <c r="H21" s="20"/>
      <c r="I21" s="28" t="s">
        <v>37</v>
      </c>
      <c r="J21" s="28"/>
      <c r="K21" s="28"/>
      <c r="L21" s="28"/>
      <c r="M21" s="34">
        <f>-1000+20</f>
        <v>-980</v>
      </c>
      <c r="N21" s="20"/>
      <c r="O21" s="34"/>
      <c r="P21" s="34"/>
      <c r="Q21" s="34"/>
      <c r="R21" s="34"/>
      <c r="S21" s="34"/>
      <c r="T21" s="34"/>
      <c r="U21" s="34"/>
      <c r="V21" s="34"/>
      <c r="W21" s="26" t="s">
        <v>30</v>
      </c>
      <c r="X21" s="20"/>
      <c r="Y21" s="34"/>
      <c r="Z21" s="34"/>
      <c r="AA21" s="34"/>
      <c r="AB21" s="34">
        <f>+AC23</f>
        <v>100</v>
      </c>
      <c r="AC21" s="34">
        <v>20</v>
      </c>
      <c r="AD21" s="34"/>
      <c r="AE21" s="34"/>
      <c r="AF21" s="34"/>
      <c r="AG21" s="20" t="s">
        <v>216</v>
      </c>
      <c r="AH21" s="20"/>
      <c r="AI21" s="20"/>
      <c r="AJ21" s="20"/>
      <c r="AK21" s="20" t="s">
        <v>113</v>
      </c>
      <c r="AL21" s="26"/>
      <c r="AM21" s="75">
        <f>-M25</f>
        <v>100</v>
      </c>
      <c r="AN21" s="34"/>
      <c r="AO21" s="53" t="s">
        <v>513</v>
      </c>
      <c r="AP21" s="250">
        <f t="shared" si="13"/>
        <v>-100</v>
      </c>
      <c r="AQ21" s="250">
        <f t="shared" si="13"/>
        <v>-200</v>
      </c>
      <c r="AR21" s="265">
        <f t="shared" si="14"/>
        <v>-100</v>
      </c>
      <c r="AS21" s="60">
        <f t="shared" ca="1" si="0"/>
        <v>750</v>
      </c>
      <c r="AT21" s="55">
        <f t="shared" ca="1" si="1"/>
        <v>0</v>
      </c>
      <c r="AU21" s="55">
        <f t="shared" ca="1" si="10"/>
        <v>-850</v>
      </c>
      <c r="AV21" s="1278"/>
      <c r="AW21" s="1279"/>
      <c r="AX21" s="1279"/>
      <c r="AY21" s="1278"/>
      <c r="AZ21" s="1279"/>
      <c r="BA21" s="1276">
        <f ca="1">+AU21</f>
        <v>-850</v>
      </c>
      <c r="BB21" s="1205"/>
      <c r="BC21" s="1267"/>
      <c r="BD21" s="1271"/>
      <c r="BE21" s="1272"/>
      <c r="BF21" s="1273"/>
      <c r="BG21" s="1274"/>
      <c r="BH21" s="238">
        <f t="shared" ca="1" si="2"/>
        <v>0</v>
      </c>
      <c r="BI21" s="20"/>
      <c r="BJ21" s="20" t="s">
        <v>139</v>
      </c>
      <c r="BK21" s="20"/>
      <c r="BL21" s="20"/>
      <c r="BM21" s="20"/>
      <c r="BN21" s="20"/>
      <c r="BO21" s="20"/>
      <c r="BP21" s="20"/>
      <c r="BQ21" s="20"/>
      <c r="BR21" s="20"/>
      <c r="BS21" s="34">
        <f ca="1">+BB47</f>
        <v>-7600</v>
      </c>
      <c r="BT21" s="20"/>
      <c r="BU21" s="1283" t="s">
        <v>228</v>
      </c>
      <c r="BV21" s="1280"/>
      <c r="BW21" s="1280"/>
      <c r="BX21" s="1280"/>
      <c r="BY21" s="1280"/>
      <c r="BZ21" s="1280"/>
      <c r="CA21" s="1281">
        <f ca="1">+AV8</f>
        <v>-750</v>
      </c>
      <c r="CC21" s="1283" t="s">
        <v>228</v>
      </c>
      <c r="CD21" s="1280"/>
      <c r="CE21" s="1280"/>
      <c r="CF21" s="1280"/>
      <c r="CG21" s="1280"/>
      <c r="CH21" s="1280"/>
      <c r="CI21" s="1281">
        <f ca="1">+CA21</f>
        <v>-750</v>
      </c>
    </row>
    <row r="22" spans="1:87" x14ac:dyDescent="0.3">
      <c r="A22" s="20"/>
      <c r="B22" s="28" t="s">
        <v>1035</v>
      </c>
      <c r="C22" s="28"/>
      <c r="D22" s="28"/>
      <c r="E22" s="28"/>
      <c r="F22" s="21">
        <v>980</v>
      </c>
      <c r="G22" s="21">
        <v>900</v>
      </c>
      <c r="H22" s="20"/>
      <c r="I22" s="28" t="s">
        <v>175</v>
      </c>
      <c r="J22" s="28"/>
      <c r="K22" s="28"/>
      <c r="L22" s="28"/>
      <c r="M22" s="34">
        <v>-440</v>
      </c>
      <c r="N22" s="20"/>
      <c r="O22" s="34"/>
      <c r="P22" s="34"/>
      <c r="Q22" s="34"/>
      <c r="R22" s="34"/>
      <c r="S22" s="34"/>
      <c r="T22" s="34"/>
      <c r="U22" s="34"/>
      <c r="V22" s="34"/>
      <c r="W22" s="20" t="s">
        <v>93</v>
      </c>
      <c r="X22" s="20"/>
      <c r="Y22" s="34"/>
      <c r="Z22" s="34"/>
      <c r="AA22" s="34"/>
      <c r="AB22" s="34">
        <f>+AB23-AB21</f>
        <v>150</v>
      </c>
      <c r="AC22" s="34">
        <f>+AC23-AC21</f>
        <v>80</v>
      </c>
      <c r="AD22" s="34"/>
      <c r="AE22" s="34"/>
      <c r="AF22" s="34"/>
      <c r="AG22" s="20" t="s">
        <v>217</v>
      </c>
      <c r="AH22" s="20"/>
      <c r="AI22" s="20"/>
      <c r="AJ22" s="20"/>
      <c r="AK22" s="20" t="s">
        <v>113</v>
      </c>
      <c r="AL22" s="26"/>
      <c r="AM22" s="75">
        <f>-M18</f>
        <v>100</v>
      </c>
      <c r="AN22" s="35"/>
      <c r="AO22" s="53" t="s">
        <v>168</v>
      </c>
      <c r="AP22" s="250">
        <f t="shared" si="13"/>
        <v>-1600</v>
      </c>
      <c r="AQ22" s="250">
        <f t="shared" si="13"/>
        <v>-1500</v>
      </c>
      <c r="AR22" s="265">
        <f t="shared" si="14"/>
        <v>100</v>
      </c>
      <c r="AS22" s="60">
        <f t="shared" ca="1" si="0"/>
        <v>0</v>
      </c>
      <c r="AT22" s="55">
        <f t="shared" ca="1" si="1"/>
        <v>0</v>
      </c>
      <c r="AU22" s="55">
        <f t="shared" ca="1" si="10"/>
        <v>100</v>
      </c>
      <c r="AV22" s="1278">
        <f ca="1">+AU22</f>
        <v>100</v>
      </c>
      <c r="AW22" s="1279"/>
      <c r="AX22" s="1279"/>
      <c r="AY22" s="1278"/>
      <c r="AZ22" s="1279"/>
      <c r="BA22" s="1279"/>
      <c r="BB22" s="1205"/>
      <c r="BC22" s="1267"/>
      <c r="BD22" s="1271"/>
      <c r="BE22" s="1272"/>
      <c r="BF22" s="1273"/>
      <c r="BG22" s="1274"/>
      <c r="BH22" s="238">
        <f t="shared" ca="1" si="2"/>
        <v>0</v>
      </c>
      <c r="BI22" s="20"/>
      <c r="BJ22" s="20" t="s">
        <v>219</v>
      </c>
      <c r="BK22" s="20"/>
      <c r="BL22" s="20"/>
      <c r="BM22" s="20"/>
      <c r="BN22" s="20"/>
      <c r="BO22" s="20"/>
      <c r="BP22" s="20"/>
      <c r="BQ22" s="20"/>
      <c r="BR22" s="20"/>
      <c r="BS22" s="34">
        <f ca="1">+BC47</f>
        <v>2900</v>
      </c>
      <c r="BT22" s="20"/>
      <c r="BU22" s="1283" t="s">
        <v>503</v>
      </c>
      <c r="BV22" s="1280"/>
      <c r="BW22" s="1280"/>
      <c r="BX22" s="1280"/>
      <c r="BY22" s="1280"/>
      <c r="BZ22" s="1280"/>
      <c r="CA22" s="1281">
        <f ca="1">+AY9+AZ9</f>
        <v>80</v>
      </c>
      <c r="CC22" s="1283" t="s">
        <v>503</v>
      </c>
      <c r="CD22" s="1280"/>
      <c r="CE22" s="1280"/>
      <c r="CF22" s="1280"/>
      <c r="CG22" s="1280"/>
      <c r="CH22" s="1280"/>
      <c r="CI22" s="1281">
        <f t="shared" ref="CI22:CI30" ca="1" si="15">+CA22</f>
        <v>80</v>
      </c>
    </row>
    <row r="23" spans="1:87" x14ac:dyDescent="0.3">
      <c r="A23" s="20"/>
      <c r="B23" s="28" t="s">
        <v>1031</v>
      </c>
      <c r="C23" s="28"/>
      <c r="D23" s="28"/>
      <c r="E23" s="28"/>
      <c r="F23" s="21">
        <v>750</v>
      </c>
      <c r="G23" s="21">
        <v>850</v>
      </c>
      <c r="H23" s="20"/>
      <c r="I23" s="28" t="s">
        <v>92</v>
      </c>
      <c r="J23" s="28"/>
      <c r="K23" s="28"/>
      <c r="L23" s="28"/>
      <c r="M23" s="34">
        <f>-AB22</f>
        <v>-150</v>
      </c>
      <c r="N23" s="20"/>
      <c r="O23" s="34"/>
      <c r="P23" s="34"/>
      <c r="Q23" s="34"/>
      <c r="R23" s="34"/>
      <c r="S23" s="34"/>
      <c r="T23" s="34"/>
      <c r="U23" s="34"/>
      <c r="V23" s="34"/>
      <c r="W23" s="26" t="s">
        <v>32</v>
      </c>
      <c r="X23" s="20"/>
      <c r="Y23" s="34"/>
      <c r="Z23" s="34"/>
      <c r="AA23" s="34"/>
      <c r="AB23" s="49">
        <f>-AB16</f>
        <v>250</v>
      </c>
      <c r="AC23" s="49">
        <f>-AC16</f>
        <v>100</v>
      </c>
      <c r="AD23" s="37">
        <f>+AB23+AB16</f>
        <v>0</v>
      </c>
      <c r="AE23" s="37">
        <f>+AC23+AC16</f>
        <v>0</v>
      </c>
      <c r="AF23" s="37"/>
      <c r="AG23" s="17" t="s">
        <v>209</v>
      </c>
      <c r="AH23" s="16"/>
      <c r="AI23" s="26"/>
      <c r="AJ23" s="26"/>
      <c r="AK23" s="20"/>
      <c r="AL23" s="35"/>
      <c r="AM23" s="35"/>
      <c r="AN23" s="35"/>
      <c r="AO23" s="53" t="s">
        <v>6</v>
      </c>
      <c r="AP23" s="250">
        <f>-F26-F28</f>
        <v>-2144.8657238666433</v>
      </c>
      <c r="AQ23" s="250">
        <f>-G26-G28</f>
        <v>-8079.481318931701</v>
      </c>
      <c r="AR23" s="265">
        <f t="shared" si="14"/>
        <v>-5934.6155950650573</v>
      </c>
      <c r="AS23" s="60">
        <f t="shared" ca="1" si="0"/>
        <v>0</v>
      </c>
      <c r="AT23" s="55">
        <f t="shared" ca="1" si="1"/>
        <v>0</v>
      </c>
      <c r="AU23" s="55">
        <f t="shared" ca="1" si="10"/>
        <v>-5934.6155950650573</v>
      </c>
      <c r="AV23" s="1278"/>
      <c r="AW23" s="1279"/>
      <c r="AX23" s="1279"/>
      <c r="AY23" s="1278"/>
      <c r="AZ23" s="1279"/>
      <c r="BA23" s="1279"/>
      <c r="BB23" s="1205"/>
      <c r="BC23" s="1267"/>
      <c r="BD23" s="1268">
        <f ca="1">+AU23</f>
        <v>-5934.6155950650573</v>
      </c>
      <c r="BE23" s="1269"/>
      <c r="BF23" s="1273"/>
      <c r="BG23" s="1274"/>
      <c r="BH23" s="238">
        <f t="shared" ca="1" si="2"/>
        <v>0</v>
      </c>
      <c r="BI23" s="20"/>
      <c r="BJ23" s="16" t="s">
        <v>1098</v>
      </c>
      <c r="BK23" s="17"/>
      <c r="BL23" s="17"/>
      <c r="BM23" s="17"/>
      <c r="BN23" s="17"/>
      <c r="BO23" s="17"/>
      <c r="BP23" s="17"/>
      <c r="BQ23" s="17"/>
      <c r="BR23" s="17"/>
      <c r="BS23" s="48"/>
      <c r="BT23" s="20"/>
      <c r="BU23" s="1283" t="s">
        <v>1032</v>
      </c>
      <c r="BV23" s="1280"/>
      <c r="BW23" s="1280"/>
      <c r="BX23" s="1280"/>
      <c r="BY23" s="1280"/>
      <c r="BZ23" s="1280"/>
      <c r="CA23" s="1281">
        <f ca="1">+AZ10</f>
        <v>-259.77999999999975</v>
      </c>
      <c r="CC23" s="1283" t="s">
        <v>1032</v>
      </c>
      <c r="CD23" s="1280"/>
      <c r="CE23" s="1280"/>
      <c r="CF23" s="1280"/>
      <c r="CG23" s="1280"/>
      <c r="CH23" s="1280"/>
      <c r="CI23" s="1281">
        <f t="shared" ca="1" si="15"/>
        <v>-259.77999999999975</v>
      </c>
    </row>
    <row r="24" spans="1:87" x14ac:dyDescent="0.3">
      <c r="A24" s="20"/>
      <c r="B24" s="20" t="s">
        <v>513</v>
      </c>
      <c r="C24" s="20"/>
      <c r="D24" s="20"/>
      <c r="E24" s="20"/>
      <c r="F24" s="21">
        <v>100</v>
      </c>
      <c r="G24" s="21">
        <v>200</v>
      </c>
      <c r="H24" s="20"/>
      <c r="I24" s="28" t="s">
        <v>178</v>
      </c>
      <c r="J24" s="28"/>
      <c r="K24" s="28"/>
      <c r="L24" s="28"/>
      <c r="M24" s="34">
        <v>-120</v>
      </c>
      <c r="N24" s="20"/>
      <c r="O24" s="34"/>
      <c r="P24" s="34"/>
      <c r="Q24" s="34"/>
      <c r="R24" s="34"/>
      <c r="S24" s="34"/>
      <c r="T24" s="34"/>
      <c r="U24" s="34"/>
      <c r="V24" s="37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20" t="s">
        <v>150</v>
      </c>
      <c r="AH24" s="20"/>
      <c r="AI24" s="20"/>
      <c r="AJ24" s="20"/>
      <c r="AK24" s="20" t="s">
        <v>113</v>
      </c>
      <c r="AL24" s="34">
        <f>+AM25</f>
        <v>51</v>
      </c>
      <c r="AM24" s="34"/>
      <c r="AN24" s="35"/>
      <c r="AO24" s="53" t="s">
        <v>7</v>
      </c>
      <c r="AP24" s="250">
        <f>-F31</f>
        <v>-7000</v>
      </c>
      <c r="AQ24" s="250">
        <f>-G31</f>
        <v>-5000</v>
      </c>
      <c r="AR24" s="265">
        <f t="shared" ref="AR24:AR46" si="16">+AQ24-AP24</f>
        <v>2000</v>
      </c>
      <c r="AS24" s="60">
        <f t="shared" ca="1" si="0"/>
        <v>700</v>
      </c>
      <c r="AT24" s="55">
        <f t="shared" ca="1" si="1"/>
        <v>0</v>
      </c>
      <c r="AU24" s="55">
        <f t="shared" ca="1" si="5"/>
        <v>1300</v>
      </c>
      <c r="AV24" s="1278"/>
      <c r="AW24" s="1279"/>
      <c r="AX24" s="1279"/>
      <c r="AY24" s="1278"/>
      <c r="AZ24" s="1279"/>
      <c r="BA24" s="1279"/>
      <c r="BB24" s="1205"/>
      <c r="BC24" s="1267"/>
      <c r="BD24" s="1271"/>
      <c r="BE24" s="1272"/>
      <c r="BF24" s="1273">
        <f ca="1">+AU24</f>
        <v>1300</v>
      </c>
      <c r="BG24" s="1274"/>
      <c r="BH24" s="238">
        <f t="shared" ca="1" si="2"/>
        <v>0</v>
      </c>
      <c r="BI24" s="20"/>
      <c r="BJ24" s="16" t="s">
        <v>1099</v>
      </c>
      <c r="BK24" s="17"/>
      <c r="BL24" s="17"/>
      <c r="BM24" s="17"/>
      <c r="BN24" s="17"/>
      <c r="BO24" s="17"/>
      <c r="BP24" s="17"/>
      <c r="BQ24" s="17"/>
      <c r="BR24" s="17"/>
      <c r="BS24" s="48">
        <f ca="1">+BS21+BS22</f>
        <v>-4700</v>
      </c>
      <c r="BT24" s="20"/>
      <c r="BU24" s="1283" t="s">
        <v>1033</v>
      </c>
      <c r="BV24" s="1280"/>
      <c r="BW24" s="1280"/>
      <c r="BX24" s="1280"/>
      <c r="BY24" s="1280"/>
      <c r="BZ24" s="1280"/>
      <c r="CA24" s="1281">
        <f ca="1">+AY15</f>
        <v>-100</v>
      </c>
      <c r="CC24" s="1283" t="s">
        <v>1033</v>
      </c>
      <c r="CD24" s="1280"/>
      <c r="CE24" s="1280"/>
      <c r="CF24" s="1280"/>
      <c r="CG24" s="1280"/>
      <c r="CH24" s="1280"/>
      <c r="CI24" s="1281">
        <f t="shared" ca="1" si="15"/>
        <v>-100</v>
      </c>
    </row>
    <row r="25" spans="1:87" x14ac:dyDescent="0.3">
      <c r="A25" s="20"/>
      <c r="B25" s="20" t="s">
        <v>168</v>
      </c>
      <c r="C25" s="20"/>
      <c r="D25" s="20"/>
      <c r="E25" s="20"/>
      <c r="F25" s="21">
        <v>1600</v>
      </c>
      <c r="G25" s="21">
        <v>1500</v>
      </c>
      <c r="H25" s="20"/>
      <c r="I25" s="28" t="s">
        <v>217</v>
      </c>
      <c r="J25" s="28"/>
      <c r="K25" s="28"/>
      <c r="L25" s="28"/>
      <c r="M25" s="34">
        <v>-100</v>
      </c>
      <c r="N25" s="20"/>
      <c r="O25" s="34"/>
      <c r="P25" s="34"/>
      <c r="Q25" s="34"/>
      <c r="R25" s="34"/>
      <c r="S25" s="34"/>
      <c r="T25" s="34"/>
      <c r="U25" s="34"/>
      <c r="V25" s="34"/>
      <c r="W25" s="26" t="s">
        <v>912</v>
      </c>
      <c r="X25" s="26"/>
      <c r="Y25" s="34"/>
      <c r="Z25" s="34"/>
      <c r="AA25" s="34"/>
      <c r="AB25" s="35">
        <v>2020</v>
      </c>
      <c r="AC25" s="35">
        <v>2019</v>
      </c>
      <c r="AD25" s="34"/>
      <c r="AE25" s="34"/>
      <c r="AF25" s="34"/>
      <c r="AG25" s="20" t="s">
        <v>114</v>
      </c>
      <c r="AH25" s="20"/>
      <c r="AI25" s="20"/>
      <c r="AJ25" s="20"/>
      <c r="AK25" s="20" t="s">
        <v>112</v>
      </c>
      <c r="AL25" s="34"/>
      <c r="AM25" s="34">
        <f>+F14-G14</f>
        <v>51</v>
      </c>
      <c r="AN25" s="34"/>
      <c r="AO25" s="53" t="s">
        <v>8</v>
      </c>
      <c r="AP25" s="250">
        <f>-F32+M31</f>
        <v>-2670.3844049349436</v>
      </c>
      <c r="AQ25" s="250">
        <f>-G32</f>
        <v>-3000</v>
      </c>
      <c r="AR25" s="265">
        <f t="shared" si="16"/>
        <v>-329.61559506505637</v>
      </c>
      <c r="AS25" s="60">
        <f t="shared" ca="1" si="0"/>
        <v>0</v>
      </c>
      <c r="AT25" s="55">
        <f t="shared" ca="1" si="1"/>
        <v>100</v>
      </c>
      <c r="AU25" s="55">
        <f t="shared" ca="1" si="5"/>
        <v>-229.61559506505637</v>
      </c>
      <c r="AV25" s="1278"/>
      <c r="AW25" s="1279"/>
      <c r="AX25" s="1279"/>
      <c r="AY25" s="1278"/>
      <c r="AZ25" s="1279"/>
      <c r="BA25" s="1279"/>
      <c r="BB25" s="1205"/>
      <c r="BC25" s="1267"/>
      <c r="BD25" s="1271"/>
      <c r="BE25" s="1272"/>
      <c r="BF25" s="1273"/>
      <c r="BG25" s="584">
        <f ca="1">+AU25</f>
        <v>-229.61559506505637</v>
      </c>
      <c r="BH25" s="238">
        <f t="shared" ca="1" si="2"/>
        <v>0</v>
      </c>
      <c r="BI25" s="20"/>
      <c r="BJ25" s="26"/>
      <c r="BK25" s="20"/>
      <c r="BL25" s="20"/>
      <c r="BM25" s="20"/>
      <c r="BN25" s="20"/>
      <c r="BO25" s="20"/>
      <c r="BP25" s="20"/>
      <c r="BQ25" s="20"/>
      <c r="BR25" s="20"/>
      <c r="BS25" s="37"/>
      <c r="BT25" s="20"/>
      <c r="BU25" s="1283" t="s">
        <v>230</v>
      </c>
      <c r="BV25" s="1280"/>
      <c r="BW25" s="1280"/>
      <c r="BX25" s="1280"/>
      <c r="BY25" s="1280"/>
      <c r="BZ25" s="1280"/>
      <c r="CA25" s="1281">
        <f ca="1">+AX16</f>
        <v>250</v>
      </c>
      <c r="CC25" s="1283" t="s">
        <v>230</v>
      </c>
      <c r="CD25" s="1280"/>
      <c r="CE25" s="1280"/>
      <c r="CF25" s="1280"/>
      <c r="CG25" s="1280"/>
      <c r="CH25" s="1280"/>
      <c r="CI25" s="1281">
        <f t="shared" ca="1" si="15"/>
        <v>250</v>
      </c>
    </row>
    <row r="26" spans="1:87" x14ac:dyDescent="0.3">
      <c r="A26" s="20"/>
      <c r="B26" s="20" t="s">
        <v>6</v>
      </c>
      <c r="C26" s="20"/>
      <c r="D26" s="20"/>
      <c r="E26" s="20"/>
      <c r="F26" s="23">
        <f>+AA126</f>
        <v>2144.8657238666433</v>
      </c>
      <c r="G26" s="23">
        <f>+AB126</f>
        <v>6181.2489079299312</v>
      </c>
      <c r="H26" s="20"/>
      <c r="I26" s="16" t="s">
        <v>14</v>
      </c>
      <c r="J26" s="16"/>
      <c r="K26" s="16"/>
      <c r="L26" s="16"/>
      <c r="M26" s="24">
        <f>SUM(M12:M25)</f>
        <v>3374</v>
      </c>
      <c r="N26" s="20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5" t="s">
        <v>387</v>
      </c>
      <c r="AC26" s="35" t="s">
        <v>387</v>
      </c>
      <c r="AD26" s="34"/>
      <c r="AE26" s="34"/>
      <c r="AF26" s="34"/>
      <c r="AG26" s="17" t="s">
        <v>210</v>
      </c>
      <c r="AH26" s="16"/>
      <c r="AI26" s="26"/>
      <c r="AJ26" s="26"/>
      <c r="AK26" s="20"/>
      <c r="AL26" s="35"/>
      <c r="AM26" s="35"/>
      <c r="AN26" s="34"/>
      <c r="AO26" s="53" t="s">
        <v>9</v>
      </c>
      <c r="AP26" s="250">
        <f>-M7</f>
        <v>-30615</v>
      </c>
      <c r="AQ26" s="250"/>
      <c r="AR26" s="265">
        <f t="shared" si="16"/>
        <v>30615</v>
      </c>
      <c r="AS26" s="60">
        <f t="shared" ca="1" si="0"/>
        <v>0</v>
      </c>
      <c r="AT26" s="55">
        <f t="shared" ca="1" si="1"/>
        <v>0</v>
      </c>
      <c r="AU26" s="55">
        <f t="shared" ca="1" si="5"/>
        <v>30615</v>
      </c>
      <c r="AV26" s="1263">
        <f ca="1">+AU26</f>
        <v>30615</v>
      </c>
      <c r="AW26" s="1264"/>
      <c r="AX26" s="1264"/>
      <c r="AY26" s="1263"/>
      <c r="AZ26" s="1264"/>
      <c r="BA26" s="1264"/>
      <c r="BB26" s="1205"/>
      <c r="BC26" s="1267"/>
      <c r="BD26" s="1271"/>
      <c r="BE26" s="1272"/>
      <c r="BF26" s="1273"/>
      <c r="BG26" s="1274"/>
      <c r="BH26" s="238">
        <f t="shared" ca="1" si="2"/>
        <v>0</v>
      </c>
      <c r="BI26" s="20"/>
      <c r="BJ26" s="26" t="s">
        <v>144</v>
      </c>
      <c r="BK26" s="20"/>
      <c r="BL26" s="20"/>
      <c r="BM26" s="20"/>
      <c r="BN26" s="20"/>
      <c r="BO26" s="20"/>
      <c r="BP26" s="20"/>
      <c r="BQ26" s="20"/>
      <c r="BR26" s="20"/>
      <c r="BS26" s="37"/>
      <c r="BT26" s="20"/>
      <c r="BU26" s="1283" t="s">
        <v>504</v>
      </c>
      <c r="BV26" s="1280"/>
      <c r="BW26" s="1280"/>
      <c r="BX26" s="1280"/>
      <c r="BY26" s="1280"/>
      <c r="BZ26" s="1280"/>
      <c r="CA26" s="1281">
        <f ca="1">+AW18</f>
        <v>-100</v>
      </c>
      <c r="CC26" s="1283" t="s">
        <v>504</v>
      </c>
      <c r="CD26" s="1280"/>
      <c r="CE26" s="1280"/>
      <c r="CF26" s="1280"/>
      <c r="CG26" s="1280"/>
      <c r="CH26" s="1280"/>
      <c r="CI26" s="1281">
        <f t="shared" ca="1" si="15"/>
        <v>-100</v>
      </c>
    </row>
    <row r="27" spans="1:87" x14ac:dyDescent="0.3">
      <c r="A27" s="20"/>
      <c r="B27" s="16" t="s">
        <v>77</v>
      </c>
      <c r="C27" s="16"/>
      <c r="D27" s="16"/>
      <c r="E27" s="16"/>
      <c r="F27" s="24">
        <f>SUM(F17:F26)</f>
        <v>7624.8657238666437</v>
      </c>
      <c r="G27" s="24">
        <f>SUM(G17:G26)</f>
        <v>11431.24890792993</v>
      </c>
      <c r="H27" s="20"/>
      <c r="I27" s="20" t="s">
        <v>45</v>
      </c>
      <c r="J27" s="20"/>
      <c r="K27" s="20"/>
      <c r="L27" s="20"/>
      <c r="M27" s="32">
        <f>-AB133</f>
        <v>-665.38440493494352</v>
      </c>
      <c r="N27" s="20"/>
      <c r="O27" s="34"/>
      <c r="P27" s="34"/>
      <c r="Q27" s="34"/>
      <c r="R27" s="34"/>
      <c r="S27" s="34"/>
      <c r="T27" s="34"/>
      <c r="U27" s="34"/>
      <c r="V27" s="34"/>
      <c r="W27" s="20" t="s">
        <v>187</v>
      </c>
      <c r="X27" s="20"/>
      <c r="Y27" s="34"/>
      <c r="Z27" s="34"/>
      <c r="AA27" s="34"/>
      <c r="AB27" s="34">
        <f>+AB29-AB28</f>
        <v>700</v>
      </c>
      <c r="AC27" s="34">
        <f>+AC29-AC28</f>
        <v>780</v>
      </c>
      <c r="AD27" s="34"/>
      <c r="AE27" s="34"/>
      <c r="AF27" s="34"/>
      <c r="AG27" s="20" t="s">
        <v>513</v>
      </c>
      <c r="AH27" s="20"/>
      <c r="AI27" s="20"/>
      <c r="AJ27" s="20"/>
      <c r="AK27" s="20" t="s">
        <v>112</v>
      </c>
      <c r="AL27" s="75">
        <f>AC96+AC97</f>
        <v>750</v>
      </c>
      <c r="AM27" s="26"/>
      <c r="AN27" s="37"/>
      <c r="AO27" s="53" t="s">
        <v>10</v>
      </c>
      <c r="AP27" s="264"/>
      <c r="AQ27" s="250"/>
      <c r="AR27" s="265">
        <f t="shared" si="16"/>
        <v>0</v>
      </c>
      <c r="AS27" s="60">
        <f t="shared" ca="1" si="0"/>
        <v>0</v>
      </c>
      <c r="AT27" s="55">
        <f t="shared" ca="1" si="1"/>
        <v>0</v>
      </c>
      <c r="AU27" s="55">
        <f t="shared" ca="1" si="5"/>
        <v>0</v>
      </c>
      <c r="AV27" s="1263"/>
      <c r="AW27" s="1264"/>
      <c r="AX27" s="1264"/>
      <c r="AY27" s="1263"/>
      <c r="AZ27" s="1264"/>
      <c r="BA27" s="1264"/>
      <c r="BB27" s="1205"/>
      <c r="BC27" s="1267"/>
      <c r="BD27" s="1271"/>
      <c r="BE27" s="1272"/>
      <c r="BF27" s="1273"/>
      <c r="BG27" s="1274"/>
      <c r="BH27" s="238">
        <f t="shared" ca="1" si="2"/>
        <v>0</v>
      </c>
      <c r="BI27" s="20"/>
      <c r="BJ27" s="20" t="s">
        <v>140</v>
      </c>
      <c r="BK27" s="20"/>
      <c r="BL27" s="20"/>
      <c r="BM27" s="20"/>
      <c r="BN27" s="20"/>
      <c r="BO27" s="20"/>
      <c r="BP27" s="20"/>
      <c r="BQ27" s="20"/>
      <c r="BR27" s="20"/>
      <c r="BS27" s="34">
        <f ca="1">+BD47</f>
        <v>-5934.6155950650573</v>
      </c>
      <c r="BT27" s="20"/>
      <c r="BU27" s="1283" t="s">
        <v>232</v>
      </c>
      <c r="BV27" s="1280"/>
      <c r="BW27" s="1280"/>
      <c r="BX27" s="1280"/>
      <c r="BY27" s="1280"/>
      <c r="BZ27" s="1280"/>
      <c r="CA27" s="1281">
        <f ca="1">+AY19</f>
        <v>80</v>
      </c>
      <c r="CC27" s="1283" t="s">
        <v>232</v>
      </c>
      <c r="CD27" s="1280"/>
      <c r="CE27" s="1280"/>
      <c r="CF27" s="1280"/>
      <c r="CG27" s="1280"/>
      <c r="CH27" s="1280"/>
      <c r="CI27" s="1281">
        <f t="shared" ca="1" si="15"/>
        <v>80</v>
      </c>
    </row>
    <row r="28" spans="1:87" x14ac:dyDescent="0.3">
      <c r="A28" s="20"/>
      <c r="B28" s="20" t="s">
        <v>6</v>
      </c>
      <c r="C28" s="20"/>
      <c r="D28" s="20"/>
      <c r="E28" s="20"/>
      <c r="F28" s="30">
        <v>0</v>
      </c>
      <c r="G28" s="23">
        <f>+AB127</f>
        <v>1898.2324110017698</v>
      </c>
      <c r="H28" s="20"/>
      <c r="I28" s="16" t="s">
        <v>89</v>
      </c>
      <c r="J28" s="16"/>
      <c r="K28" s="16"/>
      <c r="L28" s="16"/>
      <c r="M28" s="24">
        <f>+M26+M27</f>
        <v>2708.6155950650564</v>
      </c>
      <c r="N28" s="20"/>
      <c r="O28" s="34"/>
      <c r="P28" s="34"/>
      <c r="Q28" s="34"/>
      <c r="R28" s="34"/>
      <c r="S28" s="34"/>
      <c r="T28" s="34"/>
      <c r="U28" s="34"/>
      <c r="V28" s="34"/>
      <c r="W28" s="20" t="s">
        <v>174</v>
      </c>
      <c r="X28" s="20"/>
      <c r="Y28" s="34"/>
      <c r="Z28" s="34"/>
      <c r="AA28" s="34"/>
      <c r="AB28" s="32">
        <v>-100</v>
      </c>
      <c r="AC28" s="32">
        <v>-80</v>
      </c>
      <c r="AD28" s="34"/>
      <c r="AE28" s="34"/>
      <c r="AF28" s="34"/>
      <c r="AG28" s="20" t="s">
        <v>177</v>
      </c>
      <c r="AH28" s="20"/>
      <c r="AI28" s="20"/>
      <c r="AJ28" s="20"/>
      <c r="AK28" s="20" t="s">
        <v>113</v>
      </c>
      <c r="AL28" s="26"/>
      <c r="AM28" s="75">
        <f>+AL27</f>
        <v>750</v>
      </c>
      <c r="AN28" s="34"/>
      <c r="AO28" s="56" t="s">
        <v>173</v>
      </c>
      <c r="AP28" s="264">
        <f>-M9</f>
        <v>19181</v>
      </c>
      <c r="AQ28" s="250"/>
      <c r="AR28" s="265">
        <f t="shared" si="16"/>
        <v>-19181</v>
      </c>
      <c r="AS28" s="60">
        <f t="shared" ca="1" si="0"/>
        <v>0</v>
      </c>
      <c r="AT28" s="55">
        <f t="shared" ca="1" si="1"/>
        <v>0</v>
      </c>
      <c r="AU28" s="55">
        <f t="shared" ca="1" si="5"/>
        <v>-19181</v>
      </c>
      <c r="AV28" s="1263"/>
      <c r="AW28" s="1264"/>
      <c r="AX28" s="1264"/>
      <c r="AY28" s="1262">
        <f ca="1">+AU28-AZ28</f>
        <v>-22633.58</v>
      </c>
      <c r="AZ28" s="496">
        <f ca="1">+-AU28*0.18</f>
        <v>3452.58</v>
      </c>
      <c r="BA28" s="496"/>
      <c r="BB28" s="1205"/>
      <c r="BC28" s="1267"/>
      <c r="BD28" s="1271"/>
      <c r="BE28" s="1272"/>
      <c r="BF28" s="1273"/>
      <c r="BG28" s="1274"/>
      <c r="BH28" s="238">
        <f t="shared" ca="1" si="2"/>
        <v>0</v>
      </c>
      <c r="BI28" s="20"/>
      <c r="BJ28" s="20" t="s">
        <v>269</v>
      </c>
      <c r="BK28" s="20"/>
      <c r="BL28" s="20"/>
      <c r="BM28" s="20"/>
      <c r="BN28" s="20"/>
      <c r="BO28" s="20"/>
      <c r="BP28" s="20"/>
      <c r="BQ28" s="20"/>
      <c r="BR28" s="20"/>
      <c r="BS28" s="34">
        <f ca="1">+BE47</f>
        <v>-665.38440493494352</v>
      </c>
      <c r="BT28" s="20"/>
      <c r="BU28" s="1283" t="s">
        <v>1034</v>
      </c>
      <c r="BV28" s="1280"/>
      <c r="BW28" s="1280"/>
      <c r="BX28" s="1280"/>
      <c r="BY28" s="1280"/>
      <c r="BZ28" s="1280"/>
      <c r="CA28" s="1281">
        <f ca="1">+BA20</f>
        <v>-100</v>
      </c>
      <c r="CC28" s="1283" t="s">
        <v>1034</v>
      </c>
      <c r="CD28" s="1280"/>
      <c r="CE28" s="1280"/>
      <c r="CF28" s="1280"/>
      <c r="CG28" s="1280"/>
      <c r="CH28" s="1280"/>
      <c r="CI28" s="1281">
        <f t="shared" ca="1" si="15"/>
        <v>-100</v>
      </c>
    </row>
    <row r="29" spans="1:87" x14ac:dyDescent="0.3">
      <c r="A29" s="20"/>
      <c r="B29" s="16" t="s">
        <v>76</v>
      </c>
      <c r="C29" s="16"/>
      <c r="D29" s="16"/>
      <c r="E29" s="16"/>
      <c r="F29" s="25">
        <f>SUM(F27:F28)</f>
        <v>7624.8657238666437</v>
      </c>
      <c r="G29" s="25">
        <f>SUM(G27:G28)</f>
        <v>13329.481318931699</v>
      </c>
      <c r="H29" s="20"/>
      <c r="I29" s="20" t="s">
        <v>437</v>
      </c>
      <c r="J29" s="20"/>
      <c r="K29" s="20"/>
      <c r="L29" s="20"/>
      <c r="M29" s="34">
        <v>-900</v>
      </c>
      <c r="N29" s="20"/>
      <c r="O29" s="34"/>
      <c r="P29" s="34"/>
      <c r="Q29" s="34"/>
      <c r="R29" s="34"/>
      <c r="S29" s="34"/>
      <c r="T29" s="34"/>
      <c r="U29" s="34"/>
      <c r="V29" s="34"/>
      <c r="W29" s="20"/>
      <c r="X29" s="20"/>
      <c r="Y29" s="34"/>
      <c r="Z29" s="34"/>
      <c r="AA29" s="34"/>
      <c r="AB29" s="49">
        <f>F8</f>
        <v>600</v>
      </c>
      <c r="AC29" s="49">
        <f>G8</f>
        <v>700</v>
      </c>
      <c r="AD29" s="34">
        <f>+F8-AB29</f>
        <v>0</v>
      </c>
      <c r="AE29" s="34">
        <f>+G8-AC29</f>
        <v>0</v>
      </c>
      <c r="AF29" s="34"/>
      <c r="AG29" s="17" t="s">
        <v>211</v>
      </c>
      <c r="AH29" s="16"/>
      <c r="AI29" s="26"/>
      <c r="AJ29" s="26"/>
      <c r="AK29" s="20"/>
      <c r="AL29" s="75"/>
      <c r="AM29" s="75"/>
      <c r="AN29" s="34"/>
      <c r="AO29" s="56" t="s">
        <v>174</v>
      </c>
      <c r="AP29" s="264">
        <f>-M10</f>
        <v>20</v>
      </c>
      <c r="AQ29" s="266"/>
      <c r="AR29" s="265">
        <f t="shared" si="16"/>
        <v>-20</v>
      </c>
      <c r="AS29" s="60">
        <f t="shared" ca="1" si="0"/>
        <v>0</v>
      </c>
      <c r="AT29" s="55">
        <f t="shared" ca="1" si="1"/>
        <v>20</v>
      </c>
      <c r="AU29" s="55">
        <f t="shared" ca="1" si="5"/>
        <v>0</v>
      </c>
      <c r="AV29" s="1263"/>
      <c r="AW29" s="1264"/>
      <c r="AX29" s="1264"/>
      <c r="AY29" s="1262"/>
      <c r="AZ29" s="496"/>
      <c r="BA29" s="496"/>
      <c r="BB29" s="1205"/>
      <c r="BC29" s="1267"/>
      <c r="BD29" s="1271"/>
      <c r="BE29" s="1272"/>
      <c r="BF29" s="1273"/>
      <c r="BG29" s="1274"/>
      <c r="BH29" s="238">
        <f t="shared" ca="1" si="2"/>
        <v>0</v>
      </c>
      <c r="BI29" s="20"/>
      <c r="BJ29" s="20" t="s">
        <v>220</v>
      </c>
      <c r="BK29" s="20"/>
      <c r="BL29" s="20"/>
      <c r="BM29" s="20"/>
      <c r="BN29" s="20"/>
      <c r="BO29" s="20"/>
      <c r="BP29" s="20"/>
      <c r="BQ29" s="75"/>
      <c r="BR29" s="20"/>
      <c r="BS29" s="34">
        <f ca="1">+BF47</f>
        <v>1300</v>
      </c>
      <c r="BT29" s="20"/>
      <c r="BU29" s="1283" t="s">
        <v>505</v>
      </c>
      <c r="BV29" s="1280"/>
      <c r="BW29" s="1280"/>
      <c r="BX29" s="1280"/>
      <c r="BY29" s="1280"/>
      <c r="BZ29" s="1280"/>
      <c r="CA29" s="1281">
        <f ca="1">+BA21</f>
        <v>-850</v>
      </c>
      <c r="CC29" s="1283" t="s">
        <v>505</v>
      </c>
      <c r="CD29" s="1280"/>
      <c r="CE29" s="1280"/>
      <c r="CF29" s="1280"/>
      <c r="CG29" s="1280"/>
      <c r="CH29" s="1280"/>
      <c r="CI29" s="1281">
        <f t="shared" ca="1" si="15"/>
        <v>-850</v>
      </c>
    </row>
    <row r="30" spans="1:87" x14ac:dyDescent="0.3">
      <c r="A30" s="20"/>
      <c r="B30" s="26" t="s">
        <v>80</v>
      </c>
      <c r="C30" s="26"/>
      <c r="D30" s="26"/>
      <c r="E30" s="26"/>
      <c r="F30" s="21"/>
      <c r="G30" s="21"/>
      <c r="H30" s="20"/>
      <c r="I30" s="20" t="s">
        <v>150</v>
      </c>
      <c r="J30" s="20"/>
      <c r="K30" s="20"/>
      <c r="L30" s="20"/>
      <c r="M30" s="32">
        <f>+AC89</f>
        <v>51</v>
      </c>
      <c r="N30" s="20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5"/>
      <c r="AE30" s="35"/>
      <c r="AF30" s="35"/>
      <c r="AG30" s="20" t="s">
        <v>7</v>
      </c>
      <c r="AH30" s="20"/>
      <c r="AI30" s="20"/>
      <c r="AJ30" s="20"/>
      <c r="AK30" s="20" t="s">
        <v>112</v>
      </c>
      <c r="AL30" s="75">
        <f>S13</f>
        <v>600</v>
      </c>
      <c r="AM30" s="75"/>
      <c r="AN30" s="34"/>
      <c r="AO30" s="56" t="s">
        <v>1029</v>
      </c>
      <c r="AP30" s="264">
        <f>-M11</f>
        <v>5000</v>
      </c>
      <c r="AQ30" s="266"/>
      <c r="AR30" s="265">
        <f t="shared" si="16"/>
        <v>-5000</v>
      </c>
      <c r="AS30" s="60">
        <f t="shared" ca="1" si="0"/>
        <v>0</v>
      </c>
      <c r="AT30" s="55">
        <f t="shared" ca="1" si="1"/>
        <v>5000</v>
      </c>
      <c r="AU30" s="55">
        <f t="shared" ca="1" si="5"/>
        <v>0</v>
      </c>
      <c r="AV30" s="1263"/>
      <c r="AW30" s="1264"/>
      <c r="AX30" s="1264"/>
      <c r="AY30" s="1262"/>
      <c r="AZ30" s="496"/>
      <c r="BA30" s="496"/>
      <c r="BB30" s="1205"/>
      <c r="BC30" s="1267"/>
      <c r="BD30" s="1271"/>
      <c r="BE30" s="1272"/>
      <c r="BF30" s="1273"/>
      <c r="BG30" s="1274"/>
      <c r="BH30" s="238">
        <f t="shared" ca="1" si="2"/>
        <v>0</v>
      </c>
      <c r="BI30" s="20"/>
      <c r="BJ30" s="20" t="s">
        <v>142</v>
      </c>
      <c r="BK30" s="20"/>
      <c r="BL30" s="20"/>
      <c r="BM30" s="20"/>
      <c r="BN30" s="20"/>
      <c r="BO30" s="20"/>
      <c r="BP30" s="20"/>
      <c r="BQ30" s="20"/>
      <c r="BR30" s="20"/>
      <c r="BS30" s="34">
        <f ca="1">+BG47</f>
        <v>-229.61559506505637</v>
      </c>
      <c r="BT30" s="20"/>
      <c r="BU30" s="1283" t="s">
        <v>506</v>
      </c>
      <c r="BV30" s="1280"/>
      <c r="BW30" s="1280"/>
      <c r="BX30" s="1280"/>
      <c r="BY30" s="1280"/>
      <c r="BZ30" s="1280"/>
      <c r="CA30" s="1281">
        <f ca="1">+AV22</f>
        <v>100</v>
      </c>
      <c r="CC30" s="1283" t="s">
        <v>506</v>
      </c>
      <c r="CD30" s="1280"/>
      <c r="CE30" s="1280"/>
      <c r="CF30" s="1280"/>
      <c r="CG30" s="1280"/>
      <c r="CH30" s="1280"/>
      <c r="CI30" s="1281">
        <f t="shared" ca="1" si="15"/>
        <v>100</v>
      </c>
    </row>
    <row r="31" spans="1:87" x14ac:dyDescent="0.3">
      <c r="A31" s="20"/>
      <c r="B31" s="20" t="s">
        <v>7</v>
      </c>
      <c r="C31" s="20"/>
      <c r="D31" s="20"/>
      <c r="E31" s="20"/>
      <c r="F31" s="21">
        <v>7000</v>
      </c>
      <c r="G31" s="21">
        <v>5000</v>
      </c>
      <c r="H31" s="20"/>
      <c r="I31" s="16" t="s">
        <v>16</v>
      </c>
      <c r="J31" s="16"/>
      <c r="K31" s="16"/>
      <c r="L31" s="16"/>
      <c r="M31" s="33">
        <f>SUM(M28:M30)</f>
        <v>1859.6155950650564</v>
      </c>
      <c r="N31" s="20"/>
      <c r="O31" s="34"/>
      <c r="P31" s="34"/>
      <c r="Q31" s="34"/>
      <c r="R31" s="34"/>
      <c r="S31" s="34"/>
      <c r="T31" s="34"/>
      <c r="U31" s="34"/>
      <c r="V31" s="35"/>
      <c r="W31" s="26" t="s">
        <v>730</v>
      </c>
      <c r="X31" s="26"/>
      <c r="Y31" s="34"/>
      <c r="Z31" s="34"/>
      <c r="AA31" s="34"/>
      <c r="AB31" s="35">
        <v>2020</v>
      </c>
      <c r="AC31" s="35">
        <v>2019</v>
      </c>
      <c r="AD31" s="35"/>
      <c r="AE31" s="35"/>
      <c r="AF31" s="35"/>
      <c r="AG31" s="20" t="s">
        <v>170</v>
      </c>
      <c r="AH31" s="20"/>
      <c r="AI31" s="20"/>
      <c r="AJ31" s="20"/>
      <c r="AK31" s="20" t="s">
        <v>112</v>
      </c>
      <c r="AL31" s="75"/>
      <c r="AM31" s="75">
        <f>+AL30</f>
        <v>600</v>
      </c>
      <c r="AO31" s="53" t="s">
        <v>176</v>
      </c>
      <c r="AP31" s="250">
        <f>-M13</f>
        <v>-2500</v>
      </c>
      <c r="AQ31" s="266"/>
      <c r="AR31" s="265">
        <f t="shared" si="16"/>
        <v>2500</v>
      </c>
      <c r="AS31" s="60">
        <f t="shared" ca="1" si="0"/>
        <v>2500</v>
      </c>
      <c r="AT31" s="55">
        <f t="shared" ca="1" si="1"/>
        <v>0</v>
      </c>
      <c r="AU31" s="55">
        <f t="shared" ca="1" si="5"/>
        <v>0</v>
      </c>
      <c r="AV31" s="1263"/>
      <c r="AW31" s="1264"/>
      <c r="AX31" s="1264"/>
      <c r="AY31" s="1262"/>
      <c r="AZ31" s="496"/>
      <c r="BA31" s="496"/>
      <c r="BB31" s="1205"/>
      <c r="BC31" s="1267"/>
      <c r="BD31" s="1271"/>
      <c r="BE31" s="1272"/>
      <c r="BF31" s="1273"/>
      <c r="BG31" s="1274"/>
      <c r="BH31" s="238">
        <f t="shared" ca="1" si="2"/>
        <v>0</v>
      </c>
      <c r="BI31" s="20"/>
      <c r="BJ31" s="16" t="s">
        <v>1100</v>
      </c>
      <c r="BK31" s="17"/>
      <c r="BL31" s="17"/>
      <c r="BM31" s="17"/>
      <c r="BN31" s="17"/>
      <c r="BO31" s="17"/>
      <c r="BP31" s="17"/>
      <c r="BQ31" s="17"/>
      <c r="BR31" s="17"/>
      <c r="BS31" s="48"/>
      <c r="BT31" s="20"/>
      <c r="BU31" s="16" t="s">
        <v>145</v>
      </c>
      <c r="BV31" s="16"/>
      <c r="BW31" s="16"/>
      <c r="BX31" s="16"/>
      <c r="BY31" s="16"/>
      <c r="BZ31" s="16"/>
      <c r="CA31" s="48">
        <f ca="1">SUM(CA8:CA30)</f>
        <v>4564.22</v>
      </c>
      <c r="CC31" s="16" t="s">
        <v>145</v>
      </c>
      <c r="CD31" s="16"/>
      <c r="CE31" s="16"/>
      <c r="CF31" s="16"/>
      <c r="CG31" s="16"/>
      <c r="CH31" s="16"/>
      <c r="CI31" s="48">
        <f ca="1">SUM(CI8:CI30)</f>
        <v>4564.22</v>
      </c>
    </row>
    <row r="32" spans="1:87" x14ac:dyDescent="0.3">
      <c r="A32" s="20"/>
      <c r="B32" s="20" t="s">
        <v>8</v>
      </c>
      <c r="C32" s="20"/>
      <c r="D32" s="20"/>
      <c r="E32" s="20"/>
      <c r="F32" s="32">
        <v>4530</v>
      </c>
      <c r="G32" s="32">
        <v>3000</v>
      </c>
      <c r="H32" s="20"/>
      <c r="I32" s="34"/>
      <c r="J32" s="34"/>
      <c r="K32" s="34"/>
      <c r="L32" s="34"/>
      <c r="M32" s="34"/>
      <c r="N32" s="20"/>
      <c r="O32" s="34"/>
      <c r="P32" s="34"/>
      <c r="Q32" s="34"/>
      <c r="R32" s="34"/>
      <c r="S32" s="34"/>
      <c r="T32" s="34"/>
      <c r="U32" s="34"/>
      <c r="V32" s="35"/>
      <c r="W32" s="34"/>
      <c r="X32" s="34"/>
      <c r="Y32" s="34"/>
      <c r="Z32" s="34"/>
      <c r="AA32" s="34"/>
      <c r="AB32" s="35" t="s">
        <v>387</v>
      </c>
      <c r="AC32" s="35" t="s">
        <v>387</v>
      </c>
      <c r="AD32" s="35"/>
      <c r="AE32" s="35"/>
      <c r="AF32" s="35"/>
      <c r="AG32" s="17" t="s">
        <v>212</v>
      </c>
      <c r="AH32" s="16"/>
      <c r="AI32" s="26"/>
      <c r="AJ32" s="26"/>
      <c r="AK32" s="20"/>
      <c r="AL32" s="75"/>
      <c r="AM32" s="75"/>
      <c r="AN32" s="34"/>
      <c r="AO32" s="53" t="s">
        <v>86</v>
      </c>
      <c r="AP32" s="264"/>
      <c r="AQ32" s="266"/>
      <c r="AR32" s="265">
        <f t="shared" si="16"/>
        <v>0</v>
      </c>
      <c r="AS32" s="60">
        <f t="shared" ca="1" si="0"/>
        <v>0</v>
      </c>
      <c r="AT32" s="55">
        <f t="shared" ca="1" si="1"/>
        <v>0</v>
      </c>
      <c r="AU32" s="55">
        <f t="shared" ca="1" si="5"/>
        <v>0</v>
      </c>
      <c r="AV32" s="1263"/>
      <c r="AW32" s="1264"/>
      <c r="AX32" s="1264"/>
      <c r="AY32" s="1262"/>
      <c r="AZ32" s="496"/>
      <c r="BA32" s="496"/>
      <c r="BB32" s="1205"/>
      <c r="BC32" s="1267"/>
      <c r="BD32" s="1271"/>
      <c r="BE32" s="1272"/>
      <c r="BF32" s="1273"/>
      <c r="BG32" s="1274"/>
      <c r="BH32" s="238">
        <f t="shared" ca="1" si="2"/>
        <v>0</v>
      </c>
      <c r="BI32" s="20"/>
      <c r="BJ32" s="16" t="s">
        <v>1101</v>
      </c>
      <c r="BK32" s="17"/>
      <c r="BL32" s="17"/>
      <c r="BM32" s="17"/>
      <c r="BN32" s="17"/>
      <c r="BO32" s="17"/>
      <c r="BP32" s="17"/>
      <c r="BQ32" s="17"/>
      <c r="BR32" s="17"/>
      <c r="BS32" s="48">
        <f ca="1">SUM(BS27:BS30)</f>
        <v>-5529.6155950650573</v>
      </c>
      <c r="BT32" s="20"/>
      <c r="BU32" s="26"/>
      <c r="BV32" s="20"/>
      <c r="BW32" s="20"/>
      <c r="BX32" s="20"/>
      <c r="BY32" s="20"/>
      <c r="BZ32" s="20"/>
      <c r="CA32" s="34"/>
    </row>
    <row r="33" spans="1:79" x14ac:dyDescent="0.3">
      <c r="A33" s="20"/>
      <c r="B33" s="16" t="s">
        <v>81</v>
      </c>
      <c r="C33" s="16"/>
      <c r="D33" s="16"/>
      <c r="E33" s="16"/>
      <c r="F33" s="33">
        <f>SUM(F31:F32)</f>
        <v>11530</v>
      </c>
      <c r="G33" s="33">
        <f>SUM(G31:G32)</f>
        <v>8000</v>
      </c>
      <c r="H33" s="34"/>
      <c r="I33" s="34"/>
      <c r="J33" s="34"/>
      <c r="K33" s="34"/>
      <c r="L33" s="34"/>
      <c r="M33" s="34"/>
      <c r="N33" s="20"/>
      <c r="O33" s="34"/>
      <c r="P33" s="34"/>
      <c r="Q33" s="34"/>
      <c r="R33" s="34"/>
      <c r="S33" s="34"/>
      <c r="T33" s="34"/>
      <c r="U33" s="34"/>
      <c r="V33" s="35"/>
      <c r="W33" s="26" t="s">
        <v>30</v>
      </c>
      <c r="X33" s="26"/>
      <c r="Y33" s="37"/>
      <c r="Z33" s="37"/>
      <c r="AA33" s="37"/>
      <c r="AB33" s="37">
        <f>+AC35</f>
        <v>80</v>
      </c>
      <c r="AC33" s="37">
        <v>50</v>
      </c>
      <c r="AD33" s="34"/>
      <c r="AE33" s="34"/>
      <c r="AF33" s="34"/>
      <c r="AG33" s="20" t="s">
        <v>7</v>
      </c>
      <c r="AH33" s="20"/>
      <c r="AI33" s="20"/>
      <c r="AJ33" s="20"/>
      <c r="AK33" s="20" t="s">
        <v>112</v>
      </c>
      <c r="AL33" s="75">
        <f>S12</f>
        <v>100</v>
      </c>
      <c r="AM33" s="75"/>
      <c r="AN33" s="34"/>
      <c r="AO33" s="56" t="s">
        <v>11</v>
      </c>
      <c r="AP33" s="264">
        <f>-M15</f>
        <v>300</v>
      </c>
      <c r="AQ33" s="266"/>
      <c r="AR33" s="265">
        <f t="shared" si="16"/>
        <v>-300</v>
      </c>
      <c r="AS33" s="60">
        <f t="shared" ca="1" si="0"/>
        <v>0</v>
      </c>
      <c r="AT33" s="55">
        <f t="shared" ca="1" si="1"/>
        <v>0</v>
      </c>
      <c r="AU33" s="55">
        <f t="shared" ca="1" si="5"/>
        <v>-300</v>
      </c>
      <c r="AV33" s="1262"/>
      <c r="AW33" s="496">
        <f ca="1">+AU33</f>
        <v>-300</v>
      </c>
      <c r="AX33" s="496"/>
      <c r="AY33" s="1262"/>
      <c r="AZ33" s="496"/>
      <c r="BA33" s="496"/>
      <c r="BB33" s="1206"/>
      <c r="BC33" s="1266"/>
      <c r="BD33" s="1268"/>
      <c r="BE33" s="1269"/>
      <c r="BF33" s="1270"/>
      <c r="BG33" s="584"/>
      <c r="BH33" s="238">
        <f t="shared" ca="1" si="2"/>
        <v>0</v>
      </c>
      <c r="BI33" s="20"/>
      <c r="BJ33" s="26"/>
      <c r="BK33" s="20"/>
      <c r="BL33" s="20"/>
      <c r="BM33" s="20"/>
      <c r="BN33" s="20"/>
      <c r="BO33" s="20"/>
      <c r="BP33" s="20"/>
      <c r="BQ33" s="20"/>
      <c r="BR33" s="20"/>
      <c r="BS33" s="37"/>
      <c r="BT33" s="20"/>
      <c r="BU33" s="26"/>
      <c r="BV33" s="20"/>
      <c r="BW33" s="20"/>
      <c r="BX33" s="20"/>
      <c r="BY33" s="20"/>
      <c r="BZ33" s="20"/>
      <c r="CA33" s="34"/>
    </row>
    <row r="34" spans="1:79" x14ac:dyDescent="0.3">
      <c r="A34" s="20"/>
      <c r="B34" s="16" t="s">
        <v>82</v>
      </c>
      <c r="C34" s="16"/>
      <c r="D34" s="16"/>
      <c r="E34" s="16"/>
      <c r="F34" s="25">
        <f>+F29+F33</f>
        <v>19154.865723866642</v>
      </c>
      <c r="G34" s="25">
        <f>+G29+G33</f>
        <v>21329.481318931699</v>
      </c>
      <c r="H34" s="34"/>
      <c r="I34" s="34"/>
      <c r="J34" s="34"/>
      <c r="K34" s="34"/>
      <c r="L34" s="34"/>
      <c r="M34" s="34"/>
      <c r="N34" s="20"/>
      <c r="O34" s="34"/>
      <c r="P34" s="34"/>
      <c r="Q34" s="34"/>
      <c r="R34" s="34"/>
      <c r="S34" s="34"/>
      <c r="T34" s="34"/>
      <c r="U34" s="34"/>
      <c r="V34" s="34"/>
      <c r="W34" s="20" t="s">
        <v>93</v>
      </c>
      <c r="X34" s="20"/>
      <c r="Y34" s="34"/>
      <c r="Z34" s="34"/>
      <c r="AA34" s="34"/>
      <c r="AB34" s="34">
        <f>+AB35-AB33</f>
        <v>20</v>
      </c>
      <c r="AC34" s="34">
        <f>+AC35-AC33</f>
        <v>30</v>
      </c>
      <c r="AD34" s="34"/>
      <c r="AE34" s="34"/>
      <c r="AF34" s="34"/>
      <c r="AG34" s="20" t="s">
        <v>8</v>
      </c>
      <c r="AH34" s="20"/>
      <c r="AI34" s="20"/>
      <c r="AJ34" s="20"/>
      <c r="AK34" s="20" t="s">
        <v>112</v>
      </c>
      <c r="AL34" s="75"/>
      <c r="AM34" s="75">
        <f>+AL33</f>
        <v>100</v>
      </c>
      <c r="AN34" s="34"/>
      <c r="AO34" s="56" t="s">
        <v>87</v>
      </c>
      <c r="AP34" s="264">
        <f>-M16</f>
        <v>400</v>
      </c>
      <c r="AQ34" s="266"/>
      <c r="AR34" s="265">
        <f t="shared" si="16"/>
        <v>-400</v>
      </c>
      <c r="AS34" s="60">
        <f t="shared" ca="1" si="0"/>
        <v>0</v>
      </c>
      <c r="AT34" s="55">
        <f t="shared" ca="1" si="1"/>
        <v>0</v>
      </c>
      <c r="AU34" s="55">
        <f t="shared" ca="1" si="5"/>
        <v>-400</v>
      </c>
      <c r="AV34" s="1262"/>
      <c r="AW34" s="496"/>
      <c r="AX34" s="496"/>
      <c r="AY34" s="1262">
        <f ca="1">+AU34*(1+18%)</f>
        <v>-472</v>
      </c>
      <c r="AZ34" s="496">
        <f ca="1">+AU34-AY34</f>
        <v>72</v>
      </c>
      <c r="BA34" s="496"/>
      <c r="BB34" s="1206"/>
      <c r="BC34" s="1266"/>
      <c r="BD34" s="1268"/>
      <c r="BE34" s="1269"/>
      <c r="BF34" s="1270"/>
      <c r="BG34" s="584"/>
      <c r="BH34" s="238">
        <f t="shared" ca="1" si="2"/>
        <v>0</v>
      </c>
      <c r="BI34" s="20"/>
      <c r="BJ34" s="16" t="s">
        <v>148</v>
      </c>
      <c r="BK34" s="17"/>
      <c r="BL34" s="17"/>
      <c r="BM34" s="17"/>
      <c r="BN34" s="17"/>
      <c r="BO34" s="17"/>
      <c r="BP34" s="17"/>
      <c r="BQ34" s="17"/>
      <c r="BR34" s="17"/>
      <c r="BS34" s="48">
        <f ca="1">+BS18+BS24+BS32</f>
        <v>-5665.3955950650598</v>
      </c>
      <c r="BT34" s="20"/>
      <c r="BU34" s="20"/>
      <c r="BV34" s="20"/>
      <c r="BW34" s="20"/>
      <c r="BX34" s="20"/>
      <c r="BY34" s="20"/>
      <c r="BZ34" s="20"/>
      <c r="CA34" s="34"/>
    </row>
    <row r="35" spans="1:79" x14ac:dyDescent="0.3">
      <c r="A35" s="20"/>
      <c r="B35" s="26"/>
      <c r="C35" s="26"/>
      <c r="D35" s="26"/>
      <c r="E35" s="26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26" t="s">
        <v>32</v>
      </c>
      <c r="X35" s="26"/>
      <c r="Y35" s="37"/>
      <c r="Z35" s="37"/>
      <c r="AA35" s="37"/>
      <c r="AB35" s="49">
        <f>-AB28</f>
        <v>100</v>
      </c>
      <c r="AC35" s="49">
        <f>-AC28</f>
        <v>80</v>
      </c>
      <c r="AD35" s="37">
        <f>+AB35+AB28</f>
        <v>0</v>
      </c>
      <c r="AE35" s="37">
        <f>+AC35+AC28</f>
        <v>0</v>
      </c>
      <c r="AF35" s="37"/>
      <c r="AG35" s="20"/>
      <c r="AH35" s="20"/>
      <c r="AI35" s="20"/>
      <c r="AJ35" s="20"/>
      <c r="AK35" s="20"/>
      <c r="AL35" s="75"/>
      <c r="AM35" s="75"/>
      <c r="AN35" s="34"/>
      <c r="AO35" s="56" t="s">
        <v>177</v>
      </c>
      <c r="AP35" s="264">
        <f>-M17</f>
        <v>750</v>
      </c>
      <c r="AQ35" s="266"/>
      <c r="AR35" s="265">
        <f t="shared" si="16"/>
        <v>-750</v>
      </c>
      <c r="AS35" s="60">
        <f t="shared" ca="1" si="0"/>
        <v>0</v>
      </c>
      <c r="AT35" s="55">
        <f t="shared" ca="1" si="1"/>
        <v>750</v>
      </c>
      <c r="AU35" s="55">
        <f t="shared" ca="1" si="5"/>
        <v>0</v>
      </c>
      <c r="AV35" s="1262"/>
      <c r="AW35" s="496"/>
      <c r="AX35" s="496"/>
      <c r="AY35" s="1262"/>
      <c r="AZ35" s="496"/>
      <c r="BA35" s="496"/>
      <c r="BB35" s="1206"/>
      <c r="BC35" s="1266"/>
      <c r="BD35" s="1268"/>
      <c r="BE35" s="1269"/>
      <c r="BF35" s="1270"/>
      <c r="BG35" s="584"/>
      <c r="BH35" s="238">
        <f t="shared" ca="1" si="2"/>
        <v>0</v>
      </c>
      <c r="BI35" s="20"/>
      <c r="BJ35" s="16" t="s">
        <v>47</v>
      </c>
      <c r="BK35" s="17"/>
      <c r="BL35" s="17"/>
      <c r="BM35" s="17"/>
      <c r="BN35" s="17"/>
      <c r="BO35" s="17"/>
      <c r="BP35" s="17"/>
      <c r="BQ35" s="17"/>
      <c r="BR35" s="17"/>
      <c r="BS35" s="48">
        <f>+AQ7</f>
        <v>7275</v>
      </c>
      <c r="BT35" s="20"/>
      <c r="BU35" s="20"/>
      <c r="BV35" s="20"/>
      <c r="BW35" s="20"/>
      <c r="BX35" s="20"/>
      <c r="BY35" s="20"/>
      <c r="BZ35" s="20"/>
      <c r="CA35" s="34"/>
    </row>
    <row r="36" spans="1:79" x14ac:dyDescent="0.3">
      <c r="A36" s="20"/>
      <c r="B36" s="20"/>
      <c r="C36" s="20"/>
      <c r="D36" s="20"/>
      <c r="E36" s="20"/>
      <c r="F36" s="218">
        <f>+F15-F34</f>
        <v>-8.5723866643093061E-2</v>
      </c>
      <c r="G36" s="218">
        <f>+G15-G34</f>
        <v>-0.48131893169920659</v>
      </c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7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16"/>
      <c r="AH36" s="16"/>
      <c r="AI36" s="16"/>
      <c r="AJ36" s="16"/>
      <c r="AK36" s="16"/>
      <c r="AL36" s="217">
        <f>SUM(AL7:AL34)</f>
        <v>9491</v>
      </c>
      <c r="AM36" s="217">
        <f>SUM(AM7:AM34)</f>
        <v>9491</v>
      </c>
      <c r="AN36" s="34"/>
      <c r="AO36" s="56" t="s">
        <v>216</v>
      </c>
      <c r="AP36" s="264">
        <f>-M18</f>
        <v>100</v>
      </c>
      <c r="AQ36" s="266"/>
      <c r="AR36" s="265">
        <f t="shared" si="16"/>
        <v>-100</v>
      </c>
      <c r="AS36" s="60">
        <f t="shared" ca="1" si="0"/>
        <v>0</v>
      </c>
      <c r="AT36" s="55">
        <f t="shared" ca="1" si="1"/>
        <v>100</v>
      </c>
      <c r="AU36" s="55">
        <f t="shared" ca="1" si="5"/>
        <v>0</v>
      </c>
      <c r="AV36" s="1262"/>
      <c r="AW36" s="496"/>
      <c r="AX36" s="496"/>
      <c r="AY36" s="1262"/>
      <c r="AZ36" s="496"/>
      <c r="BA36" s="496"/>
      <c r="BB36" s="1206"/>
      <c r="BC36" s="1266"/>
      <c r="BD36" s="1268"/>
      <c r="BE36" s="1269"/>
      <c r="BF36" s="1270"/>
      <c r="BG36" s="584"/>
      <c r="BH36" s="238">
        <f t="shared" ca="1" si="2"/>
        <v>0</v>
      </c>
      <c r="BI36" s="20"/>
      <c r="BJ36" s="16" t="s">
        <v>49</v>
      </c>
      <c r="BK36" s="17"/>
      <c r="BL36" s="17"/>
      <c r="BM36" s="17"/>
      <c r="BN36" s="17"/>
      <c r="BO36" s="17"/>
      <c r="BP36" s="17"/>
      <c r="BQ36" s="17"/>
      <c r="BR36" s="17"/>
      <c r="BS36" s="48">
        <f ca="1">+BS34+BS35</f>
        <v>1609.6044049349402</v>
      </c>
      <c r="BT36" s="20"/>
      <c r="BU36" s="20"/>
      <c r="BV36" s="20"/>
      <c r="BW36" s="20"/>
      <c r="BX36" s="20"/>
      <c r="BY36" s="20"/>
      <c r="BZ36" s="20"/>
      <c r="CA36" s="34"/>
    </row>
    <row r="37" spans="1:79" x14ac:dyDescent="0.3">
      <c r="A37" s="20"/>
      <c r="B37" s="20"/>
      <c r="C37" s="20"/>
      <c r="D37" s="20"/>
      <c r="E37" s="20"/>
      <c r="F37" s="20"/>
      <c r="G37" s="218">
        <f>+G31-S10</f>
        <v>0</v>
      </c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7"/>
      <c r="W37" s="26" t="s">
        <v>1106</v>
      </c>
      <c r="X37" s="34"/>
      <c r="Y37" s="34"/>
      <c r="Z37" s="34"/>
      <c r="AA37" s="34"/>
      <c r="AB37" s="34"/>
      <c r="AC37" s="35" t="s">
        <v>3</v>
      </c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53" t="s">
        <v>85</v>
      </c>
      <c r="AP37" s="264"/>
      <c r="AQ37" s="266"/>
      <c r="AR37" s="265">
        <f t="shared" si="16"/>
        <v>0</v>
      </c>
      <c r="AS37" s="60">
        <f t="shared" ca="1" si="0"/>
        <v>0</v>
      </c>
      <c r="AT37" s="55">
        <f t="shared" ca="1" si="1"/>
        <v>0</v>
      </c>
      <c r="AU37" s="55">
        <f t="shared" ca="1" si="5"/>
        <v>0</v>
      </c>
      <c r="AV37" s="1262"/>
      <c r="AW37" s="496"/>
      <c r="AX37" s="496"/>
      <c r="AY37" s="1262"/>
      <c r="AZ37" s="496"/>
      <c r="BA37" s="496"/>
      <c r="BB37" s="1206"/>
      <c r="BC37" s="1266"/>
      <c r="BD37" s="1268"/>
      <c r="BE37" s="1269"/>
      <c r="BF37" s="1270"/>
      <c r="BG37" s="584"/>
      <c r="BH37" s="238">
        <f t="shared" ca="1" si="2"/>
        <v>0</v>
      </c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34"/>
    </row>
    <row r="38" spans="1:79" x14ac:dyDescent="0.3">
      <c r="A38" s="20"/>
      <c r="B38" s="20"/>
      <c r="C38" s="20"/>
      <c r="D38" s="20"/>
      <c r="E38" s="20"/>
      <c r="F38" s="20"/>
      <c r="G38" s="218">
        <f>+G32-T10</f>
        <v>0</v>
      </c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7"/>
      <c r="W38" s="20" t="s">
        <v>30</v>
      </c>
      <c r="X38" s="34"/>
      <c r="Y38" s="34"/>
      <c r="Z38" s="34"/>
      <c r="AA38" s="34"/>
      <c r="AB38" s="34"/>
      <c r="AC38" s="34">
        <f>+AC27</f>
        <v>780</v>
      </c>
      <c r="AD38" s="34"/>
      <c r="AE38" s="34"/>
      <c r="AF38" s="34"/>
      <c r="AG38" s="17" t="s">
        <v>1019</v>
      </c>
      <c r="AH38" s="46"/>
      <c r="AI38" s="46"/>
      <c r="AJ38" s="46"/>
      <c r="AK38" s="46"/>
      <c r="AL38" s="46"/>
      <c r="AM38" s="46"/>
      <c r="AN38" s="34"/>
      <c r="AO38" s="56" t="s">
        <v>11</v>
      </c>
      <c r="AP38" s="264">
        <f t="shared" ref="AP38:AP43" si="17">-M20</f>
        <v>2200</v>
      </c>
      <c r="AQ38" s="266"/>
      <c r="AR38" s="265">
        <f t="shared" si="16"/>
        <v>-2200</v>
      </c>
      <c r="AS38" s="60">
        <f t="shared" ca="1" si="0"/>
        <v>0</v>
      </c>
      <c r="AT38" s="55">
        <f t="shared" ca="1" si="1"/>
        <v>0</v>
      </c>
      <c r="AU38" s="55">
        <f t="shared" ca="1" si="5"/>
        <v>-2200</v>
      </c>
      <c r="AV38" s="1262"/>
      <c r="AW38" s="496">
        <f ca="1">+AU38</f>
        <v>-2200</v>
      </c>
      <c r="AX38" s="496"/>
      <c r="AY38" s="1262"/>
      <c r="AZ38" s="496"/>
      <c r="BA38" s="496"/>
      <c r="BB38" s="1206"/>
      <c r="BC38" s="1266"/>
      <c r="BD38" s="1268"/>
      <c r="BE38" s="1269"/>
      <c r="BF38" s="1270"/>
      <c r="BG38" s="584"/>
      <c r="BH38" s="238">
        <f t="shared" ca="1" si="2"/>
        <v>0</v>
      </c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34"/>
    </row>
    <row r="39" spans="1:79" x14ac:dyDescent="0.3">
      <c r="A39" s="20"/>
      <c r="B39" s="20"/>
      <c r="C39" s="20"/>
      <c r="D39" s="20"/>
      <c r="E39" s="20"/>
      <c r="F39" s="20"/>
      <c r="G39" s="218">
        <f>+F31-S16</f>
        <v>0</v>
      </c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7"/>
      <c r="W39" s="20" t="s">
        <v>34</v>
      </c>
      <c r="X39" s="34"/>
      <c r="Y39" s="34"/>
      <c r="Z39" s="34"/>
      <c r="AA39" s="34"/>
      <c r="AB39" s="34"/>
      <c r="AC39" s="34">
        <v>19101</v>
      </c>
      <c r="AD39" s="34"/>
      <c r="AE39" s="34"/>
      <c r="AF39" s="34"/>
      <c r="AG39" s="28" t="s">
        <v>92</v>
      </c>
      <c r="AH39" s="34"/>
      <c r="AI39" s="34"/>
      <c r="AJ39" s="34"/>
      <c r="AK39" s="34"/>
      <c r="AL39" s="34"/>
      <c r="AM39" s="34">
        <f>+AM8</f>
        <v>150</v>
      </c>
      <c r="AN39" s="34"/>
      <c r="AO39" s="56" t="s">
        <v>37</v>
      </c>
      <c r="AP39" s="264">
        <f t="shared" si="17"/>
        <v>980</v>
      </c>
      <c r="AQ39" s="266"/>
      <c r="AR39" s="265">
        <f t="shared" si="16"/>
        <v>-980</v>
      </c>
      <c r="AS39" s="60">
        <f t="shared" ca="1" si="0"/>
        <v>0</v>
      </c>
      <c r="AT39" s="55">
        <f t="shared" ca="1" si="1"/>
        <v>0</v>
      </c>
      <c r="AU39" s="55">
        <f t="shared" ca="1" si="5"/>
        <v>-980</v>
      </c>
      <c r="AV39" s="1262"/>
      <c r="AW39" s="496"/>
      <c r="AX39" s="496"/>
      <c r="AY39" s="1262">
        <f ca="1">+AU39*(1+18%)</f>
        <v>-1156.3999999999999</v>
      </c>
      <c r="AZ39" s="496">
        <f ca="1">+AU39-AY39</f>
        <v>176.39999999999986</v>
      </c>
      <c r="BA39" s="496"/>
      <c r="BB39" s="1206"/>
      <c r="BC39" s="1266"/>
      <c r="BD39" s="1268"/>
      <c r="BE39" s="1269"/>
      <c r="BF39" s="1270"/>
      <c r="BG39" s="584"/>
      <c r="BH39" s="238">
        <f t="shared" ca="1" si="2"/>
        <v>0</v>
      </c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34"/>
    </row>
    <row r="40" spans="1:79" x14ac:dyDescent="0.3">
      <c r="A40" s="20"/>
      <c r="B40" s="20"/>
      <c r="C40" s="20"/>
      <c r="D40" s="20"/>
      <c r="E40" s="20"/>
      <c r="F40" s="20"/>
      <c r="G40" s="218">
        <f>+F32-T16</f>
        <v>0.38440493494363182</v>
      </c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7"/>
      <c r="W40" s="20" t="s">
        <v>1022</v>
      </c>
      <c r="X40" s="34"/>
      <c r="Y40" s="34"/>
      <c r="Z40" s="34"/>
      <c r="AA40" s="34"/>
      <c r="AB40" s="34"/>
      <c r="AC40" s="34">
        <f>-AB27</f>
        <v>-700</v>
      </c>
      <c r="AD40" s="34"/>
      <c r="AE40" s="34"/>
      <c r="AF40" s="34"/>
      <c r="AG40" s="28" t="s">
        <v>174</v>
      </c>
      <c r="AH40" s="34"/>
      <c r="AI40" s="34"/>
      <c r="AJ40" s="34"/>
      <c r="AK40" s="34"/>
      <c r="AL40" s="34"/>
      <c r="AM40" s="34">
        <f>+AM11</f>
        <v>20</v>
      </c>
      <c r="AN40" s="34"/>
      <c r="AO40" s="56" t="s">
        <v>175</v>
      </c>
      <c r="AP40" s="264">
        <f t="shared" si="17"/>
        <v>440</v>
      </c>
      <c r="AQ40" s="266"/>
      <c r="AR40" s="265">
        <f t="shared" si="16"/>
        <v>-440</v>
      </c>
      <c r="AS40" s="60">
        <f t="shared" ca="1" si="0"/>
        <v>0</v>
      </c>
      <c r="AT40" s="55">
        <f t="shared" ca="1" si="1"/>
        <v>0</v>
      </c>
      <c r="AU40" s="55">
        <f t="shared" ca="1" si="5"/>
        <v>-440</v>
      </c>
      <c r="AV40" s="1262"/>
      <c r="AW40" s="496"/>
      <c r="AX40" s="496"/>
      <c r="AY40" s="1262">
        <f ca="1">+AU40*(1+18%)</f>
        <v>-519.19999999999993</v>
      </c>
      <c r="AZ40" s="496">
        <f ca="1">+AU40-AY40</f>
        <v>79.199999999999932</v>
      </c>
      <c r="BA40" s="496"/>
      <c r="BB40" s="1206"/>
      <c r="BC40" s="1266"/>
      <c r="BD40" s="1268"/>
      <c r="BE40" s="1269"/>
      <c r="BF40" s="1270"/>
      <c r="BG40" s="584"/>
      <c r="BH40" s="238">
        <f t="shared" ca="1" si="2"/>
        <v>0</v>
      </c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34"/>
    </row>
    <row r="41" spans="1:79" x14ac:dyDescent="0.3">
      <c r="A41" s="20"/>
      <c r="B41" s="20"/>
      <c r="C41" s="20"/>
      <c r="D41" s="20"/>
      <c r="E41" s="20"/>
      <c r="F41" s="20"/>
      <c r="G41" s="20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7"/>
      <c r="W41" s="17" t="s">
        <v>1023</v>
      </c>
      <c r="X41" s="46"/>
      <c r="Y41" s="46"/>
      <c r="Z41" s="46"/>
      <c r="AA41" s="46"/>
      <c r="AB41" s="46"/>
      <c r="AC41" s="1155">
        <f>SUM(AC38:AC40)</f>
        <v>19181</v>
      </c>
      <c r="AD41" s="34"/>
      <c r="AE41" s="34"/>
      <c r="AF41" s="34"/>
      <c r="AG41" s="28" t="s">
        <v>176</v>
      </c>
      <c r="AH41" s="20"/>
      <c r="AI41" s="20"/>
      <c r="AJ41" s="20"/>
      <c r="AK41" s="20"/>
      <c r="AL41" s="20"/>
      <c r="AM41" s="34">
        <f>-AM14</f>
        <v>-2500</v>
      </c>
      <c r="AN41" s="34"/>
      <c r="AO41" s="56" t="s">
        <v>92</v>
      </c>
      <c r="AP41" s="264">
        <f t="shared" si="17"/>
        <v>150</v>
      </c>
      <c r="AQ41" s="266"/>
      <c r="AR41" s="265">
        <f t="shared" si="16"/>
        <v>-150</v>
      </c>
      <c r="AS41" s="60">
        <f t="shared" ca="1" si="0"/>
        <v>0</v>
      </c>
      <c r="AT41" s="55">
        <f t="shared" ca="1" si="1"/>
        <v>150</v>
      </c>
      <c r="AU41" s="55">
        <f t="shared" ca="1" si="5"/>
        <v>0</v>
      </c>
      <c r="AV41" s="1262"/>
      <c r="AW41" s="496"/>
      <c r="AX41" s="496"/>
      <c r="AY41" s="1262"/>
      <c r="AZ41" s="496"/>
      <c r="BA41" s="496"/>
      <c r="BB41" s="1206"/>
      <c r="BC41" s="1266"/>
      <c r="BD41" s="1268"/>
      <c r="BE41" s="1269"/>
      <c r="BF41" s="1270"/>
      <c r="BG41" s="584"/>
      <c r="BH41" s="238">
        <f t="shared" ca="1" si="2"/>
        <v>0</v>
      </c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34"/>
    </row>
    <row r="42" spans="1:79" x14ac:dyDescent="0.3">
      <c r="A42" s="20"/>
      <c r="B42" s="20"/>
      <c r="C42" s="20"/>
      <c r="D42" s="20"/>
      <c r="E42" s="20"/>
      <c r="F42" s="20"/>
      <c r="G42" s="20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7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28" t="s">
        <v>1018</v>
      </c>
      <c r="AH42" s="20"/>
      <c r="AI42" s="20"/>
      <c r="AJ42" s="20"/>
      <c r="AK42" s="20"/>
      <c r="AL42" s="20"/>
      <c r="AM42" s="34">
        <f>+AL16</f>
        <v>120</v>
      </c>
      <c r="AN42" s="34"/>
      <c r="AO42" s="56" t="s">
        <v>178</v>
      </c>
      <c r="AP42" s="264">
        <f t="shared" si="17"/>
        <v>120</v>
      </c>
      <c r="AQ42" s="266"/>
      <c r="AR42" s="265">
        <f t="shared" si="16"/>
        <v>-120</v>
      </c>
      <c r="AS42" s="60">
        <f t="shared" ca="1" si="0"/>
        <v>0</v>
      </c>
      <c r="AT42" s="55">
        <f t="shared" ca="1" si="1"/>
        <v>120</v>
      </c>
      <c r="AU42" s="55">
        <f t="shared" ca="1" si="5"/>
        <v>0</v>
      </c>
      <c r="AV42" s="1262"/>
      <c r="AW42" s="496"/>
      <c r="AX42" s="496"/>
      <c r="AY42" s="1262"/>
      <c r="AZ42" s="496"/>
      <c r="BA42" s="496"/>
      <c r="BB42" s="1206"/>
      <c r="BC42" s="1266"/>
      <c r="BD42" s="1268"/>
      <c r="BE42" s="1269"/>
      <c r="BF42" s="1270"/>
      <c r="BG42" s="584"/>
      <c r="BH42" s="238">
        <f t="shared" ca="1" si="2"/>
        <v>0</v>
      </c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8"/>
      <c r="BV42" s="28"/>
      <c r="BW42" s="28"/>
      <c r="BX42" s="28"/>
      <c r="BY42" s="28"/>
      <c r="BZ42" s="28"/>
      <c r="CA42" s="34"/>
    </row>
    <row r="43" spans="1:79" x14ac:dyDescent="0.3">
      <c r="A43" s="20"/>
      <c r="B43" s="20"/>
      <c r="C43" s="20"/>
      <c r="D43" s="20"/>
      <c r="E43" s="20"/>
      <c r="F43" s="20"/>
      <c r="G43" s="20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7"/>
      <c r="W43" s="26" t="s">
        <v>1027</v>
      </c>
      <c r="X43" s="34"/>
      <c r="Y43" s="34"/>
      <c r="Z43" s="34"/>
      <c r="AA43" s="34"/>
      <c r="AB43" s="34"/>
      <c r="AC43" s="35" t="s">
        <v>3</v>
      </c>
      <c r="AD43" s="34"/>
      <c r="AE43" s="34"/>
      <c r="AF43" s="34"/>
      <c r="AG43" s="28" t="s">
        <v>1002</v>
      </c>
      <c r="AH43" s="20"/>
      <c r="AI43" s="20"/>
      <c r="AJ43" s="20"/>
      <c r="AK43" s="20"/>
      <c r="AL43" s="20"/>
      <c r="AM43" s="34">
        <f>+AL19</f>
        <v>5200</v>
      </c>
      <c r="AN43" s="34"/>
      <c r="AO43" s="56" t="s">
        <v>217</v>
      </c>
      <c r="AP43" s="264">
        <f t="shared" si="17"/>
        <v>100</v>
      </c>
      <c r="AQ43" s="266"/>
      <c r="AR43" s="265">
        <f t="shared" si="16"/>
        <v>-100</v>
      </c>
      <c r="AS43" s="60">
        <f t="shared" ca="1" si="0"/>
        <v>0</v>
      </c>
      <c r="AT43" s="55">
        <f t="shared" ca="1" si="1"/>
        <v>100</v>
      </c>
      <c r="AU43" s="55">
        <f t="shared" ca="1" si="5"/>
        <v>0</v>
      </c>
      <c r="AV43" s="1262"/>
      <c r="AW43" s="496"/>
      <c r="AX43" s="496"/>
      <c r="AY43" s="1262"/>
      <c r="AZ43" s="496"/>
      <c r="BA43" s="496"/>
      <c r="BB43" s="1206"/>
      <c r="BC43" s="1266"/>
      <c r="BD43" s="1268"/>
      <c r="BE43" s="1269"/>
      <c r="BF43" s="1270"/>
      <c r="BG43" s="584"/>
      <c r="BH43" s="238">
        <f t="shared" ca="1" si="2"/>
        <v>0</v>
      </c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8"/>
      <c r="BV43" s="28"/>
      <c r="BW43" s="28"/>
      <c r="BX43" s="28"/>
      <c r="BY43" s="28"/>
      <c r="BZ43" s="28"/>
      <c r="CA43" s="34"/>
    </row>
    <row r="44" spans="1:79" x14ac:dyDescent="0.3">
      <c r="A44" s="20"/>
      <c r="B44" s="20"/>
      <c r="C44" s="20"/>
      <c r="D44" s="20"/>
      <c r="E44" s="20"/>
      <c r="F44" s="20"/>
      <c r="G44" s="20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7"/>
      <c r="W44" s="20" t="s">
        <v>30</v>
      </c>
      <c r="X44" s="34"/>
      <c r="Y44" s="34"/>
      <c r="Z44" s="34"/>
      <c r="AA44" s="34"/>
      <c r="AB44" s="34"/>
      <c r="AC44" s="34">
        <v>100</v>
      </c>
      <c r="AD44" s="34"/>
      <c r="AE44" s="34"/>
      <c r="AF44" s="34"/>
      <c r="AG44" s="28" t="s">
        <v>150</v>
      </c>
      <c r="AH44" s="20"/>
      <c r="AI44" s="20"/>
      <c r="AJ44" s="20"/>
      <c r="AK44" s="20"/>
      <c r="AL44" s="20"/>
      <c r="AM44" s="75">
        <f>-AL24</f>
        <v>-51</v>
      </c>
      <c r="AN44" s="34"/>
      <c r="AO44" s="53" t="s">
        <v>45</v>
      </c>
      <c r="AP44" s="264">
        <f>-M27</f>
        <v>665.38440493494352</v>
      </c>
      <c r="AQ44" s="266"/>
      <c r="AR44" s="265">
        <f t="shared" si="16"/>
        <v>-665.38440493494352</v>
      </c>
      <c r="AS44" s="60">
        <f t="shared" ca="1" si="0"/>
        <v>0</v>
      </c>
      <c r="AT44" s="55">
        <f t="shared" ca="1" si="1"/>
        <v>0</v>
      </c>
      <c r="AU44" s="55">
        <f t="shared" ca="1" si="5"/>
        <v>-665.38440493494352</v>
      </c>
      <c r="AV44" s="1262"/>
      <c r="AW44" s="496"/>
      <c r="AX44" s="496"/>
      <c r="AY44" s="1262"/>
      <c r="AZ44" s="496"/>
      <c r="BA44" s="496"/>
      <c r="BB44" s="1206"/>
      <c r="BC44" s="1266"/>
      <c r="BD44" s="1268"/>
      <c r="BE44" s="1269">
        <f ca="1">+AU44</f>
        <v>-665.38440493494352</v>
      </c>
      <c r="BF44" s="1270"/>
      <c r="BG44" s="584"/>
      <c r="BH44" s="238">
        <f t="shared" ca="1" si="2"/>
        <v>0</v>
      </c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8"/>
      <c r="BV44" s="28"/>
      <c r="BW44" s="28"/>
      <c r="BX44" s="28"/>
      <c r="BY44" s="28"/>
      <c r="BZ44" s="28"/>
      <c r="CA44" s="34"/>
    </row>
    <row r="45" spans="1:79" x14ac:dyDescent="0.3">
      <c r="A45" s="20"/>
      <c r="B45" s="20"/>
      <c r="C45" s="20"/>
      <c r="D45" s="20"/>
      <c r="E45" s="20"/>
      <c r="F45" s="20"/>
      <c r="G45" s="20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7"/>
      <c r="W45" s="20" t="s">
        <v>34</v>
      </c>
      <c r="X45" s="34"/>
      <c r="Y45" s="34"/>
      <c r="Z45" s="34"/>
      <c r="AA45" s="34"/>
      <c r="AB45" s="34"/>
      <c r="AC45" s="34">
        <f>+AC55</f>
        <v>3765.7799999999997</v>
      </c>
      <c r="AD45" s="34"/>
      <c r="AE45" s="34"/>
      <c r="AF45" s="34"/>
      <c r="AG45" s="28" t="s">
        <v>177</v>
      </c>
      <c r="AH45" s="20"/>
      <c r="AI45" s="20"/>
      <c r="AJ45" s="20"/>
      <c r="AK45" s="20"/>
      <c r="AL45" s="20"/>
      <c r="AM45" s="75">
        <f>+AM28</f>
        <v>750</v>
      </c>
      <c r="AN45" s="34"/>
      <c r="AO45" s="53" t="s">
        <v>437</v>
      </c>
      <c r="AP45" s="264">
        <f>-M29</f>
        <v>900</v>
      </c>
      <c r="AQ45" s="266"/>
      <c r="AR45" s="265">
        <f t="shared" si="16"/>
        <v>-900</v>
      </c>
      <c r="AS45" s="60">
        <f t="shared" ca="1" si="0"/>
        <v>0</v>
      </c>
      <c r="AT45" s="55">
        <f t="shared" ca="1" si="1"/>
        <v>0</v>
      </c>
      <c r="AU45" s="55">
        <f t="shared" ca="1" si="5"/>
        <v>-900</v>
      </c>
      <c r="AV45" s="1262"/>
      <c r="AW45" s="496"/>
      <c r="AX45" s="496">
        <f ca="1">+AU45</f>
        <v>-900</v>
      </c>
      <c r="AY45" s="1262"/>
      <c r="AZ45" s="496"/>
      <c r="BA45" s="496"/>
      <c r="BB45" s="1206"/>
      <c r="BC45" s="1266"/>
      <c r="BD45" s="1268"/>
      <c r="BE45" s="1269"/>
      <c r="BF45" s="1270"/>
      <c r="BG45" s="584"/>
      <c r="BH45" s="238">
        <f t="shared" ca="1" si="2"/>
        <v>0</v>
      </c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8"/>
      <c r="BV45" s="28"/>
      <c r="BW45" s="28"/>
      <c r="BX45" s="28"/>
      <c r="BY45" s="28"/>
      <c r="BZ45" s="28"/>
      <c r="CA45" s="34"/>
    </row>
    <row r="46" spans="1:79" x14ac:dyDescent="0.3">
      <c r="A46" s="20"/>
      <c r="B46" s="20"/>
      <c r="C46" s="20"/>
      <c r="D46" s="20"/>
      <c r="E46" s="20"/>
      <c r="F46" s="20"/>
      <c r="G46" s="20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7"/>
      <c r="W46" s="20" t="s">
        <v>1028</v>
      </c>
      <c r="X46" s="34"/>
      <c r="Y46" s="34"/>
      <c r="Z46" s="34"/>
      <c r="AA46" s="34"/>
      <c r="AB46" s="34"/>
      <c r="AC46" s="34">
        <v>-3506</v>
      </c>
      <c r="AD46" s="34"/>
      <c r="AE46" s="34"/>
      <c r="AF46" s="34"/>
      <c r="AG46" s="16"/>
      <c r="AH46" s="16"/>
      <c r="AI46" s="16"/>
      <c r="AJ46" s="16"/>
      <c r="AK46" s="16"/>
      <c r="AL46" s="217"/>
      <c r="AM46" s="217">
        <f>SUM(AM39:AM45)</f>
        <v>3689</v>
      </c>
      <c r="AN46" s="34"/>
      <c r="AO46" s="71" t="s">
        <v>150</v>
      </c>
      <c r="AP46" s="1253">
        <f>-M30</f>
        <v>-51</v>
      </c>
      <c r="AQ46" s="1254"/>
      <c r="AR46" s="1255">
        <f t="shared" si="16"/>
        <v>51</v>
      </c>
      <c r="AS46" s="79">
        <f t="shared" ca="1" si="0"/>
        <v>51</v>
      </c>
      <c r="AT46" s="70">
        <f t="shared" ca="1" si="1"/>
        <v>0</v>
      </c>
      <c r="AU46" s="55">
        <f t="shared" ca="1" si="5"/>
        <v>0</v>
      </c>
      <c r="AV46" s="1262"/>
      <c r="AW46" s="496"/>
      <c r="AX46" s="496"/>
      <c r="AY46" s="1265"/>
      <c r="AZ46" s="496"/>
      <c r="BA46" s="496"/>
      <c r="BB46" s="1206"/>
      <c r="BC46" s="1266"/>
      <c r="BD46" s="1268"/>
      <c r="BE46" s="1269"/>
      <c r="BF46" s="1270"/>
      <c r="BG46" s="584"/>
      <c r="BH46" s="239">
        <f t="shared" ca="1" si="2"/>
        <v>0</v>
      </c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8"/>
      <c r="BV46" s="28"/>
      <c r="BW46" s="95"/>
      <c r="BX46" s="95"/>
      <c r="BY46" s="95"/>
      <c r="BZ46" s="95"/>
      <c r="CA46" s="34"/>
    </row>
    <row r="47" spans="1:79" x14ac:dyDescent="0.3">
      <c r="A47" s="20"/>
      <c r="B47" s="20"/>
      <c r="C47" s="20"/>
      <c r="D47" s="20"/>
      <c r="E47" s="20"/>
      <c r="F47" s="20"/>
      <c r="G47" s="20"/>
      <c r="H47" s="20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7"/>
      <c r="W47" s="17" t="s">
        <v>32</v>
      </c>
      <c r="X47" s="46"/>
      <c r="Y47" s="46"/>
      <c r="Z47" s="46"/>
      <c r="AA47" s="46"/>
      <c r="AB47" s="46"/>
      <c r="AC47" s="1155">
        <f>SUM(AC44:AC46)</f>
        <v>359.77999999999975</v>
      </c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P47" s="235">
        <f t="shared" ref="AP47:BG47" si="18">SUM(AP7:AP46)</f>
        <v>-8.5723866645935232E-2</v>
      </c>
      <c r="AQ47" s="236">
        <f t="shared" si="18"/>
        <v>-0.48131893170102558</v>
      </c>
      <c r="AR47" s="236">
        <f t="shared" si="18"/>
        <v>-0.39559506505690933</v>
      </c>
      <c r="AS47" s="235">
        <f t="shared" ca="1" si="18"/>
        <v>9491</v>
      </c>
      <c r="AT47" s="236">
        <f t="shared" ca="1" si="18"/>
        <v>9491</v>
      </c>
      <c r="AU47" s="235">
        <f t="shared" ca="1" si="18"/>
        <v>-0.39559506505690933</v>
      </c>
      <c r="AV47" s="82">
        <f t="shared" ca="1" si="18"/>
        <v>29965</v>
      </c>
      <c r="AW47" s="82">
        <f t="shared" ca="1" si="18"/>
        <v>-2600</v>
      </c>
      <c r="AX47" s="82">
        <f t="shared" ca="1" si="18"/>
        <v>-650</v>
      </c>
      <c r="AY47" s="82">
        <f t="shared" ca="1" si="18"/>
        <v>-24706.780000000002</v>
      </c>
      <c r="AZ47" s="82">
        <f t="shared" ca="1" si="18"/>
        <v>3506</v>
      </c>
      <c r="BA47" s="82">
        <f t="shared" ca="1" si="18"/>
        <v>-950</v>
      </c>
      <c r="BB47" s="82">
        <f t="shared" ca="1" si="18"/>
        <v>-7600</v>
      </c>
      <c r="BC47" s="82">
        <f t="shared" ca="1" si="18"/>
        <v>2900</v>
      </c>
      <c r="BD47" s="82">
        <f t="shared" ca="1" si="18"/>
        <v>-5934.6155950650573</v>
      </c>
      <c r="BE47" s="82">
        <f t="shared" ca="1" si="18"/>
        <v>-665.38440493494352</v>
      </c>
      <c r="BF47" s="82">
        <f t="shared" ca="1" si="18"/>
        <v>1300</v>
      </c>
      <c r="BG47" s="82">
        <f t="shared" ca="1" si="18"/>
        <v>-229.61559506505637</v>
      </c>
      <c r="BH47" s="34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CA47" s="37"/>
    </row>
    <row r="48" spans="1:79" x14ac:dyDescent="0.3">
      <c r="A48" s="20"/>
      <c r="B48" s="20"/>
      <c r="C48" s="20"/>
      <c r="D48" s="20"/>
      <c r="E48" s="20"/>
      <c r="F48" s="20"/>
      <c r="G48" s="20"/>
      <c r="H48" s="20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7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34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35"/>
      <c r="BV48" s="34"/>
      <c r="BW48" s="34"/>
      <c r="BX48" s="34"/>
      <c r="BY48" s="34"/>
      <c r="BZ48" s="34"/>
      <c r="CA48" s="34">
        <f ca="1">SUM(AV47:BA47)</f>
        <v>4564.2199999999975</v>
      </c>
    </row>
    <row r="49" spans="1:79" x14ac:dyDescent="0.3">
      <c r="A49" s="20"/>
      <c r="B49" s="20"/>
      <c r="C49" s="20"/>
      <c r="D49" s="20"/>
      <c r="E49" s="20"/>
      <c r="F49" s="20"/>
      <c r="G49" s="20"/>
      <c r="H49" s="20"/>
      <c r="I49" s="34"/>
      <c r="J49" s="34"/>
      <c r="K49" s="34"/>
      <c r="L49" s="34"/>
      <c r="M49" s="34"/>
      <c r="N49" s="20"/>
      <c r="O49" s="34"/>
      <c r="P49" s="34"/>
      <c r="Q49" s="34"/>
      <c r="R49" s="34"/>
      <c r="S49" s="34"/>
      <c r="T49" s="34"/>
      <c r="U49" s="34"/>
      <c r="V49" s="37"/>
      <c r="W49" s="26" t="s">
        <v>1024</v>
      </c>
      <c r="X49" s="37"/>
      <c r="Y49" s="37"/>
      <c r="Z49" s="37"/>
      <c r="AA49" s="37"/>
      <c r="AB49" s="35" t="s">
        <v>35</v>
      </c>
      <c r="AC49" s="35" t="s">
        <v>31</v>
      </c>
      <c r="AD49" s="34"/>
      <c r="AE49" s="34"/>
      <c r="AF49" s="34"/>
      <c r="AG49" s="20"/>
      <c r="AH49" s="20"/>
      <c r="AI49" s="20"/>
      <c r="AJ49" s="20"/>
      <c r="AK49" s="20"/>
      <c r="AL49" s="20"/>
      <c r="AM49" s="20"/>
      <c r="AN49" s="34"/>
      <c r="AO49" s="20"/>
      <c r="AP49" s="20"/>
      <c r="AQ49" s="20"/>
      <c r="AR49" s="20"/>
      <c r="AS49" s="1258">
        <f ca="1">SUM(AS26:AS46)</f>
        <v>2551</v>
      </c>
      <c r="AT49" s="1259">
        <f ca="1">SUM(AT26:AT46)</f>
        <v>6240</v>
      </c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34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34">
        <f ca="1">+CA31-CA48</f>
        <v>0</v>
      </c>
    </row>
    <row r="50" spans="1:79" x14ac:dyDescent="0.3">
      <c r="A50" s="20"/>
      <c r="B50" s="20"/>
      <c r="C50" s="20"/>
      <c r="D50" s="20"/>
      <c r="E50" s="20"/>
      <c r="F50" s="20"/>
      <c r="G50" s="20"/>
      <c r="H50" s="20"/>
      <c r="I50" s="34"/>
      <c r="J50" s="34"/>
      <c r="K50" s="34"/>
      <c r="L50" s="34"/>
      <c r="M50" s="34"/>
      <c r="N50" s="20"/>
      <c r="O50" s="34"/>
      <c r="P50" s="34"/>
      <c r="Q50" s="34"/>
      <c r="R50" s="34"/>
      <c r="S50" s="34"/>
      <c r="T50" s="34"/>
      <c r="U50" s="34"/>
      <c r="V50" s="37"/>
      <c r="W50" s="26"/>
      <c r="X50" s="37"/>
      <c r="Y50" s="37"/>
      <c r="Z50" s="37"/>
      <c r="AA50" s="37"/>
      <c r="AB50" s="35" t="s">
        <v>3</v>
      </c>
      <c r="AC50" s="35" t="s">
        <v>3</v>
      </c>
      <c r="AD50" s="34"/>
      <c r="AE50" s="34"/>
      <c r="AF50" s="34"/>
      <c r="AG50" s="20"/>
      <c r="AH50" s="20"/>
      <c r="AI50" s="20"/>
      <c r="AJ50" s="20"/>
      <c r="AK50" s="20"/>
      <c r="AL50" s="20"/>
      <c r="AM50" s="20"/>
      <c r="AN50" s="34"/>
      <c r="AO50" s="20"/>
      <c r="AP50" s="20"/>
      <c r="AQ50" s="20"/>
      <c r="AR50" s="20"/>
      <c r="AS50" s="1260"/>
      <c r="AT50" s="1261">
        <f ca="1">+AT49-AS49</f>
        <v>3689</v>
      </c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34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</row>
    <row r="51" spans="1:79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34"/>
      <c r="P51" s="34"/>
      <c r="Q51" s="34"/>
      <c r="R51" s="34"/>
      <c r="S51" s="34"/>
      <c r="T51" s="34"/>
      <c r="U51" s="34"/>
      <c r="V51" s="37"/>
      <c r="W51" s="20" t="s">
        <v>674</v>
      </c>
      <c r="X51" s="34"/>
      <c r="Y51" s="34"/>
      <c r="Z51" s="34"/>
      <c r="AA51" s="34"/>
      <c r="AB51" s="34">
        <f>+AC39</f>
        <v>19101</v>
      </c>
      <c r="AC51" s="34">
        <f>+AB51*18%</f>
        <v>3438.18</v>
      </c>
      <c r="AD51" s="34"/>
      <c r="AE51" s="34"/>
      <c r="AF51" s="34"/>
      <c r="AG51" s="20"/>
      <c r="AH51" s="20"/>
      <c r="AI51" s="20"/>
      <c r="AJ51" s="20"/>
      <c r="AK51" s="20"/>
      <c r="AL51" s="20"/>
      <c r="AM51" s="20"/>
      <c r="AN51" s="34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34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</row>
    <row r="52" spans="1:79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34"/>
      <c r="P52" s="34"/>
      <c r="Q52" s="34"/>
      <c r="R52" s="34"/>
      <c r="S52" s="34"/>
      <c r="T52" s="34"/>
      <c r="U52" s="34"/>
      <c r="V52" s="37"/>
      <c r="W52" s="20" t="s">
        <v>1026</v>
      </c>
      <c r="X52" s="34"/>
      <c r="Y52" s="34"/>
      <c r="Z52" s="34"/>
      <c r="AA52" s="34"/>
      <c r="AB52" s="34">
        <f>-M16</f>
        <v>400</v>
      </c>
      <c r="AC52" s="34">
        <f>+AB52*18%</f>
        <v>72</v>
      </c>
      <c r="AD52" s="34"/>
      <c r="AE52" s="34"/>
      <c r="AF52" s="34"/>
      <c r="AG52" s="20"/>
      <c r="AH52" s="20"/>
      <c r="AI52" s="20"/>
      <c r="AJ52" s="20"/>
      <c r="AK52" s="20"/>
      <c r="AL52" s="20"/>
      <c r="AM52" s="20"/>
      <c r="AN52" s="34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34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</row>
    <row r="53" spans="1:79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34"/>
      <c r="P53" s="34"/>
      <c r="Q53" s="34"/>
      <c r="R53" s="34"/>
      <c r="S53" s="34"/>
      <c r="T53" s="34"/>
      <c r="U53" s="34"/>
      <c r="V53" s="37"/>
      <c r="W53" s="20" t="s">
        <v>1025</v>
      </c>
      <c r="X53" s="34"/>
      <c r="Y53" s="34"/>
      <c r="Z53" s="34"/>
      <c r="AA53" s="34"/>
      <c r="AB53" s="34">
        <f>-M21</f>
        <v>980</v>
      </c>
      <c r="AC53" s="34">
        <f>+AB53*18%</f>
        <v>176.4</v>
      </c>
      <c r="AD53" s="34"/>
      <c r="AE53" s="34"/>
      <c r="AF53" s="34"/>
      <c r="AG53" s="20"/>
      <c r="AH53" s="20"/>
      <c r="AI53" s="20"/>
      <c r="AJ53" s="20"/>
      <c r="AK53" s="20"/>
      <c r="AL53" s="20"/>
      <c r="AM53" s="20"/>
      <c r="AN53" s="34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34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</row>
    <row r="54" spans="1:79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34"/>
      <c r="P54" s="34"/>
      <c r="Q54" s="34"/>
      <c r="R54" s="34"/>
      <c r="S54" s="34"/>
      <c r="T54" s="34"/>
      <c r="U54" s="34"/>
      <c r="V54" s="37"/>
      <c r="W54" s="20" t="s">
        <v>175</v>
      </c>
      <c r="X54" s="34"/>
      <c r="Y54" s="34"/>
      <c r="Z54" s="34"/>
      <c r="AA54" s="34"/>
      <c r="AB54" s="34">
        <f>-M22</f>
        <v>440</v>
      </c>
      <c r="AC54" s="34">
        <f>+AB54*18%</f>
        <v>79.2</v>
      </c>
      <c r="AD54" s="34"/>
      <c r="AE54" s="34"/>
      <c r="AF54" s="34"/>
      <c r="AG54" s="20"/>
      <c r="AH54" s="20"/>
      <c r="AI54" s="20"/>
      <c r="AJ54" s="20"/>
      <c r="AK54" s="20"/>
      <c r="AL54" s="20"/>
      <c r="AM54" s="20"/>
      <c r="AN54" s="34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34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</row>
    <row r="55" spans="1:79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34"/>
      <c r="P55" s="34"/>
      <c r="Q55" s="34"/>
      <c r="R55" s="34"/>
      <c r="S55" s="34"/>
      <c r="T55" s="34"/>
      <c r="U55" s="34"/>
      <c r="V55" s="37"/>
      <c r="W55" s="17" t="s">
        <v>40</v>
      </c>
      <c r="X55" s="46"/>
      <c r="Y55" s="46"/>
      <c r="Z55" s="46"/>
      <c r="AA55" s="46"/>
      <c r="AB55" s="1155">
        <f>SUM(AB51:AB54)</f>
        <v>20921</v>
      </c>
      <c r="AC55" s="1155">
        <f t="shared" ref="AC55" si="19">SUM(AC51:AC54)</f>
        <v>3765.7799999999997</v>
      </c>
      <c r="AD55" s="34"/>
      <c r="AE55" s="34"/>
      <c r="AF55" s="34"/>
      <c r="AG55" s="20"/>
      <c r="AH55" s="20"/>
      <c r="AI55" s="20"/>
      <c r="AJ55" s="20"/>
      <c r="AK55" s="20"/>
      <c r="AL55" s="20"/>
      <c r="AM55" s="20"/>
      <c r="AN55" s="34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34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</row>
    <row r="56" spans="1:79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34"/>
      <c r="P56" s="34"/>
      <c r="Q56" s="34"/>
      <c r="R56" s="34"/>
      <c r="S56" s="34"/>
      <c r="T56" s="34"/>
      <c r="U56" s="34"/>
      <c r="V56" s="37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34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</row>
    <row r="57" spans="1:79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34"/>
      <c r="P57" s="34"/>
      <c r="Q57" s="34"/>
      <c r="R57" s="34"/>
      <c r="S57" s="34"/>
      <c r="T57" s="34"/>
      <c r="U57" s="34"/>
      <c r="V57" s="37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34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</row>
    <row r="58" spans="1:79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34"/>
      <c r="P58" s="34"/>
      <c r="Q58" s="34"/>
      <c r="R58" s="34"/>
      <c r="S58" s="34"/>
      <c r="T58" s="34"/>
      <c r="U58" s="34"/>
      <c r="V58" s="34"/>
      <c r="W58" s="26" t="s">
        <v>172</v>
      </c>
      <c r="X58" s="26"/>
      <c r="Y58" s="34"/>
      <c r="Z58" s="34"/>
      <c r="AA58" s="34"/>
      <c r="AB58" s="34"/>
      <c r="AC58" s="35">
        <v>2020</v>
      </c>
      <c r="AD58" s="34"/>
      <c r="AE58" s="34"/>
      <c r="AF58" s="34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34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</row>
    <row r="59" spans="1:79" x14ac:dyDescent="0.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5" t="s">
        <v>387</v>
      </c>
      <c r="AD59" s="34"/>
      <c r="AE59" s="34"/>
      <c r="AF59" s="34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34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</row>
    <row r="60" spans="1:79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34"/>
      <c r="P60" s="34"/>
      <c r="Q60" s="34"/>
      <c r="R60" s="34"/>
      <c r="S60" s="34"/>
      <c r="T60" s="34"/>
      <c r="U60" s="34"/>
      <c r="V60" s="34"/>
      <c r="W60" s="16" t="s">
        <v>30</v>
      </c>
      <c r="X60" s="16"/>
      <c r="Y60" s="48"/>
      <c r="Z60" s="48"/>
      <c r="AA60" s="48"/>
      <c r="AB60" s="48"/>
      <c r="AC60" s="48">
        <f>G11</f>
        <v>3000</v>
      </c>
      <c r="AD60" s="34">
        <f>+AC60-G11</f>
        <v>0</v>
      </c>
      <c r="AE60" s="34"/>
      <c r="AF60" s="34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34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</row>
    <row r="61" spans="1:79" x14ac:dyDescent="0.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34"/>
      <c r="P61" s="34"/>
      <c r="Q61" s="34"/>
      <c r="R61" s="34"/>
      <c r="S61" s="34"/>
      <c r="T61" s="34"/>
      <c r="U61" s="34"/>
      <c r="W61" s="20" t="s">
        <v>176</v>
      </c>
      <c r="X61" s="20"/>
      <c r="Y61" s="34"/>
      <c r="Z61" s="34"/>
      <c r="AA61" s="34"/>
      <c r="AB61" s="34"/>
      <c r="AC61" s="34">
        <v>2500</v>
      </c>
      <c r="AD61" s="34"/>
      <c r="AE61" s="34"/>
      <c r="AF61" s="34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34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</row>
    <row r="62" spans="1:79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34"/>
      <c r="P62" s="34"/>
      <c r="Q62" s="34"/>
      <c r="R62" s="34"/>
      <c r="S62" s="34"/>
      <c r="T62" s="20"/>
      <c r="U62" s="20"/>
      <c r="V62" s="34"/>
      <c r="W62" s="20" t="s">
        <v>188</v>
      </c>
      <c r="X62" s="20"/>
      <c r="Y62" s="34"/>
      <c r="Z62" s="34"/>
      <c r="AA62" s="34"/>
      <c r="AB62" s="34"/>
      <c r="AC62" s="34">
        <f>+AC63-AC60-AC61</f>
        <v>-2900</v>
      </c>
      <c r="AD62" s="34"/>
      <c r="AE62" s="34">
        <f>+AC70-F13</f>
        <v>0</v>
      </c>
      <c r="AF62" s="34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34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</row>
    <row r="63" spans="1:79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34"/>
      <c r="P63" s="34"/>
      <c r="Q63" s="34"/>
      <c r="R63" s="34"/>
      <c r="S63" s="34"/>
      <c r="T63" s="20"/>
      <c r="U63" s="20"/>
      <c r="V63" s="34"/>
      <c r="W63" s="16" t="s">
        <v>32</v>
      </c>
      <c r="X63" s="16"/>
      <c r="Y63" s="48"/>
      <c r="Z63" s="48"/>
      <c r="AA63" s="48"/>
      <c r="AB63" s="46"/>
      <c r="AC63" s="49">
        <f>+F11</f>
        <v>2600</v>
      </c>
      <c r="AD63" s="34">
        <f>+AC63-F11</f>
        <v>0</v>
      </c>
      <c r="AE63" s="34"/>
      <c r="AF63" s="34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34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</row>
    <row r="64" spans="1:79" x14ac:dyDescent="0.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34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</row>
    <row r="65" spans="1:79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34"/>
      <c r="V65" s="34"/>
      <c r="W65" s="26" t="s">
        <v>189</v>
      </c>
      <c r="X65" s="26"/>
      <c r="Y65" s="34"/>
      <c r="Z65" s="34"/>
      <c r="AA65" s="35" t="s">
        <v>94</v>
      </c>
      <c r="AB65" s="37"/>
      <c r="AC65" s="35" t="s">
        <v>94</v>
      </c>
      <c r="AD65" s="34"/>
      <c r="AE65" s="34"/>
      <c r="AF65" s="34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34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</row>
    <row r="66" spans="1:79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34"/>
      <c r="V66" s="34"/>
      <c r="W66" s="34"/>
      <c r="X66" s="34"/>
      <c r="Y66" s="34"/>
      <c r="Z66" s="34"/>
      <c r="AA66" s="35" t="s">
        <v>70</v>
      </c>
      <c r="AB66" s="35" t="s">
        <v>446</v>
      </c>
      <c r="AC66" s="35" t="s">
        <v>71</v>
      </c>
      <c r="AD66" s="34"/>
      <c r="AE66" s="34"/>
      <c r="AF66" s="34"/>
      <c r="AG66" s="20"/>
      <c r="AH66" s="20"/>
      <c r="AI66" s="20"/>
      <c r="AJ66" s="20"/>
      <c r="AK66" s="20"/>
      <c r="AL66" s="20"/>
      <c r="AM66" s="20"/>
      <c r="AN66" s="34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</row>
    <row r="67" spans="1:79" x14ac:dyDescent="0.3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34"/>
      <c r="V67" s="34"/>
      <c r="W67" s="34"/>
      <c r="X67" s="34"/>
      <c r="Y67" s="34"/>
      <c r="Z67" s="34"/>
      <c r="AA67" s="35" t="s">
        <v>387</v>
      </c>
      <c r="AB67" s="35" t="s">
        <v>387</v>
      </c>
      <c r="AC67" s="35" t="s">
        <v>387</v>
      </c>
      <c r="AD67" s="34"/>
      <c r="AE67" s="34"/>
      <c r="AF67" s="34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34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</row>
    <row r="68" spans="1:79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34"/>
      <c r="V68" s="34"/>
      <c r="W68" s="20" t="s">
        <v>35</v>
      </c>
      <c r="X68" s="20"/>
      <c r="Y68" s="34"/>
      <c r="Z68" s="34"/>
      <c r="AA68" s="34">
        <v>1900</v>
      </c>
      <c r="AB68" s="34">
        <v>0</v>
      </c>
      <c r="AC68" s="34">
        <f>+AA68+AB68</f>
        <v>1900</v>
      </c>
      <c r="AD68" s="34"/>
      <c r="AE68" s="34"/>
      <c r="AF68" s="34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</row>
    <row r="69" spans="1:79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34"/>
      <c r="V69" s="34"/>
      <c r="W69" s="20" t="s">
        <v>190</v>
      </c>
      <c r="X69" s="20"/>
      <c r="Y69" s="34"/>
      <c r="Z69" s="34"/>
      <c r="AA69" s="32">
        <v>-900</v>
      </c>
      <c r="AB69" s="34">
        <v>-120</v>
      </c>
      <c r="AC69" s="32">
        <f>+AA69+AB69</f>
        <v>-1020</v>
      </c>
      <c r="AD69" s="34"/>
      <c r="AE69" s="34">
        <f>+AC77-F12</f>
        <v>0</v>
      </c>
      <c r="AF69" s="34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</row>
    <row r="70" spans="1:79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34"/>
      <c r="V70" s="34"/>
      <c r="W70" s="46"/>
      <c r="X70" s="46"/>
      <c r="Y70" s="46"/>
      <c r="Z70" s="46"/>
      <c r="AA70" s="49">
        <f>+AA68+AA69</f>
        <v>1000</v>
      </c>
      <c r="AB70" s="48"/>
      <c r="AC70" s="49">
        <f>+AC68+AC69</f>
        <v>880</v>
      </c>
      <c r="AD70" s="34">
        <f>+AA70-G13</f>
        <v>0</v>
      </c>
      <c r="AE70" s="34"/>
      <c r="AF70" s="34"/>
      <c r="AG70" s="20"/>
      <c r="AH70" s="20"/>
      <c r="AI70" s="20"/>
      <c r="AJ70" s="20"/>
      <c r="AK70" s="20"/>
      <c r="AL70" s="20"/>
      <c r="AM70" s="20"/>
      <c r="AN70" s="34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</row>
    <row r="71" spans="1:79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</row>
    <row r="72" spans="1:79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34"/>
      <c r="V72" s="34"/>
      <c r="W72" s="26" t="s">
        <v>432</v>
      </c>
      <c r="X72" s="26"/>
      <c r="Y72" s="34"/>
      <c r="Z72" s="34"/>
      <c r="AA72" s="35" t="s">
        <v>94</v>
      </c>
      <c r="AB72" s="37"/>
      <c r="AC72" s="35" t="s">
        <v>94</v>
      </c>
      <c r="AD72" s="34"/>
      <c r="AE72" s="34"/>
      <c r="AF72" s="34"/>
      <c r="AG72" s="20"/>
      <c r="AH72" s="20"/>
      <c r="AI72" s="20"/>
      <c r="AJ72" s="20"/>
      <c r="AK72" s="20"/>
      <c r="AL72" s="20"/>
      <c r="AM72" s="20"/>
      <c r="AN72" s="34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</row>
    <row r="73" spans="1:79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34"/>
      <c r="V73" s="34"/>
      <c r="W73" s="34"/>
      <c r="X73" s="34"/>
      <c r="Y73" s="34"/>
      <c r="Z73" s="34"/>
      <c r="AA73" s="35" t="s">
        <v>70</v>
      </c>
      <c r="AB73" s="35" t="s">
        <v>446</v>
      </c>
      <c r="AC73" s="35" t="s">
        <v>71</v>
      </c>
      <c r="AD73" s="34"/>
      <c r="AE73" s="34"/>
      <c r="AF73" s="34"/>
      <c r="AG73" s="20"/>
      <c r="AH73" s="20"/>
      <c r="AI73" s="20"/>
      <c r="AJ73" s="20"/>
      <c r="AK73" s="20"/>
      <c r="AL73" s="20"/>
      <c r="AM73" s="20"/>
      <c r="AN73" s="34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</row>
    <row r="74" spans="1:79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34"/>
      <c r="V74" s="34"/>
      <c r="W74" s="34"/>
      <c r="X74" s="34"/>
      <c r="Y74" s="34"/>
      <c r="Z74" s="34"/>
      <c r="AA74" s="41" t="s">
        <v>387</v>
      </c>
      <c r="AB74" s="41" t="s">
        <v>387</v>
      </c>
      <c r="AC74" s="41" t="s">
        <v>387</v>
      </c>
      <c r="AD74" s="34"/>
      <c r="AE74" s="34"/>
      <c r="AF74" s="34"/>
      <c r="AG74" s="20"/>
      <c r="AH74" s="20"/>
      <c r="AI74" s="20"/>
      <c r="AJ74" s="20"/>
      <c r="AK74" s="20"/>
      <c r="AL74" s="20"/>
      <c r="AM74" s="20"/>
      <c r="AN74" s="34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</row>
    <row r="75" spans="1:79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34"/>
      <c r="V75" s="34"/>
      <c r="W75" s="20" t="s">
        <v>35</v>
      </c>
      <c r="X75" s="20"/>
      <c r="Y75" s="34"/>
      <c r="Z75" s="34"/>
      <c r="AA75" s="34">
        <v>25000</v>
      </c>
      <c r="AB75" s="34">
        <v>8200</v>
      </c>
      <c r="AC75" s="34">
        <f>+AA75+AB75</f>
        <v>33200</v>
      </c>
      <c r="AD75" s="34"/>
      <c r="AE75" s="34"/>
      <c r="AF75" s="34"/>
      <c r="AG75" s="20"/>
      <c r="AH75" s="20"/>
      <c r="AI75" s="20"/>
      <c r="AJ75" s="20"/>
      <c r="AK75" s="20"/>
      <c r="AL75" s="20"/>
      <c r="AM75" s="20"/>
      <c r="AN75" s="34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</row>
    <row r="76" spans="1:79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34"/>
      <c r="V76" s="34"/>
      <c r="W76" s="20" t="s">
        <v>36</v>
      </c>
      <c r="X76" s="20"/>
      <c r="Y76" s="34"/>
      <c r="Z76" s="34"/>
      <c r="AA76" s="32">
        <v>-18000</v>
      </c>
      <c r="AB76" s="34">
        <f>-AC83</f>
        <v>-5200</v>
      </c>
      <c r="AC76" s="32">
        <f>+AA76+AB76</f>
        <v>-23200</v>
      </c>
      <c r="AD76" s="34"/>
      <c r="AE76" s="34"/>
      <c r="AF76" s="34"/>
      <c r="AG76" s="20"/>
      <c r="AH76" s="20"/>
      <c r="AI76" s="20"/>
      <c r="AJ76" s="20"/>
      <c r="AK76" s="20"/>
      <c r="AL76" s="20"/>
      <c r="AM76" s="20"/>
      <c r="AN76" s="34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</row>
    <row r="77" spans="1:79" x14ac:dyDescent="0.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34"/>
      <c r="V77" s="34"/>
      <c r="W77" s="46"/>
      <c r="X77" s="46"/>
      <c r="Y77" s="46"/>
      <c r="Z77" s="46"/>
      <c r="AA77" s="49">
        <f>+AA75+AA76</f>
        <v>7000</v>
      </c>
      <c r="AB77" s="48"/>
      <c r="AC77" s="49">
        <f>+AC75+AC76</f>
        <v>10000</v>
      </c>
      <c r="AD77" s="34">
        <f>++AA77-G12</f>
        <v>0</v>
      </c>
      <c r="AE77" s="34"/>
      <c r="AF77" s="34"/>
      <c r="AG77" s="20"/>
      <c r="AH77" s="20"/>
      <c r="AI77" s="20"/>
      <c r="AJ77" s="20"/>
      <c r="AK77" s="20"/>
      <c r="AL77" s="20"/>
      <c r="AM77" s="20"/>
      <c r="AN77" s="34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</row>
    <row r="78" spans="1:79" x14ac:dyDescent="0.3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20"/>
      <c r="AH78" s="20"/>
      <c r="AI78" s="20"/>
      <c r="AJ78" s="20"/>
      <c r="AK78" s="20"/>
      <c r="AL78" s="20"/>
      <c r="AM78" s="20"/>
      <c r="AN78" s="34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</row>
    <row r="79" spans="1:79" x14ac:dyDescent="0.3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34"/>
      <c r="V79" s="34"/>
      <c r="W79" s="26" t="s">
        <v>1030</v>
      </c>
      <c r="X79" s="34"/>
      <c r="Y79" s="34"/>
      <c r="Z79" s="34"/>
      <c r="AA79" s="34"/>
      <c r="AB79" s="34"/>
      <c r="AC79" s="35" t="s">
        <v>387</v>
      </c>
      <c r="AD79" s="34"/>
      <c r="AE79" s="34"/>
      <c r="AF79" s="34"/>
      <c r="AG79" s="20"/>
      <c r="AH79" s="20"/>
      <c r="AI79" s="20"/>
      <c r="AJ79" s="20"/>
      <c r="AK79" s="20"/>
      <c r="AL79" s="20"/>
      <c r="AM79" s="20"/>
      <c r="AN79" s="34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</row>
    <row r="80" spans="1:79" x14ac:dyDescent="0.3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34"/>
      <c r="V80" s="34"/>
      <c r="W80" s="20" t="s">
        <v>1029</v>
      </c>
      <c r="X80" s="34"/>
      <c r="Y80" s="34"/>
      <c r="Z80" s="34"/>
      <c r="AA80" s="34"/>
      <c r="AB80" s="34"/>
      <c r="AC80" s="34">
        <v>5000</v>
      </c>
      <c r="AD80" s="34"/>
      <c r="AE80" s="34"/>
      <c r="AF80" s="34"/>
      <c r="AG80" s="20"/>
      <c r="AH80" s="20"/>
      <c r="AI80" s="20"/>
      <c r="AJ80" s="20"/>
      <c r="AK80" s="20"/>
      <c r="AL80" s="20"/>
      <c r="AM80" s="20"/>
      <c r="AN80" s="34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</row>
    <row r="81" spans="1:79" x14ac:dyDescent="0.3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34"/>
      <c r="V81" s="34"/>
      <c r="W81" s="20" t="s">
        <v>216</v>
      </c>
      <c r="X81" s="34"/>
      <c r="Y81" s="34"/>
      <c r="Z81" s="34"/>
      <c r="AA81" s="34"/>
      <c r="AB81" s="34"/>
      <c r="AC81" s="34">
        <f>-+M18</f>
        <v>100</v>
      </c>
      <c r="AD81" s="34"/>
      <c r="AE81" s="34"/>
      <c r="AF81" s="34"/>
      <c r="AG81" s="20"/>
      <c r="AH81" s="20"/>
      <c r="AI81" s="20"/>
      <c r="AJ81" s="20"/>
      <c r="AK81" s="20"/>
      <c r="AL81" s="20"/>
      <c r="AM81" s="20"/>
      <c r="AN81" s="34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</row>
    <row r="82" spans="1:79" x14ac:dyDescent="0.3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34"/>
      <c r="V82" s="34"/>
      <c r="W82" s="20" t="s">
        <v>217</v>
      </c>
      <c r="X82" s="34"/>
      <c r="Y82" s="34"/>
      <c r="Z82" s="34"/>
      <c r="AA82" s="34"/>
      <c r="AB82" s="34"/>
      <c r="AC82" s="34">
        <f>-+M25</f>
        <v>100</v>
      </c>
      <c r="AD82" s="34"/>
      <c r="AE82" s="34"/>
      <c r="AF82" s="34"/>
      <c r="AG82" s="20"/>
      <c r="AH82" s="20"/>
      <c r="AI82" s="20"/>
      <c r="AJ82" s="20"/>
      <c r="AK82" s="20"/>
      <c r="AL82" s="20"/>
      <c r="AM82" s="20"/>
      <c r="AN82" s="34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</row>
    <row r="83" spans="1:79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34"/>
      <c r="V83" s="34"/>
      <c r="W83" s="46"/>
      <c r="X83" s="46"/>
      <c r="Y83" s="46"/>
      <c r="Z83" s="46"/>
      <c r="AA83" s="46"/>
      <c r="AB83" s="46"/>
      <c r="AC83" s="49">
        <f>SUM(AC80:AC82)</f>
        <v>5200</v>
      </c>
      <c r="AD83" s="34"/>
      <c r="AE83" s="34"/>
      <c r="AF83" s="34"/>
      <c r="AG83" s="20"/>
      <c r="AH83" s="20"/>
      <c r="AI83" s="20"/>
      <c r="AJ83" s="20"/>
      <c r="AK83" s="20"/>
      <c r="AL83" s="20"/>
      <c r="AM83" s="20"/>
      <c r="AN83" s="34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</row>
    <row r="84" spans="1:79" x14ac:dyDescent="0.3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20"/>
      <c r="AH84" s="20"/>
      <c r="AI84" s="20"/>
      <c r="AJ84" s="20"/>
      <c r="AK84" s="20"/>
      <c r="AL84" s="20"/>
      <c r="AM84" s="20"/>
      <c r="AN84" s="34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</row>
    <row r="85" spans="1:79" x14ac:dyDescent="0.3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20"/>
      <c r="AH85" s="20"/>
      <c r="AI85" s="20"/>
      <c r="AJ85" s="20"/>
      <c r="AK85" s="20"/>
      <c r="AL85" s="20"/>
      <c r="AM85" s="20"/>
      <c r="AN85" s="34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</row>
    <row r="86" spans="1:79" x14ac:dyDescent="0.3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34"/>
      <c r="V86" s="34"/>
      <c r="W86" s="26" t="s">
        <v>191</v>
      </c>
      <c r="X86" s="26"/>
      <c r="Y86" s="34"/>
      <c r="Z86" s="34"/>
      <c r="AA86" s="34"/>
      <c r="AB86" s="34"/>
      <c r="AC86" s="35">
        <v>2020</v>
      </c>
      <c r="AD86" s="34"/>
      <c r="AE86" s="34"/>
      <c r="AF86" s="34"/>
      <c r="AG86" s="20"/>
      <c r="AH86" s="20"/>
      <c r="AI86" s="20"/>
      <c r="AJ86" s="20"/>
      <c r="AK86" s="20"/>
      <c r="AL86" s="20"/>
      <c r="AM86" s="20"/>
      <c r="AN86" s="34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</row>
    <row r="87" spans="1:79" x14ac:dyDescent="0.3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34"/>
      <c r="V87" s="34"/>
      <c r="W87" s="34"/>
      <c r="X87" s="34"/>
      <c r="Y87" s="34"/>
      <c r="Z87" s="34"/>
      <c r="AA87" s="34"/>
      <c r="AB87" s="34"/>
      <c r="AC87" s="35" t="s">
        <v>387</v>
      </c>
      <c r="AD87" s="34"/>
      <c r="AE87" s="34"/>
      <c r="AF87" s="34"/>
      <c r="AG87" s="20"/>
      <c r="AH87" s="20"/>
      <c r="AI87" s="20"/>
      <c r="AJ87" s="20"/>
      <c r="AK87" s="20"/>
      <c r="AL87" s="20"/>
      <c r="AM87" s="20"/>
      <c r="AN87" s="34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</row>
    <row r="88" spans="1:79" x14ac:dyDescent="0.3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34"/>
      <c r="V88" s="34"/>
      <c r="W88" s="26" t="s">
        <v>30</v>
      </c>
      <c r="X88" s="26"/>
      <c r="Y88" s="37"/>
      <c r="Z88" s="37"/>
      <c r="AA88" s="37"/>
      <c r="AB88" s="37"/>
      <c r="AC88" s="37">
        <v>54</v>
      </c>
      <c r="AD88" s="34">
        <f>+G14-AC88</f>
        <v>0</v>
      </c>
      <c r="AE88" s="34"/>
      <c r="AF88" s="34"/>
      <c r="AG88" s="20"/>
      <c r="AH88" s="20"/>
      <c r="AI88" s="20"/>
      <c r="AJ88" s="20"/>
      <c r="AK88" s="20"/>
      <c r="AL88" s="20"/>
      <c r="AM88" s="20"/>
      <c r="AN88" s="34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</row>
    <row r="89" spans="1:79" x14ac:dyDescent="0.3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34"/>
      <c r="W89" s="20" t="s">
        <v>192</v>
      </c>
      <c r="X89" s="20"/>
      <c r="Y89" s="34"/>
      <c r="Z89" s="34"/>
      <c r="AA89" s="34"/>
      <c r="AB89" s="34"/>
      <c r="AC89" s="34">
        <v>51</v>
      </c>
      <c r="AD89" s="34"/>
      <c r="AE89" s="34"/>
      <c r="AF89" s="34"/>
      <c r="AG89" s="20"/>
      <c r="AH89" s="20"/>
      <c r="AI89" s="20"/>
      <c r="AJ89" s="20"/>
      <c r="AK89" s="20"/>
      <c r="AL89" s="20"/>
      <c r="AM89" s="20"/>
      <c r="AN89" s="34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</row>
    <row r="90" spans="1:79" x14ac:dyDescent="0.3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34"/>
      <c r="W90" s="16" t="s">
        <v>32</v>
      </c>
      <c r="X90" s="16"/>
      <c r="Y90" s="48"/>
      <c r="Z90" s="48"/>
      <c r="AA90" s="48"/>
      <c r="AB90" s="48"/>
      <c r="AC90" s="49">
        <f>+AC88+AC89</f>
        <v>105</v>
      </c>
      <c r="AD90" s="34">
        <f>+AC90-F14</f>
        <v>0</v>
      </c>
      <c r="AE90" s="34"/>
      <c r="AF90" s="34"/>
      <c r="AG90" s="20"/>
      <c r="AH90" s="20"/>
      <c r="AI90" s="20"/>
      <c r="AJ90" s="20"/>
      <c r="AK90" s="20"/>
      <c r="AL90" s="20"/>
      <c r="AM90" s="20"/>
      <c r="AN90" s="34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</row>
    <row r="91" spans="1:79" x14ac:dyDescent="0.3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20"/>
      <c r="AH91" s="20"/>
      <c r="AI91" s="20"/>
      <c r="AJ91" s="20"/>
      <c r="AK91" s="20"/>
      <c r="AL91" s="20"/>
      <c r="AM91" s="20"/>
      <c r="AN91" s="34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</row>
    <row r="92" spans="1:79" x14ac:dyDescent="0.3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34"/>
      <c r="X92" s="34"/>
      <c r="Y92" s="34"/>
      <c r="Z92" s="34"/>
      <c r="AA92" s="34"/>
      <c r="AB92" s="34"/>
      <c r="AC92" s="34"/>
      <c r="AD92" s="34"/>
      <c r="AE92" s="20"/>
      <c r="AF92" s="34"/>
      <c r="AG92" s="20"/>
      <c r="AH92" s="20"/>
      <c r="AI92" s="20"/>
      <c r="AJ92" s="20"/>
      <c r="AK92" s="20"/>
      <c r="AL92" s="20"/>
      <c r="AM92" s="20"/>
      <c r="AN92" s="34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</row>
    <row r="93" spans="1:79" x14ac:dyDescent="0.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6" t="s">
        <v>193</v>
      </c>
      <c r="X93" s="26"/>
      <c r="Y93" s="37"/>
      <c r="Z93" s="37"/>
      <c r="AA93" s="37"/>
      <c r="AB93" s="37"/>
      <c r="AC93" s="35">
        <v>2020</v>
      </c>
      <c r="AD93" s="34"/>
      <c r="AE93" s="20"/>
      <c r="AF93" s="34"/>
      <c r="AG93" s="20"/>
      <c r="AH93" s="20"/>
      <c r="AI93" s="20"/>
      <c r="AJ93" s="20"/>
      <c r="AK93" s="20"/>
      <c r="AL93" s="20"/>
      <c r="AM93" s="20"/>
      <c r="AN93" s="34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</row>
    <row r="94" spans="1:79" x14ac:dyDescent="0.3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37"/>
      <c r="X94" s="37"/>
      <c r="Y94" s="37"/>
      <c r="Z94" s="37"/>
      <c r="AA94" s="37"/>
      <c r="AB94" s="37"/>
      <c r="AC94" s="35" t="s">
        <v>387</v>
      </c>
      <c r="AD94" s="34"/>
      <c r="AE94" s="20"/>
      <c r="AF94" s="34"/>
      <c r="AG94" s="20"/>
      <c r="AH94" s="20"/>
      <c r="AI94" s="20"/>
      <c r="AJ94" s="20"/>
      <c r="AK94" s="20"/>
      <c r="AL94" s="20"/>
      <c r="AM94" s="20"/>
      <c r="AN94" s="34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</row>
    <row r="95" spans="1:79" x14ac:dyDescent="0.3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6" t="s">
        <v>30</v>
      </c>
      <c r="X95" s="26"/>
      <c r="Y95" s="37"/>
      <c r="Z95" s="37"/>
      <c r="AA95" s="37"/>
      <c r="AB95" s="37"/>
      <c r="AC95" s="37">
        <f>+G24</f>
        <v>200</v>
      </c>
      <c r="AD95" s="34">
        <f>+AC95-G24</f>
        <v>0</v>
      </c>
      <c r="AE95" s="34"/>
      <c r="AF95" s="34"/>
      <c r="AG95" s="20"/>
      <c r="AH95" s="20"/>
      <c r="AI95" s="20"/>
      <c r="AJ95" s="20"/>
      <c r="AK95" s="20"/>
      <c r="AL95" s="20"/>
      <c r="AM95" s="20"/>
      <c r="AN95" s="34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</row>
    <row r="96" spans="1:79" x14ac:dyDescent="0.3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34"/>
      <c r="W96" s="20" t="s">
        <v>194</v>
      </c>
      <c r="X96" s="20"/>
      <c r="Y96" s="34"/>
      <c r="Z96" s="34"/>
      <c r="AA96" s="34"/>
      <c r="AB96" s="34"/>
      <c r="AC96" s="34">
        <v>1000</v>
      </c>
      <c r="AD96" s="34"/>
      <c r="AE96" s="34"/>
      <c r="AF96" s="34"/>
      <c r="AG96" s="20"/>
      <c r="AH96" s="20"/>
      <c r="AI96" s="20"/>
      <c r="AJ96" s="20"/>
      <c r="AK96" s="20"/>
      <c r="AL96" s="20"/>
      <c r="AM96" s="20"/>
      <c r="AN96" s="34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</row>
    <row r="97" spans="1:96" x14ac:dyDescent="0.3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 t="s">
        <v>195</v>
      </c>
      <c r="X97" s="20"/>
      <c r="Y97" s="34"/>
      <c r="Z97" s="34"/>
      <c r="AA97" s="34"/>
      <c r="AB97" s="34"/>
      <c r="AC97" s="34">
        <v>-250</v>
      </c>
      <c r="AD97" s="34"/>
      <c r="AE97" s="34"/>
      <c r="AF97" s="34"/>
      <c r="AG97" s="20"/>
      <c r="AH97" s="20"/>
      <c r="AI97" s="20"/>
      <c r="AJ97" s="20"/>
      <c r="AK97" s="20"/>
      <c r="AL97" s="20"/>
      <c r="AM97" s="20"/>
      <c r="AN97" s="34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</row>
    <row r="98" spans="1:96" x14ac:dyDescent="0.3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 t="s">
        <v>196</v>
      </c>
      <c r="X98" s="20"/>
      <c r="Y98" s="34"/>
      <c r="Z98" s="34"/>
      <c r="AA98" s="34"/>
      <c r="AB98" s="34"/>
      <c r="AC98" s="32">
        <v>-850</v>
      </c>
      <c r="AD98" s="34"/>
      <c r="AE98" s="34"/>
      <c r="AF98" s="34"/>
      <c r="AG98" s="20"/>
      <c r="AH98" s="20"/>
      <c r="AI98" s="20"/>
      <c r="AJ98" s="20"/>
      <c r="AK98" s="20"/>
      <c r="AL98" s="20"/>
      <c r="AM98" s="20"/>
      <c r="AN98" s="34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</row>
    <row r="99" spans="1:96" x14ac:dyDescent="0.3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16" t="s">
        <v>32</v>
      </c>
      <c r="X99" s="16"/>
      <c r="Y99" s="48"/>
      <c r="Z99" s="48"/>
      <c r="AA99" s="48"/>
      <c r="AB99" s="48"/>
      <c r="AC99" s="49">
        <f>+F24</f>
        <v>100</v>
      </c>
      <c r="AD99" s="34">
        <f>+AC99-F24</f>
        <v>0</v>
      </c>
      <c r="AE99" s="34"/>
      <c r="AF99" s="34"/>
      <c r="AG99" s="20"/>
      <c r="AH99" s="20"/>
      <c r="AI99" s="20"/>
      <c r="AJ99" s="20"/>
      <c r="AK99" s="20"/>
      <c r="AL99" s="20"/>
      <c r="AM99" s="20"/>
      <c r="AN99" s="34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</row>
    <row r="100" spans="1:96" x14ac:dyDescent="0.3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34"/>
      <c r="W100" s="26"/>
      <c r="X100" s="26"/>
      <c r="Y100" s="34"/>
      <c r="Z100" s="34"/>
      <c r="AA100" s="34"/>
      <c r="AB100" s="34"/>
      <c r="AC100" s="34"/>
      <c r="AD100" s="20"/>
      <c r="AE100" s="34"/>
      <c r="AF100" s="34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</row>
    <row r="101" spans="1:96" x14ac:dyDescent="0.3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6"/>
      <c r="X101" s="26"/>
      <c r="Y101" s="34"/>
      <c r="Z101" s="34"/>
      <c r="AA101" s="34"/>
      <c r="AB101" s="34"/>
      <c r="AC101" s="34"/>
      <c r="AD101" s="20"/>
      <c r="AE101" s="34"/>
      <c r="AF101" s="34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</row>
    <row r="102" spans="1:96" x14ac:dyDescent="0.3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34"/>
      <c r="X102" s="26" t="s">
        <v>1111</v>
      </c>
      <c r="Y102" s="34"/>
      <c r="Z102" s="34"/>
      <c r="AA102" s="34"/>
      <c r="AB102" s="34"/>
      <c r="AC102" s="241"/>
      <c r="AE102" s="34"/>
      <c r="AF102" s="34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</row>
    <row r="103" spans="1:96" x14ac:dyDescent="0.3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34"/>
      <c r="X103" s="34"/>
      <c r="Y103" s="26"/>
      <c r="Z103" s="34"/>
      <c r="AA103" s="35" t="s">
        <v>200</v>
      </c>
      <c r="AB103" s="1245">
        <v>1.0231471169686876E-2</v>
      </c>
      <c r="AC103" s="241"/>
      <c r="AD103" s="241"/>
      <c r="AE103" s="34"/>
      <c r="AF103" s="34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</row>
    <row r="104" spans="1:96" x14ac:dyDescent="0.3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41"/>
      <c r="X104" s="34"/>
      <c r="Y104" s="1239" t="s">
        <v>1108</v>
      </c>
      <c r="Z104" s="1240" t="s">
        <v>1110</v>
      </c>
      <c r="AA104" s="1240" t="s">
        <v>26</v>
      </c>
      <c r="AB104" s="1241" t="s">
        <v>1109</v>
      </c>
      <c r="AC104" s="241"/>
      <c r="AD104" s="241"/>
      <c r="AE104" s="34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</row>
    <row r="105" spans="1:96" x14ac:dyDescent="0.3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34"/>
      <c r="X105" s="1237">
        <v>1</v>
      </c>
      <c r="Y105" s="1248">
        <v>9000</v>
      </c>
      <c r="Z105" s="1249">
        <f t="shared" ref="Z105:Z122" si="20">+Y105*$AB$103</f>
        <v>92.083240527181886</v>
      </c>
      <c r="AA105" s="1249">
        <v>-550</v>
      </c>
      <c r="AB105" s="1250">
        <f t="shared" ref="AB105:AB122" si="21">+Y105+Z105+AA105</f>
        <v>8542.0832405271813</v>
      </c>
      <c r="AD105" s="241"/>
      <c r="AE105" s="34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</row>
    <row r="106" spans="1:96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34"/>
      <c r="X106" s="1238">
        <f>+X105+1</f>
        <v>2</v>
      </c>
      <c r="Y106" s="1246">
        <f t="shared" ref="Y106:Y116" si="22">+AB105</f>
        <v>8542.0832405271813</v>
      </c>
      <c r="Z106" s="642">
        <f t="shared" si="20"/>
        <v>87.398078404519296</v>
      </c>
      <c r="AA106" s="642">
        <f>+AA105</f>
        <v>-550</v>
      </c>
      <c r="AB106" s="662">
        <f t="shared" si="21"/>
        <v>8079.481318931701</v>
      </c>
      <c r="AC106" s="241"/>
      <c r="AD106" s="241"/>
      <c r="AE106" s="34"/>
      <c r="AF106" s="34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</row>
    <row r="107" spans="1:96" x14ac:dyDescent="0.3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34"/>
      <c r="X107" s="1238">
        <f t="shared" ref="X107:X122" si="23">+X106+1</f>
        <v>3</v>
      </c>
      <c r="Y107" s="1244">
        <f t="shared" si="22"/>
        <v>8079.481318931701</v>
      </c>
      <c r="Z107" s="34">
        <f t="shared" si="20"/>
        <v>82.664980180673396</v>
      </c>
      <c r="AA107" s="34">
        <f t="shared" ref="AA107:AA122" si="24">+AA106</f>
        <v>-550</v>
      </c>
      <c r="AB107" s="55">
        <f t="shared" si="21"/>
        <v>7612.1462991123744</v>
      </c>
      <c r="AC107" s="20" t="s">
        <v>203</v>
      </c>
      <c r="AD107" s="241">
        <f>SUM(Z107:Z118)</f>
        <v>665.38440493494352</v>
      </c>
      <c r="AE107" s="34"/>
      <c r="AF107" s="34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</row>
    <row r="108" spans="1:96" x14ac:dyDescent="0.3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34"/>
      <c r="X108" s="1238">
        <f t="shared" si="23"/>
        <v>4</v>
      </c>
      <c r="Y108" s="63">
        <f t="shared" si="22"/>
        <v>7612.1462991123744</v>
      </c>
      <c r="Z108" s="34">
        <f t="shared" si="20"/>
        <v>77.883455398806916</v>
      </c>
      <c r="AA108" s="34">
        <f t="shared" si="24"/>
        <v>-550</v>
      </c>
      <c r="AB108" s="55">
        <f t="shared" si="21"/>
        <v>7140.0297545111816</v>
      </c>
      <c r="AC108" s="241"/>
      <c r="AD108" s="241"/>
      <c r="AE108" s="34"/>
      <c r="AF108" s="34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</row>
    <row r="109" spans="1:96" x14ac:dyDescent="0.3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34"/>
      <c r="X109" s="1238">
        <f t="shared" si="23"/>
        <v>5</v>
      </c>
      <c r="Y109" s="63">
        <f t="shared" si="22"/>
        <v>7140.0297545111816</v>
      </c>
      <c r="Z109" s="34">
        <f t="shared" si="20"/>
        <v>73.053008583987619</v>
      </c>
      <c r="AA109" s="34">
        <f t="shared" si="24"/>
        <v>-550</v>
      </c>
      <c r="AB109" s="55">
        <f t="shared" si="21"/>
        <v>6663.082763095169</v>
      </c>
      <c r="AC109" s="241"/>
      <c r="AD109" s="241"/>
      <c r="AE109" s="34"/>
      <c r="AF109" s="34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</row>
    <row r="110" spans="1:96" x14ac:dyDescent="0.3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34"/>
      <c r="X110" s="1238">
        <f t="shared" si="23"/>
        <v>6</v>
      </c>
      <c r="Y110" s="63">
        <f t="shared" si="22"/>
        <v>6663.082763095169</v>
      </c>
      <c r="Z110" s="34">
        <f t="shared" si="20"/>
        <v>68.173139191845792</v>
      </c>
      <c r="AA110" s="34">
        <f t="shared" si="24"/>
        <v>-550</v>
      </c>
      <c r="AB110" s="55">
        <f t="shared" si="21"/>
        <v>6181.2559022870146</v>
      </c>
      <c r="AC110" s="241"/>
      <c r="AD110" s="241"/>
      <c r="AE110" s="34"/>
      <c r="AF110" s="34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</row>
    <row r="111" spans="1:96" x14ac:dyDescent="0.3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34"/>
      <c r="X111" s="1238">
        <f t="shared" si="23"/>
        <v>7</v>
      </c>
      <c r="Y111" s="63">
        <f t="shared" si="22"/>
        <v>6181.2559022870146</v>
      </c>
      <c r="Z111" s="34">
        <f t="shared" si="20"/>
        <v>63.243341556706426</v>
      </c>
      <c r="AA111" s="34">
        <f t="shared" si="24"/>
        <v>-550</v>
      </c>
      <c r="AB111" s="55">
        <f t="shared" si="21"/>
        <v>5694.4992438437212</v>
      </c>
      <c r="AC111" s="241"/>
      <c r="AD111" s="241"/>
      <c r="AE111" s="34"/>
      <c r="AF111" s="34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</row>
    <row r="112" spans="1:96" x14ac:dyDescent="0.3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34"/>
      <c r="X112" s="1238">
        <f t="shared" si="23"/>
        <v>8</v>
      </c>
      <c r="Y112" s="63">
        <f t="shared" si="22"/>
        <v>5694.4992438437212</v>
      </c>
      <c r="Z112" s="34">
        <f t="shared" si="20"/>
        <v>58.263104839190753</v>
      </c>
      <c r="AA112" s="34">
        <f t="shared" si="24"/>
        <v>-550</v>
      </c>
      <c r="AB112" s="55">
        <f t="shared" si="21"/>
        <v>5202.7623486829116</v>
      </c>
      <c r="AC112" s="241"/>
      <c r="AD112" s="241"/>
      <c r="AE112" s="34"/>
      <c r="AF112" s="34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</row>
    <row r="113" spans="1:96" x14ac:dyDescent="0.3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34"/>
      <c r="X113" s="1238">
        <f t="shared" si="23"/>
        <v>9</v>
      </c>
      <c r="Y113" s="63">
        <f t="shared" si="22"/>
        <v>5202.7623486829116</v>
      </c>
      <c r="Z113" s="34">
        <f t="shared" si="20"/>
        <v>53.231912973281588</v>
      </c>
      <c r="AA113" s="34">
        <f t="shared" si="24"/>
        <v>-550</v>
      </c>
      <c r="AB113" s="55">
        <f t="shared" si="21"/>
        <v>4705.994261656193</v>
      </c>
      <c r="AC113" s="241"/>
      <c r="AD113" s="241"/>
      <c r="AE113" s="34"/>
      <c r="AF113" s="34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</row>
    <row r="114" spans="1:96" x14ac:dyDescent="0.3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34"/>
      <c r="X114" s="1238">
        <f t="shared" si="23"/>
        <v>10</v>
      </c>
      <c r="Y114" s="63">
        <f t="shared" si="22"/>
        <v>4705.994261656193</v>
      </c>
      <c r="Z114" s="34">
        <f t="shared" si="20"/>
        <v>48.14924461284722</v>
      </c>
      <c r="AA114" s="34">
        <f t="shared" si="24"/>
        <v>-550</v>
      </c>
      <c r="AB114" s="55">
        <f t="shared" si="21"/>
        <v>4204.1435062690398</v>
      </c>
      <c r="AC114" s="241"/>
      <c r="AD114" s="241"/>
      <c r="AE114" s="34"/>
      <c r="AF114" s="34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</row>
    <row r="115" spans="1:96" x14ac:dyDescent="0.3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34"/>
      <c r="X115" s="1238">
        <f t="shared" si="23"/>
        <v>11</v>
      </c>
      <c r="Y115" s="63">
        <f t="shared" si="22"/>
        <v>4204.1435062690398</v>
      </c>
      <c r="Z115" s="34">
        <f t="shared" si="20"/>
        <v>43.014573077617975</v>
      </c>
      <c r="AA115" s="34">
        <f t="shared" si="24"/>
        <v>-550</v>
      </c>
      <c r="AB115" s="55">
        <f t="shared" si="21"/>
        <v>3697.1580793466574</v>
      </c>
      <c r="AC115" s="241"/>
      <c r="AD115" s="241"/>
      <c r="AE115" s="34"/>
      <c r="AF115" s="34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</row>
    <row r="116" spans="1:96" x14ac:dyDescent="0.3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34"/>
      <c r="X116" s="1238">
        <f t="shared" si="23"/>
        <v>12</v>
      </c>
      <c r="Y116" s="63">
        <f t="shared" si="22"/>
        <v>3697.1580793466574</v>
      </c>
      <c r="Z116" s="34">
        <f t="shared" si="20"/>
        <v>37.827366298610229</v>
      </c>
      <c r="AA116" s="34">
        <f t="shared" si="24"/>
        <v>-550</v>
      </c>
      <c r="AB116" s="55">
        <f t="shared" si="21"/>
        <v>3184.9854456452676</v>
      </c>
      <c r="AC116" s="241"/>
      <c r="AD116" s="241"/>
      <c r="AE116" s="34"/>
      <c r="AF116" s="34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</row>
    <row r="117" spans="1:96" x14ac:dyDescent="0.3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34"/>
      <c r="X117" s="1238">
        <f t="shared" si="23"/>
        <v>13</v>
      </c>
      <c r="Y117" s="63">
        <f t="shared" ref="Y117:Y122" si="25">+AB116</f>
        <v>3184.9854456452676</v>
      </c>
      <c r="Z117" s="34">
        <f t="shared" si="20"/>
        <v>32.587086762991866</v>
      </c>
      <c r="AA117" s="34">
        <f t="shared" si="24"/>
        <v>-550</v>
      </c>
      <c r="AB117" s="55">
        <f t="shared" si="21"/>
        <v>2667.5725324082596</v>
      </c>
      <c r="AC117" s="241"/>
      <c r="AD117" s="241"/>
      <c r="AE117" s="34"/>
      <c r="AF117" s="34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</row>
    <row r="118" spans="1:96" x14ac:dyDescent="0.3">
      <c r="A118" s="20"/>
      <c r="B118" s="286">
        <v>69</v>
      </c>
      <c r="C118" s="286"/>
      <c r="D118" s="286"/>
      <c r="E118" s="286"/>
      <c r="F118" s="286">
        <v>11</v>
      </c>
      <c r="G118" s="286">
        <v>11</v>
      </c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34"/>
      <c r="X118" s="1238">
        <f t="shared" si="23"/>
        <v>14</v>
      </c>
      <c r="Y118" s="63">
        <f t="shared" si="25"/>
        <v>2667.5725324082596</v>
      </c>
      <c r="Z118" s="34">
        <f t="shared" si="20"/>
        <v>27.293191458383717</v>
      </c>
      <c r="AA118" s="34">
        <f t="shared" si="24"/>
        <v>-550</v>
      </c>
      <c r="AB118" s="1243">
        <f t="shared" si="21"/>
        <v>2144.8657238666433</v>
      </c>
      <c r="AC118" s="241"/>
      <c r="AD118" s="241"/>
      <c r="AE118" s="34"/>
      <c r="AF118" s="34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</row>
    <row r="119" spans="1:96" x14ac:dyDescent="0.3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34"/>
      <c r="X119" s="1238">
        <f t="shared" si="23"/>
        <v>15</v>
      </c>
      <c r="Y119" s="1246">
        <f t="shared" si="25"/>
        <v>2144.8657238666433</v>
      </c>
      <c r="Z119" s="642">
        <f t="shared" si="20"/>
        <v>21.945131816591132</v>
      </c>
      <c r="AA119" s="642">
        <f t="shared" si="24"/>
        <v>-550</v>
      </c>
      <c r="AB119" s="662">
        <f t="shared" si="21"/>
        <v>1616.8108556832344</v>
      </c>
      <c r="AC119" s="241"/>
      <c r="AD119" s="241"/>
      <c r="AE119" s="34"/>
      <c r="AF119" s="34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86">
        <v>11</v>
      </c>
      <c r="AT119" s="286">
        <v>11</v>
      </c>
      <c r="AU119" s="286">
        <v>11</v>
      </c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</row>
    <row r="120" spans="1:96" x14ac:dyDescent="0.3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34"/>
      <c r="X120" s="1238">
        <f t="shared" si="23"/>
        <v>16</v>
      </c>
      <c r="Y120" s="1246">
        <f t="shared" si="25"/>
        <v>1616.8108556832344</v>
      </c>
      <c r="Z120" s="642">
        <f t="shared" si="20"/>
        <v>16.542353656759783</v>
      </c>
      <c r="AA120" s="642">
        <f t="shared" si="24"/>
        <v>-550</v>
      </c>
      <c r="AB120" s="662">
        <f t="shared" si="21"/>
        <v>1083.3532093399942</v>
      </c>
      <c r="AC120" s="241"/>
      <c r="AD120" s="241"/>
      <c r="AE120" s="34"/>
      <c r="AF120" s="34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</row>
    <row r="121" spans="1:96" x14ac:dyDescent="0.3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34"/>
      <c r="X121" s="1238">
        <f t="shared" si="23"/>
        <v>17</v>
      </c>
      <c r="Y121" s="1246">
        <f t="shared" si="25"/>
        <v>1083.3532093399942</v>
      </c>
      <c r="Z121" s="642">
        <f t="shared" si="20"/>
        <v>11.084297127949903</v>
      </c>
      <c r="AA121" s="642">
        <f t="shared" si="24"/>
        <v>-550</v>
      </c>
      <c r="AB121" s="662">
        <f t="shared" si="21"/>
        <v>544.4375064679441</v>
      </c>
      <c r="AC121" s="241"/>
      <c r="AD121" s="241"/>
      <c r="AE121" s="20"/>
      <c r="AF121" s="34"/>
      <c r="AG121" s="20"/>
      <c r="AH121" s="20"/>
      <c r="AI121" s="20"/>
      <c r="AJ121" s="20"/>
      <c r="AK121" s="20"/>
      <c r="AL121" s="20"/>
      <c r="AM121" s="20"/>
      <c r="AN121" s="20"/>
      <c r="AO121" s="286">
        <v>50</v>
      </c>
      <c r="AP121" s="286">
        <v>12</v>
      </c>
      <c r="AQ121" s="286">
        <v>12</v>
      </c>
      <c r="AR121" s="286">
        <v>12</v>
      </c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</row>
    <row r="122" spans="1:96" x14ac:dyDescent="0.3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34"/>
      <c r="X122" s="1242">
        <f t="shared" si="23"/>
        <v>18</v>
      </c>
      <c r="Y122" s="1247">
        <f t="shared" si="25"/>
        <v>544.4375064679441</v>
      </c>
      <c r="Z122" s="644">
        <f t="shared" si="20"/>
        <v>5.5703966511229828</v>
      </c>
      <c r="AA122" s="644">
        <f t="shared" si="24"/>
        <v>-550</v>
      </c>
      <c r="AB122" s="645">
        <f t="shared" si="21"/>
        <v>7.9031190671230434E-3</v>
      </c>
      <c r="AC122" s="241"/>
      <c r="AD122" s="241"/>
      <c r="AE122" s="20"/>
      <c r="AF122" s="34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</row>
    <row r="123" spans="1:96" x14ac:dyDescent="0.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34"/>
      <c r="X123" s="34"/>
      <c r="Y123" s="26"/>
      <c r="Z123" s="34"/>
      <c r="AA123" s="20"/>
      <c r="AB123" s="20"/>
      <c r="AD123" s="241"/>
      <c r="AF123" s="34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</row>
    <row r="124" spans="1:96" x14ac:dyDescent="0.3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34"/>
      <c r="X124" s="46"/>
      <c r="Y124" s="46"/>
      <c r="Z124" s="46"/>
      <c r="AA124" s="190">
        <v>2020</v>
      </c>
      <c r="AB124" s="190">
        <v>2019</v>
      </c>
      <c r="AD124" s="241"/>
      <c r="AE124" s="20"/>
      <c r="AF124" s="34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</row>
    <row r="125" spans="1:96" x14ac:dyDescent="0.3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34"/>
      <c r="X125" s="1251" t="s">
        <v>1107</v>
      </c>
      <c r="Y125" s="17"/>
      <c r="Z125" s="46"/>
      <c r="AA125" s="190" t="s">
        <v>387</v>
      </c>
      <c r="AB125" s="190" t="s">
        <v>387</v>
      </c>
      <c r="AD125" s="241"/>
      <c r="AE125" s="20"/>
      <c r="AF125" s="34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</row>
    <row r="126" spans="1:96" x14ac:dyDescent="0.3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34"/>
      <c r="X126" s="20" t="s">
        <v>442</v>
      </c>
      <c r="Y126" s="20"/>
      <c r="Z126" s="34" t="s">
        <v>442</v>
      </c>
      <c r="AA126" s="75">
        <f>+AB118</f>
        <v>2144.8657238666433</v>
      </c>
      <c r="AB126" s="75">
        <f>-NPV(AB103,AA107:AA118)</f>
        <v>6181.2489079299312</v>
      </c>
      <c r="AD126" s="241"/>
      <c r="AE126" s="20"/>
      <c r="AF126" s="34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</row>
    <row r="127" spans="1:96" x14ac:dyDescent="0.3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34"/>
      <c r="X127" s="20" t="s">
        <v>443</v>
      </c>
      <c r="Y127" s="20"/>
      <c r="Z127" s="34"/>
      <c r="AA127" s="75">
        <v>0</v>
      </c>
      <c r="AB127" s="75">
        <f>+AB128-AB126</f>
        <v>1898.2324110017698</v>
      </c>
      <c r="AD127" s="241"/>
      <c r="AE127" s="20"/>
      <c r="AF127" s="34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</row>
    <row r="128" spans="1:96" x14ac:dyDescent="0.3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X128" s="17" t="s">
        <v>40</v>
      </c>
      <c r="Y128" s="17"/>
      <c r="Z128" s="46"/>
      <c r="AA128" s="217">
        <f>+AA126+AA127</f>
        <v>2144.8657238666433</v>
      </c>
      <c r="AB128" s="217">
        <f>+Y107</f>
        <v>8079.481318931701</v>
      </c>
      <c r="AC128" s="241"/>
      <c r="AD128" s="241"/>
      <c r="AE128" s="20"/>
      <c r="AF128" s="34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</row>
    <row r="129" spans="1:96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X129" s="34"/>
      <c r="Y129" s="26"/>
      <c r="Z129" s="34"/>
      <c r="AA129" s="20"/>
      <c r="AB129" s="20"/>
      <c r="AD129" s="241"/>
      <c r="AF129" s="34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</row>
    <row r="130" spans="1:96" x14ac:dyDescent="0.3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X130" s="46"/>
      <c r="Y130" s="46"/>
      <c r="Z130" s="46"/>
      <c r="AA130" s="190"/>
      <c r="AB130" s="190">
        <v>2020</v>
      </c>
      <c r="AE130" s="20"/>
      <c r="AF130" s="34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</row>
    <row r="131" spans="1:96" x14ac:dyDescent="0.3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X131" s="1251" t="s">
        <v>894</v>
      </c>
      <c r="Y131" s="17"/>
      <c r="Z131" s="46"/>
      <c r="AA131" s="190"/>
      <c r="AB131" s="190" t="s">
        <v>387</v>
      </c>
      <c r="AE131" s="20"/>
      <c r="AF131" s="34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</row>
    <row r="132" spans="1:96" x14ac:dyDescent="0.3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X132" s="20" t="s">
        <v>30</v>
      </c>
      <c r="Y132" s="20"/>
      <c r="Z132" s="34"/>
      <c r="AA132" s="75"/>
      <c r="AB132" s="75">
        <f>+Y107</f>
        <v>8079.481318931701</v>
      </c>
      <c r="AE132" s="20"/>
      <c r="AF132" s="34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</row>
    <row r="133" spans="1:96" x14ac:dyDescent="0.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X133" s="20" t="s">
        <v>923</v>
      </c>
      <c r="Y133" s="20"/>
      <c r="Z133" s="34"/>
      <c r="AA133" s="75"/>
      <c r="AB133" s="75">
        <f>+SUM(Z107:Z118)</f>
        <v>665.38440493494352</v>
      </c>
      <c r="AE133" s="20"/>
      <c r="AF133" s="34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</row>
    <row r="134" spans="1:96" x14ac:dyDescent="0.3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X134" s="20" t="s">
        <v>43</v>
      </c>
      <c r="Y134" s="20"/>
      <c r="Z134" s="34"/>
      <c r="AA134" s="75"/>
      <c r="AB134" s="75">
        <f>SUM(AA107:AA118)</f>
        <v>-6600</v>
      </c>
      <c r="AE134" s="20"/>
      <c r="AF134" s="34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86">
        <v>11</v>
      </c>
      <c r="AW134" s="286">
        <v>11</v>
      </c>
      <c r="AX134" s="286">
        <v>11</v>
      </c>
      <c r="AY134" s="286">
        <v>11</v>
      </c>
      <c r="AZ134" s="286"/>
      <c r="BA134" s="286">
        <v>11</v>
      </c>
      <c r="BB134" s="286">
        <v>11</v>
      </c>
      <c r="BC134" s="286">
        <v>11</v>
      </c>
      <c r="BD134" s="286">
        <v>11</v>
      </c>
      <c r="BE134" s="286">
        <v>11</v>
      </c>
      <c r="BF134" s="286">
        <v>11</v>
      </c>
      <c r="BG134" s="286">
        <v>11</v>
      </c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</row>
    <row r="135" spans="1:96" x14ac:dyDescent="0.3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X135" s="17" t="s">
        <v>40</v>
      </c>
      <c r="Y135" s="17"/>
      <c r="Z135" s="46"/>
      <c r="AA135" s="217"/>
      <c r="AB135" s="217">
        <f>SUM(AB132:AB134)</f>
        <v>2144.8657238666437</v>
      </c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</row>
    <row r="136" spans="1:96" x14ac:dyDescent="0.3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</row>
    <row r="137" spans="1:96" x14ac:dyDescent="0.3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</row>
    <row r="138" spans="1:96" x14ac:dyDescent="0.3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</row>
    <row r="139" spans="1:96" x14ac:dyDescent="0.3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34"/>
      <c r="X139" s="34"/>
      <c r="Y139" s="34"/>
      <c r="Z139" s="34"/>
      <c r="AA139" s="34"/>
      <c r="AB139" s="34"/>
      <c r="AC139" s="34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</row>
    <row r="140" spans="1:96" x14ac:dyDescent="0.3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34"/>
      <c r="X140" s="34"/>
      <c r="Y140" s="34"/>
      <c r="Z140" s="34"/>
      <c r="AA140" s="34"/>
      <c r="AB140" s="34">
        <f>+F6-AB9</f>
        <v>0</v>
      </c>
      <c r="AC140" s="34">
        <f>+G6-AC9</f>
        <v>0</v>
      </c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</row>
    <row r="141" spans="1:96" hidden="1" x14ac:dyDescent="0.3">
      <c r="W141" s="241"/>
      <c r="Y141" s="241"/>
      <c r="Z141" s="241"/>
      <c r="AA141" s="241"/>
      <c r="AB141" s="241">
        <f>+AB10+F17</f>
        <v>0</v>
      </c>
      <c r="AC141" s="241">
        <f>+AC10+G17</f>
        <v>0</v>
      </c>
    </row>
    <row r="142" spans="1:96" hidden="1" x14ac:dyDescent="0.3">
      <c r="W142" s="241"/>
      <c r="Y142" s="241"/>
      <c r="Z142" s="241"/>
      <c r="AA142" s="241"/>
      <c r="AB142" s="241"/>
      <c r="AC142" s="241"/>
    </row>
    <row r="143" spans="1:96" hidden="1" x14ac:dyDescent="0.3">
      <c r="W143" s="241"/>
      <c r="Y143" s="241"/>
      <c r="Z143" s="241"/>
      <c r="AA143" s="241"/>
      <c r="AB143" s="241"/>
      <c r="AC143" s="241"/>
    </row>
    <row r="144" spans="1:96" hidden="1" x14ac:dyDescent="0.3">
      <c r="W144" s="241"/>
      <c r="Y144" s="241"/>
      <c r="Z144" s="241"/>
      <c r="AA144" s="241"/>
      <c r="AB144" s="241"/>
      <c r="AC144" s="241"/>
    </row>
    <row r="145" spans="23:29" hidden="1" x14ac:dyDescent="0.3">
      <c r="W145" s="241"/>
      <c r="Y145" s="241"/>
      <c r="Z145" s="241"/>
      <c r="AA145" s="241"/>
      <c r="AB145" s="241"/>
      <c r="AC145" s="241"/>
    </row>
    <row r="146" spans="23:29" hidden="1" x14ac:dyDescent="0.3">
      <c r="W146" s="241"/>
      <c r="Y146" s="241"/>
      <c r="Z146" s="241"/>
      <c r="AA146" s="241"/>
      <c r="AB146" s="241"/>
      <c r="AC146" s="241"/>
    </row>
    <row r="147" spans="23:29" hidden="1" x14ac:dyDescent="0.3">
      <c r="W147" s="241"/>
      <c r="Y147" s="241"/>
      <c r="Z147" s="241"/>
      <c r="AA147" s="241"/>
      <c r="AB147" s="241"/>
      <c r="AC147" s="241"/>
    </row>
    <row r="148" spans="23:29" hidden="1" x14ac:dyDescent="0.3">
      <c r="W148" s="241"/>
      <c r="Y148" s="241"/>
      <c r="Z148" s="241"/>
      <c r="AA148" s="241"/>
      <c r="AB148" s="241"/>
      <c r="AC148" s="241"/>
    </row>
    <row r="149" spans="23:29" hidden="1" x14ac:dyDescent="0.3">
      <c r="W149" s="241"/>
      <c r="Y149" s="241"/>
      <c r="Z149" s="241"/>
      <c r="AA149" s="241"/>
      <c r="AB149" s="241"/>
      <c r="AC149" s="241"/>
    </row>
    <row r="150" spans="23:29" hidden="1" x14ac:dyDescent="0.3">
      <c r="AB150" s="241"/>
      <c r="AC150" s="241"/>
    </row>
    <row r="151" spans="23:29" hidden="1" x14ac:dyDescent="0.3">
      <c r="AB151" s="241"/>
      <c r="AC151" s="241"/>
    </row>
    <row r="152" spans="23:29" hidden="1" x14ac:dyDescent="0.3">
      <c r="AB152" s="241"/>
      <c r="AC152" s="241"/>
    </row>
    <row r="153" spans="23:29" hidden="1" x14ac:dyDescent="0.3">
      <c r="AB153" s="241"/>
      <c r="AC153" s="241"/>
    </row>
    <row r="154" spans="23:29" hidden="1" x14ac:dyDescent="0.3">
      <c r="AB154" s="241"/>
      <c r="AC154" s="241"/>
    </row>
    <row r="155" spans="23:29" hidden="1" x14ac:dyDescent="0.3">
      <c r="AB155" s="241"/>
      <c r="AC155" s="241"/>
    </row>
    <row r="156" spans="23:29" hidden="1" x14ac:dyDescent="0.3">
      <c r="AB156" s="241"/>
      <c r="AC156" s="241"/>
    </row>
    <row r="157" spans="23:29" hidden="1" x14ac:dyDescent="0.3">
      <c r="AB157" s="241"/>
      <c r="AC157" s="241"/>
    </row>
    <row r="158" spans="23:29" hidden="1" x14ac:dyDescent="0.3">
      <c r="AB158" s="241"/>
      <c r="AC158" s="241"/>
    </row>
    <row r="159" spans="23:29" hidden="1" x14ac:dyDescent="0.3">
      <c r="AB159" s="241"/>
      <c r="AC159" s="241"/>
    </row>
    <row r="160" spans="23:29" hidden="1" x14ac:dyDescent="0.3">
      <c r="AB160" s="241"/>
      <c r="AC160" s="241"/>
    </row>
    <row r="161" spans="28:29" hidden="1" x14ac:dyDescent="0.3">
      <c r="AB161" s="241"/>
      <c r="AC161" s="241"/>
    </row>
    <row r="162" spans="28:29" hidden="1" x14ac:dyDescent="0.3">
      <c r="AB162" s="241"/>
      <c r="AC162" s="241"/>
    </row>
    <row r="163" spans="28:29" hidden="1" x14ac:dyDescent="0.3">
      <c r="AB163" s="241"/>
      <c r="AC163" s="241"/>
    </row>
    <row r="164" spans="28:29" hidden="1" x14ac:dyDescent="0.3">
      <c r="AB164" s="241"/>
      <c r="AC164" s="241"/>
    </row>
    <row r="165" spans="28:29" hidden="1" x14ac:dyDescent="0.3">
      <c r="AB165" s="241"/>
      <c r="AC165" s="241"/>
    </row>
    <row r="166" spans="28:29" hidden="1" x14ac:dyDescent="0.3">
      <c r="AB166" s="241"/>
      <c r="AC166" s="241"/>
    </row>
    <row r="167" spans="28:29" hidden="1" x14ac:dyDescent="0.3">
      <c r="AB167" s="241"/>
      <c r="AC167" s="241"/>
    </row>
    <row r="168" spans="28:29" hidden="1" x14ac:dyDescent="0.3">
      <c r="AB168" s="241"/>
      <c r="AC168" s="241"/>
    </row>
    <row r="169" spans="28:29" hidden="1" x14ac:dyDescent="0.3">
      <c r="AB169" s="241"/>
      <c r="AC169" s="241"/>
    </row>
    <row r="170" spans="28:29" hidden="1" x14ac:dyDescent="0.3">
      <c r="AB170" s="241"/>
      <c r="AC170" s="241"/>
    </row>
    <row r="171" spans="28:29" hidden="1" x14ac:dyDescent="0.3">
      <c r="AB171" s="241"/>
      <c r="AC171" s="241"/>
    </row>
    <row r="172" spans="28:29" hidden="1" x14ac:dyDescent="0.3">
      <c r="AB172" s="241"/>
      <c r="AC172" s="241"/>
    </row>
    <row r="173" spans="28:29" hidden="1" x14ac:dyDescent="0.3">
      <c r="AB173" s="241"/>
      <c r="AC173" s="241"/>
    </row>
    <row r="174" spans="28:29" hidden="1" x14ac:dyDescent="0.3">
      <c r="AB174" s="241"/>
      <c r="AC174" s="241"/>
    </row>
    <row r="175" spans="28:29" hidden="1" x14ac:dyDescent="0.3">
      <c r="AB175" s="241"/>
      <c r="AC175" s="241"/>
    </row>
    <row r="176" spans="28:29" hidden="1" x14ac:dyDescent="0.3">
      <c r="AB176" s="241"/>
      <c r="AC176" s="241"/>
    </row>
    <row r="177" spans="28:29" hidden="1" x14ac:dyDescent="0.3">
      <c r="AB177" s="241"/>
      <c r="AC177" s="241"/>
    </row>
    <row r="178" spans="28:29" hidden="1" x14ac:dyDescent="0.3">
      <c r="AB178" s="241"/>
      <c r="AC178" s="241"/>
    </row>
    <row r="179" spans="28:29" hidden="1" x14ac:dyDescent="0.3">
      <c r="AB179" s="241"/>
      <c r="AC179" s="241"/>
    </row>
    <row r="180" spans="28:29" hidden="1" x14ac:dyDescent="0.3">
      <c r="AB180" s="241"/>
      <c r="AC180" s="241"/>
    </row>
    <row r="181" spans="28:29" hidden="1" x14ac:dyDescent="0.3">
      <c r="AB181" s="241"/>
      <c r="AC181" s="241"/>
    </row>
    <row r="182" spans="28:29" hidden="1" x14ac:dyDescent="0.3">
      <c r="AB182" s="241"/>
      <c r="AC182" s="241"/>
    </row>
    <row r="183" spans="28:29" hidden="1" x14ac:dyDescent="0.3">
      <c r="AB183" s="241"/>
      <c r="AC183" s="241"/>
    </row>
    <row r="184" spans="28:29" hidden="1" x14ac:dyDescent="0.3">
      <c r="AB184" s="241"/>
      <c r="AC184" s="241"/>
    </row>
    <row r="185" spans="28:29" hidden="1" x14ac:dyDescent="0.3">
      <c r="AB185" s="241"/>
      <c r="AC185" s="241"/>
    </row>
    <row r="186" spans="28:29" hidden="1" x14ac:dyDescent="0.3">
      <c r="AB186" s="241"/>
      <c r="AC186" s="241"/>
    </row>
    <row r="187" spans="28:29" hidden="1" x14ac:dyDescent="0.3">
      <c r="AB187" s="241"/>
      <c r="AC187" s="241"/>
    </row>
    <row r="188" spans="28:29" hidden="1" x14ac:dyDescent="0.3">
      <c r="AB188" s="241"/>
      <c r="AC188" s="241"/>
    </row>
    <row r="189" spans="28:29" hidden="1" x14ac:dyDescent="0.3">
      <c r="AB189" s="241"/>
      <c r="AC189" s="241"/>
    </row>
  </sheetData>
  <dataConsolidate/>
  <mergeCells count="5">
    <mergeCell ref="AS5:AT5"/>
    <mergeCell ref="BB4:BC4"/>
    <mergeCell ref="AV3:BG3"/>
    <mergeCell ref="AV4:BA4"/>
    <mergeCell ref="BD4:BG4"/>
  </mergeCells>
  <pageMargins left="0.7" right="0.7" top="0.75" bottom="0.75" header="0.3" footer="0.3"/>
  <pageSetup paperSize="9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FL249"/>
  <sheetViews>
    <sheetView topLeftCell="A163" zoomScale="70" zoomScaleNormal="70" workbookViewId="0">
      <selection activeCell="Q9" sqref="Q9"/>
    </sheetView>
  </sheetViews>
  <sheetFormatPr baseColWidth="10" defaultColWidth="0" defaultRowHeight="18" customHeight="1" zeroHeight="1" x14ac:dyDescent="0.3"/>
  <cols>
    <col min="1" max="1" width="10" customWidth="1"/>
    <col min="2" max="2" width="21.85546875" customWidth="1"/>
    <col min="3" max="3" width="15.140625" customWidth="1"/>
    <col min="4" max="4" width="14.85546875" customWidth="1"/>
    <col min="5" max="5" width="15" bestFit="1" customWidth="1"/>
    <col min="6" max="6" width="15.140625" bestFit="1" customWidth="1"/>
    <col min="7" max="7" width="16.28515625" bestFit="1" customWidth="1"/>
    <col min="8" max="8" width="15.7109375" style="42" customWidth="1"/>
    <col min="9" max="9" width="9" customWidth="1"/>
    <col min="10" max="10" width="13.5703125" style="42" customWidth="1"/>
    <col min="11" max="11" width="9.7109375" bestFit="1" customWidth="1"/>
    <col min="12" max="12" width="11.7109375" customWidth="1"/>
    <col min="13" max="13" width="4.140625" customWidth="1"/>
    <col min="14" max="16" width="15" customWidth="1"/>
    <col min="17" max="17" width="13.7109375" customWidth="1"/>
    <col min="18" max="18" width="15.85546875" customWidth="1"/>
    <col min="19" max="19" width="16" customWidth="1"/>
    <col min="20" max="20" width="14" customWidth="1"/>
    <col min="21" max="21" width="16.28515625" customWidth="1"/>
    <col min="22" max="22" width="17" customWidth="1"/>
    <col min="23" max="23" width="18.140625" customWidth="1"/>
    <col min="24" max="24" width="15.85546875" customWidth="1"/>
    <col min="25" max="25" width="16.85546875" customWidth="1"/>
    <col min="26" max="26" width="17.42578125" customWidth="1"/>
    <col min="27" max="27" width="16.7109375" customWidth="1"/>
    <col min="28" max="28" width="15.42578125" customWidth="1"/>
    <col min="29" max="29" width="16.5703125" customWidth="1"/>
    <col min="30" max="30" width="16.7109375" customWidth="1"/>
    <col min="31" max="31" width="5" customWidth="1"/>
    <col min="32" max="32" width="18.140625" customWidth="1"/>
    <col min="33" max="33" width="7.28515625" customWidth="1"/>
    <col min="34" max="34" width="14.28515625" customWidth="1"/>
    <col min="35" max="35" width="7.5703125" customWidth="1"/>
    <col min="36" max="37" width="6.7109375" customWidth="1"/>
    <col min="38" max="40" width="14.7109375" customWidth="1"/>
    <col min="41" max="41" width="11.7109375" customWidth="1"/>
    <col min="42" max="43" width="13.7109375" customWidth="1"/>
    <col min="44" max="44" width="6.28515625" customWidth="1"/>
    <col min="45" max="46" width="17.7109375" customWidth="1"/>
    <col min="47" max="47" width="15.7109375" customWidth="1"/>
    <col min="48" max="168" width="0" hidden="1" customWidth="1"/>
    <col min="169" max="16384" width="11.42578125" hidden="1"/>
  </cols>
  <sheetData>
    <row r="1" spans="1:47" ht="18" customHeight="1" x14ac:dyDescent="0.3">
      <c r="A1" s="34"/>
      <c r="B1" s="34"/>
      <c r="C1" s="34"/>
      <c r="D1" s="34"/>
      <c r="E1" s="34"/>
      <c r="F1" s="34"/>
      <c r="G1" s="34"/>
      <c r="H1" s="26"/>
      <c r="I1" s="286"/>
      <c r="J1" s="20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42" customFormat="1" ht="18" customHeight="1" x14ac:dyDescent="0.3">
      <c r="A2" s="34"/>
      <c r="B2" s="16" t="s">
        <v>295</v>
      </c>
      <c r="C2" s="16"/>
      <c r="D2" s="16"/>
      <c r="E2" s="16"/>
      <c r="F2" s="18"/>
      <c r="G2" s="18"/>
      <c r="H2" s="286"/>
      <c r="I2" s="3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4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20"/>
      <c r="AU2" s="20"/>
    </row>
    <row r="3" spans="1:47" s="42" customFormat="1" ht="18" customHeight="1" x14ac:dyDescent="0.3">
      <c r="A3" s="20"/>
      <c r="B3" s="16" t="s">
        <v>62</v>
      </c>
      <c r="C3" s="16"/>
      <c r="D3" s="16"/>
      <c r="E3" s="16"/>
      <c r="F3" s="18"/>
      <c r="G3" s="18"/>
      <c r="H3" s="286"/>
      <c r="I3" s="34"/>
      <c r="J3" s="3"/>
      <c r="K3" s="3"/>
      <c r="L3" s="3"/>
      <c r="M3" s="3"/>
      <c r="N3" s="3"/>
      <c r="O3" s="3"/>
      <c r="P3" s="3"/>
      <c r="Q3" s="3"/>
      <c r="R3" s="3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20"/>
      <c r="AU3" s="20"/>
    </row>
    <row r="4" spans="1:47" s="42" customFormat="1" ht="18" customHeight="1" x14ac:dyDescent="0.3">
      <c r="A4" s="20"/>
      <c r="B4" s="16" t="s">
        <v>625</v>
      </c>
      <c r="C4" s="16"/>
      <c r="D4" s="16"/>
      <c r="E4" s="16"/>
      <c r="F4" s="18"/>
      <c r="G4" s="18"/>
      <c r="H4" s="286"/>
      <c r="I4" s="1290"/>
      <c r="J4" s="222" t="s">
        <v>108</v>
      </c>
      <c r="K4" s="1151"/>
      <c r="L4" s="1151"/>
      <c r="M4" s="1159"/>
      <c r="N4" s="157" t="s">
        <v>105</v>
      </c>
      <c r="O4" s="157" t="s">
        <v>106</v>
      </c>
      <c r="P4" s="58" t="s">
        <v>107</v>
      </c>
      <c r="Q4" s="1490" t="s">
        <v>109</v>
      </c>
      <c r="R4" s="1490"/>
      <c r="S4" s="58" t="s">
        <v>103</v>
      </c>
      <c r="T4" s="1547" t="s">
        <v>132</v>
      </c>
      <c r="U4" s="1545"/>
      <c r="V4" s="1545"/>
      <c r="W4" s="1545"/>
      <c r="X4" s="1546"/>
      <c r="Y4" s="1547" t="s">
        <v>133</v>
      </c>
      <c r="Z4" s="1546"/>
      <c r="AA4" s="1547" t="s">
        <v>134</v>
      </c>
      <c r="AB4" s="1545"/>
      <c r="AC4" s="1545"/>
      <c r="AD4" s="1546"/>
      <c r="AE4" s="241"/>
      <c r="AF4"/>
      <c r="AG4"/>
      <c r="AH4"/>
      <c r="AI4"/>
      <c r="AJ4"/>
      <c r="AK4"/>
      <c r="AL4"/>
      <c r="AM4" s="3"/>
      <c r="AN4" s="3"/>
      <c r="AO4" s="3"/>
      <c r="AP4" s="3"/>
      <c r="AQ4" s="3"/>
      <c r="AR4" s="3"/>
      <c r="AS4" s="3"/>
      <c r="AT4" s="20"/>
      <c r="AU4" s="20"/>
    </row>
    <row r="5" spans="1:47" s="42" customFormat="1" ht="18" customHeight="1" x14ac:dyDescent="0.3">
      <c r="A5" s="20"/>
      <c r="B5" s="16"/>
      <c r="C5" s="16"/>
      <c r="D5" s="16"/>
      <c r="E5" s="16"/>
      <c r="F5" s="19">
        <v>2020</v>
      </c>
      <c r="G5" s="19">
        <v>2019</v>
      </c>
      <c r="H5" s="286"/>
      <c r="I5" s="1291"/>
      <c r="J5" s="123"/>
      <c r="K5" s="16"/>
      <c r="L5" s="16"/>
      <c r="M5" s="1160"/>
      <c r="N5" s="297">
        <v>2020</v>
      </c>
      <c r="O5" s="297">
        <v>2019</v>
      </c>
      <c r="P5" s="59" t="s">
        <v>103</v>
      </c>
      <c r="Q5" s="58" t="s">
        <v>110</v>
      </c>
      <c r="R5" s="58" t="s">
        <v>111</v>
      </c>
      <c r="S5" s="59" t="s">
        <v>104</v>
      </c>
      <c r="T5" s="58" t="s">
        <v>17</v>
      </c>
      <c r="U5" s="157" t="s">
        <v>21</v>
      </c>
      <c r="V5" s="157" t="s">
        <v>22</v>
      </c>
      <c r="W5" s="157" t="s">
        <v>21</v>
      </c>
      <c r="X5" s="157" t="s">
        <v>25</v>
      </c>
      <c r="Y5" s="58" t="s">
        <v>128</v>
      </c>
      <c r="Z5" s="157" t="s">
        <v>214</v>
      </c>
      <c r="AA5" s="157" t="s">
        <v>22</v>
      </c>
      <c r="AB5" s="157" t="s">
        <v>22</v>
      </c>
      <c r="AC5" s="156" t="s">
        <v>24</v>
      </c>
      <c r="AD5" s="58" t="s">
        <v>22</v>
      </c>
      <c r="AE5" s="241"/>
      <c r="AF5" s="16" t="s">
        <v>0</v>
      </c>
      <c r="AG5" s="16"/>
      <c r="AH5" s="16"/>
      <c r="AI5" s="18"/>
      <c r="AJ5" s="18"/>
      <c r="AK5" s="18"/>
      <c r="AL5" s="18"/>
      <c r="AM5" s="20"/>
      <c r="AN5" s="240" t="s">
        <v>403</v>
      </c>
      <c r="AO5" s="16"/>
      <c r="AP5" s="16"/>
      <c r="AQ5" s="16"/>
      <c r="AR5" s="16"/>
      <c r="AS5" s="48"/>
      <c r="AT5" s="20"/>
      <c r="AU5" s="20"/>
    </row>
    <row r="6" spans="1:47" s="42" customFormat="1" ht="18" customHeight="1" x14ac:dyDescent="0.3">
      <c r="A6" s="20"/>
      <c r="B6" s="16"/>
      <c r="C6" s="16"/>
      <c r="D6" s="16"/>
      <c r="E6" s="16"/>
      <c r="F6" s="19" t="s">
        <v>387</v>
      </c>
      <c r="G6" s="19" t="s">
        <v>387</v>
      </c>
      <c r="H6" s="286"/>
      <c r="I6" s="1291"/>
      <c r="J6" s="470"/>
      <c r="K6" s="471"/>
      <c r="L6" s="471"/>
      <c r="M6" s="1161"/>
      <c r="N6" s="159" t="s">
        <v>387</v>
      </c>
      <c r="O6" s="159" t="s">
        <v>387</v>
      </c>
      <c r="P6" s="62" t="s">
        <v>387</v>
      </c>
      <c r="Q6" s="62" t="s">
        <v>387</v>
      </c>
      <c r="R6" s="62" t="s">
        <v>387</v>
      </c>
      <c r="S6" s="62" t="s">
        <v>387</v>
      </c>
      <c r="T6" s="62" t="s">
        <v>121</v>
      </c>
      <c r="U6" s="159" t="s">
        <v>122</v>
      </c>
      <c r="V6" s="159" t="s">
        <v>123</v>
      </c>
      <c r="W6" s="159" t="s">
        <v>347</v>
      </c>
      <c r="X6" s="159" t="s">
        <v>215</v>
      </c>
      <c r="Y6" s="62" t="s">
        <v>129</v>
      </c>
      <c r="Z6" s="159" t="s">
        <v>127</v>
      </c>
      <c r="AA6" s="159" t="s">
        <v>125</v>
      </c>
      <c r="AB6" s="298" t="s">
        <v>258</v>
      </c>
      <c r="AC6" s="158" t="s">
        <v>126</v>
      </c>
      <c r="AD6" s="62" t="s">
        <v>127</v>
      </c>
      <c r="AE6" s="241"/>
      <c r="AF6" s="16" t="s">
        <v>705</v>
      </c>
      <c r="AG6" s="16"/>
      <c r="AH6" s="16"/>
      <c r="AI6" s="19"/>
      <c r="AJ6" s="19"/>
      <c r="AK6" s="19"/>
      <c r="AL6" s="19"/>
      <c r="AM6" s="20"/>
      <c r="AN6" s="240" t="s">
        <v>404</v>
      </c>
      <c r="AO6" s="16"/>
      <c r="AP6" s="16"/>
      <c r="AQ6" s="16"/>
      <c r="AR6" s="16"/>
      <c r="AS6" s="19" t="s">
        <v>387</v>
      </c>
      <c r="AT6" s="20"/>
      <c r="AU6" s="20"/>
    </row>
    <row r="7" spans="1:47" s="42" customFormat="1" ht="18" customHeight="1" x14ac:dyDescent="0.3">
      <c r="A7" s="20"/>
      <c r="B7" s="20" t="s">
        <v>1</v>
      </c>
      <c r="C7" s="20"/>
      <c r="D7" s="20"/>
      <c r="E7" s="20"/>
      <c r="F7" s="21">
        <v>12095</v>
      </c>
      <c r="G7" s="21">
        <v>11250</v>
      </c>
      <c r="H7" s="286"/>
      <c r="I7" s="1288" t="s">
        <v>1041</v>
      </c>
      <c r="J7" s="94" t="s">
        <v>1</v>
      </c>
      <c r="K7" s="89"/>
      <c r="L7" s="89"/>
      <c r="M7" s="124"/>
      <c r="N7" s="54">
        <f>+F7</f>
        <v>12095</v>
      </c>
      <c r="O7" s="54">
        <f>+G7</f>
        <v>11250</v>
      </c>
      <c r="P7" s="60">
        <f>+O7-N7</f>
        <v>-845</v>
      </c>
      <c r="Q7" s="60">
        <f t="shared" ref="Q7:Q33" ca="1" si="0">SUMIF($A$204:$G$236,I7,$F$204:$F$236)</f>
        <v>0</v>
      </c>
      <c r="R7" s="60">
        <f t="shared" ref="R7:R33" ca="1" si="1">SUMIF($A$204:$G$236,I7,$G$204:$G$236)</f>
        <v>0</v>
      </c>
      <c r="S7" s="55">
        <f t="shared" ref="S7:S33" ca="1" si="2">P7+R7-Q7</f>
        <v>-845</v>
      </c>
      <c r="T7" s="60"/>
      <c r="U7" s="55"/>
      <c r="V7" s="55"/>
      <c r="W7" s="55"/>
      <c r="X7" s="55"/>
      <c r="Y7" s="60"/>
      <c r="Z7" s="55"/>
      <c r="AA7" s="55"/>
      <c r="AB7" s="34"/>
      <c r="AC7" s="63"/>
      <c r="AD7" s="60"/>
      <c r="AE7" s="241"/>
      <c r="AF7" s="20" t="s">
        <v>388</v>
      </c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20"/>
      <c r="AU7" s="20"/>
    </row>
    <row r="8" spans="1:47" s="42" customFormat="1" ht="18" customHeight="1" x14ac:dyDescent="0.3">
      <c r="A8" s="20"/>
      <c r="B8" s="20" t="s">
        <v>90</v>
      </c>
      <c r="C8" s="20"/>
      <c r="D8" s="20"/>
      <c r="E8" s="20"/>
      <c r="F8" s="21">
        <v>10500</v>
      </c>
      <c r="G8" s="21">
        <v>8500</v>
      </c>
      <c r="H8" s="286"/>
      <c r="I8" s="664" t="s">
        <v>1049</v>
      </c>
      <c r="J8" s="94" t="s">
        <v>90</v>
      </c>
      <c r="K8" s="20"/>
      <c r="L8" s="20"/>
      <c r="M8" s="124"/>
      <c r="N8" s="54">
        <f>F8</f>
        <v>10500</v>
      </c>
      <c r="O8" s="54">
        <f>+G8</f>
        <v>8500</v>
      </c>
      <c r="P8" s="60">
        <f t="shared" ref="P8:P33" si="3">+O8-N8</f>
        <v>-2000</v>
      </c>
      <c r="Q8" s="60">
        <f t="shared" ca="1" si="0"/>
        <v>100</v>
      </c>
      <c r="R8" s="60">
        <f t="shared" ca="1" si="1"/>
        <v>0</v>
      </c>
      <c r="S8" s="55">
        <f t="shared" ca="1" si="2"/>
        <v>-2100</v>
      </c>
      <c r="T8" s="60">
        <f ca="1">+S8</f>
        <v>-2100</v>
      </c>
      <c r="U8" s="55"/>
      <c r="V8" s="55"/>
      <c r="W8" s="55"/>
      <c r="X8" s="55"/>
      <c r="Y8" s="60"/>
      <c r="Z8" s="55"/>
      <c r="AA8" s="55"/>
      <c r="AB8" s="34"/>
      <c r="AC8" s="63"/>
      <c r="AD8" s="60"/>
      <c r="AE8" s="241"/>
      <c r="AF8" s="34"/>
      <c r="AG8" s="34"/>
      <c r="AH8" s="34"/>
      <c r="AI8" s="34"/>
      <c r="AJ8" s="34"/>
      <c r="AK8" s="34"/>
      <c r="AL8" s="34"/>
      <c r="AM8" s="34"/>
      <c r="AN8" s="26" t="s">
        <v>1000</v>
      </c>
      <c r="AO8" s="20"/>
      <c r="AP8" s="20"/>
      <c r="AQ8" s="20"/>
      <c r="AR8" s="20"/>
      <c r="AS8" s="34">
        <f>+G52</f>
        <v>20780.240750643483</v>
      </c>
      <c r="AT8" s="20"/>
      <c r="AU8" s="20"/>
    </row>
    <row r="9" spans="1:47" s="42" customFormat="1" ht="18" customHeight="1" x14ac:dyDescent="0.3">
      <c r="A9" s="20"/>
      <c r="B9" s="20" t="s">
        <v>912</v>
      </c>
      <c r="C9" s="20"/>
      <c r="D9" s="20"/>
      <c r="E9" s="20"/>
      <c r="F9" s="23">
        <v>10100</v>
      </c>
      <c r="G9" s="23">
        <v>9500</v>
      </c>
      <c r="H9" s="286"/>
      <c r="I9" s="664" t="s">
        <v>1042</v>
      </c>
      <c r="J9" s="94" t="s">
        <v>912</v>
      </c>
      <c r="K9" s="20"/>
      <c r="L9" s="20"/>
      <c r="M9" s="124"/>
      <c r="N9" s="54">
        <f>F9</f>
        <v>10100</v>
      </c>
      <c r="O9" s="54">
        <f>+G9</f>
        <v>9500</v>
      </c>
      <c r="P9" s="60">
        <f t="shared" si="3"/>
        <v>-600</v>
      </c>
      <c r="Q9" s="60">
        <f t="shared" ca="1" si="0"/>
        <v>900</v>
      </c>
      <c r="R9" s="60">
        <f t="shared" ca="1" si="1"/>
        <v>0</v>
      </c>
      <c r="S9" s="55">
        <f t="shared" ca="1" si="2"/>
        <v>-1500</v>
      </c>
      <c r="T9" s="60"/>
      <c r="U9" s="55"/>
      <c r="V9" s="55"/>
      <c r="W9" s="55">
        <f ca="1">+S9</f>
        <v>-1500</v>
      </c>
      <c r="X9" s="55"/>
      <c r="Y9" s="60"/>
      <c r="Z9" s="55"/>
      <c r="AA9" s="55"/>
      <c r="AB9" s="34"/>
      <c r="AC9" s="63"/>
      <c r="AD9" s="60"/>
      <c r="AE9" s="241"/>
      <c r="AF9" s="26" t="s">
        <v>51</v>
      </c>
      <c r="AG9" s="34"/>
      <c r="AH9" s="34"/>
      <c r="AI9" s="34"/>
      <c r="AJ9" s="34"/>
      <c r="AK9" s="34"/>
      <c r="AL9" s="35" t="s">
        <v>3</v>
      </c>
      <c r="AM9" s="20"/>
      <c r="AN9" s="26" t="s">
        <v>151</v>
      </c>
      <c r="AO9" s="26"/>
      <c r="AP9" s="26"/>
      <c r="AQ9" s="26"/>
      <c r="AR9" s="26"/>
      <c r="AS9" s="34"/>
      <c r="AT9" s="20"/>
      <c r="AU9" s="20"/>
    </row>
    <row r="10" spans="1:47" s="42" customFormat="1" ht="18" customHeight="1" x14ac:dyDescent="0.3">
      <c r="A10" s="20"/>
      <c r="B10" s="16" t="s">
        <v>78</v>
      </c>
      <c r="C10" s="16"/>
      <c r="D10" s="16"/>
      <c r="E10" s="16"/>
      <c r="F10" s="24">
        <f>SUM(F7:F9)</f>
        <v>32695</v>
      </c>
      <c r="G10" s="24">
        <f>SUM(G7:G9)</f>
        <v>29250</v>
      </c>
      <c r="H10" s="286"/>
      <c r="I10" s="664" t="s">
        <v>1043</v>
      </c>
      <c r="J10" s="94" t="s">
        <v>172</v>
      </c>
      <c r="K10" s="20"/>
      <c r="L10" s="20"/>
      <c r="M10" s="124"/>
      <c r="N10" s="54">
        <f t="shared" ref="N10:O13" si="4">+F11</f>
        <v>4600</v>
      </c>
      <c r="O10" s="54">
        <f t="shared" si="4"/>
        <v>3000</v>
      </c>
      <c r="P10" s="60">
        <f t="shared" si="3"/>
        <v>-1600</v>
      </c>
      <c r="Q10" s="60">
        <f t="shared" ca="1" si="0"/>
        <v>0</v>
      </c>
      <c r="R10" s="60">
        <f t="shared" ca="1" si="1"/>
        <v>2500</v>
      </c>
      <c r="S10" s="55">
        <f t="shared" ca="1" si="2"/>
        <v>900</v>
      </c>
      <c r="T10" s="60"/>
      <c r="U10" s="55"/>
      <c r="V10" s="55"/>
      <c r="W10" s="55"/>
      <c r="X10" s="55"/>
      <c r="Y10" s="60"/>
      <c r="Z10" s="55">
        <f ca="1">+S10</f>
        <v>900</v>
      </c>
      <c r="AA10" s="55"/>
      <c r="AB10" s="34"/>
      <c r="AC10" s="63"/>
      <c r="AD10" s="60"/>
      <c r="AE10" s="241"/>
      <c r="AF10" s="20" t="s">
        <v>135</v>
      </c>
      <c r="AG10" s="34"/>
      <c r="AH10" s="34"/>
      <c r="AI10" s="34"/>
      <c r="AJ10" s="34"/>
      <c r="AK10" s="34"/>
      <c r="AL10" s="34">
        <f ca="1">+T34</f>
        <v>100390</v>
      </c>
      <c r="AM10" s="34"/>
      <c r="AN10" s="43" t="s">
        <v>92</v>
      </c>
      <c r="AO10" s="28"/>
      <c r="AP10" s="28"/>
      <c r="AQ10" s="28"/>
      <c r="AR10" s="28"/>
      <c r="AS10" s="34">
        <f>+G206</f>
        <v>100</v>
      </c>
      <c r="AT10" s="20"/>
      <c r="AU10" s="20"/>
    </row>
    <row r="11" spans="1:47" s="42" customFormat="1" ht="18" customHeight="1" x14ac:dyDescent="0.3">
      <c r="A11" s="20"/>
      <c r="B11" s="20" t="s">
        <v>172</v>
      </c>
      <c r="C11" s="20"/>
      <c r="D11" s="20"/>
      <c r="E11" s="20"/>
      <c r="F11" s="21">
        <v>4600</v>
      </c>
      <c r="G11" s="21">
        <v>3000</v>
      </c>
      <c r="H11" s="286"/>
      <c r="I11" s="664" t="s">
        <v>1047</v>
      </c>
      <c r="J11" s="94" t="s">
        <v>171</v>
      </c>
      <c r="K11" s="20"/>
      <c r="L11" s="20"/>
      <c r="M11" s="124"/>
      <c r="N11" s="54">
        <f t="shared" si="4"/>
        <v>800</v>
      </c>
      <c r="O11" s="54">
        <f t="shared" si="4"/>
        <v>1000</v>
      </c>
      <c r="P11" s="60">
        <f t="shared" si="3"/>
        <v>200</v>
      </c>
      <c r="Q11" s="60">
        <f t="shared" ca="1" si="0"/>
        <v>200</v>
      </c>
      <c r="R11" s="60">
        <f t="shared" ca="1" si="1"/>
        <v>0</v>
      </c>
      <c r="S11" s="55">
        <f t="shared" ca="1" si="2"/>
        <v>0</v>
      </c>
      <c r="T11" s="60"/>
      <c r="U11" s="55"/>
      <c r="V11" s="55"/>
      <c r="W11" s="55"/>
      <c r="X11" s="55"/>
      <c r="Y11" s="60"/>
      <c r="Z11" s="55"/>
      <c r="AA11" s="55"/>
      <c r="AB11" s="34"/>
      <c r="AC11" s="63"/>
      <c r="AD11" s="60"/>
      <c r="AE11" s="241"/>
      <c r="AF11" s="20" t="s">
        <v>136</v>
      </c>
      <c r="AG11" s="34"/>
      <c r="AH11" s="34"/>
      <c r="AI11" s="34"/>
      <c r="AJ11" s="34"/>
      <c r="AK11" s="34"/>
      <c r="AL11" s="34">
        <f ca="1">U34</f>
        <v>-48800</v>
      </c>
      <c r="AM11" s="34"/>
      <c r="AN11" s="43" t="s">
        <v>174</v>
      </c>
      <c r="AO11" s="28"/>
      <c r="AP11" s="28"/>
      <c r="AQ11" s="28"/>
      <c r="AR11" s="28"/>
      <c r="AS11" s="34">
        <f>+G209</f>
        <v>900</v>
      </c>
      <c r="AT11" s="20"/>
      <c r="AU11" s="20"/>
    </row>
    <row r="12" spans="1:47" s="42" customFormat="1" ht="18" customHeight="1" x14ac:dyDescent="0.3">
      <c r="A12" s="20"/>
      <c r="B12" s="20" t="s">
        <v>171</v>
      </c>
      <c r="C12" s="20"/>
      <c r="D12" s="20"/>
      <c r="E12" s="20"/>
      <c r="F12" s="21">
        <v>800</v>
      </c>
      <c r="G12" s="21">
        <v>1000</v>
      </c>
      <c r="H12" s="286"/>
      <c r="I12" s="664" t="s">
        <v>1045</v>
      </c>
      <c r="J12" s="94" t="s">
        <v>170</v>
      </c>
      <c r="K12" s="20"/>
      <c r="L12" s="20"/>
      <c r="M12" s="124"/>
      <c r="N12" s="54">
        <f t="shared" si="4"/>
        <v>30000</v>
      </c>
      <c r="O12" s="54">
        <f t="shared" si="4"/>
        <v>20000</v>
      </c>
      <c r="P12" s="60">
        <f t="shared" si="3"/>
        <v>-10000</v>
      </c>
      <c r="Q12" s="60">
        <f t="shared" ca="1" si="0"/>
        <v>2000</v>
      </c>
      <c r="R12" s="60">
        <f t="shared" ca="1" si="1"/>
        <v>4600</v>
      </c>
      <c r="S12" s="55">
        <f t="shared" ca="1" si="2"/>
        <v>-7400</v>
      </c>
      <c r="T12" s="60"/>
      <c r="U12" s="55"/>
      <c r="V12" s="55"/>
      <c r="W12" s="55"/>
      <c r="X12" s="55"/>
      <c r="Y12" s="60">
        <f ca="1">+S12</f>
        <v>-7400</v>
      </c>
      <c r="Z12" s="55"/>
      <c r="AA12" s="55"/>
      <c r="AB12" s="34"/>
      <c r="AC12" s="63"/>
      <c r="AD12" s="60"/>
      <c r="AE12" s="241"/>
      <c r="AF12" s="20" t="s">
        <v>137</v>
      </c>
      <c r="AG12" s="34"/>
      <c r="AH12" s="34"/>
      <c r="AI12" s="34"/>
      <c r="AJ12" s="34"/>
      <c r="AK12" s="34"/>
      <c r="AL12" s="34">
        <f ca="1">+V34</f>
        <v>-7400</v>
      </c>
      <c r="AM12" s="34"/>
      <c r="AN12" s="43" t="s">
        <v>176</v>
      </c>
      <c r="AO12" s="28"/>
      <c r="AP12" s="28"/>
      <c r="AQ12" s="28"/>
      <c r="AR12" s="28"/>
      <c r="AS12" s="34">
        <f>-+F211</f>
        <v>-2500</v>
      </c>
      <c r="AT12" s="20"/>
      <c r="AU12" s="20"/>
    </row>
    <row r="13" spans="1:47" s="42" customFormat="1" ht="18" customHeight="1" x14ac:dyDescent="0.3">
      <c r="A13" s="20"/>
      <c r="B13" s="20" t="s">
        <v>170</v>
      </c>
      <c r="C13" s="20"/>
      <c r="D13" s="20"/>
      <c r="E13" s="20"/>
      <c r="F13" s="21">
        <v>30000</v>
      </c>
      <c r="G13" s="21">
        <v>20000</v>
      </c>
      <c r="H13" s="286"/>
      <c r="I13" s="664" t="s">
        <v>1046</v>
      </c>
      <c r="J13" s="94" t="s">
        <v>114</v>
      </c>
      <c r="K13" s="20"/>
      <c r="L13" s="20"/>
      <c r="M13" s="124"/>
      <c r="N13" s="54">
        <f t="shared" si="4"/>
        <v>1600</v>
      </c>
      <c r="O13" s="54">
        <f t="shared" si="4"/>
        <v>1200</v>
      </c>
      <c r="P13" s="60">
        <f t="shared" si="3"/>
        <v>-400</v>
      </c>
      <c r="Q13" s="60">
        <f t="shared" ca="1" si="0"/>
        <v>0</v>
      </c>
      <c r="R13" s="60">
        <f t="shared" ca="1" si="1"/>
        <v>400</v>
      </c>
      <c r="S13" s="55">
        <f t="shared" ca="1" si="2"/>
        <v>0</v>
      </c>
      <c r="T13" s="60"/>
      <c r="U13" s="55"/>
      <c r="V13" s="55"/>
      <c r="W13" s="55"/>
      <c r="X13" s="55"/>
      <c r="Y13" s="60"/>
      <c r="Z13" s="55"/>
      <c r="AA13" s="55"/>
      <c r="AB13" s="34"/>
      <c r="AC13" s="63"/>
      <c r="AD13" s="60"/>
      <c r="AE13" s="241"/>
      <c r="AF13" s="20" t="s">
        <v>138</v>
      </c>
      <c r="AG13" s="34"/>
      <c r="AH13" s="34"/>
      <c r="AI13" s="34"/>
      <c r="AJ13" s="34"/>
      <c r="AK13" s="34"/>
      <c r="AL13" s="34">
        <f ca="1">+W34</f>
        <v>-23800</v>
      </c>
      <c r="AM13" s="34"/>
      <c r="AN13" s="43" t="s">
        <v>178</v>
      </c>
      <c r="AO13" s="26"/>
      <c r="AP13" s="26"/>
      <c r="AQ13" s="26"/>
      <c r="AR13" s="26"/>
      <c r="AS13" s="34">
        <f>+G215</f>
        <v>200</v>
      </c>
      <c r="AT13" s="20"/>
      <c r="AU13" s="20"/>
    </row>
    <row r="14" spans="1:47" s="42" customFormat="1" ht="18" customHeight="1" x14ac:dyDescent="0.3">
      <c r="A14" s="20"/>
      <c r="B14" s="20" t="s">
        <v>114</v>
      </c>
      <c r="C14" s="20"/>
      <c r="D14" s="20"/>
      <c r="E14" s="20"/>
      <c r="F14" s="21">
        <v>1600</v>
      </c>
      <c r="G14" s="21">
        <v>1200</v>
      </c>
      <c r="H14" s="286"/>
      <c r="I14" s="664" t="s">
        <v>1044</v>
      </c>
      <c r="J14" s="94" t="s">
        <v>4</v>
      </c>
      <c r="K14" s="20"/>
      <c r="L14" s="20"/>
      <c r="M14" s="124"/>
      <c r="N14" s="55">
        <f>-F18</f>
        <v>-7500</v>
      </c>
      <c r="O14" s="55">
        <f>-G18</f>
        <v>-8300</v>
      </c>
      <c r="P14" s="60">
        <f t="shared" si="3"/>
        <v>-800</v>
      </c>
      <c r="Q14" s="60">
        <f t="shared" ca="1" si="0"/>
        <v>0</v>
      </c>
      <c r="R14" s="60">
        <f t="shared" ca="1" si="1"/>
        <v>0</v>
      </c>
      <c r="S14" s="55">
        <f t="shared" ca="1" si="2"/>
        <v>-800</v>
      </c>
      <c r="T14" s="60"/>
      <c r="U14" s="55"/>
      <c r="V14" s="55"/>
      <c r="W14" s="55">
        <f ca="1">+S14</f>
        <v>-800</v>
      </c>
      <c r="X14" s="55"/>
      <c r="Y14" s="60"/>
      <c r="Z14" s="55"/>
      <c r="AA14" s="55"/>
      <c r="AB14" s="34"/>
      <c r="AC14" s="63"/>
      <c r="AD14" s="60"/>
      <c r="AE14" s="241"/>
      <c r="AF14" s="20" t="s">
        <v>218</v>
      </c>
      <c r="AG14" s="34"/>
      <c r="AH14" s="34"/>
      <c r="AI14" s="34"/>
      <c r="AJ14" s="34"/>
      <c r="AK14" s="34"/>
      <c r="AL14" s="34">
        <f ca="1">+X34</f>
        <v>-2320</v>
      </c>
      <c r="AM14" s="34"/>
      <c r="AN14" s="43" t="s">
        <v>38</v>
      </c>
      <c r="AO14" s="26"/>
      <c r="AP14" s="26"/>
      <c r="AQ14" s="26"/>
      <c r="AR14" s="26"/>
      <c r="AS14" s="34">
        <f>+G218+G219+G220</f>
        <v>2000</v>
      </c>
      <c r="AT14" s="20"/>
      <c r="AU14" s="20"/>
    </row>
    <row r="15" spans="1:47" s="42" customFormat="1" ht="18" customHeight="1" x14ac:dyDescent="0.3">
      <c r="A15" s="20"/>
      <c r="B15" s="16" t="s">
        <v>75</v>
      </c>
      <c r="C15" s="16"/>
      <c r="D15" s="16"/>
      <c r="E15" s="16"/>
      <c r="F15" s="25">
        <f>SUM(F10:F14)</f>
        <v>69695</v>
      </c>
      <c r="G15" s="25">
        <f>SUM(G10:G14)</f>
        <v>54450</v>
      </c>
      <c r="H15" s="286"/>
      <c r="I15" s="664" t="s">
        <v>1048</v>
      </c>
      <c r="J15" s="94" t="s">
        <v>23</v>
      </c>
      <c r="K15" s="20"/>
      <c r="L15" s="20"/>
      <c r="M15" s="124"/>
      <c r="N15" s="55">
        <f>-F19</f>
        <v>-600</v>
      </c>
      <c r="O15" s="55">
        <f>-G19</f>
        <v>-400</v>
      </c>
      <c r="P15" s="60">
        <f t="shared" si="3"/>
        <v>200</v>
      </c>
      <c r="Q15" s="60">
        <f t="shared" ca="1" si="0"/>
        <v>0</v>
      </c>
      <c r="R15" s="60">
        <f t="shared" ca="1" si="1"/>
        <v>0</v>
      </c>
      <c r="S15" s="55">
        <f t="shared" ca="1" si="2"/>
        <v>200</v>
      </c>
      <c r="T15" s="60"/>
      <c r="U15" s="55"/>
      <c r="V15" s="55">
        <f ca="1">+S15</f>
        <v>200</v>
      </c>
      <c r="W15" s="55"/>
      <c r="X15" s="55"/>
      <c r="Y15" s="60"/>
      <c r="Z15" s="55"/>
      <c r="AA15" s="55"/>
      <c r="AB15" s="34"/>
      <c r="AC15" s="63"/>
      <c r="AD15" s="60"/>
      <c r="AE15" s="241"/>
      <c r="AF15" s="16" t="s">
        <v>1097</v>
      </c>
      <c r="AG15" s="16"/>
      <c r="AH15" s="16"/>
      <c r="AI15" s="48"/>
      <c r="AJ15" s="48"/>
      <c r="AK15" s="48"/>
      <c r="AL15" s="48"/>
      <c r="AM15" s="34"/>
      <c r="AN15" s="43" t="s">
        <v>167</v>
      </c>
      <c r="AO15" s="26"/>
      <c r="AP15" s="26"/>
      <c r="AQ15" s="26"/>
      <c r="AR15" s="26"/>
      <c r="AS15" s="34">
        <f>+G226</f>
        <v>100</v>
      </c>
      <c r="AT15" s="20"/>
      <c r="AU15" s="20"/>
    </row>
    <row r="16" spans="1:47" s="42" customFormat="1" ht="18" customHeight="1" x14ac:dyDescent="0.3">
      <c r="A16" s="20"/>
      <c r="B16" s="26"/>
      <c r="C16" s="26"/>
      <c r="D16" s="26"/>
      <c r="E16" s="26"/>
      <c r="F16" s="27"/>
      <c r="G16" s="27"/>
      <c r="H16" s="286"/>
      <c r="I16" s="664" t="s">
        <v>1050</v>
      </c>
      <c r="J16" s="94" t="s">
        <v>53</v>
      </c>
      <c r="K16" s="20"/>
      <c r="L16" s="20"/>
      <c r="M16" s="124"/>
      <c r="N16" s="55"/>
      <c r="O16" s="55"/>
      <c r="P16" s="60">
        <f t="shared" si="3"/>
        <v>0</v>
      </c>
      <c r="Q16" s="60">
        <f t="shared" ca="1" si="0"/>
        <v>0</v>
      </c>
      <c r="R16" s="60">
        <f t="shared" ca="1" si="1"/>
        <v>0</v>
      </c>
      <c r="S16" s="55">
        <f t="shared" ca="1" si="2"/>
        <v>0</v>
      </c>
      <c r="T16" s="60"/>
      <c r="U16" s="55"/>
      <c r="V16" s="55"/>
      <c r="W16" s="55"/>
      <c r="X16" s="55"/>
      <c r="Y16" s="60"/>
      <c r="Z16" s="55"/>
      <c r="AA16" s="55"/>
      <c r="AB16" s="34"/>
      <c r="AC16" s="63"/>
      <c r="AD16" s="60"/>
      <c r="AE16" s="241"/>
      <c r="AF16" s="16" t="s">
        <v>367</v>
      </c>
      <c r="AG16" s="16"/>
      <c r="AH16" s="16"/>
      <c r="AI16" s="48"/>
      <c r="AJ16" s="48"/>
      <c r="AK16" s="48"/>
      <c r="AL16" s="48">
        <f ca="1">SUM(AL10:AL14)</f>
        <v>18070</v>
      </c>
      <c r="AM16" s="34"/>
      <c r="AN16" s="43" t="s">
        <v>150</v>
      </c>
      <c r="AO16" s="26"/>
      <c r="AP16" s="26"/>
      <c r="AQ16" s="26"/>
      <c r="AR16" s="26"/>
      <c r="AS16" s="75">
        <f>-+F222</f>
        <v>-400</v>
      </c>
      <c r="AT16" s="20"/>
      <c r="AU16" s="20"/>
    </row>
    <row r="17" spans="1:47" s="42" customFormat="1" ht="18" customHeight="1" x14ac:dyDescent="0.3">
      <c r="A17" s="20"/>
      <c r="B17" s="26" t="s">
        <v>79</v>
      </c>
      <c r="C17" s="26"/>
      <c r="D17" s="26"/>
      <c r="E17" s="26"/>
      <c r="F17" s="27"/>
      <c r="G17" s="27"/>
      <c r="H17" s="286"/>
      <c r="I17" s="664" t="s">
        <v>1051</v>
      </c>
      <c r="J17" s="1163" t="str">
        <f>+B150</f>
        <v>Remuneraciones por pagar</v>
      </c>
      <c r="K17" s="1166"/>
      <c r="L17" s="1166"/>
      <c r="M17" s="1162"/>
      <c r="N17" s="55">
        <f>-F150</f>
        <v>-5200</v>
      </c>
      <c r="O17" s="55">
        <f>-G150</f>
        <v>-4500</v>
      </c>
      <c r="P17" s="60">
        <f t="shared" si="3"/>
        <v>700</v>
      </c>
      <c r="Q17" s="60">
        <f t="shared" ca="1" si="0"/>
        <v>0</v>
      </c>
      <c r="R17" s="60">
        <f t="shared" ca="1" si="1"/>
        <v>0</v>
      </c>
      <c r="S17" s="55">
        <f t="shared" ca="1" si="2"/>
        <v>700</v>
      </c>
      <c r="T17" s="60"/>
      <c r="U17" s="55">
        <f ca="1">+S17</f>
        <v>700</v>
      </c>
      <c r="V17" s="55"/>
      <c r="W17" s="55"/>
      <c r="X17" s="55"/>
      <c r="Y17" s="60"/>
      <c r="Z17" s="55"/>
      <c r="AA17" s="55"/>
      <c r="AB17" s="34"/>
      <c r="AC17" s="63"/>
      <c r="AD17" s="60"/>
      <c r="AE17" s="241"/>
      <c r="AF17" s="34"/>
      <c r="AG17" s="34"/>
      <c r="AH17" s="34"/>
      <c r="AI17" s="34"/>
      <c r="AJ17" s="34"/>
      <c r="AK17" s="34"/>
      <c r="AL17" s="34"/>
      <c r="AM17" s="34"/>
      <c r="AN17" s="43" t="s">
        <v>45</v>
      </c>
      <c r="AO17" s="26"/>
      <c r="AP17" s="26"/>
      <c r="AQ17" s="26"/>
      <c r="AR17" s="26"/>
      <c r="AS17" s="34">
        <f ca="1">-+AB34</f>
        <v>589.75924935651585</v>
      </c>
      <c r="AT17" s="20"/>
      <c r="AU17" s="20"/>
    </row>
    <row r="18" spans="1:47" s="42" customFormat="1" ht="18" customHeight="1" x14ac:dyDescent="0.3">
      <c r="A18" s="20"/>
      <c r="B18" s="20" t="s">
        <v>4</v>
      </c>
      <c r="C18" s="20"/>
      <c r="D18" s="20"/>
      <c r="E18" s="20"/>
      <c r="F18" s="21">
        <v>7500</v>
      </c>
      <c r="G18" s="21">
        <v>8300</v>
      </c>
      <c r="H18" s="286"/>
      <c r="I18" s="664" t="s">
        <v>1052</v>
      </c>
      <c r="J18" s="1163" t="str">
        <f>+B151</f>
        <v>Reclamaciones de terceros</v>
      </c>
      <c r="K18" s="1166"/>
      <c r="L18" s="1166"/>
      <c r="M18" s="1162"/>
      <c r="N18" s="55">
        <f>-F151</f>
        <v>-650</v>
      </c>
      <c r="O18" s="55">
        <f>-G151</f>
        <v>-620</v>
      </c>
      <c r="P18" s="60">
        <f t="shared" si="3"/>
        <v>30</v>
      </c>
      <c r="Q18" s="60">
        <f t="shared" ca="1" si="0"/>
        <v>0</v>
      </c>
      <c r="R18" s="60">
        <f t="shared" ca="1" si="1"/>
        <v>0</v>
      </c>
      <c r="S18" s="55">
        <f t="shared" ca="1" si="2"/>
        <v>30</v>
      </c>
      <c r="T18" s="64"/>
      <c r="U18" s="54"/>
      <c r="V18" s="54"/>
      <c r="W18" s="54"/>
      <c r="X18" s="54">
        <f ca="1">+S18</f>
        <v>30</v>
      </c>
      <c r="Y18" s="64"/>
      <c r="Z18" s="54"/>
      <c r="AA18" s="54"/>
      <c r="AB18" s="21"/>
      <c r="AC18" s="65"/>
      <c r="AD18" s="64"/>
      <c r="AE18" s="241"/>
      <c r="AF18" s="26" t="s">
        <v>52</v>
      </c>
      <c r="AG18" s="34"/>
      <c r="AH18" s="34"/>
      <c r="AI18" s="37"/>
      <c r="AJ18" s="37"/>
      <c r="AK18" s="37"/>
      <c r="AL18" s="37"/>
      <c r="AM18" s="34"/>
      <c r="AN18" s="26" t="s">
        <v>152</v>
      </c>
      <c r="AO18" s="26"/>
      <c r="AP18" s="26"/>
      <c r="AQ18" s="26"/>
      <c r="AR18" s="26"/>
      <c r="AS18" s="34"/>
      <c r="AT18" s="20"/>
      <c r="AU18" s="20"/>
    </row>
    <row r="19" spans="1:47" s="42" customFormat="1" ht="18" customHeight="1" x14ac:dyDescent="0.3">
      <c r="A19" s="20"/>
      <c r="B19" s="20" t="s">
        <v>23</v>
      </c>
      <c r="C19" s="20"/>
      <c r="D19" s="20"/>
      <c r="E19" s="20"/>
      <c r="F19" s="21">
        <v>600</v>
      </c>
      <c r="G19" s="21">
        <v>400</v>
      </c>
      <c r="H19" s="286"/>
      <c r="I19" s="664" t="s">
        <v>1053</v>
      </c>
      <c r="J19" s="1163" t="str">
        <f>+B152</f>
        <v>Otros menores</v>
      </c>
      <c r="K19" s="1166"/>
      <c r="L19" s="1166"/>
      <c r="M19" s="1162"/>
      <c r="N19" s="55">
        <f>-F152</f>
        <v>-50</v>
      </c>
      <c r="O19" s="55">
        <f t="shared" ref="O19" si="5">-G152</f>
        <v>-80</v>
      </c>
      <c r="P19" s="60">
        <f t="shared" si="3"/>
        <v>-30</v>
      </c>
      <c r="Q19" s="60">
        <f t="shared" ca="1" si="0"/>
        <v>0</v>
      </c>
      <c r="R19" s="60">
        <f t="shared" ca="1" si="1"/>
        <v>0</v>
      </c>
      <c r="S19" s="55">
        <f t="shared" ca="1" si="2"/>
        <v>-30</v>
      </c>
      <c r="T19" s="64"/>
      <c r="U19" s="54"/>
      <c r="V19" s="54"/>
      <c r="W19" s="54"/>
      <c r="X19" s="55">
        <f ca="1">+S19</f>
        <v>-30</v>
      </c>
      <c r="Y19" s="64"/>
      <c r="Z19" s="54"/>
      <c r="AA19" s="54"/>
      <c r="AB19" s="21"/>
      <c r="AC19" s="65"/>
      <c r="AD19" s="64"/>
      <c r="AE19" s="241"/>
      <c r="AF19" s="20" t="s">
        <v>139</v>
      </c>
      <c r="AG19" s="34"/>
      <c r="AH19" s="34"/>
      <c r="AI19" s="34"/>
      <c r="AJ19" s="34"/>
      <c r="AK19" s="34"/>
      <c r="AL19" s="34">
        <f ca="1">+Y34</f>
        <v>-7400</v>
      </c>
      <c r="AM19" s="34"/>
      <c r="AN19" s="43" t="s">
        <v>228</v>
      </c>
      <c r="AO19" s="20"/>
      <c r="AP19" s="20"/>
      <c r="AQ19" s="20"/>
      <c r="AR19" s="20"/>
      <c r="AS19" s="34">
        <f ca="1">+T8</f>
        <v>-2100</v>
      </c>
      <c r="AT19" s="20"/>
      <c r="AU19" s="20"/>
    </row>
    <row r="20" spans="1:47" s="42" customFormat="1" ht="18" customHeight="1" x14ac:dyDescent="0.3">
      <c r="A20" s="20"/>
      <c r="B20" s="20" t="s">
        <v>27</v>
      </c>
      <c r="C20" s="20"/>
      <c r="D20" s="20"/>
      <c r="E20" s="20"/>
      <c r="F20" s="21">
        <v>5900</v>
      </c>
      <c r="G20" s="21">
        <v>5200</v>
      </c>
      <c r="H20" s="286"/>
      <c r="I20" s="664" t="s">
        <v>1054</v>
      </c>
      <c r="J20" s="94" t="s">
        <v>513</v>
      </c>
      <c r="K20" s="20"/>
      <c r="L20" s="20"/>
      <c r="M20" s="124"/>
      <c r="N20" s="55">
        <f>-F21</f>
        <v>-1000</v>
      </c>
      <c r="O20" s="55">
        <f>-G21</f>
        <v>-1200</v>
      </c>
      <c r="P20" s="60">
        <f t="shared" si="3"/>
        <v>-200</v>
      </c>
      <c r="Q20" s="60">
        <f t="shared" ca="1" si="0"/>
        <v>100</v>
      </c>
      <c r="R20" s="60">
        <f t="shared" ca="1" si="1"/>
        <v>0</v>
      </c>
      <c r="S20" s="55">
        <f t="shared" ca="1" si="2"/>
        <v>-300</v>
      </c>
      <c r="T20" s="64"/>
      <c r="U20" s="54"/>
      <c r="V20" s="54"/>
      <c r="W20" s="54"/>
      <c r="X20" s="55">
        <f ca="1">+S20</f>
        <v>-300</v>
      </c>
      <c r="Y20" s="64"/>
      <c r="Z20" s="54"/>
      <c r="AA20" s="54"/>
      <c r="AB20" s="21"/>
      <c r="AC20" s="65"/>
      <c r="AD20" s="64"/>
      <c r="AE20" s="241"/>
      <c r="AF20" s="20" t="s">
        <v>219</v>
      </c>
      <c r="AG20" s="34"/>
      <c r="AH20" s="34"/>
      <c r="AI20" s="34"/>
      <c r="AJ20" s="34"/>
      <c r="AK20" s="34"/>
      <c r="AL20" s="34">
        <f ca="1">+Z34</f>
        <v>900</v>
      </c>
      <c r="AM20" s="34"/>
      <c r="AN20" s="43" t="s">
        <v>521</v>
      </c>
      <c r="AO20" s="20"/>
      <c r="AP20" s="20"/>
      <c r="AQ20" s="20"/>
      <c r="AR20" s="20"/>
      <c r="AS20" s="34">
        <f ca="1">+T21</f>
        <v>100</v>
      </c>
      <c r="AT20" s="20"/>
      <c r="AU20" s="20"/>
    </row>
    <row r="21" spans="1:47" s="42" customFormat="1" ht="18" customHeight="1" x14ac:dyDescent="0.3">
      <c r="A21" s="20"/>
      <c r="B21" s="20" t="s">
        <v>167</v>
      </c>
      <c r="C21" s="20"/>
      <c r="D21" s="20"/>
      <c r="E21" s="20"/>
      <c r="F21" s="21">
        <v>1000</v>
      </c>
      <c r="G21" s="21">
        <v>1200</v>
      </c>
      <c r="H21" s="286"/>
      <c r="I21" s="664" t="s">
        <v>1055</v>
      </c>
      <c r="J21" s="94" t="s">
        <v>168</v>
      </c>
      <c r="K21" s="20"/>
      <c r="L21" s="20"/>
      <c r="M21" s="124"/>
      <c r="N21" s="55">
        <f>-F22</f>
        <v>-1600</v>
      </c>
      <c r="O21" s="55">
        <f>-G22</f>
        <v>-1500</v>
      </c>
      <c r="P21" s="60">
        <f t="shared" si="3"/>
        <v>100</v>
      </c>
      <c r="Q21" s="60">
        <f t="shared" ca="1" si="0"/>
        <v>0</v>
      </c>
      <c r="R21" s="60">
        <f t="shared" ca="1" si="1"/>
        <v>0</v>
      </c>
      <c r="S21" s="55">
        <f t="shared" ca="1" si="2"/>
        <v>100</v>
      </c>
      <c r="T21" s="64">
        <f ca="1">+S21</f>
        <v>100</v>
      </c>
      <c r="U21" s="54"/>
      <c r="V21" s="54"/>
      <c r="W21" s="54"/>
      <c r="X21" s="54"/>
      <c r="Y21" s="64"/>
      <c r="Z21" s="54"/>
      <c r="AA21" s="54"/>
      <c r="AB21" s="21"/>
      <c r="AC21" s="65"/>
      <c r="AD21" s="64"/>
      <c r="AE21" s="241"/>
      <c r="AF21" s="16" t="s">
        <v>1135</v>
      </c>
      <c r="AG21" s="16"/>
      <c r="AH21" s="16"/>
      <c r="AI21" s="48"/>
      <c r="AJ21" s="48"/>
      <c r="AK21" s="48"/>
      <c r="AL21" s="48"/>
      <c r="AM21" s="34"/>
      <c r="AN21" s="43" t="s">
        <v>1121</v>
      </c>
      <c r="AO21" s="20"/>
      <c r="AP21" s="20"/>
      <c r="AQ21" s="20"/>
      <c r="AR21" s="20"/>
      <c r="AS21" s="34">
        <f ca="1">+W9</f>
        <v>-1500</v>
      </c>
      <c r="AT21" s="20"/>
      <c r="AU21" s="20"/>
    </row>
    <row r="22" spans="1:47" s="42" customFormat="1" ht="18" customHeight="1" x14ac:dyDescent="0.3">
      <c r="A22" s="20"/>
      <c r="B22" s="20" t="s">
        <v>168</v>
      </c>
      <c r="C22" s="20"/>
      <c r="D22" s="20"/>
      <c r="E22" s="20"/>
      <c r="F22" s="21">
        <v>1600</v>
      </c>
      <c r="G22" s="21">
        <v>1500</v>
      </c>
      <c r="H22" s="286"/>
      <c r="I22" s="664" t="s">
        <v>1056</v>
      </c>
      <c r="J22" s="94" t="s">
        <v>6</v>
      </c>
      <c r="K22" s="20"/>
      <c r="L22" s="20"/>
      <c r="M22" s="124"/>
      <c r="N22" s="55">
        <f>-F23-F26</f>
        <v>-6095.2943603778094</v>
      </c>
      <c r="O22" s="55">
        <f>-G23-G26</f>
        <v>-7849.9541703131235</v>
      </c>
      <c r="P22" s="60">
        <f t="shared" si="3"/>
        <v>-1754.6598099353141</v>
      </c>
      <c r="Q22" s="60">
        <f t="shared" ca="1" si="0"/>
        <v>0</v>
      </c>
      <c r="R22" s="60">
        <f t="shared" ca="1" si="1"/>
        <v>0</v>
      </c>
      <c r="S22" s="55">
        <f t="shared" ca="1" si="2"/>
        <v>-1754.6598099353141</v>
      </c>
      <c r="T22" s="64"/>
      <c r="U22" s="54"/>
      <c r="V22" s="54"/>
      <c r="W22" s="54"/>
      <c r="X22" s="54"/>
      <c r="Y22" s="64"/>
      <c r="Z22" s="54"/>
      <c r="AA22" s="55">
        <f ca="1">+S22</f>
        <v>-1754.6598099353141</v>
      </c>
      <c r="AB22" s="34"/>
      <c r="AC22" s="65"/>
      <c r="AD22" s="64"/>
      <c r="AE22" s="241"/>
      <c r="AF22" s="16" t="s">
        <v>1136</v>
      </c>
      <c r="AG22" s="16"/>
      <c r="AH22" s="16"/>
      <c r="AI22" s="48"/>
      <c r="AJ22" s="48"/>
      <c r="AK22" s="48"/>
      <c r="AL22" s="48">
        <f ca="1">+AL19+AL20</f>
        <v>-6500</v>
      </c>
      <c r="AM22" s="34"/>
      <c r="AN22" s="43" t="s">
        <v>512</v>
      </c>
      <c r="AO22" s="20"/>
      <c r="AP22" s="20"/>
      <c r="AQ22" s="20"/>
      <c r="AR22" s="20"/>
      <c r="AS22" s="34">
        <f ca="1">+W14</f>
        <v>-800</v>
      </c>
      <c r="AT22" s="20"/>
      <c r="AU22" s="20"/>
    </row>
    <row r="23" spans="1:47" s="42" customFormat="1" ht="18" customHeight="1" x14ac:dyDescent="0.3">
      <c r="A23" s="20"/>
      <c r="B23" s="20" t="s">
        <v>6</v>
      </c>
      <c r="C23" s="20"/>
      <c r="D23" s="20"/>
      <c r="E23" s="20"/>
      <c r="F23" s="23">
        <f>+F198</f>
        <v>1886.4856562946461</v>
      </c>
      <c r="G23" s="23">
        <f>+G198</f>
        <v>1754.6598099353139</v>
      </c>
      <c r="H23" s="286"/>
      <c r="I23" s="664" t="s">
        <v>1057</v>
      </c>
      <c r="J23" s="94" t="s">
        <v>186</v>
      </c>
      <c r="K23" s="20"/>
      <c r="L23" s="20"/>
      <c r="M23" s="124"/>
      <c r="N23" s="55">
        <f>-F25</f>
        <v>-900</v>
      </c>
      <c r="O23" s="55">
        <f>-G25</f>
        <v>0</v>
      </c>
      <c r="P23" s="60">
        <f t="shared" si="3"/>
        <v>900</v>
      </c>
      <c r="Q23" s="60">
        <f t="shared" ca="1" si="0"/>
        <v>900</v>
      </c>
      <c r="R23" s="60">
        <f t="shared" ca="1" si="1"/>
        <v>0</v>
      </c>
      <c r="S23" s="55">
        <f t="shared" ca="1" si="2"/>
        <v>0</v>
      </c>
      <c r="T23" s="64"/>
      <c r="U23" s="54"/>
      <c r="V23" s="54"/>
      <c r="W23" s="54"/>
      <c r="X23" s="54"/>
      <c r="Y23" s="64"/>
      <c r="Z23" s="54"/>
      <c r="AA23" s="54"/>
      <c r="AB23" s="21"/>
      <c r="AC23" s="65"/>
      <c r="AD23" s="64"/>
      <c r="AE23" s="241"/>
      <c r="AF23" s="26"/>
      <c r="AG23" s="34"/>
      <c r="AH23" s="34"/>
      <c r="AI23" s="37"/>
      <c r="AJ23" s="37"/>
      <c r="AK23" s="37"/>
      <c r="AL23" s="37"/>
      <c r="AM23" s="34"/>
      <c r="AN23" s="43" t="s">
        <v>230</v>
      </c>
      <c r="AO23" s="20"/>
      <c r="AP23" s="20"/>
      <c r="AQ23" s="20"/>
      <c r="AR23" s="20"/>
      <c r="AS23" s="34">
        <f ca="1">+V15</f>
        <v>200</v>
      </c>
      <c r="AT23" s="20"/>
      <c r="AU23" s="20"/>
    </row>
    <row r="24" spans="1:47" s="42" customFormat="1" ht="18" customHeight="1" x14ac:dyDescent="0.3">
      <c r="A24" s="20"/>
      <c r="B24" s="16" t="s">
        <v>77</v>
      </c>
      <c r="C24" s="16"/>
      <c r="D24" s="16"/>
      <c r="E24" s="16"/>
      <c r="F24" s="24">
        <f>SUM(F18:F23)</f>
        <v>18486.485656294644</v>
      </c>
      <c r="G24" s="24">
        <f>SUM(G18:G23)</f>
        <v>18354.659809935314</v>
      </c>
      <c r="H24" s="286"/>
      <c r="I24" s="664" t="s">
        <v>1058</v>
      </c>
      <c r="J24" s="94" t="s">
        <v>7</v>
      </c>
      <c r="K24" s="20"/>
      <c r="L24" s="20"/>
      <c r="M24" s="124"/>
      <c r="N24" s="55">
        <f>-F30</f>
        <v>-14000</v>
      </c>
      <c r="O24" s="55">
        <f>-G30</f>
        <v>-10000</v>
      </c>
      <c r="P24" s="60">
        <f t="shared" si="3"/>
        <v>4000</v>
      </c>
      <c r="Q24" s="60">
        <f t="shared" ca="1" si="0"/>
        <v>2500</v>
      </c>
      <c r="R24" s="60">
        <f t="shared" ca="1" si="1"/>
        <v>0</v>
      </c>
      <c r="S24" s="55">
        <f t="shared" ca="1" si="2"/>
        <v>1500</v>
      </c>
      <c r="T24" s="64"/>
      <c r="U24" s="54"/>
      <c r="V24" s="54"/>
      <c r="W24" s="54"/>
      <c r="X24" s="54"/>
      <c r="Y24" s="64"/>
      <c r="Z24" s="54"/>
      <c r="AA24" s="54"/>
      <c r="AB24" s="21"/>
      <c r="AC24" s="65">
        <f ca="1">+S24</f>
        <v>1500</v>
      </c>
      <c r="AD24" s="64"/>
      <c r="AE24" s="241"/>
      <c r="AF24" s="26" t="s">
        <v>74</v>
      </c>
      <c r="AG24" s="34"/>
      <c r="AH24" s="34"/>
      <c r="AI24" s="37"/>
      <c r="AJ24" s="37"/>
      <c r="AK24" s="37"/>
      <c r="AL24" s="37"/>
      <c r="AM24" s="34"/>
      <c r="AN24" s="43" t="s">
        <v>231</v>
      </c>
      <c r="AO24" s="20"/>
      <c r="AP24" s="20"/>
      <c r="AQ24" s="20"/>
      <c r="AR24" s="20"/>
      <c r="AS24" s="34">
        <f ca="1">+U17</f>
        <v>700</v>
      </c>
      <c r="AT24" s="20"/>
      <c r="AU24" s="20"/>
    </row>
    <row r="25" spans="1:47" s="42" customFormat="1" ht="18" customHeight="1" x14ac:dyDescent="0.3">
      <c r="A25" s="20"/>
      <c r="B25" s="20" t="s">
        <v>186</v>
      </c>
      <c r="C25" s="20"/>
      <c r="D25" s="20"/>
      <c r="E25" s="20"/>
      <c r="F25" s="29">
        <f>3000*30%</f>
        <v>900</v>
      </c>
      <c r="G25" s="30">
        <v>0</v>
      </c>
      <c r="H25" s="286"/>
      <c r="I25" s="664" t="s">
        <v>1059</v>
      </c>
      <c r="J25" s="94" t="s">
        <v>185</v>
      </c>
      <c r="K25" s="20"/>
      <c r="L25" s="20"/>
      <c r="M25" s="124"/>
      <c r="N25" s="55">
        <f>-F31</f>
        <v>-2100</v>
      </c>
      <c r="O25" s="55">
        <f>-G31</f>
        <v>0</v>
      </c>
      <c r="P25" s="60">
        <f t="shared" si="3"/>
        <v>2100</v>
      </c>
      <c r="Q25" s="60">
        <f t="shared" ca="1" si="0"/>
        <v>2100</v>
      </c>
      <c r="R25" s="60">
        <f t="shared" ca="1" si="1"/>
        <v>0</v>
      </c>
      <c r="S25" s="55">
        <f t="shared" ca="1" si="2"/>
        <v>0</v>
      </c>
      <c r="T25" s="64"/>
      <c r="U25" s="54"/>
      <c r="V25" s="54"/>
      <c r="W25" s="54"/>
      <c r="X25" s="54"/>
      <c r="Y25" s="64"/>
      <c r="Z25" s="54"/>
      <c r="AA25" s="54"/>
      <c r="AB25" s="21"/>
      <c r="AC25" s="65"/>
      <c r="AD25" s="60"/>
      <c r="AE25" s="241"/>
      <c r="AF25" s="20" t="s">
        <v>140</v>
      </c>
      <c r="AG25" s="34"/>
      <c r="AH25" s="34"/>
      <c r="AI25" s="34"/>
      <c r="AJ25" s="34"/>
      <c r="AK25" s="34"/>
      <c r="AL25" s="34">
        <f ca="1">+AA34</f>
        <v>-1754.6598099353141</v>
      </c>
      <c r="AM25" s="34"/>
      <c r="AN25" s="43" t="s">
        <v>505</v>
      </c>
      <c r="AO25" s="20"/>
      <c r="AP25" s="20"/>
      <c r="AQ25" s="20"/>
      <c r="AR25" s="20"/>
      <c r="AS25" s="34">
        <f ca="1">+X20</f>
        <v>-300</v>
      </c>
      <c r="AT25" s="20"/>
      <c r="AU25" s="20"/>
    </row>
    <row r="26" spans="1:47" s="42" customFormat="1" ht="18" customHeight="1" x14ac:dyDescent="0.3">
      <c r="A26" s="20"/>
      <c r="B26" s="20" t="s">
        <v>6</v>
      </c>
      <c r="C26" s="20"/>
      <c r="D26" s="20"/>
      <c r="E26" s="20"/>
      <c r="F26" s="23">
        <f>+F199</f>
        <v>4208.8087040831633</v>
      </c>
      <c r="G26" s="23">
        <f>+G199</f>
        <v>6095.2943603778094</v>
      </c>
      <c r="H26" s="286"/>
      <c r="I26" s="664" t="s">
        <v>1060</v>
      </c>
      <c r="J26" s="94" t="s">
        <v>8</v>
      </c>
      <c r="K26" s="20"/>
      <c r="L26" s="20"/>
      <c r="M26" s="124"/>
      <c r="N26" s="55">
        <f>-F32+G52</f>
        <v>-9219.7592493565171</v>
      </c>
      <c r="O26" s="55">
        <f>-G32</f>
        <v>-20000</v>
      </c>
      <c r="P26" s="60">
        <f t="shared" si="3"/>
        <v>-10780.240750643483</v>
      </c>
      <c r="Q26" s="60">
        <f t="shared" ca="1" si="0"/>
        <v>0</v>
      </c>
      <c r="R26" s="60">
        <f t="shared" ca="1" si="1"/>
        <v>900</v>
      </c>
      <c r="S26" s="55">
        <f t="shared" ca="1" si="2"/>
        <v>-9880.2407506434829</v>
      </c>
      <c r="T26" s="64"/>
      <c r="U26" s="54"/>
      <c r="V26" s="54"/>
      <c r="W26" s="54"/>
      <c r="X26" s="54"/>
      <c r="Y26" s="64"/>
      <c r="Z26" s="54"/>
      <c r="AA26" s="54"/>
      <c r="AB26" s="21"/>
      <c r="AC26" s="65"/>
      <c r="AD26" s="60">
        <f ca="1">+S26</f>
        <v>-9880.2407506434829</v>
      </c>
      <c r="AE26" s="241"/>
      <c r="AF26" s="20" t="s">
        <v>269</v>
      </c>
      <c r="AG26" s="34"/>
      <c r="AH26" s="34"/>
      <c r="AI26" s="34"/>
      <c r="AJ26" s="34"/>
      <c r="AK26" s="34"/>
      <c r="AL26" s="34">
        <f ca="1">+AB34</f>
        <v>-589.75924935651585</v>
      </c>
      <c r="AM26" s="34"/>
      <c r="AN26" s="1164" t="s">
        <v>1139</v>
      </c>
      <c r="AO26" s="49"/>
      <c r="AP26" s="49"/>
      <c r="AQ26" s="49"/>
      <c r="AR26" s="49"/>
      <c r="AS26" s="67">
        <f ca="1">SUM(AS8:AS25)</f>
        <v>18070</v>
      </c>
      <c r="AT26" s="20"/>
      <c r="AU26" s="20"/>
    </row>
    <row r="27" spans="1:47" s="42" customFormat="1" ht="18" customHeight="1" x14ac:dyDescent="0.3">
      <c r="A27" s="20"/>
      <c r="B27" s="16" t="s">
        <v>76</v>
      </c>
      <c r="C27" s="16"/>
      <c r="D27" s="16"/>
      <c r="E27" s="16"/>
      <c r="F27" s="25">
        <f>SUM(F24:F26)</f>
        <v>23595.294360377808</v>
      </c>
      <c r="G27" s="25">
        <f>SUM(G24:G26)</f>
        <v>24449.954170313125</v>
      </c>
      <c r="H27" s="286"/>
      <c r="I27" s="664" t="s">
        <v>1061</v>
      </c>
      <c r="J27" s="94" t="s">
        <v>9</v>
      </c>
      <c r="K27" s="20"/>
      <c r="L27" s="20"/>
      <c r="M27" s="124"/>
      <c r="N27" s="55">
        <f>-G41</f>
        <v>-102390</v>
      </c>
      <c r="O27" s="55"/>
      <c r="P27" s="60">
        <f t="shared" si="3"/>
        <v>102390</v>
      </c>
      <c r="Q27" s="60">
        <f t="shared" ca="1" si="0"/>
        <v>0</v>
      </c>
      <c r="R27" s="60">
        <f t="shared" ca="1" si="1"/>
        <v>0</v>
      </c>
      <c r="S27" s="55">
        <f t="shared" ca="1" si="2"/>
        <v>102390</v>
      </c>
      <c r="T27" s="64">
        <f ca="1">+S27</f>
        <v>102390</v>
      </c>
      <c r="U27" s="54"/>
      <c r="V27" s="54"/>
      <c r="W27" s="54"/>
      <c r="X27" s="54"/>
      <c r="Y27" s="64"/>
      <c r="Z27" s="54"/>
      <c r="AA27" s="54"/>
      <c r="AB27" s="21"/>
      <c r="AC27" s="65"/>
      <c r="AD27" s="64"/>
      <c r="AE27" s="241"/>
      <c r="AF27" s="20" t="s">
        <v>530</v>
      </c>
      <c r="AG27" s="34"/>
      <c r="AH27" s="34"/>
      <c r="AI27" s="34"/>
      <c r="AJ27" s="34"/>
      <c r="AK27" s="34"/>
      <c r="AL27" s="34">
        <f ca="1">+AC34</f>
        <v>1500</v>
      </c>
      <c r="AM27" s="34"/>
      <c r="AN27" s="20"/>
      <c r="AO27" s="20"/>
      <c r="AP27" s="20"/>
      <c r="AQ27" s="20"/>
      <c r="AR27" s="20"/>
      <c r="AS27" s="75">
        <f ca="1">+AL16-AS26</f>
        <v>0</v>
      </c>
      <c r="AT27" s="20"/>
      <c r="AU27" s="20"/>
    </row>
    <row r="28" spans="1:47" s="42" customFormat="1" ht="18" customHeight="1" x14ac:dyDescent="0.3">
      <c r="A28" s="20"/>
      <c r="B28" s="26"/>
      <c r="C28" s="26"/>
      <c r="D28" s="26"/>
      <c r="E28" s="26"/>
      <c r="F28" s="21"/>
      <c r="G28" s="21"/>
      <c r="H28" s="286"/>
      <c r="I28" s="664" t="s">
        <v>1062</v>
      </c>
      <c r="J28" s="94" t="s">
        <v>10</v>
      </c>
      <c r="K28" s="20"/>
      <c r="L28" s="20"/>
      <c r="M28" s="124"/>
      <c r="N28" s="55">
        <f>-G42</f>
        <v>54400</v>
      </c>
      <c r="O28" s="55"/>
      <c r="P28" s="60">
        <f t="shared" si="3"/>
        <v>-54400</v>
      </c>
      <c r="Q28" s="60">
        <f t="shared" ca="1" si="0"/>
        <v>0</v>
      </c>
      <c r="R28" s="60">
        <f t="shared" ca="1" si="1"/>
        <v>2400</v>
      </c>
      <c r="S28" s="55">
        <f t="shared" ca="1" si="2"/>
        <v>-52000</v>
      </c>
      <c r="T28" s="64"/>
      <c r="U28" s="55">
        <f>-E75</f>
        <v>-30000</v>
      </c>
      <c r="V28" s="54"/>
      <c r="W28" s="55">
        <f>-E74</f>
        <v>-21500</v>
      </c>
      <c r="X28" s="55">
        <f>-E80-E81</f>
        <v>-500</v>
      </c>
      <c r="Y28" s="64"/>
      <c r="Z28" s="54"/>
      <c r="AA28" s="54"/>
      <c r="AB28" s="21"/>
      <c r="AC28" s="65"/>
      <c r="AD28" s="64"/>
      <c r="AE28" s="241"/>
      <c r="AF28" s="20" t="s">
        <v>142</v>
      </c>
      <c r="AG28" s="34"/>
      <c r="AH28" s="34"/>
      <c r="AI28" s="34"/>
      <c r="AJ28" s="34"/>
      <c r="AK28" s="34"/>
      <c r="AL28" s="34">
        <f ca="1">+AD34</f>
        <v>-9880.2407506434829</v>
      </c>
      <c r="AM28" s="34"/>
      <c r="AN28" s="20"/>
      <c r="AO28" s="20"/>
      <c r="AP28" s="20"/>
      <c r="AQ28" s="20"/>
      <c r="AR28" s="20"/>
      <c r="AS28" s="20"/>
      <c r="AT28" s="20"/>
      <c r="AU28" s="20"/>
    </row>
    <row r="29" spans="1:47" s="42" customFormat="1" ht="18" customHeight="1" x14ac:dyDescent="0.3">
      <c r="A29" s="20"/>
      <c r="B29" s="26" t="s">
        <v>80</v>
      </c>
      <c r="C29" s="26"/>
      <c r="D29" s="26"/>
      <c r="E29" s="26"/>
      <c r="F29" s="21"/>
      <c r="G29" s="21"/>
      <c r="H29" s="286"/>
      <c r="I29" s="664" t="s">
        <v>1063</v>
      </c>
      <c r="J29" s="94" t="s">
        <v>176</v>
      </c>
      <c r="K29" s="20"/>
      <c r="L29" s="20"/>
      <c r="M29" s="124"/>
      <c r="N29" s="55">
        <f>-G45</f>
        <v>-2500</v>
      </c>
      <c r="O29" s="54"/>
      <c r="P29" s="60">
        <f t="shared" si="3"/>
        <v>2500</v>
      </c>
      <c r="Q29" s="60">
        <f t="shared" ca="1" si="0"/>
        <v>2500</v>
      </c>
      <c r="R29" s="60">
        <f t="shared" ca="1" si="1"/>
        <v>0</v>
      </c>
      <c r="S29" s="55">
        <f t="shared" ca="1" si="2"/>
        <v>0</v>
      </c>
      <c r="T29" s="60"/>
      <c r="U29" s="55"/>
      <c r="V29" s="55"/>
      <c r="W29" s="55"/>
      <c r="X29" s="55"/>
      <c r="Y29" s="60"/>
      <c r="Z29" s="55"/>
      <c r="AA29" s="55"/>
      <c r="AB29" s="34"/>
      <c r="AC29" s="63"/>
      <c r="AD29" s="60"/>
      <c r="AE29" s="241"/>
      <c r="AF29" s="16" t="s">
        <v>1137</v>
      </c>
      <c r="AG29" s="16"/>
      <c r="AH29" s="16"/>
      <c r="AI29" s="48"/>
      <c r="AJ29" s="48"/>
      <c r="AK29" s="48"/>
      <c r="AL29" s="48"/>
      <c r="AM29" s="34"/>
      <c r="AN29" s="20"/>
      <c r="AO29" s="20"/>
      <c r="AP29" s="20"/>
      <c r="AQ29" s="20"/>
      <c r="AR29" s="20"/>
      <c r="AS29" s="20"/>
      <c r="AT29" s="20"/>
      <c r="AU29" s="20"/>
    </row>
    <row r="30" spans="1:47" s="42" customFormat="1" ht="18" customHeight="1" x14ac:dyDescent="0.3">
      <c r="A30" s="20"/>
      <c r="B30" s="20" t="s">
        <v>7</v>
      </c>
      <c r="C30" s="20"/>
      <c r="D30" s="20"/>
      <c r="E30" s="20"/>
      <c r="F30" s="21">
        <v>14000</v>
      </c>
      <c r="G30" s="21">
        <v>10000</v>
      </c>
      <c r="H30" s="286"/>
      <c r="I30" s="664" t="s">
        <v>1064</v>
      </c>
      <c r="J30" s="94" t="s">
        <v>86</v>
      </c>
      <c r="K30" s="20"/>
      <c r="L30" s="20"/>
      <c r="M30" s="124"/>
      <c r="N30" s="55">
        <f>-G46</f>
        <v>7800</v>
      </c>
      <c r="O30" s="54"/>
      <c r="P30" s="60">
        <f t="shared" si="3"/>
        <v>-7800</v>
      </c>
      <c r="Q30" s="60">
        <f t="shared" ca="1" si="0"/>
        <v>0</v>
      </c>
      <c r="R30" s="60">
        <f t="shared" ca="1" si="1"/>
        <v>300</v>
      </c>
      <c r="S30" s="55">
        <f t="shared" ca="1" si="2"/>
        <v>-7500</v>
      </c>
      <c r="T30" s="60"/>
      <c r="U30" s="55">
        <f>-F75</f>
        <v>-6600</v>
      </c>
      <c r="V30" s="55"/>
      <c r="W30" s="55"/>
      <c r="X30" s="55">
        <f>-F76-F81</f>
        <v>-900</v>
      </c>
      <c r="Y30" s="60"/>
      <c r="Z30" s="55"/>
      <c r="AA30" s="55"/>
      <c r="AB30" s="34"/>
      <c r="AC30" s="63"/>
      <c r="AD30" s="60"/>
      <c r="AE30" s="241"/>
      <c r="AF30" s="16" t="s">
        <v>1138</v>
      </c>
      <c r="AG30" s="16"/>
      <c r="AH30" s="16"/>
      <c r="AI30" s="48"/>
      <c r="AJ30" s="48"/>
      <c r="AK30" s="48"/>
      <c r="AL30" s="48">
        <f ca="1">SUM(AL25:AL28)</f>
        <v>-10724.659809935312</v>
      </c>
      <c r="AM30" s="34"/>
      <c r="AN30" s="20"/>
      <c r="AO30" s="20"/>
      <c r="AP30" s="20"/>
      <c r="AQ30" s="20"/>
      <c r="AR30" s="20"/>
      <c r="AS30" s="20"/>
      <c r="AT30" s="20"/>
      <c r="AU30" s="20"/>
    </row>
    <row r="31" spans="1:47" s="42" customFormat="1" ht="18" customHeight="1" x14ac:dyDescent="0.3">
      <c r="A31" s="20"/>
      <c r="B31" s="20" t="s">
        <v>185</v>
      </c>
      <c r="C31" s="20"/>
      <c r="D31" s="20"/>
      <c r="E31" s="20"/>
      <c r="F31" s="29">
        <f>3000*70%</f>
        <v>2100</v>
      </c>
      <c r="G31" s="31">
        <v>0</v>
      </c>
      <c r="H31" s="286"/>
      <c r="I31" s="664" t="s">
        <v>1065</v>
      </c>
      <c r="J31" s="94" t="s">
        <v>85</v>
      </c>
      <c r="K31" s="20"/>
      <c r="L31" s="20"/>
      <c r="M31" s="124"/>
      <c r="N31" s="55">
        <f>-G47</f>
        <v>14120</v>
      </c>
      <c r="O31" s="54"/>
      <c r="P31" s="60">
        <f t="shared" si="3"/>
        <v>-14120</v>
      </c>
      <c r="Q31" s="60">
        <f t="shared" ca="1" si="0"/>
        <v>0</v>
      </c>
      <c r="R31" s="60">
        <f t="shared" ca="1" si="1"/>
        <v>600</v>
      </c>
      <c r="S31" s="55">
        <f t="shared" ca="1" si="2"/>
        <v>-13520</v>
      </c>
      <c r="T31" s="60"/>
      <c r="U31" s="55">
        <f>-G75</f>
        <v>-12900</v>
      </c>
      <c r="V31" s="55"/>
      <c r="W31" s="55"/>
      <c r="X31" s="55">
        <f>-G80-G81</f>
        <v>-620</v>
      </c>
      <c r="Y31" s="60"/>
      <c r="Z31" s="55"/>
      <c r="AA31" s="55"/>
      <c r="AB31" s="34"/>
      <c r="AC31" s="63"/>
      <c r="AD31" s="60"/>
      <c r="AE31" s="241"/>
      <c r="AF31" s="26"/>
      <c r="AG31" s="34"/>
      <c r="AH31" s="34"/>
      <c r="AI31" s="37"/>
      <c r="AJ31" s="37"/>
      <c r="AK31" s="37"/>
      <c r="AL31" s="37"/>
      <c r="AM31" s="34"/>
      <c r="AN31" s="20"/>
      <c r="AO31" s="20"/>
      <c r="AP31" s="20"/>
      <c r="AQ31" s="20"/>
      <c r="AR31" s="20"/>
      <c r="AS31" s="20"/>
      <c r="AT31" s="20"/>
      <c r="AU31" s="20"/>
    </row>
    <row r="32" spans="1:47" s="42" customFormat="1" ht="18" customHeight="1" x14ac:dyDescent="0.3">
      <c r="A32" s="20"/>
      <c r="B32" s="20" t="s">
        <v>8</v>
      </c>
      <c r="C32" s="20"/>
      <c r="D32" s="20"/>
      <c r="E32" s="20"/>
      <c r="F32" s="32">
        <v>30000</v>
      </c>
      <c r="G32" s="32">
        <v>20000</v>
      </c>
      <c r="H32" s="286"/>
      <c r="I32" s="664" t="s">
        <v>1066</v>
      </c>
      <c r="J32" s="94" t="s">
        <v>45</v>
      </c>
      <c r="K32" s="20"/>
      <c r="L32" s="20"/>
      <c r="M32" s="124"/>
      <c r="N32" s="55">
        <f>-G49</f>
        <v>589.75924935651585</v>
      </c>
      <c r="O32" s="54"/>
      <c r="P32" s="60">
        <f t="shared" si="3"/>
        <v>-589.75924935651585</v>
      </c>
      <c r="Q32" s="60">
        <f t="shared" ca="1" si="0"/>
        <v>0</v>
      </c>
      <c r="R32" s="60">
        <f t="shared" ca="1" si="1"/>
        <v>0</v>
      </c>
      <c r="S32" s="55">
        <f t="shared" ca="1" si="2"/>
        <v>-589.75924935651585</v>
      </c>
      <c r="T32" s="60"/>
      <c r="U32" s="55"/>
      <c r="V32" s="55"/>
      <c r="W32" s="55"/>
      <c r="X32" s="55"/>
      <c r="Y32" s="60"/>
      <c r="Z32" s="55"/>
      <c r="AA32" s="55"/>
      <c r="AB32" s="34">
        <f ca="1">+S32</f>
        <v>-589.75924935651585</v>
      </c>
      <c r="AC32" s="63"/>
      <c r="AD32" s="60"/>
      <c r="AE32" s="241"/>
      <c r="AF32" s="16" t="s">
        <v>148</v>
      </c>
      <c r="AG32" s="16"/>
      <c r="AH32" s="16"/>
      <c r="AI32" s="48"/>
      <c r="AJ32" s="48"/>
      <c r="AK32" s="48"/>
      <c r="AL32" s="48">
        <f ca="1">+AL16+AL22+AL30</f>
        <v>845.3401900646877</v>
      </c>
      <c r="AM32" s="34"/>
      <c r="AN32" s="34"/>
      <c r="AO32" s="20"/>
      <c r="AP32" s="20"/>
      <c r="AQ32" s="20"/>
      <c r="AR32" s="20"/>
      <c r="AS32" s="20"/>
      <c r="AT32" s="20"/>
      <c r="AU32" s="20"/>
    </row>
    <row r="33" spans="1:47" s="42" customFormat="1" ht="18" customHeight="1" x14ac:dyDescent="0.3">
      <c r="A33" s="20"/>
      <c r="B33" s="16" t="s">
        <v>81</v>
      </c>
      <c r="C33" s="16"/>
      <c r="D33" s="16"/>
      <c r="E33" s="16"/>
      <c r="F33" s="33">
        <f>SUM(F30:F32)</f>
        <v>46100</v>
      </c>
      <c r="G33" s="33">
        <f>SUM(G30:G32)</f>
        <v>30000</v>
      </c>
      <c r="H33" s="286"/>
      <c r="I33" s="1289" t="s">
        <v>1067</v>
      </c>
      <c r="J33" s="94" t="s">
        <v>15</v>
      </c>
      <c r="K33" s="20"/>
      <c r="L33" s="20"/>
      <c r="M33" s="124"/>
      <c r="N33" s="55">
        <f>-G51</f>
        <v>7200</v>
      </c>
      <c r="O33" s="54"/>
      <c r="P33" s="60">
        <f t="shared" si="3"/>
        <v>-7200</v>
      </c>
      <c r="Q33" s="60">
        <f t="shared" ca="1" si="0"/>
        <v>400</v>
      </c>
      <c r="R33" s="60">
        <f t="shared" ca="1" si="1"/>
        <v>0</v>
      </c>
      <c r="S33" s="55">
        <f t="shared" ca="1" si="2"/>
        <v>-7600</v>
      </c>
      <c r="T33" s="60"/>
      <c r="U33" s="55"/>
      <c r="V33" s="55">
        <f ca="1">+S33</f>
        <v>-7600</v>
      </c>
      <c r="W33" s="55"/>
      <c r="X33" s="55"/>
      <c r="Y33" s="60"/>
      <c r="Z33" s="55"/>
      <c r="AA33" s="55"/>
      <c r="AB33" s="34"/>
      <c r="AC33" s="63"/>
      <c r="AD33" s="60"/>
      <c r="AE33" s="241"/>
      <c r="AF33" s="114" t="s">
        <v>47</v>
      </c>
      <c r="AG33" s="115"/>
      <c r="AH33" s="115"/>
      <c r="AI33" s="1308"/>
      <c r="AJ33" s="1308"/>
      <c r="AK33" s="1308"/>
      <c r="AL33" s="1309">
        <f>+O7</f>
        <v>11250</v>
      </c>
      <c r="AM33" s="34"/>
      <c r="AN33" s="34"/>
      <c r="AO33" s="20"/>
      <c r="AP33" s="20"/>
      <c r="AQ33" s="20"/>
      <c r="AR33" s="20"/>
      <c r="AS33" s="20"/>
      <c r="AT33" s="20"/>
      <c r="AU33" s="20"/>
    </row>
    <row r="34" spans="1:47" s="42" customFormat="1" ht="18" customHeight="1" x14ac:dyDescent="0.3">
      <c r="A34" s="20"/>
      <c r="B34" s="16" t="s">
        <v>82</v>
      </c>
      <c r="C34" s="16"/>
      <c r="D34" s="16"/>
      <c r="E34" s="16"/>
      <c r="F34" s="25">
        <f>+F27+F33</f>
        <v>69695.294360377811</v>
      </c>
      <c r="G34" s="25">
        <f>+G27+G33</f>
        <v>54449.954170313125</v>
      </c>
      <c r="H34" s="286"/>
      <c r="I34" s="1292"/>
      <c r="J34" s="1164"/>
      <c r="K34" s="1167"/>
      <c r="L34" s="1167"/>
      <c r="M34" s="1165"/>
      <c r="N34" s="57">
        <f t="shared" ref="N34:P34" si="6">SUM(N7:N33)</f>
        <v>-0.29436037781215418</v>
      </c>
      <c r="O34" s="57">
        <f t="shared" si="6"/>
        <v>4.5829686874640174E-2</v>
      </c>
      <c r="P34" s="57">
        <f t="shared" si="6"/>
        <v>0.34019006468679436</v>
      </c>
      <c r="Q34" s="57">
        <f t="shared" ref="Q34:AD34" ca="1" si="7">SUM(Q7:Q33)</f>
        <v>11700</v>
      </c>
      <c r="R34" s="57">
        <f t="shared" ca="1" si="7"/>
        <v>11700</v>
      </c>
      <c r="S34" s="57">
        <f t="shared" ca="1" si="7"/>
        <v>0.34019006468679436</v>
      </c>
      <c r="T34" s="66">
        <f t="shared" ca="1" si="7"/>
        <v>100390</v>
      </c>
      <c r="U34" s="67">
        <f t="shared" ca="1" si="7"/>
        <v>-48800</v>
      </c>
      <c r="V34" s="67">
        <f t="shared" ca="1" si="7"/>
        <v>-7400</v>
      </c>
      <c r="W34" s="67">
        <f t="shared" ca="1" si="7"/>
        <v>-23800</v>
      </c>
      <c r="X34" s="67">
        <f t="shared" ca="1" si="7"/>
        <v>-2320</v>
      </c>
      <c r="Y34" s="66">
        <f t="shared" ca="1" si="7"/>
        <v>-7400</v>
      </c>
      <c r="Z34" s="66">
        <f t="shared" ca="1" si="7"/>
        <v>900</v>
      </c>
      <c r="AA34" s="67">
        <f t="shared" ca="1" si="7"/>
        <v>-1754.6598099353141</v>
      </c>
      <c r="AB34" s="67">
        <f t="shared" ca="1" si="7"/>
        <v>-589.75924935651585</v>
      </c>
      <c r="AC34" s="68">
        <f t="shared" ca="1" si="7"/>
        <v>1500</v>
      </c>
      <c r="AD34" s="66">
        <f t="shared" ca="1" si="7"/>
        <v>-9880.2407506434829</v>
      </c>
      <c r="AE34" s="241"/>
      <c r="AF34" s="120" t="s">
        <v>49</v>
      </c>
      <c r="AG34" s="121"/>
      <c r="AH34" s="121"/>
      <c r="AI34" s="1310"/>
      <c r="AJ34" s="1310"/>
      <c r="AK34" s="1310"/>
      <c r="AL34" s="797">
        <f ca="1">+AL32+AL33</f>
        <v>12095.340190064688</v>
      </c>
      <c r="AM34" s="241">
        <f ca="1">+AL34-F7</f>
        <v>0.34019006468770385</v>
      </c>
      <c r="AN34" s="34"/>
      <c r="AO34" s="20"/>
      <c r="AP34" s="20"/>
      <c r="AQ34" s="20"/>
      <c r="AR34" s="20"/>
      <c r="AS34" s="20"/>
      <c r="AT34" s="20"/>
      <c r="AU34" s="20"/>
    </row>
    <row r="35" spans="1:47" s="42" customFormat="1" ht="18" customHeight="1" x14ac:dyDescent="0.3">
      <c r="A35" s="20"/>
      <c r="B35" s="20"/>
      <c r="C35" s="20"/>
      <c r="D35" s="20"/>
      <c r="F35" s="218">
        <f>+F15-F34</f>
        <v>-0.29436037781124469</v>
      </c>
      <c r="G35" s="218">
        <f>+G15-G34</f>
        <v>4.5829686874640174E-2</v>
      </c>
      <c r="H35" s="286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N35" s="241"/>
    </row>
    <row r="36" spans="1:47" s="42" customFormat="1" ht="18" customHeight="1" x14ac:dyDescent="0.3">
      <c r="A36" s="20"/>
      <c r="B36" s="20"/>
      <c r="C36" s="20"/>
      <c r="D36" s="20"/>
      <c r="E36" s="26"/>
      <c r="F36" s="26"/>
      <c r="G36" s="34"/>
      <c r="H36" s="26"/>
      <c r="I36" s="1415"/>
      <c r="J36" s="1415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</row>
    <row r="37" spans="1:47" s="42" customFormat="1" ht="18" customHeight="1" x14ac:dyDescent="0.3">
      <c r="A37" s="20"/>
      <c r="B37" s="240" t="s">
        <v>295</v>
      </c>
      <c r="C37" s="240"/>
      <c r="D37" s="240"/>
      <c r="E37" s="18"/>
      <c r="F37" s="18"/>
      <c r="G37" s="18"/>
      <c r="H37" s="26"/>
      <c r="I37" s="1415"/>
      <c r="J37" s="1415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</row>
    <row r="38" spans="1:47" s="42" customFormat="1" ht="18" customHeight="1" x14ac:dyDescent="0.3">
      <c r="A38" s="20"/>
      <c r="B38" s="240" t="s">
        <v>389</v>
      </c>
      <c r="C38" s="240"/>
      <c r="D38" s="240"/>
      <c r="E38" s="18"/>
      <c r="F38" s="18"/>
      <c r="G38" s="18"/>
      <c r="H38" s="26"/>
      <c r="I38" s="1415"/>
      <c r="J38" s="1415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</row>
    <row r="39" spans="1:47" s="42" customFormat="1" ht="18" customHeight="1" x14ac:dyDescent="0.3">
      <c r="A39" s="26"/>
      <c r="B39" s="296" t="s">
        <v>705</v>
      </c>
      <c r="C39" s="296"/>
      <c r="D39" s="296"/>
      <c r="E39" s="18"/>
      <c r="F39" s="18"/>
      <c r="G39" s="18"/>
      <c r="H39" s="26"/>
      <c r="I39" s="1415"/>
      <c r="J39" s="1415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</row>
    <row r="40" spans="1:47" s="42" customFormat="1" ht="18" customHeight="1" x14ac:dyDescent="0.3">
      <c r="A40" s="26"/>
      <c r="B40" s="20"/>
      <c r="C40" s="20"/>
      <c r="D40" s="20"/>
      <c r="E40" s="22"/>
      <c r="F40" s="22"/>
      <c r="G40" s="35" t="s">
        <v>387</v>
      </c>
      <c r="H40" s="26"/>
      <c r="I40" s="1415"/>
      <c r="J40" s="1415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</row>
    <row r="41" spans="1:47" s="42" customFormat="1" ht="18" customHeight="1" x14ac:dyDescent="0.3">
      <c r="A41" s="26"/>
      <c r="B41" s="20" t="s">
        <v>9</v>
      </c>
      <c r="C41" s="20"/>
      <c r="D41" s="20"/>
      <c r="E41" s="20"/>
      <c r="F41" s="20"/>
      <c r="G41" s="21">
        <v>102390</v>
      </c>
      <c r="H41" s="26"/>
      <c r="I41" s="1415"/>
      <c r="J41" s="1415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</row>
    <row r="42" spans="1:47" s="42" customFormat="1" ht="18" customHeight="1" x14ac:dyDescent="0.3">
      <c r="A42" s="26"/>
      <c r="B42" s="20" t="s">
        <v>10</v>
      </c>
      <c r="C42" s="20"/>
      <c r="D42" s="20"/>
      <c r="E42" s="20"/>
      <c r="F42" s="20"/>
      <c r="G42" s="32">
        <f>-E84</f>
        <v>-54400</v>
      </c>
      <c r="H42" s="26"/>
      <c r="I42" s="1415"/>
      <c r="J42" s="1415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41"/>
      <c r="AM42" s="241"/>
      <c r="AN42" s="241"/>
    </row>
    <row r="43" spans="1:47" s="42" customFormat="1" ht="18" customHeight="1" x14ac:dyDescent="0.3">
      <c r="A43" s="26"/>
      <c r="B43" s="240" t="s">
        <v>13</v>
      </c>
      <c r="C43" s="240"/>
      <c r="D43" s="240"/>
      <c r="E43" s="16"/>
      <c r="F43" s="16"/>
      <c r="G43" s="24">
        <f>SUM(G41:G42)</f>
        <v>47990</v>
      </c>
      <c r="H43" s="26"/>
      <c r="I43" s="1415"/>
      <c r="J43" s="1415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  <c r="AK43" s="241"/>
      <c r="AL43" s="241"/>
      <c r="AM43" s="241"/>
      <c r="AN43" s="241"/>
    </row>
    <row r="44" spans="1:47" s="42" customFormat="1" ht="18" customHeight="1" x14ac:dyDescent="0.3">
      <c r="A44" s="26"/>
      <c r="B44" s="20"/>
      <c r="C44" s="20"/>
      <c r="D44" s="20"/>
      <c r="E44" s="20"/>
      <c r="F44" s="20"/>
      <c r="G44" s="21"/>
      <c r="H44" s="26"/>
      <c r="I44" s="1415"/>
      <c r="J44" s="1415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41"/>
      <c r="AL44" s="241"/>
      <c r="AM44" s="241"/>
      <c r="AN44" s="241"/>
    </row>
    <row r="45" spans="1:47" s="42" customFormat="1" ht="18" customHeight="1" x14ac:dyDescent="0.3">
      <c r="A45" s="26"/>
      <c r="B45" s="20" t="s">
        <v>176</v>
      </c>
      <c r="C45" s="20"/>
      <c r="D45" s="20"/>
      <c r="E45" s="20"/>
      <c r="F45" s="20"/>
      <c r="G45" s="21">
        <v>2500</v>
      </c>
      <c r="H45" s="26"/>
      <c r="I45" s="1415"/>
      <c r="J45" s="1415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</row>
    <row r="46" spans="1:47" s="42" customFormat="1" ht="18" customHeight="1" x14ac:dyDescent="0.3">
      <c r="A46" s="26"/>
      <c r="B46" s="20" t="s">
        <v>86</v>
      </c>
      <c r="C46" s="20"/>
      <c r="D46" s="20"/>
      <c r="E46" s="20"/>
      <c r="F46" s="20"/>
      <c r="G46" s="34">
        <f>-F84</f>
        <v>-7800</v>
      </c>
      <c r="H46" s="26"/>
      <c r="I46" s="1415"/>
      <c r="J46" s="1415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</row>
    <row r="47" spans="1:47" s="42" customFormat="1" ht="18" customHeight="1" x14ac:dyDescent="0.3">
      <c r="A47" s="26"/>
      <c r="B47" s="20" t="s">
        <v>550</v>
      </c>
      <c r="C47" s="20"/>
      <c r="D47" s="20"/>
      <c r="E47" s="20"/>
      <c r="F47" s="20"/>
      <c r="G47" s="32">
        <f>-G84</f>
        <v>-14120</v>
      </c>
      <c r="H47" s="26"/>
      <c r="I47" s="1415"/>
      <c r="J47" s="1415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</row>
    <row r="48" spans="1:47" s="42" customFormat="1" ht="18" customHeight="1" x14ac:dyDescent="0.3">
      <c r="A48" s="26"/>
      <c r="B48" s="240" t="s">
        <v>14</v>
      </c>
      <c r="C48" s="240"/>
      <c r="D48" s="240"/>
      <c r="E48" s="16"/>
      <c r="F48" s="16"/>
      <c r="G48" s="24">
        <f>SUM(G43:G47)</f>
        <v>28570</v>
      </c>
      <c r="H48" s="26"/>
      <c r="I48" s="1415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41"/>
      <c r="AM48" s="241"/>
      <c r="AN48" s="241"/>
    </row>
    <row r="49" spans="1:40" s="42" customFormat="1" ht="18" customHeight="1" x14ac:dyDescent="0.3">
      <c r="A49" s="26"/>
      <c r="B49" s="28" t="s">
        <v>45</v>
      </c>
      <c r="C49" s="28"/>
      <c r="D49" s="28"/>
      <c r="E49" s="20"/>
      <c r="F49" s="20"/>
      <c r="G49" s="32">
        <f>-G192</f>
        <v>-589.75924935651585</v>
      </c>
      <c r="H49" s="26"/>
      <c r="I49" s="1415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  <c r="AN49" s="241"/>
    </row>
    <row r="50" spans="1:40" s="42" customFormat="1" ht="18" customHeight="1" x14ac:dyDescent="0.3">
      <c r="A50" s="26"/>
      <c r="B50" s="240" t="s">
        <v>89</v>
      </c>
      <c r="C50" s="240"/>
      <c r="D50" s="240"/>
      <c r="E50" s="16"/>
      <c r="F50" s="16"/>
      <c r="G50" s="24">
        <f>+G48+G49</f>
        <v>27980.240750643483</v>
      </c>
      <c r="H50" s="26"/>
      <c r="I50" s="1415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  <c r="AN50" s="241"/>
    </row>
    <row r="51" spans="1:40" s="42" customFormat="1" ht="18" customHeight="1" x14ac:dyDescent="0.3">
      <c r="A51" s="26"/>
      <c r="B51" s="20" t="s">
        <v>15</v>
      </c>
      <c r="C51" s="20"/>
      <c r="D51" s="20"/>
      <c r="E51" s="20"/>
      <c r="F51" s="20"/>
      <c r="G51" s="32">
        <v>-7200</v>
      </c>
      <c r="H51" s="26"/>
      <c r="I51" s="1415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241"/>
    </row>
    <row r="52" spans="1:40" s="42" customFormat="1" ht="18" customHeight="1" x14ac:dyDescent="0.3">
      <c r="A52" s="26"/>
      <c r="B52" s="240" t="s">
        <v>16</v>
      </c>
      <c r="C52" s="240"/>
      <c r="D52" s="240"/>
      <c r="E52" s="16"/>
      <c r="F52" s="16"/>
      <c r="G52" s="33">
        <f>+G50+G51</f>
        <v>20780.240750643483</v>
      </c>
      <c r="H52" s="26"/>
      <c r="I52" s="1416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  <c r="AK52" s="241"/>
      <c r="AL52" s="241"/>
      <c r="AM52" s="241"/>
      <c r="AN52" s="241"/>
    </row>
    <row r="53" spans="1:40" s="42" customFormat="1" ht="18" customHeight="1" x14ac:dyDescent="0.3">
      <c r="A53" s="26"/>
      <c r="B53" s="20"/>
      <c r="C53" s="20"/>
      <c r="D53" s="20"/>
      <c r="E53" s="26"/>
      <c r="F53" s="20"/>
      <c r="G53" s="26"/>
      <c r="H53" s="26"/>
      <c r="I53" s="1415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1"/>
    </row>
    <row r="54" spans="1:40" s="42" customFormat="1" ht="18" customHeight="1" x14ac:dyDescent="0.3">
      <c r="A54" s="26"/>
      <c r="B54" s="16" t="s">
        <v>295</v>
      </c>
      <c r="C54" s="16"/>
      <c r="D54" s="46"/>
      <c r="E54" s="46"/>
      <c r="F54" s="46"/>
      <c r="G54" s="46"/>
      <c r="H54" s="26"/>
      <c r="I54" s="1415"/>
      <c r="J54" s="241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1"/>
      <c r="AN54" s="241"/>
    </row>
    <row r="55" spans="1:40" s="42" customFormat="1" ht="18" customHeight="1" x14ac:dyDescent="0.3">
      <c r="A55" s="26"/>
      <c r="B55" s="16" t="s">
        <v>449</v>
      </c>
      <c r="C55" s="16"/>
      <c r="D55" s="46"/>
      <c r="E55" s="46"/>
      <c r="F55" s="46"/>
      <c r="G55" s="46"/>
      <c r="H55" s="26"/>
      <c r="I55" s="1415"/>
      <c r="J55" s="241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1"/>
      <c r="AH55" s="241"/>
      <c r="AI55" s="241"/>
      <c r="AJ55" s="241"/>
      <c r="AK55" s="241"/>
      <c r="AL55" s="241"/>
      <c r="AM55" s="241"/>
      <c r="AN55" s="241"/>
    </row>
    <row r="56" spans="1:40" s="42" customFormat="1" ht="18" customHeight="1" x14ac:dyDescent="0.3">
      <c r="A56" s="26"/>
      <c r="B56" s="296" t="s">
        <v>705</v>
      </c>
      <c r="C56" s="296"/>
      <c r="D56" s="46"/>
      <c r="E56" s="46"/>
      <c r="F56" s="46"/>
      <c r="G56" s="46"/>
      <c r="H56" s="26"/>
      <c r="I56" s="1415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1"/>
      <c r="AJ56" s="241"/>
      <c r="AK56" s="241"/>
      <c r="AL56" s="241"/>
      <c r="AM56" s="241"/>
      <c r="AN56" s="241"/>
    </row>
    <row r="57" spans="1:40" s="42" customFormat="1" ht="18" customHeight="1" x14ac:dyDescent="0.3">
      <c r="A57" s="26"/>
      <c r="B57" s="296"/>
      <c r="C57" s="296"/>
      <c r="D57" s="46"/>
      <c r="E57" s="19" t="s">
        <v>444</v>
      </c>
      <c r="F57" s="46"/>
      <c r="G57" s="46"/>
      <c r="H57" s="26"/>
      <c r="I57" s="1415"/>
      <c r="J57" s="241"/>
      <c r="K57" s="241"/>
      <c r="L57" s="241"/>
      <c r="M57" s="241"/>
      <c r="N57" s="241"/>
      <c r="O57" s="241"/>
      <c r="P57" s="241"/>
      <c r="Q57" s="241"/>
      <c r="R57" s="241"/>
      <c r="S57" s="241"/>
      <c r="T57" s="241"/>
      <c r="U57" s="241"/>
      <c r="V57" s="241"/>
      <c r="W57" s="241"/>
      <c r="X57" s="241"/>
      <c r="Y57" s="241"/>
      <c r="Z57" s="241"/>
      <c r="AA57" s="241"/>
      <c r="AB57" s="241"/>
      <c r="AC57" s="241"/>
      <c r="AD57" s="241"/>
      <c r="AE57" s="241"/>
      <c r="AF57" s="241"/>
      <c r="AG57" s="241"/>
      <c r="AH57" s="241"/>
      <c r="AI57" s="241"/>
      <c r="AJ57" s="241"/>
      <c r="AK57" s="241"/>
      <c r="AL57" s="241"/>
      <c r="AM57" s="241"/>
      <c r="AN57" s="241"/>
    </row>
    <row r="58" spans="1:40" s="42" customFormat="1" ht="18" customHeight="1" x14ac:dyDescent="0.3">
      <c r="A58" s="26"/>
      <c r="B58" s="16"/>
      <c r="C58" s="16"/>
      <c r="D58" s="19" t="s">
        <v>96</v>
      </c>
      <c r="E58" s="19" t="s">
        <v>182</v>
      </c>
      <c r="F58" s="19" t="s">
        <v>406</v>
      </c>
      <c r="G58" s="46"/>
      <c r="H58" s="26"/>
      <c r="I58" s="1415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241"/>
      <c r="AA58" s="241"/>
      <c r="AB58" s="241"/>
      <c r="AC58" s="241"/>
      <c r="AD58" s="241"/>
      <c r="AE58" s="241"/>
      <c r="AF58" s="241"/>
      <c r="AG58" s="241"/>
      <c r="AH58" s="241"/>
      <c r="AI58" s="241"/>
      <c r="AJ58" s="241"/>
      <c r="AK58" s="241"/>
      <c r="AL58" s="241"/>
      <c r="AM58" s="241"/>
      <c r="AN58" s="241"/>
    </row>
    <row r="59" spans="1:40" s="42" customFormat="1" ht="18" customHeight="1" x14ac:dyDescent="0.3">
      <c r="A59" s="26"/>
      <c r="B59" s="296"/>
      <c r="C59" s="296"/>
      <c r="D59" s="19" t="s">
        <v>97</v>
      </c>
      <c r="E59" s="19" t="s">
        <v>1039</v>
      </c>
      <c r="F59" s="19" t="s">
        <v>407</v>
      </c>
      <c r="G59" s="19" t="s">
        <v>40</v>
      </c>
      <c r="H59" s="26"/>
      <c r="I59" s="1415"/>
      <c r="J59" s="241"/>
      <c r="K59" s="241"/>
      <c r="L59" s="241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  <c r="X59" s="241"/>
      <c r="Y59" s="241"/>
      <c r="Z59" s="241"/>
      <c r="AA59" s="241"/>
      <c r="AB59" s="241"/>
      <c r="AC59" s="241"/>
      <c r="AD59" s="241"/>
      <c r="AE59" s="241"/>
      <c r="AF59" s="241"/>
      <c r="AG59" s="241"/>
      <c r="AH59" s="241"/>
      <c r="AI59" s="241"/>
      <c r="AJ59" s="241"/>
      <c r="AK59" s="241"/>
      <c r="AL59" s="241"/>
      <c r="AM59" s="241"/>
      <c r="AN59" s="241"/>
    </row>
    <row r="60" spans="1:40" s="42" customFormat="1" ht="18" customHeight="1" x14ac:dyDescent="0.3">
      <c r="A60" s="26"/>
      <c r="B60" s="46"/>
      <c r="C60" s="46"/>
      <c r="D60" s="19" t="s">
        <v>387</v>
      </c>
      <c r="E60" s="19" t="s">
        <v>387</v>
      </c>
      <c r="F60" s="19" t="s">
        <v>387</v>
      </c>
      <c r="G60" s="19" t="s">
        <v>387</v>
      </c>
      <c r="H60" s="26"/>
      <c r="I60" s="1415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  <c r="AK60" s="241"/>
      <c r="AL60" s="241"/>
      <c r="AM60" s="241"/>
      <c r="AN60" s="241"/>
    </row>
    <row r="61" spans="1:40" s="42" customFormat="1" ht="18" customHeight="1" x14ac:dyDescent="0.3">
      <c r="A61" s="26"/>
      <c r="B61" s="26" t="s">
        <v>30</v>
      </c>
      <c r="C61" s="26"/>
      <c r="D61" s="37">
        <f>+G30</f>
        <v>10000</v>
      </c>
      <c r="E61" s="37">
        <v>0</v>
      </c>
      <c r="F61" s="37">
        <f>+G32</f>
        <v>20000</v>
      </c>
      <c r="G61" s="37">
        <f t="shared" ref="G61:G67" si="8">SUM(D61:F61)</f>
        <v>30000</v>
      </c>
      <c r="H61" s="26"/>
      <c r="I61" s="1415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  <c r="AK61" s="241"/>
      <c r="AL61" s="241"/>
      <c r="AM61" s="241"/>
      <c r="AN61" s="241"/>
    </row>
    <row r="62" spans="1:40" s="42" customFormat="1" ht="18" customHeight="1" x14ac:dyDescent="0.3">
      <c r="A62" s="26"/>
      <c r="B62" s="20" t="s">
        <v>16</v>
      </c>
      <c r="C62" s="20"/>
      <c r="D62" s="34">
        <v>0</v>
      </c>
      <c r="E62" s="34">
        <v>0</v>
      </c>
      <c r="F62" s="34">
        <f>+G52</f>
        <v>20780.240750643483</v>
      </c>
      <c r="G62" s="34">
        <f t="shared" si="8"/>
        <v>20780.240750643483</v>
      </c>
      <c r="H62" s="26"/>
      <c r="I62" s="1415"/>
      <c r="J62" s="241"/>
      <c r="K62" s="241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1"/>
      <c r="AF62" s="241"/>
      <c r="AG62" s="241"/>
      <c r="AH62" s="241"/>
      <c r="AI62" s="241"/>
      <c r="AJ62" s="241"/>
      <c r="AK62" s="241"/>
      <c r="AL62" s="241"/>
      <c r="AM62" s="241"/>
      <c r="AN62" s="241"/>
    </row>
    <row r="63" spans="1:40" s="42" customFormat="1" ht="18" customHeight="1" x14ac:dyDescent="0.3">
      <c r="A63" s="26"/>
      <c r="B63" s="20" t="s">
        <v>116</v>
      </c>
      <c r="C63" s="20"/>
      <c r="D63" s="34">
        <v>900</v>
      </c>
      <c r="E63" s="34">
        <v>0</v>
      </c>
      <c r="F63" s="34">
        <f>-D63</f>
        <v>-900</v>
      </c>
      <c r="G63" s="34">
        <f t="shared" si="8"/>
        <v>0</v>
      </c>
      <c r="H63" s="26"/>
      <c r="I63" s="1415"/>
      <c r="J63" s="241"/>
      <c r="K63" s="241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1"/>
      <c r="AA63" s="241"/>
      <c r="AB63" s="241"/>
      <c r="AC63" s="241"/>
      <c r="AD63" s="241"/>
      <c r="AE63" s="241"/>
      <c r="AF63" s="241"/>
      <c r="AG63" s="241"/>
      <c r="AH63" s="241"/>
      <c r="AI63" s="241"/>
      <c r="AJ63" s="241"/>
      <c r="AK63" s="241"/>
      <c r="AL63" s="241"/>
      <c r="AM63" s="241"/>
      <c r="AN63" s="241"/>
    </row>
    <row r="64" spans="1:40" s="42" customFormat="1" ht="18" customHeight="1" x14ac:dyDescent="0.3">
      <c r="A64" s="26"/>
      <c r="B64" s="20" t="s">
        <v>549</v>
      </c>
      <c r="C64" s="20"/>
      <c r="D64" s="34">
        <v>1600</v>
      </c>
      <c r="E64" s="34">
        <v>0</v>
      </c>
      <c r="F64" s="34">
        <v>0</v>
      </c>
      <c r="G64" s="34">
        <f t="shared" si="8"/>
        <v>1600</v>
      </c>
      <c r="H64" s="26"/>
      <c r="I64" s="1415"/>
      <c r="J64" s="241"/>
      <c r="K64" s="241"/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241"/>
      <c r="AF64" s="241"/>
      <c r="AG64" s="241"/>
      <c r="AH64" s="241"/>
      <c r="AI64" s="241"/>
      <c r="AJ64" s="241"/>
      <c r="AK64" s="241"/>
      <c r="AL64" s="241"/>
      <c r="AM64" s="241"/>
      <c r="AN64" s="241"/>
    </row>
    <row r="65" spans="1:40" s="42" customFormat="1" ht="18" customHeight="1" x14ac:dyDescent="0.3">
      <c r="A65" s="26"/>
      <c r="B65" s="20" t="s">
        <v>180</v>
      </c>
      <c r="C65" s="20"/>
      <c r="D65" s="34">
        <v>1500</v>
      </c>
      <c r="E65" s="34">
        <v>0</v>
      </c>
      <c r="F65" s="34">
        <v>0</v>
      </c>
      <c r="G65" s="34">
        <f t="shared" si="8"/>
        <v>1500</v>
      </c>
      <c r="H65" s="26"/>
      <c r="I65" s="1415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1"/>
      <c r="AH65" s="241"/>
      <c r="AI65" s="241"/>
      <c r="AJ65" s="241"/>
      <c r="AK65" s="241"/>
      <c r="AL65" s="241"/>
      <c r="AM65" s="241"/>
      <c r="AN65" s="241"/>
    </row>
    <row r="66" spans="1:40" s="42" customFormat="1" ht="18" customHeight="1" x14ac:dyDescent="0.3">
      <c r="A66" s="26"/>
      <c r="B66" s="20" t="s">
        <v>184</v>
      </c>
      <c r="C66" s="20"/>
      <c r="D66" s="34">
        <v>0</v>
      </c>
      <c r="E66" s="34">
        <v>2100</v>
      </c>
      <c r="F66" s="34">
        <v>0</v>
      </c>
      <c r="G66" s="34">
        <f t="shared" si="8"/>
        <v>2100</v>
      </c>
      <c r="H66" s="26"/>
      <c r="I66" s="1415"/>
      <c r="J66" s="241"/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1"/>
      <c r="AH66" s="241"/>
      <c r="AI66" s="241"/>
      <c r="AJ66" s="241"/>
      <c r="AK66" s="241"/>
      <c r="AL66" s="241"/>
      <c r="AM66" s="241"/>
      <c r="AN66" s="241"/>
    </row>
    <row r="67" spans="1:40" s="42" customFormat="1" ht="18" customHeight="1" x14ac:dyDescent="0.3">
      <c r="A67" s="26"/>
      <c r="B67" s="20" t="s">
        <v>100</v>
      </c>
      <c r="C67" s="20"/>
      <c r="D67" s="32">
        <v>0</v>
      </c>
      <c r="E67" s="32">
        <v>0</v>
      </c>
      <c r="F67" s="32">
        <v>-9880</v>
      </c>
      <c r="G67" s="32">
        <f t="shared" si="8"/>
        <v>-9880</v>
      </c>
      <c r="H67" s="26"/>
      <c r="I67" s="1415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41"/>
      <c r="AH67" s="241"/>
      <c r="AI67" s="241"/>
      <c r="AJ67" s="241"/>
      <c r="AK67" s="241"/>
      <c r="AL67" s="241"/>
      <c r="AM67" s="241"/>
      <c r="AN67" s="241"/>
    </row>
    <row r="68" spans="1:40" s="42" customFormat="1" ht="18" customHeight="1" x14ac:dyDescent="0.3">
      <c r="A68" s="26"/>
      <c r="B68" s="26" t="s">
        <v>32</v>
      </c>
      <c r="C68" s="26"/>
      <c r="D68" s="47">
        <f>SUM(D61:D67)</f>
        <v>14000</v>
      </c>
      <c r="E68" s="47">
        <f>SUM(E61:E67)</f>
        <v>2100</v>
      </c>
      <c r="F68" s="38">
        <f>SUM(F61:F67)</f>
        <v>30000.240750643483</v>
      </c>
      <c r="G68" s="47">
        <f>SUM(G61:G67)</f>
        <v>46100.240750643483</v>
      </c>
      <c r="H68" s="26"/>
      <c r="I68" s="1415"/>
      <c r="J68" s="241"/>
      <c r="K68" s="241"/>
      <c r="L68" s="241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41"/>
      <c r="AH68" s="241"/>
      <c r="AI68" s="241"/>
      <c r="AJ68" s="241"/>
      <c r="AK68" s="241"/>
      <c r="AL68" s="241"/>
      <c r="AM68" s="241"/>
      <c r="AN68" s="241"/>
    </row>
    <row r="69" spans="1:40" s="42" customFormat="1" ht="18" customHeight="1" x14ac:dyDescent="0.3">
      <c r="A69" s="26"/>
      <c r="B69" s="34"/>
      <c r="C69" s="34"/>
      <c r="D69" s="34">
        <f>+D68-F30</f>
        <v>0</v>
      </c>
      <c r="E69" s="34">
        <f>+F31-E68</f>
        <v>0</v>
      </c>
      <c r="F69" s="34">
        <f>+F68-F32</f>
        <v>0.24075064348289743</v>
      </c>
      <c r="G69" s="34">
        <f>+G68-F33</f>
        <v>0.24075064348289743</v>
      </c>
      <c r="H69" s="26"/>
      <c r="I69" s="1415"/>
      <c r="J69" s="241"/>
      <c r="K69" s="241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F69" s="241"/>
      <c r="AG69" s="241"/>
      <c r="AH69" s="241"/>
      <c r="AI69" s="241"/>
      <c r="AJ69" s="241"/>
      <c r="AK69" s="241"/>
      <c r="AL69" s="241"/>
      <c r="AM69" s="241"/>
      <c r="AN69" s="241"/>
    </row>
    <row r="70" spans="1:40" s="42" customFormat="1" ht="18" customHeight="1" x14ac:dyDescent="0.3">
      <c r="A70" s="26"/>
      <c r="B70" s="20"/>
      <c r="C70" s="20"/>
      <c r="D70" s="20"/>
      <c r="E70" s="20"/>
      <c r="F70" s="20"/>
      <c r="G70" s="26"/>
      <c r="H70" s="26"/>
      <c r="I70" s="1415"/>
      <c r="J70" s="241"/>
      <c r="K70" s="241"/>
      <c r="L70" s="241"/>
      <c r="M70" s="241"/>
      <c r="N70" s="241"/>
      <c r="O70" s="241"/>
      <c r="P70" s="241"/>
      <c r="Q70" s="241"/>
      <c r="R70" s="241"/>
      <c r="S70" s="241"/>
      <c r="T70" s="241"/>
      <c r="U70" s="241"/>
      <c r="V70" s="241"/>
      <c r="W70" s="241"/>
      <c r="X70" s="241"/>
      <c r="Y70" s="241"/>
      <c r="Z70" s="241"/>
      <c r="AA70" s="241"/>
      <c r="AB70" s="241"/>
      <c r="AC70" s="241"/>
      <c r="AD70" s="241"/>
      <c r="AE70" s="241"/>
      <c r="AF70" s="241"/>
      <c r="AG70" s="241"/>
      <c r="AH70" s="241"/>
      <c r="AI70" s="241"/>
      <c r="AJ70" s="241"/>
      <c r="AK70" s="241"/>
      <c r="AL70" s="241"/>
      <c r="AM70" s="241"/>
      <c r="AN70" s="241"/>
    </row>
    <row r="71" spans="1:40" s="42" customFormat="1" ht="18" customHeight="1" x14ac:dyDescent="0.3">
      <c r="A71" s="26"/>
      <c r="B71" s="16" t="s">
        <v>390</v>
      </c>
      <c r="C71" s="19"/>
      <c r="D71" s="19"/>
      <c r="E71" s="19" t="s">
        <v>299</v>
      </c>
      <c r="F71" s="19" t="s">
        <v>301</v>
      </c>
      <c r="G71" s="19" t="s">
        <v>301</v>
      </c>
      <c r="H71" s="20"/>
      <c r="I71" s="1415"/>
      <c r="J71" s="241"/>
      <c r="K71" s="241"/>
      <c r="L71" s="241"/>
      <c r="M71" s="241"/>
      <c r="N71" s="241"/>
      <c r="O71" s="241"/>
      <c r="P71" s="241"/>
      <c r="Q71" s="241"/>
      <c r="R71" s="241"/>
      <c r="S71" s="241"/>
      <c r="T71" s="241"/>
      <c r="U71" s="241"/>
      <c r="V71" s="241"/>
      <c r="W71" s="241"/>
      <c r="X71" s="241"/>
      <c r="Y71" s="241"/>
      <c r="Z71" s="241"/>
      <c r="AA71" s="241"/>
      <c r="AB71" s="241"/>
      <c r="AC71" s="241"/>
      <c r="AD71" s="241"/>
      <c r="AE71" s="241"/>
      <c r="AF71" s="241"/>
      <c r="AG71" s="241"/>
      <c r="AH71" s="241"/>
      <c r="AI71" s="241"/>
      <c r="AJ71" s="241"/>
      <c r="AK71" s="241"/>
      <c r="AL71" s="241"/>
      <c r="AM71" s="241"/>
      <c r="AN71" s="241"/>
    </row>
    <row r="72" spans="1:40" s="42" customFormat="1" ht="18" customHeight="1" x14ac:dyDescent="0.3">
      <c r="A72" s="26"/>
      <c r="B72" s="16"/>
      <c r="C72" s="19"/>
      <c r="D72" s="19"/>
      <c r="E72" s="19" t="s">
        <v>300</v>
      </c>
      <c r="F72" s="19" t="s">
        <v>300</v>
      </c>
      <c r="G72" s="19" t="s">
        <v>302</v>
      </c>
      <c r="H72" s="20"/>
      <c r="I72" s="1415"/>
      <c r="J72" s="241"/>
      <c r="K72" s="241"/>
      <c r="L72" s="241"/>
      <c r="M72" s="241"/>
      <c r="N72" s="241"/>
      <c r="O72" s="241"/>
      <c r="P72" s="241"/>
      <c r="Q72" s="241"/>
      <c r="R72" s="241"/>
      <c r="S72" s="241"/>
      <c r="T72" s="241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241"/>
      <c r="AG72" s="241"/>
      <c r="AH72" s="241"/>
      <c r="AI72" s="241"/>
      <c r="AJ72" s="241"/>
      <c r="AK72" s="241"/>
      <c r="AL72" s="241"/>
      <c r="AM72" s="241"/>
      <c r="AN72" s="241"/>
    </row>
    <row r="73" spans="1:40" s="42" customFormat="1" ht="18" customHeight="1" x14ac:dyDescent="0.3">
      <c r="A73" s="26"/>
      <c r="B73" s="28"/>
      <c r="C73" s="34"/>
      <c r="D73" s="34"/>
      <c r="E73" s="35" t="s">
        <v>387</v>
      </c>
      <c r="F73" s="35" t="s">
        <v>387</v>
      </c>
      <c r="G73" s="35" t="s">
        <v>387</v>
      </c>
      <c r="H73" s="20"/>
      <c r="I73" s="1415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1"/>
      <c r="AL73" s="241"/>
      <c r="AM73" s="241"/>
      <c r="AN73" s="241"/>
    </row>
    <row r="74" spans="1:40" s="42" customFormat="1" ht="18" customHeight="1" x14ac:dyDescent="0.3">
      <c r="A74" s="26"/>
      <c r="B74" s="28" t="s">
        <v>303</v>
      </c>
      <c r="C74" s="34"/>
      <c r="D74" s="34"/>
      <c r="E74" s="34">
        <v>21500</v>
      </c>
      <c r="F74" s="34">
        <v>0</v>
      </c>
      <c r="G74" s="34">
        <v>0</v>
      </c>
      <c r="H74" s="20"/>
      <c r="I74" s="1415"/>
      <c r="J74" s="241"/>
      <c r="K74" s="241"/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  <c r="X74" s="241"/>
      <c r="Y74" s="241"/>
      <c r="Z74" s="241"/>
      <c r="AA74" s="241"/>
      <c r="AB74" s="241"/>
      <c r="AC74" s="241"/>
      <c r="AD74" s="241"/>
      <c r="AE74" s="241"/>
      <c r="AF74" s="241"/>
      <c r="AG74" s="241"/>
      <c r="AH74" s="241"/>
      <c r="AI74" s="241"/>
      <c r="AJ74" s="241"/>
      <c r="AK74" s="241"/>
      <c r="AL74" s="241"/>
      <c r="AM74" s="241"/>
      <c r="AN74" s="241"/>
    </row>
    <row r="75" spans="1:40" s="42" customFormat="1" ht="18" customHeight="1" x14ac:dyDescent="0.3">
      <c r="A75" s="26"/>
      <c r="B75" s="28" t="s">
        <v>11</v>
      </c>
      <c r="C75" s="34"/>
      <c r="D75" s="34"/>
      <c r="E75" s="34">
        <v>30000</v>
      </c>
      <c r="F75" s="34">
        <v>6600</v>
      </c>
      <c r="G75" s="34">
        <v>12900</v>
      </c>
      <c r="H75" s="20"/>
      <c r="I75" s="1415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/>
      <c r="X75" s="241"/>
      <c r="Y75" s="241"/>
      <c r="Z75" s="241"/>
      <c r="AA75" s="241"/>
      <c r="AB75" s="241"/>
      <c r="AC75" s="241"/>
      <c r="AD75" s="241"/>
      <c r="AE75" s="241"/>
      <c r="AF75" s="241"/>
      <c r="AG75" s="241"/>
      <c r="AH75" s="241"/>
      <c r="AI75" s="241"/>
      <c r="AJ75" s="241"/>
      <c r="AK75" s="241"/>
      <c r="AL75" s="241"/>
      <c r="AM75" s="241"/>
      <c r="AN75" s="241"/>
    </row>
    <row r="76" spans="1:40" s="42" customFormat="1" ht="18" customHeight="1" x14ac:dyDescent="0.3">
      <c r="A76" s="26"/>
      <c r="B76" s="28" t="s">
        <v>87</v>
      </c>
      <c r="C76" s="34"/>
      <c r="D76" s="34"/>
      <c r="E76" s="34">
        <v>0</v>
      </c>
      <c r="F76" s="34">
        <v>500</v>
      </c>
      <c r="G76" s="34">
        <v>0</v>
      </c>
      <c r="H76" s="20"/>
      <c r="I76" s="1415"/>
      <c r="J76" s="241"/>
      <c r="K76" s="241"/>
      <c r="L76" s="241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  <c r="X76" s="241"/>
      <c r="Y76" s="241"/>
      <c r="Z76" s="241"/>
      <c r="AA76" s="241"/>
      <c r="AB76" s="241"/>
      <c r="AC76" s="241"/>
      <c r="AD76" s="241"/>
      <c r="AE76" s="241"/>
      <c r="AF76" s="241"/>
      <c r="AG76" s="241"/>
      <c r="AH76" s="241"/>
      <c r="AI76" s="241"/>
      <c r="AJ76" s="241"/>
      <c r="AK76" s="241"/>
      <c r="AL76" s="241"/>
      <c r="AM76" s="241"/>
      <c r="AN76" s="241"/>
    </row>
    <row r="77" spans="1:40" s="42" customFormat="1" ht="18" customHeight="1" x14ac:dyDescent="0.3">
      <c r="A77" s="26"/>
      <c r="B77" s="28" t="s">
        <v>177</v>
      </c>
      <c r="C77" s="34"/>
      <c r="D77" s="34"/>
      <c r="E77" s="34">
        <v>0</v>
      </c>
      <c r="F77" s="34">
        <v>100</v>
      </c>
      <c r="G77" s="34">
        <v>0</v>
      </c>
      <c r="H77" s="20"/>
      <c r="I77" s="1415"/>
      <c r="J77" s="241"/>
      <c r="K77" s="241"/>
      <c r="L77" s="241"/>
      <c r="M77" s="241"/>
      <c r="N77" s="241"/>
      <c r="O77" s="241"/>
      <c r="P77" s="241"/>
      <c r="Q77" s="241"/>
      <c r="R77" s="241"/>
      <c r="S77" s="241"/>
      <c r="T77" s="241"/>
      <c r="U77" s="241"/>
      <c r="V77" s="241"/>
      <c r="W77" s="241"/>
      <c r="X77" s="241"/>
      <c r="Y77" s="241"/>
      <c r="Z77" s="241"/>
      <c r="AA77" s="241"/>
      <c r="AB77" s="241"/>
      <c r="AC77" s="241"/>
      <c r="AD77" s="241"/>
      <c r="AE77" s="241"/>
      <c r="AF77" s="241"/>
      <c r="AG77" s="241"/>
      <c r="AH77" s="241"/>
      <c r="AI77" s="241"/>
      <c r="AJ77" s="241"/>
      <c r="AK77" s="241"/>
      <c r="AL77" s="241"/>
      <c r="AM77" s="241"/>
      <c r="AN77" s="241"/>
    </row>
    <row r="78" spans="1:40" s="42" customFormat="1" ht="18" customHeight="1" x14ac:dyDescent="0.3">
      <c r="A78" s="26"/>
      <c r="B78" s="28" t="s">
        <v>38</v>
      </c>
      <c r="C78" s="34"/>
      <c r="D78" s="34"/>
      <c r="E78" s="34">
        <v>1500</v>
      </c>
      <c r="F78" s="34">
        <v>200</v>
      </c>
      <c r="G78" s="34">
        <v>300</v>
      </c>
      <c r="H78" s="20"/>
      <c r="I78" s="1415"/>
      <c r="J78" s="241"/>
      <c r="K78" s="241"/>
      <c r="L78" s="241"/>
      <c r="M78" s="241"/>
      <c r="N78" s="241"/>
      <c r="O78" s="241"/>
      <c r="P78" s="241"/>
      <c r="Q78" s="241"/>
      <c r="R78" s="241"/>
      <c r="S78" s="241"/>
      <c r="T78" s="241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241"/>
      <c r="AF78" s="241"/>
      <c r="AG78" s="241"/>
      <c r="AH78" s="241"/>
      <c r="AI78" s="241"/>
      <c r="AJ78" s="241"/>
      <c r="AK78" s="241"/>
      <c r="AL78" s="241"/>
      <c r="AM78" s="241"/>
      <c r="AN78" s="241"/>
    </row>
    <row r="79" spans="1:40" s="42" customFormat="1" ht="18" customHeight="1" x14ac:dyDescent="0.3">
      <c r="A79" s="26"/>
      <c r="B79" s="28" t="s">
        <v>178</v>
      </c>
      <c r="C79" s="34"/>
      <c r="D79" s="34"/>
      <c r="E79" s="34">
        <v>0</v>
      </c>
      <c r="F79" s="34">
        <v>0</v>
      </c>
      <c r="G79" s="34">
        <v>200</v>
      </c>
      <c r="H79" s="20"/>
      <c r="I79" s="1415"/>
      <c r="J79" s="241"/>
      <c r="K79" s="241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1"/>
      <c r="AA79" s="241"/>
      <c r="AB79" s="241"/>
      <c r="AC79" s="241"/>
      <c r="AD79" s="241"/>
      <c r="AE79" s="241"/>
      <c r="AF79" s="241"/>
      <c r="AG79" s="241"/>
      <c r="AH79" s="241"/>
      <c r="AI79" s="241"/>
      <c r="AJ79" s="241"/>
      <c r="AK79" s="241"/>
      <c r="AL79" s="241"/>
      <c r="AM79" s="241"/>
      <c r="AN79" s="241"/>
    </row>
    <row r="80" spans="1:40" s="42" customFormat="1" ht="18" customHeight="1" x14ac:dyDescent="0.3">
      <c r="A80" s="26"/>
      <c r="B80" s="28" t="s">
        <v>37</v>
      </c>
      <c r="C80" s="34"/>
      <c r="D80" s="34"/>
      <c r="E80" s="34">
        <v>200</v>
      </c>
      <c r="F80" s="34">
        <v>0</v>
      </c>
      <c r="G80" s="34">
        <v>100</v>
      </c>
      <c r="H80" s="20"/>
      <c r="I80" s="1415"/>
      <c r="J80" s="241"/>
      <c r="K80" s="241"/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41"/>
      <c r="Z80" s="241"/>
      <c r="AA80" s="241"/>
      <c r="AB80" s="241"/>
      <c r="AC80" s="241"/>
      <c r="AD80" s="241"/>
      <c r="AE80" s="241"/>
      <c r="AF80" s="241"/>
      <c r="AG80" s="241"/>
      <c r="AH80" s="241"/>
      <c r="AI80" s="241"/>
      <c r="AJ80" s="241"/>
      <c r="AK80" s="241"/>
      <c r="AL80" s="241"/>
      <c r="AM80" s="241"/>
      <c r="AN80" s="241"/>
    </row>
    <row r="81" spans="1:40" s="42" customFormat="1" ht="18" customHeight="1" x14ac:dyDescent="0.3">
      <c r="A81" s="26"/>
      <c r="B81" s="28" t="s">
        <v>175</v>
      </c>
      <c r="C81" s="34"/>
      <c r="D81" s="34"/>
      <c r="E81" s="34">
        <v>300</v>
      </c>
      <c r="F81" s="34">
        <v>400</v>
      </c>
      <c r="G81" s="34">
        <v>520</v>
      </c>
      <c r="H81" s="20"/>
      <c r="I81" s="1415"/>
      <c r="J81" s="241"/>
      <c r="K81" s="241"/>
      <c r="L81" s="241"/>
      <c r="M81" s="241"/>
      <c r="N81" s="241"/>
      <c r="O81" s="241"/>
      <c r="P81" s="241"/>
      <c r="Q81" s="241"/>
      <c r="R81" s="241"/>
      <c r="S81" s="241"/>
      <c r="T81" s="241"/>
      <c r="U81" s="241"/>
      <c r="V81" s="241"/>
      <c r="W81" s="241"/>
      <c r="X81" s="241"/>
      <c r="Y81" s="241"/>
      <c r="Z81" s="241"/>
      <c r="AA81" s="241"/>
      <c r="AB81" s="241"/>
      <c r="AC81" s="241"/>
      <c r="AD81" s="241"/>
      <c r="AE81" s="241"/>
      <c r="AF81" s="241"/>
      <c r="AG81" s="241"/>
      <c r="AH81" s="241"/>
      <c r="AI81" s="241"/>
      <c r="AJ81" s="241"/>
      <c r="AK81" s="241"/>
      <c r="AL81" s="241"/>
      <c r="AM81" s="241"/>
      <c r="AN81" s="241"/>
    </row>
    <row r="82" spans="1:40" s="42" customFormat="1" ht="18" customHeight="1" x14ac:dyDescent="0.3">
      <c r="A82" s="20"/>
      <c r="B82" s="28" t="s">
        <v>92</v>
      </c>
      <c r="C82" s="34"/>
      <c r="D82" s="34"/>
      <c r="E82" s="34">
        <v>0</v>
      </c>
      <c r="F82" s="34">
        <v>0</v>
      </c>
      <c r="G82" s="34">
        <f>+F95</f>
        <v>100</v>
      </c>
      <c r="H82" s="20"/>
      <c r="I82" s="1415"/>
      <c r="J82" s="241"/>
      <c r="K82" s="241"/>
      <c r="L82" s="241"/>
      <c r="M82" s="241"/>
      <c r="N82" s="241"/>
      <c r="O82" s="241"/>
      <c r="P82" s="241"/>
      <c r="Q82" s="241"/>
      <c r="R82" s="241"/>
      <c r="S82" s="241"/>
      <c r="T82" s="241"/>
      <c r="U82" s="241"/>
      <c r="V82" s="241"/>
      <c r="W82" s="241"/>
      <c r="X82" s="241"/>
      <c r="Y82" s="241"/>
      <c r="Z82" s="241"/>
      <c r="AA82" s="241"/>
      <c r="AB82" s="241"/>
      <c r="AC82" s="241"/>
      <c r="AD82" s="241"/>
      <c r="AE82" s="241"/>
      <c r="AF82" s="241"/>
      <c r="AG82" s="241"/>
      <c r="AH82" s="241"/>
      <c r="AI82" s="241"/>
      <c r="AJ82" s="241"/>
      <c r="AK82" s="241"/>
      <c r="AL82" s="241"/>
      <c r="AM82" s="241"/>
      <c r="AN82" s="241"/>
    </row>
    <row r="83" spans="1:40" s="42" customFormat="1" ht="18" customHeight="1" x14ac:dyDescent="0.3">
      <c r="A83" s="20"/>
      <c r="B83" s="28" t="s">
        <v>174</v>
      </c>
      <c r="C83" s="34"/>
      <c r="D83" s="34"/>
      <c r="E83" s="34">
        <f>+F108</f>
        <v>900</v>
      </c>
      <c r="F83" s="34">
        <v>0</v>
      </c>
      <c r="G83" s="34">
        <v>0</v>
      </c>
      <c r="H83" s="20"/>
      <c r="I83" s="1415"/>
      <c r="J83" s="241"/>
      <c r="K83" s="241"/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  <c r="X83" s="241"/>
      <c r="Y83" s="241"/>
      <c r="Z83" s="241"/>
      <c r="AA83" s="241"/>
      <c r="AB83" s="241"/>
      <c r="AC83" s="241"/>
      <c r="AD83" s="241"/>
      <c r="AE83" s="241"/>
      <c r="AF83" s="241"/>
      <c r="AG83" s="241"/>
      <c r="AH83" s="241"/>
      <c r="AI83" s="241"/>
      <c r="AJ83" s="241"/>
      <c r="AK83" s="241"/>
      <c r="AL83" s="241"/>
      <c r="AM83" s="241"/>
      <c r="AN83" s="241"/>
    </row>
    <row r="84" spans="1:40" s="42" customFormat="1" ht="18" customHeight="1" x14ac:dyDescent="0.3">
      <c r="A84" s="20"/>
      <c r="B84" s="16"/>
      <c r="C84" s="16"/>
      <c r="D84" s="16"/>
      <c r="E84" s="25">
        <f>SUM(E74:E83)</f>
        <v>54400</v>
      </c>
      <c r="F84" s="25">
        <f>SUM(F74:F83)</f>
        <v>7800</v>
      </c>
      <c r="G84" s="25">
        <f>SUM(G74:G83)</f>
        <v>14120</v>
      </c>
      <c r="H84" s="20"/>
      <c r="I84" s="1415"/>
      <c r="J84" s="241"/>
      <c r="K84" s="241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  <c r="X84" s="241"/>
      <c r="Y84" s="241"/>
      <c r="Z84" s="241"/>
      <c r="AA84" s="241"/>
      <c r="AB84" s="241"/>
      <c r="AC84" s="241"/>
      <c r="AD84" s="241"/>
      <c r="AE84" s="241"/>
      <c r="AF84" s="241"/>
      <c r="AG84" s="241"/>
      <c r="AH84" s="241"/>
      <c r="AI84" s="241"/>
      <c r="AJ84" s="241"/>
      <c r="AK84" s="241"/>
      <c r="AL84" s="241"/>
      <c r="AM84" s="241"/>
      <c r="AN84" s="241"/>
    </row>
    <row r="85" spans="1:40" s="42" customFormat="1" ht="18" customHeight="1" x14ac:dyDescent="0.3">
      <c r="A85" s="20"/>
      <c r="B85" s="20"/>
      <c r="C85" s="20"/>
      <c r="D85" s="20"/>
      <c r="E85" s="20"/>
      <c r="F85" s="20"/>
      <c r="G85" s="20"/>
      <c r="H85" s="99"/>
      <c r="I85" s="1417"/>
      <c r="J85" s="1417"/>
      <c r="K85" s="241"/>
      <c r="L85" s="241"/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  <c r="AK85" s="241"/>
      <c r="AL85" s="241"/>
      <c r="AM85" s="241"/>
      <c r="AN85" s="241"/>
    </row>
    <row r="86" spans="1:40" s="42" customFormat="1" ht="18" customHeight="1" x14ac:dyDescent="0.3">
      <c r="A86" s="20"/>
      <c r="B86" s="240" t="s">
        <v>90</v>
      </c>
      <c r="C86" s="16"/>
      <c r="D86" s="16"/>
      <c r="E86" s="46"/>
      <c r="F86" s="19">
        <v>2020</v>
      </c>
      <c r="G86" s="19">
        <v>2019</v>
      </c>
      <c r="H86" s="26"/>
      <c r="I86" s="1415"/>
      <c r="J86" s="241"/>
      <c r="K86" s="241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1"/>
      <c r="AF86" s="241"/>
      <c r="AG86" s="241"/>
      <c r="AH86" s="241"/>
      <c r="AI86" s="241"/>
      <c r="AJ86" s="241"/>
      <c r="AK86" s="241"/>
      <c r="AL86" s="241"/>
      <c r="AM86" s="241"/>
      <c r="AN86" s="241"/>
    </row>
    <row r="87" spans="1:40" s="42" customFormat="1" ht="18" customHeight="1" x14ac:dyDescent="0.3">
      <c r="A87" s="20"/>
      <c r="B87" s="288"/>
      <c r="C87" s="46"/>
      <c r="D87" s="46"/>
      <c r="E87" s="46"/>
      <c r="F87" s="19" t="s">
        <v>387</v>
      </c>
      <c r="G87" s="19" t="s">
        <v>387</v>
      </c>
      <c r="H87" s="26"/>
      <c r="I87" s="1415"/>
      <c r="J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1"/>
      <c r="AI87" s="241"/>
      <c r="AJ87" s="241"/>
      <c r="AK87" s="241"/>
      <c r="AL87" s="241"/>
      <c r="AM87" s="241"/>
      <c r="AN87" s="241"/>
    </row>
    <row r="88" spans="1:40" s="42" customFormat="1" ht="18" customHeight="1" x14ac:dyDescent="0.3">
      <c r="A88" s="20"/>
      <c r="B88" s="140" t="s">
        <v>91</v>
      </c>
      <c r="C88" s="20"/>
      <c r="D88" s="20"/>
      <c r="E88" s="34"/>
      <c r="F88" s="34">
        <v>13200</v>
      </c>
      <c r="G88" s="34">
        <v>11100</v>
      </c>
      <c r="H88" s="26"/>
      <c r="I88" s="1415"/>
      <c r="J88" s="241"/>
      <c r="K88" s="241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1"/>
      <c r="AF88" s="241"/>
      <c r="AG88" s="241"/>
      <c r="AH88" s="241"/>
      <c r="AI88" s="241"/>
      <c r="AJ88" s="241"/>
      <c r="AK88" s="241"/>
      <c r="AL88" s="241"/>
      <c r="AM88" s="241"/>
      <c r="AN88" s="241"/>
    </row>
    <row r="89" spans="1:40" s="42" customFormat="1" ht="18" customHeight="1" x14ac:dyDescent="0.3">
      <c r="A89" s="20"/>
      <c r="B89" s="140" t="s">
        <v>92</v>
      </c>
      <c r="C89" s="20"/>
      <c r="D89" s="20"/>
      <c r="E89" s="34"/>
      <c r="F89" s="32">
        <f>+F90-F88</f>
        <v>-2700</v>
      </c>
      <c r="G89" s="32">
        <f>+G90-G88</f>
        <v>-2600</v>
      </c>
      <c r="H89" s="26"/>
      <c r="I89" s="241"/>
      <c r="J89" s="241"/>
      <c r="K89" s="241"/>
      <c r="L89" s="241"/>
      <c r="M89" s="241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1"/>
      <c r="Y89" s="241"/>
      <c r="Z89" s="241"/>
      <c r="AA89" s="241"/>
      <c r="AB89" s="241"/>
      <c r="AC89" s="241"/>
      <c r="AD89" s="241"/>
      <c r="AE89" s="241"/>
      <c r="AF89" s="241"/>
      <c r="AG89" s="241"/>
      <c r="AH89" s="241"/>
      <c r="AI89" s="241"/>
      <c r="AJ89" s="241"/>
      <c r="AK89" s="241"/>
      <c r="AL89" s="241"/>
      <c r="AM89" s="241"/>
      <c r="AN89" s="241"/>
    </row>
    <row r="90" spans="1:40" s="42" customFormat="1" ht="18" customHeight="1" x14ac:dyDescent="0.3">
      <c r="A90" s="20"/>
      <c r="B90" s="290"/>
      <c r="C90" s="34"/>
      <c r="D90" s="34"/>
      <c r="E90" s="34"/>
      <c r="F90" s="36">
        <f>+F8</f>
        <v>10500</v>
      </c>
      <c r="G90" s="36">
        <f>+G8</f>
        <v>8500</v>
      </c>
      <c r="H90" s="20"/>
      <c r="I90" s="242"/>
      <c r="K90" s="241"/>
      <c r="L90" s="241"/>
      <c r="M90" s="241"/>
      <c r="N90" s="241"/>
      <c r="O90" s="241"/>
      <c r="P90" s="241"/>
      <c r="Q90" s="241"/>
      <c r="R90" s="241"/>
      <c r="S90" s="241"/>
      <c r="T90" s="241"/>
      <c r="U90" s="241"/>
      <c r="V90" s="241"/>
      <c r="W90" s="241"/>
      <c r="X90" s="241"/>
      <c r="Y90" s="241"/>
      <c r="Z90" s="241"/>
      <c r="AA90" s="241"/>
      <c r="AB90" s="241"/>
      <c r="AC90" s="241"/>
      <c r="AD90" s="241"/>
      <c r="AE90" s="241"/>
      <c r="AF90" s="241"/>
      <c r="AG90" s="241"/>
      <c r="AH90" s="241"/>
      <c r="AI90" s="241"/>
      <c r="AJ90" s="241"/>
      <c r="AK90" s="241"/>
      <c r="AL90" s="241"/>
      <c r="AM90" s="241"/>
      <c r="AN90" s="241"/>
    </row>
    <row r="91" spans="1:40" s="42" customFormat="1" ht="18" customHeight="1" x14ac:dyDescent="0.3">
      <c r="A91" s="20"/>
      <c r="B91" s="290"/>
      <c r="C91" s="34"/>
      <c r="D91" s="34"/>
      <c r="E91" s="34"/>
      <c r="F91" s="34"/>
      <c r="G91" s="34"/>
      <c r="H91" s="20"/>
      <c r="I91" s="242"/>
      <c r="J91" s="241"/>
      <c r="K91" s="241"/>
      <c r="L91" s="241"/>
      <c r="M91" s="241"/>
      <c r="N91" s="241"/>
      <c r="O91" s="241"/>
      <c r="P91" s="241"/>
      <c r="Q91" s="241"/>
      <c r="R91" s="241"/>
      <c r="S91" s="241"/>
      <c r="T91" s="241"/>
      <c r="U91" s="241"/>
      <c r="V91" s="241"/>
      <c r="W91" s="241"/>
      <c r="X91" s="241"/>
      <c r="Y91" s="241"/>
      <c r="Z91" s="241"/>
      <c r="AA91" s="241"/>
      <c r="AB91" s="241"/>
      <c r="AC91" s="241"/>
      <c r="AD91" s="241"/>
      <c r="AE91" s="241"/>
      <c r="AF91" s="241"/>
      <c r="AG91" s="241"/>
      <c r="AH91" s="241"/>
      <c r="AI91" s="241"/>
      <c r="AJ91" s="241"/>
      <c r="AK91" s="241"/>
      <c r="AL91" s="241"/>
      <c r="AM91" s="241"/>
      <c r="AN91" s="241"/>
    </row>
    <row r="92" spans="1:40" s="42" customFormat="1" ht="18" customHeight="1" x14ac:dyDescent="0.3">
      <c r="A92" s="20"/>
      <c r="B92" s="240" t="s">
        <v>92</v>
      </c>
      <c r="C92" s="16"/>
      <c r="D92" s="16"/>
      <c r="E92" s="46"/>
      <c r="F92" s="19">
        <v>2020</v>
      </c>
      <c r="G92" s="19">
        <v>2019</v>
      </c>
      <c r="H92" s="20"/>
      <c r="I92" s="242"/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1"/>
      <c r="AG92" s="241"/>
      <c r="AH92" s="241"/>
      <c r="AI92" s="241"/>
      <c r="AJ92" s="241"/>
      <c r="AK92" s="241"/>
      <c r="AL92" s="241"/>
      <c r="AM92" s="241"/>
      <c r="AN92" s="241"/>
    </row>
    <row r="93" spans="1:40" s="42" customFormat="1" ht="18" customHeight="1" x14ac:dyDescent="0.3">
      <c r="A93" s="20"/>
      <c r="B93" s="288"/>
      <c r="C93" s="46"/>
      <c r="D93" s="46"/>
      <c r="E93" s="46"/>
      <c r="F93" s="19" t="s">
        <v>387</v>
      </c>
      <c r="G93" s="19" t="s">
        <v>387</v>
      </c>
      <c r="H93" s="20"/>
      <c r="I93" s="242"/>
      <c r="J93" s="241"/>
      <c r="K93" s="241"/>
      <c r="L93" s="241"/>
      <c r="M93" s="241"/>
      <c r="N93" s="241"/>
      <c r="O93" s="241"/>
      <c r="P93" s="241"/>
      <c r="Q93" s="241"/>
      <c r="R93" s="241"/>
      <c r="S93" s="241"/>
      <c r="T93" s="241"/>
      <c r="U93" s="241"/>
      <c r="V93" s="241"/>
      <c r="W93" s="241"/>
      <c r="X93" s="241"/>
      <c r="Y93" s="241"/>
      <c r="Z93" s="241"/>
      <c r="AA93" s="241"/>
      <c r="AB93" s="241"/>
      <c r="AC93" s="241"/>
      <c r="AD93" s="241"/>
      <c r="AE93" s="241"/>
      <c r="AF93" s="241"/>
      <c r="AG93" s="241"/>
      <c r="AH93" s="241"/>
      <c r="AI93" s="241"/>
      <c r="AJ93" s="241"/>
      <c r="AK93" s="241"/>
      <c r="AL93" s="241"/>
      <c r="AM93" s="241"/>
      <c r="AN93" s="241"/>
    </row>
    <row r="94" spans="1:40" s="42" customFormat="1" ht="18" customHeight="1" x14ac:dyDescent="0.3">
      <c r="A94" s="20"/>
      <c r="B94" s="140" t="s">
        <v>30</v>
      </c>
      <c r="C94" s="26"/>
      <c r="D94" s="26"/>
      <c r="E94" s="34"/>
      <c r="F94" s="34">
        <f>+G96</f>
        <v>2600</v>
      </c>
      <c r="G94" s="34">
        <v>1800</v>
      </c>
      <c r="H94" s="20"/>
      <c r="I94" s="242"/>
      <c r="J94" s="241"/>
      <c r="K94" s="241"/>
      <c r="L94" s="241"/>
      <c r="M94" s="241"/>
      <c r="N94" s="241"/>
      <c r="O94" s="241"/>
      <c r="P94" s="241"/>
      <c r="Q94" s="241"/>
      <c r="R94" s="241"/>
      <c r="S94" s="241"/>
      <c r="T94" s="241"/>
      <c r="U94" s="241"/>
      <c r="V94" s="241"/>
      <c r="W94" s="241"/>
      <c r="X94" s="241"/>
      <c r="Y94" s="241"/>
      <c r="Z94" s="241"/>
      <c r="AA94" s="241"/>
      <c r="AB94" s="241"/>
      <c r="AC94" s="241"/>
      <c r="AD94" s="241"/>
      <c r="AE94" s="241"/>
      <c r="AF94" s="241"/>
      <c r="AG94" s="241"/>
      <c r="AH94" s="241"/>
      <c r="AI94" s="241"/>
      <c r="AJ94" s="241"/>
      <c r="AK94" s="241"/>
      <c r="AL94" s="241"/>
      <c r="AM94" s="241"/>
      <c r="AN94" s="241"/>
    </row>
    <row r="95" spans="1:40" s="42" customFormat="1" ht="18" customHeight="1" x14ac:dyDescent="0.3">
      <c r="A95" s="20"/>
      <c r="B95" s="140" t="s">
        <v>93</v>
      </c>
      <c r="C95" s="20"/>
      <c r="D95" s="20"/>
      <c r="E95" s="34"/>
      <c r="F95" s="34">
        <v>100</v>
      </c>
      <c r="G95" s="34">
        <v>800</v>
      </c>
      <c r="H95" s="20"/>
      <c r="I95" s="241"/>
      <c r="J95" s="241"/>
      <c r="K95" s="241"/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1"/>
      <c r="Y95" s="241"/>
      <c r="Z95" s="241"/>
      <c r="AA95" s="241"/>
      <c r="AB95" s="241"/>
      <c r="AC95" s="241"/>
      <c r="AD95" s="241"/>
      <c r="AE95" s="241"/>
      <c r="AF95" s="241"/>
      <c r="AG95" s="241"/>
      <c r="AH95" s="241"/>
      <c r="AI95" s="241"/>
      <c r="AJ95" s="241"/>
      <c r="AK95" s="241"/>
      <c r="AL95" s="241"/>
      <c r="AM95" s="241"/>
      <c r="AN95" s="241"/>
    </row>
    <row r="96" spans="1:40" s="42" customFormat="1" ht="18" customHeight="1" x14ac:dyDescent="0.3">
      <c r="A96" s="20"/>
      <c r="B96" s="87" t="s">
        <v>32</v>
      </c>
      <c r="C96" s="26"/>
      <c r="D96" s="26"/>
      <c r="E96" s="34"/>
      <c r="F96" s="36">
        <f>+F94+F95</f>
        <v>2700</v>
      </c>
      <c r="G96" s="36">
        <f>+G94+G95</f>
        <v>2600</v>
      </c>
      <c r="H96" s="20"/>
      <c r="I96" s="242"/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1"/>
      <c r="AF96" s="241"/>
      <c r="AG96" s="241"/>
      <c r="AH96" s="241"/>
      <c r="AI96" s="241"/>
      <c r="AJ96" s="241"/>
      <c r="AK96" s="241"/>
      <c r="AL96" s="241"/>
      <c r="AM96" s="241"/>
      <c r="AN96" s="241"/>
    </row>
    <row r="97" spans="1:40" s="42" customFormat="1" ht="18" customHeight="1" x14ac:dyDescent="0.3">
      <c r="A97" s="20"/>
      <c r="B97" s="20"/>
      <c r="C97" s="20"/>
      <c r="D97" s="20"/>
      <c r="E97" s="20"/>
      <c r="F97" s="20"/>
      <c r="G97" s="20"/>
      <c r="H97" s="20"/>
      <c r="I97" s="241"/>
      <c r="J97"/>
      <c r="K97" s="241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241"/>
      <c r="AA97" s="241"/>
      <c r="AB97" s="241"/>
      <c r="AC97" s="241"/>
      <c r="AD97" s="241"/>
      <c r="AE97" s="241"/>
      <c r="AF97" s="241"/>
      <c r="AG97" s="241"/>
      <c r="AH97" s="241"/>
      <c r="AI97" s="241"/>
      <c r="AJ97" s="241"/>
      <c r="AK97" s="241"/>
      <c r="AL97" s="241"/>
      <c r="AM97" s="241"/>
      <c r="AN97" s="241"/>
    </row>
    <row r="98" spans="1:40" s="42" customFormat="1" ht="18" customHeight="1" x14ac:dyDescent="0.3">
      <c r="A98" s="20"/>
      <c r="B98" s="16" t="s">
        <v>912</v>
      </c>
      <c r="C98" s="16"/>
      <c r="D98" s="46"/>
      <c r="E98" s="46"/>
      <c r="F98" s="19">
        <v>2020</v>
      </c>
      <c r="G98" s="19">
        <v>2019</v>
      </c>
      <c r="H98" s="20"/>
      <c r="I98" s="241"/>
      <c r="J98" s="241"/>
      <c r="K98" s="241"/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241"/>
      <c r="AA98" s="241"/>
      <c r="AB98" s="241"/>
      <c r="AC98" s="241"/>
      <c r="AD98" s="241"/>
      <c r="AE98" s="241"/>
      <c r="AF98" s="241"/>
      <c r="AG98" s="241"/>
      <c r="AH98" s="241"/>
      <c r="AI98" s="241"/>
      <c r="AJ98" s="241"/>
      <c r="AK98" s="241"/>
      <c r="AL98" s="241"/>
      <c r="AM98" s="241"/>
      <c r="AN98" s="241"/>
    </row>
    <row r="99" spans="1:40" s="42" customFormat="1" ht="18" customHeight="1" x14ac:dyDescent="0.3">
      <c r="A99" s="20"/>
      <c r="B99" s="46"/>
      <c r="C99" s="46"/>
      <c r="D99" s="46"/>
      <c r="E99" s="46"/>
      <c r="F99" s="19" t="s">
        <v>387</v>
      </c>
      <c r="G99" s="19" t="s">
        <v>387</v>
      </c>
      <c r="H99" s="20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  <c r="AB99" s="241"/>
      <c r="AC99" s="241"/>
      <c r="AD99" s="241"/>
      <c r="AE99" s="241"/>
      <c r="AF99" s="241"/>
      <c r="AG99" s="241"/>
      <c r="AH99" s="241"/>
      <c r="AI99" s="241"/>
      <c r="AJ99" s="241"/>
      <c r="AK99" s="241"/>
      <c r="AL99" s="241"/>
      <c r="AM99" s="241"/>
      <c r="AN99" s="241"/>
    </row>
    <row r="100" spans="1:40" s="42" customFormat="1" ht="18" customHeight="1" x14ac:dyDescent="0.3">
      <c r="A100" s="20"/>
      <c r="B100" s="20" t="s">
        <v>754</v>
      </c>
      <c r="C100" s="20"/>
      <c r="D100" s="34"/>
      <c r="E100" s="34"/>
      <c r="F100" s="34">
        <v>10000</v>
      </c>
      <c r="G100" s="34">
        <v>9500</v>
      </c>
      <c r="H100" s="20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1"/>
      <c r="AA100" s="241"/>
      <c r="AB100" s="241"/>
      <c r="AC100" s="241"/>
      <c r="AD100" s="241"/>
      <c r="AE100" s="241"/>
      <c r="AF100" s="241"/>
      <c r="AG100" s="241"/>
      <c r="AH100" s="241"/>
      <c r="AI100" s="241"/>
      <c r="AJ100" s="241"/>
      <c r="AK100" s="241"/>
      <c r="AL100" s="241"/>
      <c r="AM100" s="241"/>
      <c r="AN100" s="241"/>
    </row>
    <row r="101" spans="1:40" s="42" customFormat="1" ht="18" customHeight="1" x14ac:dyDescent="0.3">
      <c r="A101" s="20"/>
      <c r="B101" s="20" t="s">
        <v>1122</v>
      </c>
      <c r="C101" s="20"/>
      <c r="D101" s="34"/>
      <c r="E101" s="34"/>
      <c r="F101" s="34">
        <v>4500</v>
      </c>
      <c r="G101" s="34">
        <v>3500</v>
      </c>
      <c r="H101" s="20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41"/>
      <c r="AE101" s="241"/>
      <c r="AF101" s="241"/>
      <c r="AG101" s="241"/>
      <c r="AH101" s="241"/>
      <c r="AI101" s="241"/>
      <c r="AJ101" s="241"/>
      <c r="AK101" s="241"/>
      <c r="AL101" s="241"/>
      <c r="AM101" s="241"/>
      <c r="AN101" s="241"/>
    </row>
    <row r="102" spans="1:40" s="42" customFormat="1" ht="18" customHeight="1" x14ac:dyDescent="0.3">
      <c r="A102" s="20"/>
      <c r="B102" s="20" t="s">
        <v>174</v>
      </c>
      <c r="C102" s="20"/>
      <c r="D102" s="34"/>
      <c r="E102" s="34"/>
      <c r="F102" s="32">
        <v>-4400</v>
      </c>
      <c r="G102" s="32">
        <v>-3500</v>
      </c>
      <c r="H102" s="20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241"/>
      <c r="AA102" s="241"/>
      <c r="AB102" s="241"/>
      <c r="AC102" s="241"/>
      <c r="AD102" s="241"/>
      <c r="AE102" s="241"/>
      <c r="AF102" s="241"/>
      <c r="AG102" s="241"/>
      <c r="AH102" s="241"/>
      <c r="AI102" s="241"/>
      <c r="AJ102" s="241"/>
      <c r="AK102" s="241"/>
      <c r="AL102" s="241"/>
      <c r="AM102" s="241"/>
      <c r="AN102" s="241"/>
    </row>
    <row r="103" spans="1:40" s="42" customFormat="1" ht="18" customHeight="1" x14ac:dyDescent="0.3">
      <c r="A103" s="20"/>
      <c r="B103" s="34"/>
      <c r="C103" s="34"/>
      <c r="D103" s="34"/>
      <c r="E103" s="34"/>
      <c r="F103" s="36">
        <f>SUM(F100:F102)</f>
        <v>10100</v>
      </c>
      <c r="G103" s="36">
        <f>SUM(G100:G102)</f>
        <v>9500</v>
      </c>
      <c r="H103" s="20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41"/>
      <c r="AE103" s="241"/>
      <c r="AF103" s="241"/>
      <c r="AG103" s="241"/>
      <c r="AH103" s="241"/>
      <c r="AI103" s="241"/>
      <c r="AJ103" s="241"/>
      <c r="AK103" s="241"/>
      <c r="AL103" s="241"/>
      <c r="AM103" s="241"/>
      <c r="AN103" s="241"/>
    </row>
    <row r="104" spans="1:40" s="42" customFormat="1" ht="18" customHeight="1" x14ac:dyDescent="0.3">
      <c r="A104" s="20"/>
      <c r="B104" s="34"/>
      <c r="C104" s="34"/>
      <c r="D104" s="34"/>
      <c r="E104" s="34"/>
      <c r="F104" s="34"/>
      <c r="G104" s="34"/>
      <c r="H104" s="34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241"/>
      <c r="AG104" s="241"/>
      <c r="AH104" s="241"/>
      <c r="AI104" s="241"/>
      <c r="AJ104" s="241"/>
      <c r="AK104" s="241"/>
      <c r="AL104" s="241"/>
      <c r="AM104" s="241"/>
      <c r="AN104" s="241"/>
    </row>
    <row r="105" spans="1:40" s="42" customFormat="1" ht="18" customHeight="1" x14ac:dyDescent="0.3">
      <c r="A105" s="20"/>
      <c r="B105" s="16" t="s">
        <v>1123</v>
      </c>
      <c r="C105" s="16"/>
      <c r="D105" s="46"/>
      <c r="E105" s="46"/>
      <c r="F105" s="19">
        <v>2020</v>
      </c>
      <c r="G105" s="19">
        <v>2019</v>
      </c>
      <c r="H105" s="34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1"/>
      <c r="Z105" s="241"/>
      <c r="AA105" s="241"/>
      <c r="AB105" s="241"/>
      <c r="AC105" s="241"/>
      <c r="AD105" s="241"/>
      <c r="AE105" s="241"/>
      <c r="AF105" s="241"/>
      <c r="AG105" s="241"/>
      <c r="AH105" s="241"/>
      <c r="AI105" s="241"/>
      <c r="AJ105" s="241"/>
      <c r="AK105" s="241"/>
      <c r="AL105" s="241"/>
      <c r="AM105" s="241"/>
      <c r="AN105" s="241"/>
    </row>
    <row r="106" spans="1:40" s="42" customFormat="1" ht="18" customHeight="1" x14ac:dyDescent="0.3">
      <c r="A106" s="20"/>
      <c r="B106" s="46"/>
      <c r="C106" s="46"/>
      <c r="D106" s="46"/>
      <c r="E106" s="46"/>
      <c r="F106" s="19" t="s">
        <v>387</v>
      </c>
      <c r="G106" s="19" t="s">
        <v>387</v>
      </c>
      <c r="H106" s="34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  <c r="U106" s="241"/>
      <c r="V106" s="241"/>
      <c r="W106" s="241"/>
      <c r="X106" s="241"/>
      <c r="Y106" s="241"/>
      <c r="Z106" s="241"/>
      <c r="AA106" s="241"/>
      <c r="AB106" s="241"/>
      <c r="AC106" s="241"/>
      <c r="AD106" s="241"/>
      <c r="AE106" s="241"/>
      <c r="AF106" s="241"/>
      <c r="AG106" s="241"/>
      <c r="AH106" s="241"/>
      <c r="AI106" s="241"/>
      <c r="AJ106" s="241"/>
      <c r="AK106" s="241"/>
      <c r="AL106" s="241"/>
      <c r="AM106" s="241"/>
      <c r="AN106" s="241"/>
    </row>
    <row r="107" spans="1:40" s="42" customFormat="1" ht="18" customHeight="1" x14ac:dyDescent="0.3">
      <c r="A107" s="20"/>
      <c r="B107" s="26" t="s">
        <v>30</v>
      </c>
      <c r="C107" s="26"/>
      <c r="D107" s="34"/>
      <c r="E107" s="34"/>
      <c r="F107" s="34">
        <f>+G109</f>
        <v>3500</v>
      </c>
      <c r="G107" s="34">
        <v>700</v>
      </c>
      <c r="H107" s="34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  <c r="Y107" s="241"/>
      <c r="Z107" s="241"/>
      <c r="AA107" s="241"/>
      <c r="AB107" s="241"/>
      <c r="AC107" s="241"/>
      <c r="AD107" s="241"/>
      <c r="AE107" s="241"/>
      <c r="AF107" s="241"/>
      <c r="AG107" s="241"/>
      <c r="AH107" s="241"/>
      <c r="AI107" s="241"/>
      <c r="AJ107" s="241"/>
      <c r="AK107" s="241"/>
      <c r="AL107" s="241"/>
      <c r="AM107" s="241"/>
      <c r="AN107" s="241"/>
    </row>
    <row r="108" spans="1:40" s="42" customFormat="1" ht="18" customHeight="1" x14ac:dyDescent="0.3">
      <c r="A108" s="20"/>
      <c r="B108" s="20" t="s">
        <v>93</v>
      </c>
      <c r="C108" s="20"/>
      <c r="D108" s="34"/>
      <c r="E108" s="34"/>
      <c r="F108" s="34">
        <v>900</v>
      </c>
      <c r="G108" s="34">
        <v>2800</v>
      </c>
      <c r="H108" s="34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/>
      <c r="X108" s="241"/>
      <c r="Y108" s="241"/>
      <c r="Z108" s="241"/>
      <c r="AA108" s="241"/>
      <c r="AB108" s="241"/>
      <c r="AC108" s="241"/>
      <c r="AD108" s="241"/>
      <c r="AE108" s="241"/>
      <c r="AF108" s="241"/>
      <c r="AG108" s="241"/>
      <c r="AH108" s="241"/>
      <c r="AI108" s="241"/>
      <c r="AJ108" s="241"/>
      <c r="AK108" s="241"/>
      <c r="AL108" s="241"/>
      <c r="AM108" s="241"/>
      <c r="AN108" s="241"/>
    </row>
    <row r="109" spans="1:40" s="42" customFormat="1" ht="18" customHeight="1" x14ac:dyDescent="0.3">
      <c r="A109" s="20"/>
      <c r="B109" s="26" t="s">
        <v>32</v>
      </c>
      <c r="C109" s="26"/>
      <c r="D109" s="34"/>
      <c r="E109" s="34"/>
      <c r="F109" s="36">
        <f>+F107+F108</f>
        <v>4400</v>
      </c>
      <c r="G109" s="36">
        <f>+G107+G108</f>
        <v>3500</v>
      </c>
      <c r="H109" s="34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41"/>
      <c r="V109" s="241"/>
      <c r="W109" s="241"/>
      <c r="X109" s="241"/>
      <c r="Y109" s="241"/>
      <c r="Z109" s="241"/>
      <c r="AA109" s="241"/>
      <c r="AB109" s="241"/>
      <c r="AC109" s="241"/>
      <c r="AD109" s="241"/>
      <c r="AE109" s="241"/>
      <c r="AF109" s="241"/>
      <c r="AG109" s="241"/>
      <c r="AH109" s="241"/>
      <c r="AI109" s="241"/>
      <c r="AJ109" s="241"/>
      <c r="AK109" s="241"/>
      <c r="AL109" s="241"/>
      <c r="AM109" s="241"/>
      <c r="AN109" s="241"/>
    </row>
    <row r="110" spans="1:40" s="42" customFormat="1" ht="18" customHeight="1" x14ac:dyDescent="0.3">
      <c r="A110" s="20"/>
      <c r="B110" s="26"/>
      <c r="C110" s="26"/>
      <c r="D110" s="34"/>
      <c r="E110" s="34"/>
      <c r="F110" s="34"/>
      <c r="G110" s="34"/>
      <c r="H110" s="34"/>
      <c r="J110" s="241"/>
      <c r="K110" s="241"/>
      <c r="L110" s="241"/>
      <c r="M110" s="241"/>
      <c r="N110" s="241"/>
      <c r="O110" s="241"/>
      <c r="P110" s="241"/>
      <c r="Q110" s="241"/>
      <c r="R110" s="241"/>
      <c r="S110" s="241"/>
      <c r="T110" s="241"/>
      <c r="U110" s="241"/>
      <c r="V110" s="241"/>
      <c r="W110" s="241"/>
      <c r="X110" s="241"/>
      <c r="Y110" s="241"/>
      <c r="Z110" s="241"/>
      <c r="AA110" s="241"/>
      <c r="AB110" s="241"/>
      <c r="AC110" s="241"/>
      <c r="AD110" s="241"/>
      <c r="AE110" s="241"/>
      <c r="AF110" s="241"/>
      <c r="AG110" s="241"/>
      <c r="AH110" s="241"/>
      <c r="AI110" s="241"/>
      <c r="AJ110" s="241"/>
      <c r="AK110" s="241"/>
      <c r="AL110" s="241"/>
      <c r="AM110" s="241"/>
      <c r="AN110" s="241"/>
    </row>
    <row r="111" spans="1:40" s="42" customFormat="1" ht="18" customHeight="1" x14ac:dyDescent="0.3">
      <c r="A111" s="20"/>
      <c r="B111" s="16" t="s">
        <v>172</v>
      </c>
      <c r="C111" s="16"/>
      <c r="D111" s="46"/>
      <c r="E111" s="46"/>
      <c r="F111" s="46"/>
      <c r="G111" s="19">
        <v>2020</v>
      </c>
      <c r="H111" s="34"/>
      <c r="I111" s="241"/>
      <c r="J111" s="241"/>
      <c r="K111" s="241"/>
      <c r="L111" s="241"/>
      <c r="M111" s="241"/>
      <c r="N111" s="241"/>
      <c r="O111" s="241"/>
      <c r="P111" s="241"/>
      <c r="Q111" s="241"/>
      <c r="R111" s="241"/>
      <c r="S111" s="241"/>
      <c r="T111" s="241"/>
      <c r="U111" s="241"/>
      <c r="V111" s="241"/>
      <c r="W111" s="241"/>
      <c r="X111" s="241"/>
      <c r="Y111" s="241"/>
      <c r="Z111" s="241"/>
      <c r="AA111" s="241"/>
      <c r="AB111" s="241"/>
      <c r="AC111" s="241"/>
      <c r="AD111" s="241"/>
      <c r="AE111" s="241"/>
      <c r="AF111" s="241"/>
      <c r="AG111" s="241"/>
      <c r="AH111" s="241"/>
      <c r="AI111" s="241"/>
      <c r="AJ111" s="241"/>
      <c r="AK111" s="241"/>
      <c r="AL111" s="241"/>
      <c r="AM111" s="241"/>
      <c r="AN111" s="241"/>
    </row>
    <row r="112" spans="1:40" s="42" customFormat="1" ht="18" customHeight="1" x14ac:dyDescent="0.3">
      <c r="A112" s="20"/>
      <c r="B112" s="46"/>
      <c r="C112" s="46"/>
      <c r="D112" s="46"/>
      <c r="E112" s="46"/>
      <c r="F112" s="46"/>
      <c r="G112" s="19" t="s">
        <v>387</v>
      </c>
      <c r="H112" s="34"/>
      <c r="I112" s="241"/>
      <c r="J112" s="241"/>
      <c r="K112" s="241"/>
      <c r="L112" s="241"/>
      <c r="M112" s="241"/>
      <c r="N112" s="241"/>
      <c r="O112" s="241"/>
      <c r="P112" s="241"/>
      <c r="Q112" s="241"/>
      <c r="R112" s="241"/>
      <c r="S112" s="241"/>
      <c r="T112" s="241"/>
      <c r="U112" s="241"/>
      <c r="V112" s="241"/>
      <c r="W112" s="241"/>
      <c r="X112" s="241"/>
      <c r="Y112" s="241"/>
      <c r="Z112" s="241"/>
      <c r="AA112" s="241"/>
      <c r="AB112" s="241"/>
      <c r="AC112" s="241"/>
      <c r="AD112" s="241"/>
      <c r="AE112" s="241"/>
      <c r="AF112" s="241"/>
      <c r="AG112" s="241"/>
      <c r="AH112" s="241"/>
      <c r="AI112" s="241"/>
      <c r="AJ112" s="241"/>
      <c r="AK112" s="241"/>
      <c r="AL112" s="241"/>
      <c r="AM112" s="241"/>
      <c r="AN112" s="241"/>
    </row>
    <row r="113" spans="1:40" s="42" customFormat="1" ht="18" customHeight="1" x14ac:dyDescent="0.3">
      <c r="A113" s="20"/>
      <c r="B113" s="26" t="s">
        <v>30</v>
      </c>
      <c r="C113" s="26"/>
      <c r="D113" s="34"/>
      <c r="E113" s="34"/>
      <c r="F113" s="34"/>
      <c r="G113" s="34">
        <f>G11</f>
        <v>3000</v>
      </c>
      <c r="H113" s="34"/>
      <c r="J113" s="241"/>
      <c r="K113" s="241"/>
      <c r="L113" s="241"/>
      <c r="M113" s="241"/>
      <c r="N113" s="241"/>
      <c r="O113" s="241"/>
      <c r="P113" s="241"/>
      <c r="Q113" s="241"/>
      <c r="R113" s="241"/>
      <c r="S113" s="241"/>
      <c r="T113" s="241"/>
      <c r="U113" s="241"/>
      <c r="V113" s="241"/>
      <c r="W113" s="241"/>
      <c r="X113" s="241"/>
      <c r="Y113" s="241"/>
      <c r="Z113" s="241"/>
      <c r="AA113" s="241"/>
      <c r="AB113" s="241"/>
      <c r="AC113" s="241"/>
      <c r="AD113" s="241"/>
      <c r="AE113" s="241"/>
      <c r="AF113" s="241"/>
      <c r="AG113" s="241"/>
      <c r="AH113" s="241"/>
      <c r="AI113" s="241"/>
      <c r="AJ113" s="241"/>
      <c r="AK113" s="241"/>
      <c r="AL113" s="241"/>
      <c r="AM113" s="241"/>
      <c r="AN113" s="241"/>
    </row>
    <row r="114" spans="1:40" s="42" customFormat="1" ht="18" customHeight="1" x14ac:dyDescent="0.3">
      <c r="A114" s="20"/>
      <c r="B114" s="20" t="s">
        <v>176</v>
      </c>
      <c r="C114" s="20"/>
      <c r="D114" s="34"/>
      <c r="E114" s="34"/>
      <c r="F114" s="34"/>
      <c r="G114" s="34">
        <v>2500</v>
      </c>
      <c r="H114" s="34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1"/>
      <c r="T114" s="241"/>
      <c r="U114" s="241"/>
      <c r="V114" s="241"/>
      <c r="W114" s="241"/>
      <c r="X114" s="241"/>
      <c r="Y114" s="241"/>
      <c r="Z114" s="241"/>
      <c r="AA114" s="241"/>
      <c r="AB114" s="241"/>
      <c r="AC114" s="241"/>
      <c r="AD114" s="241"/>
      <c r="AE114" s="241"/>
      <c r="AF114" s="241"/>
      <c r="AG114" s="241"/>
      <c r="AH114" s="241"/>
      <c r="AI114" s="241"/>
      <c r="AJ114" s="241"/>
      <c r="AK114" s="241"/>
      <c r="AL114" s="241"/>
      <c r="AM114" s="241"/>
      <c r="AN114" s="241"/>
    </row>
    <row r="115" spans="1:40" s="42" customFormat="1" ht="18" customHeight="1" x14ac:dyDescent="0.3">
      <c r="A115" s="20"/>
      <c r="B115" s="20" t="s">
        <v>188</v>
      </c>
      <c r="C115" s="20"/>
      <c r="D115" s="34"/>
      <c r="E115" s="34"/>
      <c r="F115" s="34"/>
      <c r="G115" s="34">
        <v>-900</v>
      </c>
      <c r="H115" s="34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  <c r="X115" s="241"/>
      <c r="Y115" s="241"/>
      <c r="Z115" s="241"/>
      <c r="AA115" s="241"/>
      <c r="AB115" s="241"/>
      <c r="AC115" s="241"/>
      <c r="AD115" s="241"/>
      <c r="AE115" s="241"/>
      <c r="AF115" s="241"/>
      <c r="AG115" s="241"/>
      <c r="AH115" s="241"/>
      <c r="AI115" s="241"/>
      <c r="AJ115" s="241"/>
      <c r="AK115" s="241"/>
      <c r="AL115" s="241"/>
      <c r="AM115" s="241"/>
      <c r="AN115" s="241"/>
    </row>
    <row r="116" spans="1:40" s="42" customFormat="1" ht="18" customHeight="1" x14ac:dyDescent="0.3">
      <c r="A116" s="20"/>
      <c r="B116" s="26" t="s">
        <v>32</v>
      </c>
      <c r="C116" s="26"/>
      <c r="D116" s="34"/>
      <c r="E116" s="34"/>
      <c r="F116" s="34"/>
      <c r="G116" s="36">
        <f>+G113+G114+G115</f>
        <v>4600</v>
      </c>
      <c r="H116" s="34"/>
      <c r="J116" s="241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  <c r="U116" s="241"/>
      <c r="V116" s="241"/>
      <c r="W116" s="241"/>
      <c r="X116" s="241"/>
      <c r="Y116" s="241"/>
      <c r="Z116" s="241"/>
      <c r="AA116" s="241"/>
      <c r="AB116" s="241"/>
      <c r="AC116" s="241"/>
      <c r="AD116" s="241"/>
      <c r="AE116" s="241"/>
      <c r="AF116" s="241"/>
      <c r="AG116" s="241"/>
      <c r="AH116" s="241"/>
      <c r="AI116" s="241"/>
      <c r="AJ116" s="241"/>
      <c r="AK116" s="241"/>
      <c r="AL116" s="241"/>
      <c r="AM116" s="241"/>
      <c r="AN116" s="241"/>
    </row>
    <row r="117" spans="1:40" s="42" customFormat="1" ht="18" customHeight="1" x14ac:dyDescent="0.3">
      <c r="A117" s="20"/>
      <c r="B117" s="26"/>
      <c r="C117" s="26"/>
      <c r="D117" s="34"/>
      <c r="E117" s="34"/>
      <c r="F117" s="34"/>
      <c r="G117" s="34"/>
      <c r="H117" s="34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  <c r="U117" s="241"/>
      <c r="V117" s="241"/>
      <c r="W117" s="241"/>
      <c r="X117" s="241"/>
      <c r="Y117" s="241"/>
      <c r="Z117" s="241"/>
      <c r="AA117" s="241"/>
      <c r="AB117" s="241"/>
      <c r="AC117" s="241"/>
      <c r="AD117" s="241"/>
      <c r="AE117" s="241"/>
      <c r="AF117" s="241"/>
      <c r="AG117" s="241"/>
      <c r="AH117" s="241"/>
      <c r="AI117" s="241"/>
      <c r="AJ117" s="241"/>
      <c r="AK117" s="241"/>
      <c r="AL117" s="241"/>
      <c r="AM117" s="241"/>
      <c r="AN117" s="241"/>
    </row>
    <row r="118" spans="1:40" s="42" customFormat="1" ht="18" customHeight="1" x14ac:dyDescent="0.3">
      <c r="A118" s="20"/>
      <c r="B118" s="16" t="s">
        <v>189</v>
      </c>
      <c r="C118" s="16"/>
      <c r="D118" s="46"/>
      <c r="E118" s="46"/>
      <c r="F118" s="46"/>
      <c r="G118" s="19"/>
      <c r="H118" s="34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1"/>
      <c r="T118" s="241"/>
      <c r="U118" s="241"/>
      <c r="V118" s="241"/>
      <c r="W118" s="241"/>
      <c r="X118" s="241"/>
      <c r="Y118" s="241"/>
      <c r="Z118" s="241"/>
      <c r="AA118" s="241"/>
      <c r="AB118" s="241"/>
      <c r="AC118" s="241"/>
      <c r="AD118" s="241"/>
      <c r="AE118" s="241"/>
      <c r="AF118" s="241"/>
      <c r="AG118" s="241"/>
      <c r="AH118" s="241"/>
      <c r="AI118" s="241"/>
      <c r="AJ118" s="241"/>
      <c r="AK118" s="241"/>
      <c r="AL118" s="241"/>
      <c r="AM118" s="241"/>
      <c r="AN118" s="241"/>
    </row>
    <row r="119" spans="1:40" s="42" customFormat="1" ht="18" customHeight="1" x14ac:dyDescent="0.3">
      <c r="A119" s="20"/>
      <c r="B119" s="16" t="s">
        <v>35</v>
      </c>
      <c r="C119" s="16"/>
      <c r="D119" s="46"/>
      <c r="E119" s="46"/>
      <c r="F119" s="46"/>
      <c r="G119" s="19" t="s">
        <v>387</v>
      </c>
      <c r="H119" s="34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1"/>
      <c r="T119" s="241"/>
      <c r="U119" s="241"/>
      <c r="V119" s="241"/>
      <c r="W119" s="241"/>
      <c r="X119" s="241"/>
      <c r="Y119" s="241"/>
      <c r="Z119" s="241"/>
      <c r="AA119" s="241"/>
      <c r="AB119" s="241"/>
      <c r="AC119" s="241"/>
      <c r="AD119" s="241"/>
      <c r="AE119" s="241"/>
      <c r="AF119" s="241"/>
      <c r="AG119" s="241"/>
      <c r="AH119" s="241"/>
      <c r="AI119" s="241"/>
      <c r="AJ119" s="241"/>
      <c r="AK119" s="241"/>
      <c r="AL119" s="241"/>
      <c r="AM119" s="241"/>
      <c r="AN119" s="241"/>
    </row>
    <row r="120" spans="1:40" s="42" customFormat="1" ht="18" customHeight="1" x14ac:dyDescent="0.3">
      <c r="A120" s="20"/>
      <c r="B120" s="26" t="s">
        <v>30</v>
      </c>
      <c r="C120" s="26"/>
      <c r="D120" s="34"/>
      <c r="E120" s="34"/>
      <c r="F120" s="34"/>
      <c r="G120" s="34">
        <v>1900</v>
      </c>
      <c r="H120" s="34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1"/>
      <c r="T120" s="241"/>
      <c r="U120" s="241"/>
      <c r="V120" s="241"/>
      <c r="W120" s="241"/>
      <c r="X120" s="241"/>
      <c r="Y120" s="241"/>
      <c r="Z120" s="241"/>
      <c r="AA120" s="241"/>
      <c r="AB120" s="241"/>
      <c r="AC120" s="241"/>
      <c r="AD120" s="241"/>
      <c r="AE120" s="241"/>
      <c r="AF120" s="241"/>
      <c r="AG120" s="241"/>
      <c r="AH120" s="241"/>
      <c r="AI120" s="241"/>
      <c r="AJ120" s="241"/>
      <c r="AK120" s="241"/>
      <c r="AL120" s="241"/>
      <c r="AM120" s="241"/>
      <c r="AN120" s="241"/>
    </row>
    <row r="121" spans="1:40" s="42" customFormat="1" ht="18" customHeight="1" x14ac:dyDescent="0.3">
      <c r="A121" s="20"/>
      <c r="B121" s="20" t="s">
        <v>39</v>
      </c>
      <c r="C121" s="20"/>
      <c r="D121" s="34"/>
      <c r="E121" s="34"/>
      <c r="F121" s="34"/>
      <c r="G121" s="32">
        <v>0</v>
      </c>
      <c r="H121" s="34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1"/>
      <c r="T121" s="241"/>
      <c r="U121" s="241"/>
      <c r="V121" s="241"/>
      <c r="W121" s="241"/>
      <c r="X121" s="241"/>
      <c r="Y121" s="241"/>
      <c r="Z121" s="241"/>
      <c r="AA121" s="241"/>
      <c r="AB121" s="241"/>
      <c r="AC121" s="241"/>
      <c r="AD121" s="241"/>
      <c r="AE121" s="241"/>
      <c r="AF121" s="241"/>
      <c r="AG121" s="241"/>
      <c r="AH121" s="241"/>
      <c r="AI121" s="241"/>
      <c r="AJ121" s="241"/>
      <c r="AK121" s="241"/>
      <c r="AL121" s="241"/>
      <c r="AM121" s="241"/>
      <c r="AN121" s="241"/>
    </row>
    <row r="122" spans="1:40" s="42" customFormat="1" ht="18" customHeight="1" x14ac:dyDescent="0.3">
      <c r="A122" s="20"/>
      <c r="B122" s="26" t="s">
        <v>32</v>
      </c>
      <c r="C122" s="26"/>
      <c r="D122" s="37"/>
      <c r="E122" s="37"/>
      <c r="F122" s="37"/>
      <c r="G122" s="47">
        <f>+G120+G121</f>
        <v>1900</v>
      </c>
      <c r="H122" s="34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1"/>
      <c r="T122" s="241"/>
      <c r="U122" s="241"/>
      <c r="V122" s="241"/>
      <c r="W122" s="241"/>
      <c r="X122" s="241"/>
      <c r="Y122" s="241"/>
      <c r="Z122" s="241"/>
      <c r="AA122" s="241"/>
      <c r="AB122" s="241"/>
      <c r="AC122" s="241"/>
      <c r="AD122" s="241"/>
      <c r="AE122" s="241"/>
      <c r="AF122" s="241"/>
      <c r="AG122" s="241"/>
      <c r="AH122" s="241"/>
      <c r="AI122" s="241"/>
      <c r="AJ122" s="241"/>
      <c r="AK122" s="241"/>
      <c r="AL122" s="241"/>
      <c r="AM122" s="241"/>
      <c r="AN122" s="241"/>
    </row>
    <row r="123" spans="1:40" s="42" customFormat="1" ht="18" customHeight="1" x14ac:dyDescent="0.3">
      <c r="A123" s="20"/>
      <c r="B123" s="16" t="s">
        <v>190</v>
      </c>
      <c r="C123" s="16"/>
      <c r="D123" s="46"/>
      <c r="E123" s="46"/>
      <c r="F123" s="46"/>
      <c r="G123" s="19"/>
      <c r="H123" s="34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1"/>
      <c r="T123" s="241"/>
      <c r="U123" s="241"/>
      <c r="V123" s="241"/>
      <c r="W123" s="241"/>
      <c r="X123" s="241"/>
      <c r="Y123" s="241"/>
      <c r="Z123" s="241"/>
      <c r="AA123" s="241"/>
      <c r="AB123" s="241"/>
      <c r="AC123" s="241"/>
      <c r="AD123" s="241"/>
      <c r="AE123" s="241"/>
      <c r="AF123" s="241"/>
      <c r="AG123" s="241"/>
      <c r="AH123" s="241"/>
      <c r="AI123" s="241"/>
      <c r="AJ123" s="241"/>
      <c r="AK123" s="241"/>
      <c r="AL123" s="241"/>
      <c r="AM123" s="241"/>
      <c r="AN123" s="241"/>
    </row>
    <row r="124" spans="1:40" s="42" customFormat="1" ht="18" customHeight="1" x14ac:dyDescent="0.3">
      <c r="A124" s="20"/>
      <c r="B124" s="26" t="s">
        <v>30</v>
      </c>
      <c r="C124" s="26"/>
      <c r="D124" s="34"/>
      <c r="E124" s="34"/>
      <c r="F124" s="34"/>
      <c r="G124" s="37">
        <v>-900</v>
      </c>
      <c r="H124" s="34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1"/>
      <c r="V124" s="241"/>
      <c r="W124" s="241"/>
      <c r="X124" s="241"/>
      <c r="Y124" s="241"/>
      <c r="Z124" s="241"/>
      <c r="AA124" s="241"/>
      <c r="AB124" s="241"/>
      <c r="AC124" s="241"/>
      <c r="AD124" s="241"/>
      <c r="AE124" s="241"/>
      <c r="AF124" s="241"/>
      <c r="AG124" s="241"/>
      <c r="AH124" s="241"/>
      <c r="AI124" s="241"/>
      <c r="AJ124" s="241"/>
      <c r="AK124" s="241"/>
      <c r="AL124" s="241"/>
      <c r="AM124" s="241"/>
      <c r="AN124" s="241"/>
    </row>
    <row r="125" spans="1:40" s="42" customFormat="1" ht="18" customHeight="1" x14ac:dyDescent="0.3">
      <c r="A125" s="20"/>
      <c r="B125" s="20" t="s">
        <v>391</v>
      </c>
      <c r="C125" s="20"/>
      <c r="D125" s="34"/>
      <c r="E125" s="34"/>
      <c r="F125" s="34"/>
      <c r="G125" s="32">
        <v>-200</v>
      </c>
      <c r="H125" s="34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  <c r="X125" s="241"/>
      <c r="Y125" s="241"/>
      <c r="Z125" s="241"/>
      <c r="AA125" s="241"/>
      <c r="AB125" s="241"/>
      <c r="AC125" s="241"/>
      <c r="AD125" s="241"/>
      <c r="AE125" s="241"/>
      <c r="AF125" s="241"/>
      <c r="AG125" s="241"/>
      <c r="AH125" s="241"/>
      <c r="AI125" s="241"/>
      <c r="AJ125" s="241"/>
      <c r="AK125" s="241"/>
      <c r="AL125" s="241"/>
      <c r="AM125" s="241"/>
      <c r="AN125" s="241"/>
    </row>
    <row r="126" spans="1:40" s="42" customFormat="1" ht="18" customHeight="1" x14ac:dyDescent="0.3">
      <c r="A126" s="20"/>
      <c r="B126" s="26" t="s">
        <v>32</v>
      </c>
      <c r="C126" s="26"/>
      <c r="D126" s="37"/>
      <c r="E126" s="37"/>
      <c r="F126" s="37"/>
      <c r="G126" s="32">
        <f>+G124+G125</f>
        <v>-1100</v>
      </c>
      <c r="H126" s="34"/>
      <c r="I126" s="241"/>
      <c r="J126" s="241"/>
      <c r="K126" s="241"/>
      <c r="L126" s="241"/>
      <c r="M126" s="241"/>
      <c r="N126" s="241"/>
      <c r="O126" s="241"/>
      <c r="P126" s="241"/>
      <c r="Q126" s="241"/>
      <c r="R126" s="241"/>
      <c r="S126" s="241"/>
      <c r="T126" s="241"/>
      <c r="U126" s="241"/>
      <c r="V126" s="241"/>
      <c r="W126" s="241"/>
      <c r="X126" s="241"/>
      <c r="Y126" s="241"/>
      <c r="Z126" s="241"/>
      <c r="AA126" s="241"/>
      <c r="AB126" s="241"/>
      <c r="AC126" s="241"/>
      <c r="AD126" s="241"/>
      <c r="AE126" s="241"/>
      <c r="AF126" s="241"/>
      <c r="AG126" s="241"/>
      <c r="AH126" s="241"/>
      <c r="AI126" s="241"/>
      <c r="AJ126" s="241"/>
      <c r="AK126" s="241"/>
      <c r="AL126" s="241"/>
      <c r="AM126" s="241"/>
      <c r="AN126" s="241"/>
    </row>
    <row r="127" spans="1:40" s="42" customFormat="1" ht="18" customHeight="1" x14ac:dyDescent="0.3">
      <c r="A127" s="20"/>
      <c r="B127" s="16" t="s">
        <v>296</v>
      </c>
      <c r="C127" s="16"/>
      <c r="D127" s="48"/>
      <c r="E127" s="48"/>
      <c r="F127" s="48"/>
      <c r="G127" s="49">
        <f>+G122+G126</f>
        <v>800</v>
      </c>
      <c r="H127" s="34"/>
      <c r="I127" s="1415"/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1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241"/>
      <c r="AH127" s="241"/>
      <c r="AI127" s="241"/>
      <c r="AJ127" s="241"/>
      <c r="AK127" s="241"/>
      <c r="AL127" s="241"/>
      <c r="AM127" s="241"/>
      <c r="AN127" s="241"/>
    </row>
    <row r="128" spans="1:40" s="42" customFormat="1" ht="18" customHeight="1" x14ac:dyDescent="0.3">
      <c r="A128" s="20"/>
      <c r="B128" s="20"/>
      <c r="C128" s="20"/>
      <c r="D128" s="20"/>
      <c r="E128" s="20"/>
      <c r="F128" s="20"/>
      <c r="G128" s="20"/>
      <c r="H128" s="26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41"/>
      <c r="T128" s="241"/>
      <c r="U128" s="241"/>
      <c r="V128" s="241"/>
      <c r="W128" s="241"/>
      <c r="X128" s="241"/>
      <c r="Y128" s="241"/>
      <c r="Z128" s="241"/>
      <c r="AA128" s="241"/>
      <c r="AB128" s="241"/>
      <c r="AC128" s="241"/>
      <c r="AD128" s="241"/>
      <c r="AE128" s="241"/>
      <c r="AF128" s="241"/>
      <c r="AG128" s="241"/>
      <c r="AH128" s="241"/>
      <c r="AI128" s="241"/>
      <c r="AJ128" s="241"/>
      <c r="AK128" s="241"/>
      <c r="AL128" s="241"/>
      <c r="AM128" s="241"/>
      <c r="AN128" s="241"/>
    </row>
    <row r="129" spans="1:40" s="42" customFormat="1" ht="18" customHeight="1" x14ac:dyDescent="0.3">
      <c r="A129" s="20"/>
      <c r="B129" s="16" t="s">
        <v>28</v>
      </c>
      <c r="C129" s="46"/>
      <c r="D129" s="46"/>
      <c r="E129" s="46"/>
      <c r="F129" s="46"/>
      <c r="G129" s="19"/>
      <c r="H129" s="34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  <c r="U129" s="241"/>
      <c r="V129" s="241"/>
      <c r="W129" s="241"/>
      <c r="X129" s="241"/>
      <c r="Y129" s="241"/>
      <c r="Z129" s="241"/>
      <c r="AA129" s="241"/>
      <c r="AB129" s="241"/>
      <c r="AC129" s="241"/>
      <c r="AD129" s="241"/>
      <c r="AE129" s="241"/>
      <c r="AF129" s="241"/>
      <c r="AG129" s="241"/>
      <c r="AH129" s="241"/>
      <c r="AI129" s="241"/>
      <c r="AJ129" s="241"/>
      <c r="AK129" s="241"/>
      <c r="AL129" s="241"/>
      <c r="AM129" s="241"/>
      <c r="AN129" s="241"/>
    </row>
    <row r="130" spans="1:40" s="42" customFormat="1" ht="18" customHeight="1" x14ac:dyDescent="0.3">
      <c r="A130" s="20"/>
      <c r="B130" s="16" t="s">
        <v>35</v>
      </c>
      <c r="C130" s="16"/>
      <c r="D130" s="46"/>
      <c r="E130" s="46"/>
      <c r="F130" s="46"/>
      <c r="G130" s="19" t="s">
        <v>387</v>
      </c>
      <c r="H130" s="34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  <c r="U130" s="241"/>
      <c r="V130" s="241"/>
      <c r="W130" s="241"/>
      <c r="X130" s="241"/>
      <c r="Y130" s="241"/>
      <c r="Z130" s="241"/>
      <c r="AA130" s="241"/>
      <c r="AB130" s="241"/>
      <c r="AC130" s="241"/>
      <c r="AD130" s="241"/>
      <c r="AE130" s="241"/>
      <c r="AF130" s="241"/>
      <c r="AG130" s="241"/>
      <c r="AH130" s="241"/>
      <c r="AI130" s="241"/>
      <c r="AJ130" s="241"/>
      <c r="AK130" s="241"/>
      <c r="AL130" s="241"/>
      <c r="AM130" s="241"/>
      <c r="AN130" s="241"/>
    </row>
    <row r="131" spans="1:40" s="42" customFormat="1" ht="18" customHeight="1" x14ac:dyDescent="0.3">
      <c r="A131" s="20"/>
      <c r="B131" s="26" t="s">
        <v>30</v>
      </c>
      <c r="C131" s="26"/>
      <c r="D131" s="34"/>
      <c r="E131" s="34"/>
      <c r="F131" s="34"/>
      <c r="G131" s="37">
        <v>25000</v>
      </c>
      <c r="H131" s="34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1"/>
      <c r="T131" s="241"/>
      <c r="U131" s="241"/>
      <c r="V131" s="241"/>
      <c r="W131" s="241"/>
      <c r="X131" s="241"/>
      <c r="Y131" s="241"/>
      <c r="Z131" s="241"/>
      <c r="AA131" s="241"/>
      <c r="AB131" s="241"/>
      <c r="AC131" s="241"/>
      <c r="AD131" s="241"/>
      <c r="AE131" s="241"/>
      <c r="AF131" s="241"/>
      <c r="AG131" s="241"/>
      <c r="AH131" s="241"/>
      <c r="AI131" s="241"/>
      <c r="AJ131" s="241"/>
      <c r="AK131" s="241"/>
      <c r="AL131" s="241"/>
      <c r="AM131" s="241"/>
      <c r="AN131" s="241"/>
    </row>
    <row r="132" spans="1:40" s="42" customFormat="1" ht="18" customHeight="1" x14ac:dyDescent="0.3">
      <c r="A132" s="20"/>
      <c r="B132" s="20" t="s">
        <v>297</v>
      </c>
      <c r="C132" s="20"/>
      <c r="D132" s="34"/>
      <c r="E132" s="34"/>
      <c r="F132" s="34"/>
      <c r="G132" s="34">
        <v>3000</v>
      </c>
      <c r="H132" s="34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41"/>
      <c r="U132" s="241"/>
      <c r="V132" s="241"/>
      <c r="W132" s="241"/>
      <c r="X132" s="241"/>
      <c r="Y132" s="241"/>
      <c r="Z132" s="241"/>
      <c r="AA132" s="241"/>
      <c r="AB132" s="241"/>
      <c r="AC132" s="241"/>
      <c r="AD132" s="241"/>
      <c r="AE132" s="241"/>
      <c r="AF132" s="241"/>
      <c r="AG132" s="241"/>
      <c r="AH132" s="241"/>
      <c r="AI132" s="241"/>
      <c r="AJ132" s="241"/>
      <c r="AK132" s="241"/>
      <c r="AL132" s="241"/>
      <c r="AM132" s="241"/>
      <c r="AN132" s="241"/>
    </row>
    <row r="133" spans="1:40" s="42" customFormat="1" ht="18" customHeight="1" x14ac:dyDescent="0.3">
      <c r="A133" s="286"/>
      <c r="B133" s="20" t="s">
        <v>548</v>
      </c>
      <c r="C133" s="20"/>
      <c r="D133" s="34"/>
      <c r="E133" s="34"/>
      <c r="F133" s="34"/>
      <c r="G133" s="34">
        <v>1600</v>
      </c>
      <c r="H133" s="34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1"/>
      <c r="U133" s="241"/>
      <c r="V133" s="241"/>
      <c r="W133" s="241"/>
      <c r="X133" s="241"/>
      <c r="Y133" s="241"/>
      <c r="Z133" s="241"/>
      <c r="AA133" s="241"/>
      <c r="AB133" s="241"/>
      <c r="AC133" s="241"/>
      <c r="AD133" s="241"/>
      <c r="AE133" s="241"/>
      <c r="AF133" s="241"/>
      <c r="AG133" s="241"/>
      <c r="AH133" s="241"/>
      <c r="AI133" s="241"/>
      <c r="AJ133" s="241"/>
      <c r="AK133" s="241"/>
      <c r="AL133" s="241"/>
      <c r="AM133" s="241"/>
      <c r="AN133" s="241"/>
    </row>
    <row r="134" spans="1:40" s="42" customFormat="1" ht="18" customHeight="1" x14ac:dyDescent="0.3">
      <c r="A134" s="286"/>
      <c r="B134" s="20" t="s">
        <v>39</v>
      </c>
      <c r="C134" s="20"/>
      <c r="D134" s="34"/>
      <c r="E134" s="34"/>
      <c r="F134" s="34"/>
      <c r="G134" s="32">
        <v>7400</v>
      </c>
      <c r="H134" s="34"/>
      <c r="I134" s="241"/>
      <c r="J134" s="241"/>
      <c r="K134" s="241"/>
      <c r="L134" s="241"/>
      <c r="M134" s="241"/>
      <c r="N134" s="241"/>
      <c r="O134" s="241"/>
      <c r="P134" s="241"/>
      <c r="Q134" s="241"/>
      <c r="R134" s="241"/>
      <c r="S134" s="241"/>
      <c r="T134" s="241"/>
      <c r="U134" s="241"/>
      <c r="V134" s="241"/>
      <c r="W134" s="241"/>
      <c r="X134" s="241"/>
      <c r="Y134" s="241"/>
      <c r="Z134" s="241"/>
      <c r="AA134" s="241"/>
      <c r="AB134" s="241"/>
      <c r="AC134" s="241"/>
      <c r="AD134" s="241"/>
      <c r="AE134" s="241"/>
      <c r="AF134" s="241"/>
      <c r="AG134" s="241"/>
      <c r="AH134" s="241"/>
      <c r="AI134" s="241"/>
      <c r="AJ134" s="241"/>
      <c r="AK134" s="241"/>
      <c r="AL134" s="241"/>
      <c r="AM134" s="241"/>
      <c r="AN134" s="241"/>
    </row>
    <row r="135" spans="1:40" s="42" customFormat="1" ht="18" customHeight="1" x14ac:dyDescent="0.3">
      <c r="A135" s="286"/>
      <c r="B135" s="26" t="s">
        <v>32</v>
      </c>
      <c r="C135" s="26"/>
      <c r="D135" s="37"/>
      <c r="E135" s="37"/>
      <c r="F135" s="37"/>
      <c r="G135" s="47">
        <f>SUM(G131:G134)</f>
        <v>37000</v>
      </c>
      <c r="H135" s="34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  <c r="U135" s="241"/>
      <c r="V135" s="241"/>
      <c r="W135" s="241"/>
      <c r="X135" s="241"/>
      <c r="Y135" s="241"/>
      <c r="Z135" s="241"/>
      <c r="AA135" s="241"/>
      <c r="AB135" s="241"/>
      <c r="AC135" s="241"/>
      <c r="AD135" s="241"/>
      <c r="AE135" s="241"/>
      <c r="AF135" s="241"/>
      <c r="AG135" s="241"/>
      <c r="AH135" s="241"/>
      <c r="AI135" s="241"/>
      <c r="AJ135" s="241"/>
      <c r="AK135" s="241"/>
      <c r="AL135" s="241"/>
      <c r="AM135" s="241"/>
      <c r="AN135" s="241"/>
    </row>
    <row r="136" spans="1:40" s="42" customFormat="1" ht="18" customHeight="1" x14ac:dyDescent="0.3">
      <c r="A136" s="286"/>
      <c r="B136" s="16" t="s">
        <v>36</v>
      </c>
      <c r="C136" s="16"/>
      <c r="D136" s="46"/>
      <c r="E136" s="46"/>
      <c r="F136" s="46"/>
      <c r="G136" s="19"/>
      <c r="H136" s="34"/>
      <c r="I136" s="241"/>
      <c r="J136" s="241"/>
      <c r="K136" s="241"/>
      <c r="L136" s="241"/>
      <c r="M136" s="241"/>
      <c r="N136" s="241"/>
      <c r="O136" s="241"/>
      <c r="P136" s="241"/>
      <c r="Q136" s="241"/>
      <c r="R136" s="241"/>
      <c r="S136" s="241"/>
      <c r="T136" s="241"/>
      <c r="U136" s="241"/>
      <c r="V136" s="241"/>
      <c r="W136" s="241"/>
      <c r="X136" s="241"/>
      <c r="Y136" s="241"/>
      <c r="Z136" s="241"/>
      <c r="AA136" s="241"/>
      <c r="AB136" s="241"/>
      <c r="AC136" s="241"/>
      <c r="AD136" s="241"/>
      <c r="AE136" s="241"/>
      <c r="AF136" s="241"/>
      <c r="AG136" s="241"/>
      <c r="AH136" s="241"/>
      <c r="AI136" s="241"/>
      <c r="AJ136" s="241"/>
      <c r="AK136" s="241"/>
      <c r="AL136" s="241"/>
      <c r="AM136" s="241"/>
      <c r="AN136" s="241"/>
    </row>
    <row r="137" spans="1:40" s="42" customFormat="1" ht="18" customHeight="1" x14ac:dyDescent="0.3">
      <c r="A137" s="286"/>
      <c r="B137" s="26" t="s">
        <v>30</v>
      </c>
      <c r="C137" s="26"/>
      <c r="D137" s="34"/>
      <c r="E137" s="34"/>
      <c r="F137" s="34"/>
      <c r="G137" s="37">
        <v>-5000</v>
      </c>
      <c r="H137" s="34"/>
      <c r="I137" s="241"/>
      <c r="J137" s="241"/>
      <c r="K137" s="241"/>
      <c r="L137" s="241"/>
      <c r="M137" s="241"/>
      <c r="N137" s="241"/>
      <c r="O137" s="241"/>
      <c r="P137" s="241"/>
      <c r="Q137" s="241"/>
      <c r="R137" s="241"/>
      <c r="S137" s="241"/>
      <c r="T137" s="241"/>
      <c r="U137" s="241"/>
      <c r="V137" s="241"/>
      <c r="W137" s="241"/>
      <c r="X137" s="241"/>
      <c r="Y137" s="241"/>
      <c r="Z137" s="241"/>
      <c r="AA137" s="241"/>
      <c r="AB137" s="241"/>
      <c r="AC137" s="241"/>
      <c r="AD137" s="241"/>
      <c r="AE137" s="241"/>
      <c r="AF137" s="241"/>
      <c r="AG137" s="241"/>
      <c r="AH137" s="241"/>
      <c r="AI137" s="241"/>
      <c r="AJ137" s="241"/>
      <c r="AK137" s="241"/>
      <c r="AL137" s="241"/>
      <c r="AM137" s="241"/>
      <c r="AN137" s="241"/>
    </row>
    <row r="138" spans="1:40" s="42" customFormat="1" ht="18" customHeight="1" x14ac:dyDescent="0.3">
      <c r="A138" s="286"/>
      <c r="B138" s="20" t="s">
        <v>288</v>
      </c>
      <c r="C138" s="20"/>
      <c r="D138" s="34"/>
      <c r="E138" s="34"/>
      <c r="F138" s="34"/>
      <c r="G138" s="32">
        <v>-2000</v>
      </c>
      <c r="H138" s="34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  <c r="X138" s="241"/>
      <c r="Y138" s="241"/>
      <c r="Z138" s="241"/>
      <c r="AA138" s="241"/>
      <c r="AB138" s="241"/>
      <c r="AC138" s="241"/>
      <c r="AD138" s="241"/>
      <c r="AE138" s="241"/>
      <c r="AF138" s="241"/>
      <c r="AG138" s="241"/>
      <c r="AH138" s="241"/>
      <c r="AI138" s="241"/>
      <c r="AJ138" s="241"/>
      <c r="AK138" s="241"/>
      <c r="AL138" s="241"/>
      <c r="AM138" s="241"/>
      <c r="AN138" s="241"/>
    </row>
    <row r="139" spans="1:40" s="42" customFormat="1" ht="18" customHeight="1" x14ac:dyDescent="0.3">
      <c r="A139" s="286"/>
      <c r="B139" s="26" t="s">
        <v>32</v>
      </c>
      <c r="C139" s="26"/>
      <c r="D139" s="37"/>
      <c r="E139" s="37"/>
      <c r="F139" s="37"/>
      <c r="G139" s="47">
        <f>+G137+G138</f>
        <v>-7000</v>
      </c>
      <c r="H139" s="34"/>
      <c r="I139" s="241"/>
      <c r="J139" s="241"/>
      <c r="K139" s="241"/>
      <c r="L139" s="241"/>
      <c r="M139" s="241"/>
      <c r="N139" s="241"/>
      <c r="O139" s="241"/>
      <c r="P139" s="241"/>
      <c r="Q139" s="241"/>
      <c r="R139" s="241"/>
      <c r="S139" s="241"/>
      <c r="T139" s="241"/>
      <c r="U139" s="241"/>
      <c r="V139" s="241"/>
      <c r="W139" s="241"/>
      <c r="X139" s="241"/>
      <c r="Y139" s="241"/>
      <c r="Z139" s="241"/>
      <c r="AA139" s="241"/>
      <c r="AB139" s="241"/>
      <c r="AC139" s="241"/>
      <c r="AD139" s="241"/>
      <c r="AE139" s="241"/>
      <c r="AF139" s="241"/>
      <c r="AG139" s="241"/>
      <c r="AH139" s="241"/>
      <c r="AI139" s="241"/>
      <c r="AJ139" s="241"/>
      <c r="AK139" s="241"/>
      <c r="AL139" s="241"/>
      <c r="AM139" s="241"/>
      <c r="AN139" s="241"/>
    </row>
    <row r="140" spans="1:40" s="42" customFormat="1" ht="18" customHeight="1" x14ac:dyDescent="0.3">
      <c r="A140" s="286"/>
      <c r="B140" s="16" t="s">
        <v>63</v>
      </c>
      <c r="C140" s="16"/>
      <c r="D140" s="48"/>
      <c r="E140" s="48"/>
      <c r="F140" s="48"/>
      <c r="G140" s="49">
        <f>+G135+G139</f>
        <v>30000</v>
      </c>
      <c r="H140" s="34"/>
      <c r="I140" s="241"/>
      <c r="K140"/>
      <c r="L140" s="241"/>
      <c r="M140" s="241"/>
      <c r="N140" s="241"/>
      <c r="O140" s="241"/>
      <c r="P140" s="241"/>
      <c r="Q140" s="241"/>
      <c r="R140" s="241"/>
      <c r="S140" s="241"/>
      <c r="T140" s="241"/>
      <c r="U140" s="241"/>
      <c r="V140" s="241"/>
      <c r="W140" s="241"/>
      <c r="X140" s="241"/>
      <c r="Y140" s="241"/>
      <c r="Z140" s="241"/>
      <c r="AA140" s="241"/>
      <c r="AB140" s="241"/>
      <c r="AC140" s="241"/>
      <c r="AD140" s="241"/>
      <c r="AE140" s="241"/>
      <c r="AF140" s="241"/>
      <c r="AG140" s="241"/>
      <c r="AH140" s="241"/>
      <c r="AI140" s="241"/>
      <c r="AJ140" s="241"/>
      <c r="AK140" s="241"/>
      <c r="AL140" s="241"/>
      <c r="AM140" s="241"/>
      <c r="AN140" s="241"/>
    </row>
    <row r="141" spans="1:40" s="42" customFormat="1" ht="18" customHeight="1" x14ac:dyDescent="0.3">
      <c r="A141" s="3"/>
      <c r="B141" s="34"/>
      <c r="C141" s="34"/>
      <c r="D141" s="34"/>
      <c r="E141" s="34"/>
      <c r="F141" s="34"/>
      <c r="G141" s="34"/>
      <c r="H141" s="34"/>
      <c r="I141" s="241"/>
      <c r="K141"/>
      <c r="L141"/>
      <c r="M141"/>
      <c r="N141"/>
      <c r="O141"/>
      <c r="P141"/>
      <c r="Q141"/>
      <c r="R141"/>
      <c r="S141"/>
      <c r="T141"/>
      <c r="U141" s="241"/>
      <c r="V141" s="241"/>
      <c r="W141" s="241"/>
      <c r="X141" s="241"/>
      <c r="Y141" s="241"/>
      <c r="Z141" s="241"/>
      <c r="AA141" s="241"/>
      <c r="AB141" s="241"/>
      <c r="AC141" s="241"/>
      <c r="AD141" s="241"/>
      <c r="AE141" s="241"/>
      <c r="AF141" s="241"/>
      <c r="AG141" s="241"/>
      <c r="AH141" s="241"/>
      <c r="AI141" s="241"/>
      <c r="AJ141" s="241"/>
      <c r="AK141" s="241"/>
      <c r="AL141" s="241"/>
      <c r="AM141" s="241"/>
      <c r="AN141" s="241"/>
    </row>
    <row r="142" spans="1:40" s="42" customFormat="1" ht="18" customHeight="1" x14ac:dyDescent="0.3">
      <c r="A142" s="3"/>
      <c r="B142" s="16" t="s">
        <v>191</v>
      </c>
      <c r="C142" s="16"/>
      <c r="D142" s="46"/>
      <c r="E142" s="46"/>
      <c r="F142" s="46"/>
      <c r="G142" s="19">
        <v>2020</v>
      </c>
      <c r="H142" s="34"/>
      <c r="I142" s="241"/>
      <c r="K142"/>
      <c r="L142"/>
      <c r="M142"/>
      <c r="N142"/>
      <c r="O142"/>
      <c r="P142"/>
      <c r="Q142"/>
      <c r="R142"/>
      <c r="S142"/>
      <c r="T142"/>
      <c r="U142" s="241"/>
      <c r="V142" s="241"/>
      <c r="W142" s="241"/>
      <c r="X142" s="241"/>
      <c r="Y142" s="241"/>
      <c r="Z142" s="241"/>
      <c r="AA142" s="241"/>
      <c r="AB142" s="241"/>
      <c r="AC142" s="241"/>
      <c r="AD142" s="241"/>
      <c r="AE142" s="241"/>
      <c r="AF142" s="241"/>
      <c r="AG142" s="241"/>
      <c r="AH142" s="241"/>
      <c r="AI142" s="241"/>
      <c r="AJ142" s="241"/>
      <c r="AK142" s="241"/>
      <c r="AL142" s="241"/>
      <c r="AM142" s="241"/>
      <c r="AN142" s="241"/>
    </row>
    <row r="143" spans="1:40" s="42" customFormat="1" ht="18" customHeight="1" x14ac:dyDescent="0.3">
      <c r="A143" s="3"/>
      <c r="B143" s="46"/>
      <c r="C143" s="46"/>
      <c r="D143" s="46"/>
      <c r="E143" s="46"/>
      <c r="F143" s="46"/>
      <c r="G143" s="19" t="s">
        <v>387</v>
      </c>
      <c r="H143" s="34"/>
      <c r="I143" s="241"/>
      <c r="K143"/>
      <c r="L143"/>
      <c r="M143"/>
      <c r="N143"/>
      <c r="O143"/>
      <c r="P143"/>
      <c r="Q143"/>
      <c r="R143"/>
      <c r="S143"/>
      <c r="T143"/>
      <c r="U143" s="241"/>
      <c r="V143" s="241"/>
      <c r="W143" s="241"/>
      <c r="X143" s="241"/>
      <c r="Y143" s="241"/>
      <c r="Z143" s="241"/>
      <c r="AA143" s="241"/>
      <c r="AB143" s="241"/>
      <c r="AC143" s="241"/>
      <c r="AD143" s="241"/>
      <c r="AE143" s="241"/>
      <c r="AF143" s="241"/>
      <c r="AG143" s="241"/>
      <c r="AH143" s="241"/>
      <c r="AI143" s="241"/>
      <c r="AJ143" s="241"/>
      <c r="AK143" s="241"/>
      <c r="AL143" s="241"/>
      <c r="AM143" s="241"/>
      <c r="AN143" s="241"/>
    </row>
    <row r="144" spans="1:40" s="42" customFormat="1" ht="18" customHeight="1" x14ac:dyDescent="0.3">
      <c r="A144" s="3"/>
      <c r="B144" s="26" t="s">
        <v>30</v>
      </c>
      <c r="C144" s="26"/>
      <c r="D144" s="37"/>
      <c r="E144" s="37"/>
      <c r="F144" s="37"/>
      <c r="G144" s="37">
        <f>+G14</f>
        <v>1200</v>
      </c>
      <c r="H144" s="34"/>
      <c r="I144" s="241"/>
      <c r="K144"/>
      <c r="L144"/>
      <c r="M144"/>
      <c r="N144"/>
      <c r="O144"/>
      <c r="P144"/>
      <c r="Q144"/>
      <c r="R144"/>
      <c r="S144"/>
      <c r="T144"/>
      <c r="U144" s="241"/>
      <c r="V144" s="241"/>
      <c r="W144" s="241"/>
      <c r="X144" s="241"/>
      <c r="Y144" s="241"/>
      <c r="Z144" s="241"/>
      <c r="AA144" s="241"/>
      <c r="AB144" s="241"/>
      <c r="AC144" s="241"/>
      <c r="AD144" s="241"/>
      <c r="AE144" s="241"/>
      <c r="AF144" s="241"/>
      <c r="AG144" s="241"/>
      <c r="AH144" s="241"/>
      <c r="AI144" s="241"/>
      <c r="AJ144" s="241"/>
      <c r="AK144" s="241"/>
      <c r="AL144" s="241"/>
      <c r="AM144" s="241"/>
      <c r="AN144" s="241"/>
    </row>
    <row r="145" spans="1:47" s="42" customFormat="1" ht="18" customHeight="1" x14ac:dyDescent="0.3">
      <c r="A145" s="3"/>
      <c r="B145" s="20" t="s">
        <v>192</v>
      </c>
      <c r="C145" s="20"/>
      <c r="D145" s="34"/>
      <c r="E145" s="34"/>
      <c r="F145" s="34"/>
      <c r="G145" s="32">
        <f>+G146-G144</f>
        <v>400</v>
      </c>
      <c r="H145" s="34"/>
      <c r="I145" s="241"/>
      <c r="K145"/>
      <c r="L145"/>
      <c r="M145"/>
      <c r="N145"/>
      <c r="O145"/>
      <c r="P145"/>
      <c r="Q145"/>
      <c r="R145"/>
      <c r="S145"/>
      <c r="T145"/>
      <c r="U145" s="241"/>
      <c r="V145" s="241"/>
      <c r="W145" s="241"/>
      <c r="X145" s="241"/>
      <c r="Y145" s="241"/>
      <c r="Z145" s="241"/>
      <c r="AA145" s="241"/>
      <c r="AB145" s="241"/>
      <c r="AC145" s="241"/>
      <c r="AD145" s="241"/>
      <c r="AE145" s="241"/>
      <c r="AF145" s="241"/>
      <c r="AG145" s="241"/>
      <c r="AH145" s="241"/>
      <c r="AI145" s="241"/>
      <c r="AJ145" s="241"/>
      <c r="AK145" s="241"/>
      <c r="AL145" s="241"/>
      <c r="AM145" s="241"/>
      <c r="AN145" s="241"/>
    </row>
    <row r="146" spans="1:47" s="42" customFormat="1" ht="18" customHeight="1" x14ac:dyDescent="0.3">
      <c r="A146" s="3"/>
      <c r="B146" s="26" t="s">
        <v>32</v>
      </c>
      <c r="C146" s="26"/>
      <c r="D146" s="37"/>
      <c r="E146" s="37"/>
      <c r="F146" s="37"/>
      <c r="G146" s="38">
        <f>+F14</f>
        <v>1600</v>
      </c>
      <c r="H146" s="34"/>
      <c r="I146" s="241"/>
      <c r="K146"/>
      <c r="L146"/>
      <c r="M146"/>
      <c r="N146"/>
      <c r="O146"/>
      <c r="P146"/>
      <c r="Q146"/>
      <c r="R146"/>
      <c r="S146"/>
      <c r="T146"/>
      <c r="U146" s="241"/>
      <c r="V146" s="241"/>
      <c r="W146" s="241"/>
      <c r="X146" s="241"/>
      <c r="Y146" s="241"/>
      <c r="Z146" s="241"/>
      <c r="AA146" s="241"/>
      <c r="AB146" s="241"/>
      <c r="AC146" s="241"/>
      <c r="AD146" s="241"/>
      <c r="AE146" s="241"/>
      <c r="AF146" s="241"/>
      <c r="AG146" s="241"/>
      <c r="AH146" s="241"/>
      <c r="AI146" s="241"/>
      <c r="AJ146" s="241"/>
      <c r="AK146" s="241"/>
      <c r="AL146" s="241"/>
      <c r="AM146" s="241"/>
      <c r="AN146"/>
      <c r="AO146"/>
      <c r="AP146"/>
      <c r="AQ146"/>
      <c r="AR146"/>
      <c r="AS146"/>
    </row>
    <row r="147" spans="1:47" s="42" customFormat="1" ht="18" customHeight="1" x14ac:dyDescent="0.3">
      <c r="A147" s="3"/>
      <c r="B147" s="34"/>
      <c r="C147" s="34"/>
      <c r="D147" s="34"/>
      <c r="E147" s="34"/>
      <c r="F147" s="34"/>
      <c r="G147" s="34"/>
      <c r="H147" s="34"/>
      <c r="I147" s="241"/>
      <c r="K147"/>
      <c r="L147"/>
      <c r="M147"/>
      <c r="N147"/>
      <c r="O147"/>
      <c r="P147"/>
      <c r="Q147"/>
      <c r="R147"/>
      <c r="S147"/>
      <c r="T147"/>
      <c r="U147" s="241"/>
      <c r="V147" s="241"/>
      <c r="W147" s="241"/>
      <c r="X147" s="241"/>
      <c r="Y147" s="241"/>
      <c r="Z147" s="241"/>
      <c r="AA147" s="241"/>
      <c r="AB147" s="241"/>
      <c r="AC147" s="241"/>
      <c r="AD147" s="241"/>
      <c r="AE147" s="241"/>
      <c r="AF147" s="241"/>
      <c r="AG147" s="241"/>
      <c r="AH147" s="241"/>
      <c r="AI147" s="241"/>
      <c r="AJ147" s="241"/>
      <c r="AK147" s="241"/>
      <c r="AL147" s="241"/>
      <c r="AM147" s="241"/>
      <c r="AN147"/>
      <c r="AO147"/>
      <c r="AP147"/>
      <c r="AQ147"/>
      <c r="AR147"/>
      <c r="AS147"/>
    </row>
    <row r="148" spans="1:47" ht="18" customHeight="1" x14ac:dyDescent="0.3">
      <c r="A148" s="3"/>
      <c r="B148" s="16" t="s">
        <v>27</v>
      </c>
      <c r="C148" s="16"/>
      <c r="D148" s="46"/>
      <c r="E148" s="46"/>
      <c r="F148" s="19">
        <v>2020</v>
      </c>
      <c r="G148" s="19">
        <v>2019</v>
      </c>
      <c r="H148" s="34"/>
      <c r="I148" s="241"/>
      <c r="AF148" s="241"/>
      <c r="AG148" s="241"/>
      <c r="AH148" s="241"/>
      <c r="AI148" s="241"/>
      <c r="AJ148" s="241"/>
      <c r="AK148" s="241"/>
      <c r="AL148" s="241"/>
      <c r="AM148" s="241"/>
      <c r="AU148" s="42"/>
    </row>
    <row r="149" spans="1:47" s="42" customFormat="1" ht="18" customHeight="1" x14ac:dyDescent="0.3">
      <c r="A149" s="3"/>
      <c r="B149" s="16"/>
      <c r="C149" s="16"/>
      <c r="D149" s="46"/>
      <c r="E149" s="46"/>
      <c r="F149" s="19" t="s">
        <v>387</v>
      </c>
      <c r="G149" s="19" t="s">
        <v>387</v>
      </c>
      <c r="H149" s="34"/>
      <c r="I149" s="241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 s="241"/>
      <c r="AG149" s="241"/>
      <c r="AH149" s="241"/>
      <c r="AI149" s="241"/>
      <c r="AJ149" s="241"/>
      <c r="AK149" s="241"/>
      <c r="AL149" s="241"/>
      <c r="AM149" s="241"/>
      <c r="AN149"/>
      <c r="AO149"/>
      <c r="AP149"/>
      <c r="AQ149"/>
      <c r="AR149"/>
      <c r="AS149"/>
      <c r="AT149"/>
    </row>
    <row r="150" spans="1:47" ht="18" customHeight="1" x14ac:dyDescent="0.3">
      <c r="A150" s="3"/>
      <c r="B150" s="20" t="s">
        <v>5</v>
      </c>
      <c r="C150" s="26"/>
      <c r="D150" s="34"/>
      <c r="E150" s="34"/>
      <c r="F150" s="34">
        <v>5200</v>
      </c>
      <c r="G150" s="34">
        <v>4500</v>
      </c>
      <c r="H150" s="34"/>
      <c r="I150" s="241"/>
      <c r="AF150" s="241"/>
      <c r="AG150" s="241"/>
      <c r="AH150" s="241"/>
      <c r="AI150" s="241"/>
      <c r="AJ150" s="241"/>
      <c r="AK150" s="241"/>
      <c r="AL150" s="241"/>
    </row>
    <row r="151" spans="1:47" ht="18" customHeight="1" x14ac:dyDescent="0.3">
      <c r="A151" s="3"/>
      <c r="B151" s="20" t="s">
        <v>1124</v>
      </c>
      <c r="C151" s="20"/>
      <c r="D151" s="34"/>
      <c r="E151" s="34"/>
      <c r="F151" s="34">
        <v>650</v>
      </c>
      <c r="G151" s="34">
        <v>620</v>
      </c>
      <c r="H151" s="34"/>
      <c r="I151" s="241"/>
      <c r="AF151" s="241"/>
      <c r="AG151" s="241"/>
      <c r="AH151" s="241"/>
      <c r="AI151" s="241"/>
      <c r="AJ151" s="241"/>
      <c r="AK151" s="241"/>
      <c r="AL151" s="241"/>
    </row>
    <row r="152" spans="1:47" ht="18" customHeight="1" x14ac:dyDescent="0.3">
      <c r="A152" s="3"/>
      <c r="B152" s="20" t="s">
        <v>1125</v>
      </c>
      <c r="C152" s="20"/>
      <c r="D152" s="34"/>
      <c r="E152" s="34"/>
      <c r="F152" s="34">
        <v>50</v>
      </c>
      <c r="G152" s="34">
        <v>80</v>
      </c>
      <c r="H152" s="34"/>
      <c r="I152" s="241"/>
      <c r="AH152" s="241"/>
      <c r="AI152" s="241"/>
      <c r="AJ152" s="241"/>
      <c r="AK152" s="241"/>
      <c r="AL152" s="241"/>
    </row>
    <row r="153" spans="1:47" ht="18" customHeight="1" x14ac:dyDescent="0.3">
      <c r="A153" s="3"/>
      <c r="B153" s="26" t="s">
        <v>40</v>
      </c>
      <c r="C153" s="26"/>
      <c r="D153" s="34"/>
      <c r="E153" s="34"/>
      <c r="F153" s="38">
        <f>SUM(F150:F152)</f>
        <v>5900</v>
      </c>
      <c r="G153" s="38">
        <f>SUM(G150:G152)</f>
        <v>5200</v>
      </c>
      <c r="H153" s="34"/>
      <c r="I153" s="241"/>
      <c r="AH153" s="241"/>
      <c r="AI153" s="241"/>
      <c r="AJ153" s="241"/>
      <c r="AK153" s="241"/>
      <c r="AL153" s="241"/>
    </row>
    <row r="154" spans="1:47" ht="18" customHeight="1" x14ac:dyDescent="0.3">
      <c r="A154" s="3"/>
      <c r="B154" s="34"/>
      <c r="C154" s="34"/>
      <c r="D154" s="34"/>
      <c r="E154" s="34"/>
      <c r="F154" s="34"/>
      <c r="G154" s="34"/>
      <c r="H154" s="34"/>
      <c r="I154" s="241"/>
    </row>
    <row r="155" spans="1:47" ht="18" customHeight="1" x14ac:dyDescent="0.3">
      <c r="A155" s="3"/>
      <c r="B155" s="34"/>
      <c r="C155" s="34"/>
      <c r="D155" s="34"/>
      <c r="E155" s="34"/>
      <c r="F155" s="34"/>
      <c r="G155" s="34"/>
      <c r="H155" s="34"/>
      <c r="I155" s="241"/>
    </row>
    <row r="156" spans="1:47" ht="18" customHeight="1" x14ac:dyDescent="0.3">
      <c r="A156" s="3"/>
      <c r="B156" s="16" t="s">
        <v>193</v>
      </c>
      <c r="C156" s="16"/>
      <c r="D156" s="46"/>
      <c r="E156" s="46"/>
      <c r="F156" s="46"/>
      <c r="G156" s="19">
        <v>2020</v>
      </c>
      <c r="H156" s="34"/>
      <c r="I156" s="241"/>
    </row>
    <row r="157" spans="1:47" ht="18" customHeight="1" x14ac:dyDescent="0.3">
      <c r="A157" s="3"/>
      <c r="B157" s="16"/>
      <c r="C157" s="16"/>
      <c r="D157" s="46"/>
      <c r="E157" s="46"/>
      <c r="F157" s="46"/>
      <c r="G157" s="19" t="s">
        <v>387</v>
      </c>
      <c r="H157" s="34"/>
      <c r="I157" s="241"/>
    </row>
    <row r="158" spans="1:47" ht="18" customHeight="1" x14ac:dyDescent="0.3">
      <c r="A158" s="3"/>
      <c r="B158" s="26" t="s">
        <v>30</v>
      </c>
      <c r="C158" s="26"/>
      <c r="D158" s="34"/>
      <c r="E158" s="34"/>
      <c r="F158" s="34"/>
      <c r="G158" s="37">
        <f>+G21</f>
        <v>1200</v>
      </c>
      <c r="H158" s="34"/>
      <c r="I158" s="241"/>
    </row>
    <row r="159" spans="1:47" ht="18" customHeight="1" x14ac:dyDescent="0.3">
      <c r="A159" s="3"/>
      <c r="B159" s="20" t="s">
        <v>194</v>
      </c>
      <c r="C159" s="20"/>
      <c r="D159" s="34"/>
      <c r="E159" s="34"/>
      <c r="F159" s="34"/>
      <c r="G159" s="34">
        <v>300</v>
      </c>
      <c r="H159" s="34"/>
      <c r="I159" s="241"/>
    </row>
    <row r="160" spans="1:47" ht="18" customHeight="1" x14ac:dyDescent="0.3">
      <c r="A160" s="3"/>
      <c r="B160" s="20" t="s">
        <v>195</v>
      </c>
      <c r="C160" s="20"/>
      <c r="D160" s="34"/>
      <c r="E160" s="34"/>
      <c r="F160" s="34"/>
      <c r="G160" s="34">
        <v>-200</v>
      </c>
      <c r="H160" s="34"/>
      <c r="I160" s="241"/>
    </row>
    <row r="161" spans="1:45" ht="18" customHeight="1" x14ac:dyDescent="0.3">
      <c r="A161" s="3"/>
      <c r="B161" s="20" t="s">
        <v>196</v>
      </c>
      <c r="C161" s="20"/>
      <c r="D161" s="34"/>
      <c r="E161" s="34"/>
      <c r="F161" s="34"/>
      <c r="G161" s="32">
        <f>+G162-G158-G159-G160</f>
        <v>-300</v>
      </c>
      <c r="H161" s="34"/>
      <c r="I161" s="241"/>
    </row>
    <row r="162" spans="1:45" ht="18" customHeight="1" x14ac:dyDescent="0.3">
      <c r="A162" s="3"/>
      <c r="B162" s="26" t="s">
        <v>32</v>
      </c>
      <c r="C162" s="26"/>
      <c r="D162" s="34"/>
      <c r="E162" s="34"/>
      <c r="F162" s="34"/>
      <c r="G162" s="38">
        <f>+F21</f>
        <v>1000</v>
      </c>
      <c r="H162" s="34"/>
      <c r="I162" s="241"/>
    </row>
    <row r="163" spans="1:45" ht="18" customHeight="1" x14ac:dyDescent="0.3">
      <c r="A163" s="3"/>
      <c r="B163" s="34"/>
      <c r="C163" s="34"/>
      <c r="D163" s="34"/>
      <c r="E163" s="34"/>
      <c r="F163" s="34"/>
      <c r="G163" s="34"/>
      <c r="H163" s="34"/>
      <c r="I163" s="241"/>
    </row>
    <row r="164" spans="1:45" ht="18" customHeight="1" x14ac:dyDescent="0.3">
      <c r="A164" s="3"/>
      <c r="B164" s="20"/>
      <c r="C164" s="34"/>
      <c r="D164" s="20"/>
      <c r="E164" s="20"/>
      <c r="F164" s="34"/>
      <c r="G164" s="34"/>
      <c r="H164" s="34"/>
      <c r="I164" s="241"/>
    </row>
    <row r="165" spans="1:45" ht="18" customHeight="1" x14ac:dyDescent="0.3">
      <c r="A165" s="3"/>
      <c r="B165" s="20"/>
      <c r="C165" s="34"/>
      <c r="D165" s="16" t="s">
        <v>1119</v>
      </c>
      <c r="E165" s="46"/>
      <c r="F165" s="46"/>
      <c r="G165" s="34"/>
      <c r="H165" s="34"/>
      <c r="I165" s="241"/>
    </row>
    <row r="166" spans="1:45" ht="18" customHeight="1" x14ac:dyDescent="0.3">
      <c r="A166" s="3"/>
      <c r="B166" s="20"/>
      <c r="C166" s="34"/>
      <c r="D166" s="20" t="s">
        <v>1118</v>
      </c>
      <c r="E166" s="20"/>
      <c r="F166" s="34">
        <v>11000</v>
      </c>
      <c r="G166" s="34"/>
      <c r="H166" s="34"/>
      <c r="I166" s="241"/>
    </row>
    <row r="167" spans="1:45" ht="18" customHeight="1" x14ac:dyDescent="0.3">
      <c r="A167" s="3"/>
      <c r="B167" s="20"/>
      <c r="C167" s="34"/>
      <c r="D167" s="20" t="s">
        <v>200</v>
      </c>
      <c r="E167" s="20"/>
      <c r="F167" s="40">
        <v>7.512900541341519E-2</v>
      </c>
      <c r="G167" s="34"/>
      <c r="H167" s="34"/>
      <c r="I167" s="241"/>
    </row>
    <row r="168" spans="1:45" ht="18" customHeight="1" x14ac:dyDescent="0.3">
      <c r="A168" s="3"/>
      <c r="B168" s="20"/>
      <c r="C168" s="34"/>
      <c r="D168" s="20" t="s">
        <v>201</v>
      </c>
      <c r="E168" s="20"/>
      <c r="F168" s="34">
        <v>6</v>
      </c>
      <c r="G168" s="34"/>
      <c r="H168" s="34"/>
      <c r="I168" s="241"/>
    </row>
    <row r="169" spans="1:45" ht="18" customHeight="1" x14ac:dyDescent="0.3">
      <c r="A169" s="3"/>
      <c r="B169" s="20"/>
      <c r="C169" s="34"/>
      <c r="D169" s="240" t="s">
        <v>1120</v>
      </c>
      <c r="E169" s="19"/>
      <c r="F169" s="19"/>
      <c r="G169" s="34"/>
      <c r="H169" s="34"/>
      <c r="I169" s="241"/>
    </row>
    <row r="170" spans="1:45" ht="18" customHeight="1" x14ac:dyDescent="0.3">
      <c r="A170" s="3"/>
      <c r="B170" s="20"/>
      <c r="C170" s="34"/>
      <c r="D170" s="19" t="s">
        <v>202</v>
      </c>
      <c r="E170" s="19" t="s">
        <v>203</v>
      </c>
      <c r="F170" s="19" t="s">
        <v>40</v>
      </c>
      <c r="G170" s="34"/>
      <c r="H170" s="34"/>
      <c r="I170" s="241"/>
    </row>
    <row r="171" spans="1:45" ht="18" customHeight="1" x14ac:dyDescent="0.3">
      <c r="A171" s="3"/>
      <c r="B171" s="20"/>
      <c r="C171" s="34"/>
      <c r="D171" s="19" t="s">
        <v>387</v>
      </c>
      <c r="E171" s="19" t="s">
        <v>387</v>
      </c>
      <c r="F171" s="19" t="s">
        <v>387</v>
      </c>
      <c r="G171" s="34"/>
      <c r="H171" s="34"/>
      <c r="I171" s="241"/>
    </row>
    <row r="172" spans="1:45" ht="18" customHeight="1" x14ac:dyDescent="0.3">
      <c r="A172" s="3"/>
      <c r="B172" s="20"/>
      <c r="C172" s="34">
        <v>1</v>
      </c>
      <c r="D172" s="34">
        <f t="shared" ref="D172:D177" si="9">-PPMT($F$167,C172,$F$168,$F$166,0,0)</f>
        <v>1517.9999997442626</v>
      </c>
      <c r="E172" s="34">
        <f t="shared" ref="E172:E177" si="10">-IPMT($F$167,C172,$F$168,$F$166,0,0)</f>
        <v>826.41905954756703</v>
      </c>
      <c r="F172" s="34">
        <f t="shared" ref="F172:F177" si="11">+D172+E172</f>
        <v>2344.4190592918294</v>
      </c>
      <c r="G172" s="34"/>
      <c r="H172" s="34"/>
      <c r="I172" s="241"/>
    </row>
    <row r="173" spans="1:45" ht="18" customHeight="1" x14ac:dyDescent="0.3">
      <c r="A173" s="3"/>
      <c r="B173" s="20"/>
      <c r="C173" s="34">
        <f>+C172+1</f>
        <v>2</v>
      </c>
      <c r="D173" s="34">
        <f t="shared" si="9"/>
        <v>1632.0458299426134</v>
      </c>
      <c r="E173" s="34">
        <f t="shared" si="10"/>
        <v>712.3732293492161</v>
      </c>
      <c r="F173" s="34">
        <f t="shared" si="11"/>
        <v>2344.4190592918294</v>
      </c>
      <c r="G173" s="34"/>
      <c r="H173" s="34"/>
      <c r="I173" s="241"/>
    </row>
    <row r="174" spans="1:45" ht="18" customHeight="1" x14ac:dyDescent="0.3">
      <c r="A174" s="3"/>
      <c r="B174" s="20"/>
      <c r="C174" s="34">
        <f>+C173+1</f>
        <v>3</v>
      </c>
      <c r="D174" s="34">
        <f t="shared" si="9"/>
        <v>1754.6598099353139</v>
      </c>
      <c r="E174" s="34">
        <f t="shared" si="10"/>
        <v>589.75924935651574</v>
      </c>
      <c r="F174" s="34">
        <f t="shared" si="11"/>
        <v>2344.4190592918294</v>
      </c>
      <c r="G174" s="34"/>
      <c r="H174" s="34"/>
      <c r="I174" s="241"/>
    </row>
    <row r="175" spans="1:45" ht="18" customHeight="1" x14ac:dyDescent="0.3">
      <c r="A175" s="3"/>
      <c r="B175" s="20"/>
      <c r="C175" s="34">
        <f>+C174+1</f>
        <v>4</v>
      </c>
      <c r="D175" s="34">
        <f t="shared" si="9"/>
        <v>1886.4856562946461</v>
      </c>
      <c r="E175" s="34">
        <f t="shared" si="10"/>
        <v>457.93340299718352</v>
      </c>
      <c r="F175" s="34">
        <f t="shared" si="11"/>
        <v>2344.4190592918294</v>
      </c>
      <c r="G175" s="34"/>
      <c r="H175" s="34"/>
      <c r="I175" s="241"/>
    </row>
    <row r="176" spans="1:45" ht="18" customHeight="1" x14ac:dyDescent="0.3">
      <c r="A176" s="3"/>
      <c r="B176" s="20"/>
      <c r="C176" s="34">
        <f>+C175+1</f>
        <v>5</v>
      </c>
      <c r="D176" s="34">
        <f t="shared" si="9"/>
        <v>2028.2154473787368</v>
      </c>
      <c r="E176" s="34">
        <f t="shared" si="10"/>
        <v>316.20361191309286</v>
      </c>
      <c r="F176" s="34">
        <f t="shared" si="11"/>
        <v>2344.4190592918299</v>
      </c>
      <c r="G176" s="34"/>
      <c r="H176" s="34"/>
      <c r="I176" s="241"/>
      <c r="AN176" s="42"/>
      <c r="AO176" s="42"/>
      <c r="AP176" s="42"/>
      <c r="AQ176" s="42"/>
      <c r="AR176" s="42"/>
      <c r="AS176" s="42"/>
    </row>
    <row r="177" spans="1:46" ht="18" customHeight="1" x14ac:dyDescent="0.3">
      <c r="A177" s="3"/>
      <c r="B177" s="20"/>
      <c r="C177" s="34">
        <f>+C176+1</f>
        <v>6</v>
      </c>
      <c r="D177" s="34">
        <f t="shared" si="9"/>
        <v>2180.593256704426</v>
      </c>
      <c r="E177" s="34">
        <f t="shared" si="10"/>
        <v>163.82580258740347</v>
      </c>
      <c r="F177" s="34">
        <f t="shared" si="11"/>
        <v>2344.4190592918294</v>
      </c>
      <c r="G177" s="34"/>
      <c r="H177" s="34"/>
      <c r="I177" s="241"/>
      <c r="AN177" s="42"/>
      <c r="AO177" s="42"/>
      <c r="AP177" s="42"/>
      <c r="AQ177" s="42"/>
      <c r="AR177" s="42"/>
      <c r="AS177" s="42"/>
    </row>
    <row r="178" spans="1:46" ht="18" customHeight="1" x14ac:dyDescent="0.3">
      <c r="A178" s="3"/>
      <c r="B178" s="20"/>
      <c r="C178" s="34"/>
      <c r="D178" s="46">
        <f>SUM(D172:D177)</f>
        <v>10999.999999999998</v>
      </c>
      <c r="E178" s="46">
        <f>SUM(E172:E177)</f>
        <v>3066.5143557509791</v>
      </c>
      <c r="F178" s="46">
        <f>SUM(F172:F177)</f>
        <v>14066.514355750976</v>
      </c>
      <c r="G178" s="34"/>
      <c r="H178" s="34"/>
      <c r="I178" s="241"/>
      <c r="AN178" s="42"/>
      <c r="AO178" s="42"/>
      <c r="AP178" s="42"/>
      <c r="AQ178" s="42"/>
      <c r="AR178" s="42"/>
      <c r="AS178" s="42"/>
      <c r="AT178" s="42"/>
    </row>
    <row r="179" spans="1:46" ht="18" customHeight="1" x14ac:dyDescent="0.3">
      <c r="A179" s="3"/>
      <c r="B179" s="20"/>
      <c r="C179" s="26" t="s">
        <v>893</v>
      </c>
      <c r="D179" s="3"/>
      <c r="E179" s="3"/>
      <c r="F179" s="3"/>
      <c r="G179" s="20"/>
      <c r="H179" s="3"/>
      <c r="J179"/>
      <c r="AN179" s="42"/>
      <c r="AO179" s="42"/>
      <c r="AP179" s="42"/>
      <c r="AQ179" s="42"/>
      <c r="AR179" s="42"/>
      <c r="AS179" s="42"/>
      <c r="AT179" s="42"/>
    </row>
    <row r="180" spans="1:46" s="42" customFormat="1" ht="18" customHeight="1" x14ac:dyDescent="0.3">
      <c r="A180" s="20"/>
      <c r="B180" s="20"/>
      <c r="C180" s="1122" t="s">
        <v>620</v>
      </c>
      <c r="D180" s="1122" t="s">
        <v>631</v>
      </c>
      <c r="E180" s="1122" t="s">
        <v>26</v>
      </c>
      <c r="F180" s="1122" t="s">
        <v>621</v>
      </c>
      <c r="G180" s="20"/>
      <c r="H180" s="20"/>
      <c r="AF180"/>
      <c r="AG180"/>
      <c r="AH180"/>
      <c r="AI180"/>
      <c r="AJ180"/>
      <c r="AK180"/>
      <c r="AL180"/>
    </row>
    <row r="181" spans="1:46" s="42" customFormat="1" ht="18" customHeight="1" x14ac:dyDescent="0.3">
      <c r="A181" s="20"/>
      <c r="B181" s="20"/>
      <c r="C181" s="19" t="s">
        <v>387</v>
      </c>
      <c r="D181" s="19" t="s">
        <v>387</v>
      </c>
      <c r="E181" s="19" t="s">
        <v>387</v>
      </c>
      <c r="F181" s="19" t="s">
        <v>387</v>
      </c>
      <c r="G181" s="20"/>
      <c r="H181" s="20"/>
      <c r="AF181"/>
      <c r="AG181"/>
      <c r="AH181"/>
      <c r="AI181"/>
      <c r="AJ181"/>
      <c r="AK181"/>
      <c r="AL181"/>
    </row>
    <row r="182" spans="1:46" s="42" customFormat="1" ht="18" customHeight="1" x14ac:dyDescent="0.3">
      <c r="A182" s="20"/>
      <c r="B182" s="34">
        <v>1</v>
      </c>
      <c r="C182" s="75">
        <f>+F166</f>
        <v>11000</v>
      </c>
      <c r="D182" s="75">
        <f t="shared" ref="D182:D187" si="12">+C182*$F$167</f>
        <v>826.41905954756703</v>
      </c>
      <c r="E182" s="75">
        <f t="shared" ref="E182:E187" si="13">-F172</f>
        <v>-2344.4190592918294</v>
      </c>
      <c r="F182" s="75">
        <f t="shared" ref="F182:F187" si="14">SUM(C182:E182)</f>
        <v>9482.0000002557372</v>
      </c>
      <c r="G182" s="20"/>
      <c r="H182" s="20"/>
      <c r="AF182"/>
      <c r="AG182"/>
      <c r="AH182"/>
      <c r="AI182"/>
      <c r="AJ182"/>
      <c r="AK182"/>
      <c r="AL182"/>
    </row>
    <row r="183" spans="1:46" s="42" customFormat="1" ht="18" customHeight="1" x14ac:dyDescent="0.3">
      <c r="A183" s="20"/>
      <c r="B183" s="34">
        <f>+B182+1</f>
        <v>2</v>
      </c>
      <c r="C183" s="75">
        <f>+F182</f>
        <v>9482.0000002557372</v>
      </c>
      <c r="D183" s="75">
        <f t="shared" si="12"/>
        <v>712.3732293492161</v>
      </c>
      <c r="E183" s="75">
        <f t="shared" si="13"/>
        <v>-2344.4190592918294</v>
      </c>
      <c r="F183" s="75">
        <f t="shared" si="14"/>
        <v>7849.9541703131235</v>
      </c>
      <c r="G183" s="20"/>
      <c r="H183" s="20"/>
      <c r="AF183"/>
      <c r="AG183"/>
      <c r="AH183"/>
      <c r="AI183"/>
      <c r="AJ183"/>
      <c r="AK183"/>
      <c r="AL183"/>
    </row>
    <row r="184" spans="1:46" s="42" customFormat="1" ht="18" customHeight="1" x14ac:dyDescent="0.3">
      <c r="A184" s="20"/>
      <c r="B184" s="34">
        <f t="shared" ref="B184:B187" si="15">+B183+1</f>
        <v>3</v>
      </c>
      <c r="C184" s="1169">
        <f t="shared" ref="C184:C187" si="16">+F183</f>
        <v>7849.9541703131235</v>
      </c>
      <c r="D184" s="1169">
        <f t="shared" si="12"/>
        <v>589.75924935651585</v>
      </c>
      <c r="E184" s="1169">
        <f t="shared" si="13"/>
        <v>-2344.4190592918294</v>
      </c>
      <c r="F184" s="1169">
        <f t="shared" si="14"/>
        <v>6095.2943603778094</v>
      </c>
      <c r="G184" s="20"/>
      <c r="H184" s="20"/>
    </row>
    <row r="185" spans="1:46" s="42" customFormat="1" ht="18" customHeight="1" x14ac:dyDescent="0.3">
      <c r="A185" s="20"/>
      <c r="B185" s="34">
        <f t="shared" si="15"/>
        <v>4</v>
      </c>
      <c r="C185" s="75">
        <f t="shared" si="16"/>
        <v>6095.2943603778094</v>
      </c>
      <c r="D185" s="75">
        <f t="shared" si="12"/>
        <v>457.93340299718352</v>
      </c>
      <c r="E185" s="75">
        <f t="shared" si="13"/>
        <v>-2344.4190592918294</v>
      </c>
      <c r="F185" s="75">
        <f t="shared" si="14"/>
        <v>4208.8087040831633</v>
      </c>
      <c r="G185" s="20"/>
      <c r="H185" s="20"/>
      <c r="AN185"/>
      <c r="AO185"/>
      <c r="AP185"/>
      <c r="AQ185"/>
      <c r="AR185"/>
      <c r="AS185"/>
    </row>
    <row r="186" spans="1:46" s="42" customFormat="1" ht="18" customHeight="1" x14ac:dyDescent="0.3">
      <c r="A186" s="20"/>
      <c r="B186" s="34">
        <f t="shared" si="15"/>
        <v>5</v>
      </c>
      <c r="C186" s="75">
        <f t="shared" si="16"/>
        <v>4208.8087040831633</v>
      </c>
      <c r="D186" s="75">
        <f t="shared" si="12"/>
        <v>316.20361191309297</v>
      </c>
      <c r="E186" s="75">
        <f t="shared" si="13"/>
        <v>-2344.4190592918299</v>
      </c>
      <c r="F186" s="75">
        <f t="shared" si="14"/>
        <v>2180.593256704426</v>
      </c>
      <c r="G186" s="20"/>
      <c r="H186" s="20"/>
      <c r="AN186"/>
      <c r="AO186"/>
      <c r="AP186"/>
      <c r="AQ186"/>
      <c r="AR186"/>
      <c r="AS186"/>
    </row>
    <row r="187" spans="1:46" s="42" customFormat="1" ht="18" customHeight="1" x14ac:dyDescent="0.3">
      <c r="A187" s="20"/>
      <c r="B187" s="34">
        <f t="shared" si="15"/>
        <v>6</v>
      </c>
      <c r="C187" s="75">
        <f t="shared" si="16"/>
        <v>2180.593256704426</v>
      </c>
      <c r="D187" s="75">
        <f t="shared" si="12"/>
        <v>163.82580258740347</v>
      </c>
      <c r="E187" s="75">
        <f t="shared" si="13"/>
        <v>-2344.4190592918294</v>
      </c>
      <c r="F187" s="75">
        <f t="shared" si="14"/>
        <v>0</v>
      </c>
      <c r="G187" s="20"/>
      <c r="H187" s="20"/>
      <c r="AN187"/>
      <c r="AO187"/>
      <c r="AP187"/>
      <c r="AQ187"/>
      <c r="AR187"/>
      <c r="AS187"/>
      <c r="AT187"/>
    </row>
    <row r="188" spans="1:46" s="42" customFormat="1" ht="18" customHeight="1" x14ac:dyDescent="0.3">
      <c r="A188" s="20"/>
      <c r="B188" s="20"/>
      <c r="C188" s="34"/>
      <c r="D188" s="20"/>
      <c r="E188" s="20"/>
      <c r="F188" s="20"/>
      <c r="G188" s="20"/>
      <c r="H188" s="20"/>
      <c r="AN188"/>
      <c r="AO188"/>
      <c r="AP188"/>
      <c r="AQ188"/>
      <c r="AR188"/>
      <c r="AS188"/>
      <c r="AT188"/>
    </row>
    <row r="189" spans="1:46" ht="18" customHeight="1" x14ac:dyDescent="0.3">
      <c r="A189" s="3"/>
      <c r="B189" s="16" t="s">
        <v>894</v>
      </c>
      <c r="C189" s="16"/>
      <c r="D189" s="46"/>
      <c r="E189" s="46"/>
      <c r="F189" s="46"/>
      <c r="G189" s="19">
        <v>2020</v>
      </c>
      <c r="H189" s="34"/>
      <c r="I189" s="42"/>
      <c r="AF189" s="42"/>
      <c r="AG189" s="42"/>
      <c r="AH189" s="42"/>
      <c r="AI189" s="42"/>
      <c r="AJ189" s="42"/>
      <c r="AK189" s="42"/>
      <c r="AL189" s="42"/>
    </row>
    <row r="190" spans="1:46" ht="18" customHeight="1" x14ac:dyDescent="0.3">
      <c r="A190" s="3"/>
      <c r="B190" s="16"/>
      <c r="C190" s="16"/>
      <c r="D190" s="46"/>
      <c r="E190" s="46"/>
      <c r="F190" s="46"/>
      <c r="G190" s="19" t="s">
        <v>387</v>
      </c>
      <c r="H190" s="34"/>
      <c r="I190" s="42"/>
      <c r="AF190" s="42"/>
      <c r="AG190" s="42"/>
      <c r="AH190" s="42"/>
      <c r="AI190" s="42"/>
      <c r="AJ190" s="42"/>
      <c r="AK190" s="42"/>
      <c r="AL190" s="42"/>
    </row>
    <row r="191" spans="1:46" ht="18" customHeight="1" x14ac:dyDescent="0.3">
      <c r="A191" s="3"/>
      <c r="B191" s="26" t="s">
        <v>30</v>
      </c>
      <c r="C191" s="26"/>
      <c r="D191" s="34"/>
      <c r="E191" s="34"/>
      <c r="F191" s="34"/>
      <c r="G191" s="37">
        <f>+C184</f>
        <v>7849.9541703131235</v>
      </c>
      <c r="H191" s="34"/>
      <c r="I191" s="42"/>
      <c r="AF191" s="42"/>
      <c r="AG191" s="42"/>
      <c r="AH191" s="42"/>
      <c r="AI191" s="42"/>
      <c r="AJ191" s="42"/>
      <c r="AK191" s="42"/>
      <c r="AL191" s="42"/>
      <c r="AN191" s="42"/>
      <c r="AO191" s="42"/>
      <c r="AP191" s="42"/>
      <c r="AQ191" s="42"/>
      <c r="AR191" s="42"/>
      <c r="AS191" s="42"/>
    </row>
    <row r="192" spans="1:46" ht="18" customHeight="1" x14ac:dyDescent="0.3">
      <c r="A192" s="3"/>
      <c r="B192" s="20" t="s">
        <v>46</v>
      </c>
      <c r="C192" s="20"/>
      <c r="D192" s="34"/>
      <c r="E192" s="34"/>
      <c r="F192" s="34"/>
      <c r="G192" s="34">
        <f>+D184</f>
        <v>589.75924935651585</v>
      </c>
      <c r="H192" s="34"/>
      <c r="I192" s="42"/>
      <c r="AF192" s="42"/>
      <c r="AG192" s="42"/>
      <c r="AH192" s="42"/>
      <c r="AI192" s="42"/>
      <c r="AJ192" s="42"/>
      <c r="AK192" s="42"/>
      <c r="AL192" s="42"/>
    </row>
    <row r="193" spans="1:46" ht="18" customHeight="1" x14ac:dyDescent="0.3">
      <c r="A193" s="3"/>
      <c r="B193" s="20" t="s">
        <v>644</v>
      </c>
      <c r="C193" s="20"/>
      <c r="D193" s="34"/>
      <c r="E193" s="34"/>
      <c r="F193" s="34"/>
      <c r="G193" s="32">
        <f>+E184</f>
        <v>-2344.4190592918294</v>
      </c>
      <c r="H193" s="34"/>
      <c r="I193" s="42"/>
      <c r="AT193" s="42"/>
    </row>
    <row r="194" spans="1:46" ht="18" customHeight="1" x14ac:dyDescent="0.3">
      <c r="A194" s="3"/>
      <c r="B194" s="26" t="s">
        <v>32</v>
      </c>
      <c r="C194" s="26"/>
      <c r="D194" s="34"/>
      <c r="E194" s="34"/>
      <c r="F194" s="34"/>
      <c r="G194" s="38">
        <f>SUM(G191:G193)</f>
        <v>6095.2943603778094</v>
      </c>
      <c r="H194" s="34"/>
      <c r="I194" s="42"/>
    </row>
    <row r="195" spans="1:46" s="42" customFormat="1" ht="18" customHeight="1" x14ac:dyDescent="0.3">
      <c r="A195" s="20"/>
      <c r="B195" s="20"/>
      <c r="C195" s="20"/>
      <c r="D195" s="20"/>
      <c r="E195" s="20"/>
      <c r="F195" s="20"/>
      <c r="G195" s="20"/>
      <c r="H195" s="20"/>
      <c r="AF195"/>
      <c r="AG195"/>
      <c r="AH195"/>
      <c r="AI195"/>
      <c r="AJ195"/>
      <c r="AK195"/>
      <c r="AL195"/>
      <c r="AN195"/>
      <c r="AO195"/>
      <c r="AP195"/>
      <c r="AQ195"/>
      <c r="AR195"/>
      <c r="AS195"/>
      <c r="AT195"/>
    </row>
    <row r="196" spans="1:46" ht="18" customHeight="1" x14ac:dyDescent="0.3">
      <c r="A196" s="3"/>
      <c r="B196" s="16" t="s">
        <v>1040</v>
      </c>
      <c r="C196" s="16"/>
      <c r="D196" s="46"/>
      <c r="E196" s="46"/>
      <c r="F196" s="19">
        <v>2020</v>
      </c>
      <c r="G196" s="19">
        <v>2019</v>
      </c>
      <c r="H196" s="34"/>
      <c r="I196" s="42"/>
    </row>
    <row r="197" spans="1:46" ht="18" customHeight="1" x14ac:dyDescent="0.3">
      <c r="A197" s="3"/>
      <c r="B197" s="16"/>
      <c r="C197" s="16"/>
      <c r="D197" s="46"/>
      <c r="E197" s="46"/>
      <c r="F197" s="19" t="s">
        <v>387</v>
      </c>
      <c r="G197" s="19" t="s">
        <v>387</v>
      </c>
      <c r="H197" s="34"/>
      <c r="I197" s="42"/>
      <c r="AN197" s="42"/>
      <c r="AO197" s="42"/>
      <c r="AP197" s="42"/>
      <c r="AQ197" s="42"/>
      <c r="AR197" s="42"/>
      <c r="AS197" s="42"/>
    </row>
    <row r="198" spans="1:46" ht="18" customHeight="1" x14ac:dyDescent="0.3">
      <c r="A198" s="3"/>
      <c r="B198" s="20" t="s">
        <v>72</v>
      </c>
      <c r="C198" s="26"/>
      <c r="D198" s="34"/>
      <c r="E198" s="34"/>
      <c r="F198" s="34">
        <f>+D175</f>
        <v>1886.4856562946461</v>
      </c>
      <c r="G198" s="34">
        <f>+D174</f>
        <v>1754.6598099353139</v>
      </c>
      <c r="H198" s="34"/>
      <c r="I198" s="42"/>
    </row>
    <row r="199" spans="1:46" ht="18" customHeight="1" x14ac:dyDescent="0.3">
      <c r="A199" s="3"/>
      <c r="B199" s="20" t="s">
        <v>73</v>
      </c>
      <c r="C199" s="20"/>
      <c r="D199" s="34"/>
      <c r="E199" s="34"/>
      <c r="F199" s="34">
        <f>(+D176+D177)</f>
        <v>4208.8087040831633</v>
      </c>
      <c r="G199" s="34">
        <f>(+D175+D176+D177)</f>
        <v>6095.2943603778094</v>
      </c>
      <c r="H199" s="34"/>
      <c r="I199" s="42"/>
      <c r="AF199" s="42"/>
      <c r="AG199" s="42"/>
      <c r="AH199" s="42"/>
      <c r="AI199" s="42"/>
      <c r="AJ199" s="42"/>
      <c r="AK199" s="42"/>
      <c r="AL199" s="42"/>
      <c r="AT199" s="42"/>
    </row>
    <row r="200" spans="1:46" ht="18" customHeight="1" x14ac:dyDescent="0.3">
      <c r="A200" s="3"/>
      <c r="B200" s="26"/>
      <c r="C200" s="26"/>
      <c r="D200" s="34"/>
      <c r="E200" s="34"/>
      <c r="F200" s="38">
        <f>SUM(F198:F199)</f>
        <v>6095.2943603778094</v>
      </c>
      <c r="G200" s="38">
        <f>SUM(G198:G199)</f>
        <v>7849.9541703131235</v>
      </c>
      <c r="H200" s="34"/>
      <c r="I200" s="42"/>
    </row>
    <row r="201" spans="1:46" s="42" customFormat="1" ht="18" customHeight="1" x14ac:dyDescent="0.3">
      <c r="A201" s="20"/>
      <c r="B201" s="20"/>
      <c r="C201" s="20"/>
      <c r="D201" s="20"/>
      <c r="E201" s="20"/>
      <c r="F201" s="20"/>
      <c r="G201" s="20"/>
      <c r="H201" s="34"/>
      <c r="AF201"/>
      <c r="AG201"/>
      <c r="AH201"/>
      <c r="AI201"/>
      <c r="AJ201"/>
      <c r="AK201"/>
      <c r="AL201"/>
      <c r="AN201"/>
      <c r="AO201"/>
      <c r="AP201"/>
      <c r="AQ201"/>
      <c r="AR201"/>
      <c r="AS201"/>
      <c r="AT201"/>
    </row>
    <row r="202" spans="1:46" ht="18" customHeight="1" x14ac:dyDescent="0.3">
      <c r="A202" s="3"/>
      <c r="B202" s="16" t="s">
        <v>109</v>
      </c>
      <c r="C202" s="16"/>
      <c r="D202" s="16"/>
      <c r="E202" s="16"/>
      <c r="F202" s="19" t="s">
        <v>110</v>
      </c>
      <c r="G202" s="19" t="s">
        <v>111</v>
      </c>
      <c r="H202" s="34"/>
      <c r="I202" s="42"/>
    </row>
    <row r="203" spans="1:46" ht="18" customHeight="1" x14ac:dyDescent="0.3">
      <c r="A203" s="3"/>
      <c r="B203" s="16"/>
      <c r="C203" s="16"/>
      <c r="D203" s="16"/>
      <c r="E203" s="16"/>
      <c r="F203" s="19" t="s">
        <v>387</v>
      </c>
      <c r="G203" s="19" t="s">
        <v>387</v>
      </c>
      <c r="H203" s="34"/>
      <c r="I203" s="42"/>
    </row>
    <row r="204" spans="1:46" ht="18" customHeight="1" x14ac:dyDescent="0.3">
      <c r="A204" s="1170"/>
      <c r="B204" s="26" t="s">
        <v>117</v>
      </c>
      <c r="C204" s="26"/>
      <c r="D204" s="26"/>
      <c r="E204" s="26"/>
      <c r="F204" s="35"/>
      <c r="G204" s="35"/>
      <c r="H204" s="34"/>
      <c r="I204" s="42"/>
    </row>
    <row r="205" spans="1:46" ht="18" customHeight="1" x14ac:dyDescent="0.3">
      <c r="A205" s="1170" t="s">
        <v>1049</v>
      </c>
      <c r="B205" s="20" t="s">
        <v>90</v>
      </c>
      <c r="C205" s="20"/>
      <c r="D205" s="20"/>
      <c r="E205" s="26" t="s">
        <v>112</v>
      </c>
      <c r="F205" s="34">
        <f>F95</f>
        <v>100</v>
      </c>
      <c r="G205" s="34"/>
      <c r="H205" s="34"/>
      <c r="I205" s="42"/>
      <c r="AF205" s="42"/>
      <c r="AG205" s="42"/>
      <c r="AH205" s="42"/>
      <c r="AI205" s="42"/>
      <c r="AJ205" s="42"/>
      <c r="AK205" s="42"/>
      <c r="AL205" s="42"/>
    </row>
    <row r="206" spans="1:46" ht="18" customHeight="1" x14ac:dyDescent="0.3">
      <c r="A206" s="1170" t="s">
        <v>1065</v>
      </c>
      <c r="B206" s="20" t="s">
        <v>85</v>
      </c>
      <c r="C206" s="20"/>
      <c r="D206" s="20"/>
      <c r="E206" s="26" t="s">
        <v>113</v>
      </c>
      <c r="F206" s="34"/>
      <c r="G206" s="34">
        <f>+F205</f>
        <v>100</v>
      </c>
      <c r="H206" s="34"/>
      <c r="I206" s="42"/>
      <c r="J206" s="1168"/>
    </row>
    <row r="207" spans="1:46" ht="18" customHeight="1" x14ac:dyDescent="0.3">
      <c r="A207" s="1171"/>
      <c r="B207" s="26" t="s">
        <v>118</v>
      </c>
      <c r="C207" s="26"/>
      <c r="D207" s="26"/>
      <c r="E207" s="26"/>
      <c r="F207" s="35"/>
      <c r="G207" s="35"/>
      <c r="H207" s="34"/>
      <c r="I207" s="42"/>
    </row>
    <row r="208" spans="1:46" ht="18" customHeight="1" x14ac:dyDescent="0.3">
      <c r="A208" s="1170" t="s">
        <v>1042</v>
      </c>
      <c r="B208" s="20" t="s">
        <v>912</v>
      </c>
      <c r="C208" s="20"/>
      <c r="D208" s="20"/>
      <c r="E208" s="26" t="s">
        <v>112</v>
      </c>
      <c r="F208" s="34">
        <f>+E83</f>
        <v>900</v>
      </c>
      <c r="G208" s="34"/>
      <c r="H208" s="34"/>
      <c r="I208" s="42"/>
    </row>
    <row r="209" spans="1:10" ht="18" customHeight="1" x14ac:dyDescent="0.3">
      <c r="A209" s="1170" t="s">
        <v>1062</v>
      </c>
      <c r="B209" s="20" t="s">
        <v>10</v>
      </c>
      <c r="C209" s="20"/>
      <c r="D209" s="20"/>
      <c r="E209" s="26" t="s">
        <v>113</v>
      </c>
      <c r="F209" s="34"/>
      <c r="G209" s="34">
        <f>+F208</f>
        <v>900</v>
      </c>
      <c r="H209" s="34"/>
      <c r="I209" s="42"/>
      <c r="J209" s="1168"/>
    </row>
    <row r="210" spans="1:10" ht="18" customHeight="1" x14ac:dyDescent="0.3">
      <c r="A210" s="1171"/>
      <c r="B210" s="26" t="s">
        <v>119</v>
      </c>
      <c r="C210" s="26"/>
      <c r="D210" s="26"/>
      <c r="E210" s="26"/>
      <c r="F210" s="34"/>
      <c r="G210" s="34"/>
      <c r="H210" s="34"/>
      <c r="I210" s="42"/>
    </row>
    <row r="211" spans="1:10" ht="18" customHeight="1" x14ac:dyDescent="0.3">
      <c r="A211" s="1170" t="s">
        <v>1063</v>
      </c>
      <c r="B211" s="20" t="s">
        <v>176</v>
      </c>
      <c r="C211" s="20"/>
      <c r="D211" s="20"/>
      <c r="E211" s="26" t="s">
        <v>113</v>
      </c>
      <c r="F211" s="75">
        <f>+G212</f>
        <v>2500</v>
      </c>
      <c r="G211" s="20"/>
      <c r="H211" s="34"/>
      <c r="I211" s="42"/>
      <c r="J211" s="1168"/>
    </row>
    <row r="212" spans="1:10" ht="18" customHeight="1" x14ac:dyDescent="0.3">
      <c r="A212" s="1170" t="s">
        <v>1043</v>
      </c>
      <c r="B212" s="20" t="s">
        <v>172</v>
      </c>
      <c r="C212" s="20"/>
      <c r="D212" s="20"/>
      <c r="E212" s="26" t="s">
        <v>112</v>
      </c>
      <c r="F212" s="34"/>
      <c r="G212" s="34">
        <f>G114</f>
        <v>2500</v>
      </c>
      <c r="H212" s="34"/>
      <c r="I212" s="42"/>
    </row>
    <row r="213" spans="1:10" ht="18" customHeight="1" x14ac:dyDescent="0.3">
      <c r="A213" s="1171"/>
      <c r="B213" s="26" t="s">
        <v>120</v>
      </c>
      <c r="C213" s="26"/>
      <c r="D213" s="26"/>
      <c r="E213" s="26"/>
      <c r="F213" s="34"/>
      <c r="G213" s="34"/>
      <c r="H213" s="34"/>
      <c r="I213" s="42"/>
    </row>
    <row r="214" spans="1:10" ht="18" customHeight="1" x14ac:dyDescent="0.3">
      <c r="A214" s="1170" t="s">
        <v>1047</v>
      </c>
      <c r="B214" s="20" t="s">
        <v>171</v>
      </c>
      <c r="C214" s="20"/>
      <c r="D214" s="20"/>
      <c r="E214" s="26" t="s">
        <v>112</v>
      </c>
      <c r="F214" s="75">
        <f>-G125</f>
        <v>200</v>
      </c>
      <c r="G214" s="20"/>
      <c r="H214" s="34"/>
      <c r="I214" s="42"/>
    </row>
    <row r="215" spans="1:10" ht="18" customHeight="1" x14ac:dyDescent="0.3">
      <c r="A215" s="1170" t="s">
        <v>1065</v>
      </c>
      <c r="B215" s="20" t="s">
        <v>85</v>
      </c>
      <c r="C215" s="20"/>
      <c r="D215" s="20"/>
      <c r="E215" s="26" t="s">
        <v>113</v>
      </c>
      <c r="F215" s="26"/>
      <c r="G215" s="34">
        <f>+F214</f>
        <v>200</v>
      </c>
      <c r="H215" s="34"/>
      <c r="I215" s="42"/>
      <c r="J215" s="1168"/>
    </row>
    <row r="216" spans="1:10" ht="18" customHeight="1" x14ac:dyDescent="0.3">
      <c r="A216" s="1171"/>
      <c r="B216" s="26" t="s">
        <v>208</v>
      </c>
      <c r="C216" s="26"/>
      <c r="D216" s="26"/>
      <c r="E216" s="26"/>
      <c r="F216" s="26"/>
      <c r="G216" s="34"/>
      <c r="H216" s="34"/>
      <c r="I216" s="42"/>
    </row>
    <row r="217" spans="1:10" ht="18" customHeight="1" x14ac:dyDescent="0.3">
      <c r="A217" s="1170" t="s">
        <v>1045</v>
      </c>
      <c r="B217" s="20" t="s">
        <v>170</v>
      </c>
      <c r="C217" s="20"/>
      <c r="D217" s="20"/>
      <c r="E217" s="26" t="s">
        <v>112</v>
      </c>
      <c r="F217" s="75">
        <f>SUM(G218:G220)</f>
        <v>2000</v>
      </c>
      <c r="G217" s="20"/>
      <c r="H217" s="34"/>
      <c r="I217" s="42"/>
    </row>
    <row r="218" spans="1:10" ht="18" customHeight="1" x14ac:dyDescent="0.3">
      <c r="A218" s="1170" t="s">
        <v>1062</v>
      </c>
      <c r="B218" s="20" t="s">
        <v>10</v>
      </c>
      <c r="C218" s="20"/>
      <c r="D218" s="20"/>
      <c r="E218" s="26" t="s">
        <v>113</v>
      </c>
      <c r="F218" s="26"/>
      <c r="G218" s="75">
        <f>+E78</f>
        <v>1500</v>
      </c>
      <c r="H218" s="34"/>
      <c r="I218" s="42"/>
      <c r="J218" s="1168"/>
    </row>
    <row r="219" spans="1:10" ht="18" customHeight="1" x14ac:dyDescent="0.3">
      <c r="A219" s="1170" t="s">
        <v>1064</v>
      </c>
      <c r="B219" s="20" t="s">
        <v>86</v>
      </c>
      <c r="C219" s="20"/>
      <c r="D219" s="20"/>
      <c r="E219" s="26" t="s">
        <v>113</v>
      </c>
      <c r="F219" s="26"/>
      <c r="G219" s="75">
        <f>+F78</f>
        <v>200</v>
      </c>
      <c r="H219" s="34"/>
      <c r="I219" s="42"/>
      <c r="J219" s="1168"/>
    </row>
    <row r="220" spans="1:10" ht="18" customHeight="1" x14ac:dyDescent="0.3">
      <c r="A220" s="1170" t="s">
        <v>1065</v>
      </c>
      <c r="B220" s="20" t="s">
        <v>85</v>
      </c>
      <c r="C220" s="20"/>
      <c r="D220" s="20"/>
      <c r="E220" s="26" t="s">
        <v>113</v>
      </c>
      <c r="F220" s="26"/>
      <c r="G220" s="75">
        <f>+G78</f>
        <v>300</v>
      </c>
      <c r="H220" s="34"/>
      <c r="I220" s="42"/>
      <c r="J220" s="1168"/>
    </row>
    <row r="221" spans="1:10" ht="18" customHeight="1" x14ac:dyDescent="0.3">
      <c r="A221" s="1171"/>
      <c r="B221" s="26" t="s">
        <v>209</v>
      </c>
      <c r="C221" s="26"/>
      <c r="D221" s="26"/>
      <c r="E221" s="26"/>
      <c r="F221" s="35"/>
      <c r="G221" s="35"/>
      <c r="H221" s="34"/>
      <c r="I221" s="42"/>
    </row>
    <row r="222" spans="1:10" ht="18" customHeight="1" x14ac:dyDescent="0.3">
      <c r="A222" s="1170" t="s">
        <v>1067</v>
      </c>
      <c r="B222" s="20" t="s">
        <v>15</v>
      </c>
      <c r="C222" s="20"/>
      <c r="D222" s="20"/>
      <c r="E222" s="26" t="s">
        <v>113</v>
      </c>
      <c r="F222" s="34">
        <f>+G223</f>
        <v>400</v>
      </c>
      <c r="G222" s="34"/>
      <c r="H222" s="34"/>
      <c r="I222" s="42"/>
      <c r="J222" s="1168"/>
    </row>
    <row r="223" spans="1:10" ht="18" customHeight="1" x14ac:dyDescent="0.3">
      <c r="A223" s="1170" t="s">
        <v>1046</v>
      </c>
      <c r="B223" s="20" t="s">
        <v>114</v>
      </c>
      <c r="C223" s="20"/>
      <c r="D223" s="20"/>
      <c r="E223" s="26" t="s">
        <v>112</v>
      </c>
      <c r="F223" s="34"/>
      <c r="G223" s="34">
        <f>+F14-G14</f>
        <v>400</v>
      </c>
      <c r="H223" s="34"/>
      <c r="I223" s="42"/>
    </row>
    <row r="224" spans="1:10" ht="18" customHeight="1" x14ac:dyDescent="0.3">
      <c r="A224" s="1171"/>
      <c r="B224" s="26" t="s">
        <v>210</v>
      </c>
      <c r="C224" s="26"/>
      <c r="D224" s="26"/>
      <c r="E224" s="26"/>
      <c r="F224" s="35"/>
      <c r="G224" s="35"/>
      <c r="H224" s="34"/>
      <c r="I224" s="42"/>
    </row>
    <row r="225" spans="1:10" ht="18" customHeight="1" x14ac:dyDescent="0.3">
      <c r="A225" s="1170" t="s">
        <v>1054</v>
      </c>
      <c r="B225" s="20" t="s">
        <v>513</v>
      </c>
      <c r="C225" s="20"/>
      <c r="D225" s="20"/>
      <c r="E225" s="26" t="s">
        <v>112</v>
      </c>
      <c r="F225" s="75">
        <f>G159+G160</f>
        <v>100</v>
      </c>
      <c r="G225" s="26"/>
      <c r="H225" s="34"/>
      <c r="I225" s="42"/>
    </row>
    <row r="226" spans="1:10" ht="18" customHeight="1" x14ac:dyDescent="0.3">
      <c r="A226" s="1170" t="s">
        <v>1064</v>
      </c>
      <c r="B226" s="20" t="s">
        <v>86</v>
      </c>
      <c r="C226" s="20"/>
      <c r="D226" s="20"/>
      <c r="E226" s="26" t="s">
        <v>113</v>
      </c>
      <c r="F226" s="26"/>
      <c r="G226" s="75">
        <f>+F225</f>
        <v>100</v>
      </c>
      <c r="H226" s="34"/>
      <c r="I226" s="42"/>
      <c r="J226" s="1168"/>
    </row>
    <row r="227" spans="1:10" ht="18" customHeight="1" x14ac:dyDescent="0.3">
      <c r="A227" s="1171"/>
      <c r="B227" s="26" t="s">
        <v>211</v>
      </c>
      <c r="C227" s="26"/>
      <c r="D227" s="26"/>
      <c r="E227" s="26"/>
      <c r="F227" s="35"/>
      <c r="G227" s="35"/>
      <c r="H227" s="34"/>
      <c r="I227" s="42"/>
    </row>
    <row r="228" spans="1:10" ht="18" customHeight="1" x14ac:dyDescent="0.3">
      <c r="A228" s="1170" t="s">
        <v>1057</v>
      </c>
      <c r="B228" s="20" t="s">
        <v>186</v>
      </c>
      <c r="C228" s="20"/>
      <c r="D228" s="20"/>
      <c r="E228" s="26" t="s">
        <v>112</v>
      </c>
      <c r="F228" s="76">
        <f>+F25</f>
        <v>900</v>
      </c>
      <c r="G228" s="35"/>
      <c r="H228" s="34"/>
      <c r="I228" s="42"/>
    </row>
    <row r="229" spans="1:10" ht="18" customHeight="1" x14ac:dyDescent="0.3">
      <c r="A229" s="1170" t="s">
        <v>1059</v>
      </c>
      <c r="B229" s="20" t="s">
        <v>185</v>
      </c>
      <c r="C229" s="20"/>
      <c r="D229" s="20"/>
      <c r="E229" s="26" t="s">
        <v>112</v>
      </c>
      <c r="F229" s="75">
        <f>+F31</f>
        <v>2100</v>
      </c>
      <c r="G229" s="26"/>
      <c r="H229" s="34"/>
      <c r="I229" s="42"/>
    </row>
    <row r="230" spans="1:10" ht="18" customHeight="1" x14ac:dyDescent="0.3">
      <c r="A230" s="1170" t="s">
        <v>1045</v>
      </c>
      <c r="B230" s="20" t="s">
        <v>170</v>
      </c>
      <c r="C230" s="20"/>
      <c r="D230" s="20"/>
      <c r="E230" s="26" t="s">
        <v>112</v>
      </c>
      <c r="F230" s="75"/>
      <c r="G230" s="75">
        <f>+F228+F229</f>
        <v>3000</v>
      </c>
      <c r="H230" s="34"/>
      <c r="I230" s="42"/>
    </row>
    <row r="231" spans="1:10" ht="18" customHeight="1" x14ac:dyDescent="0.3">
      <c r="A231" s="1171"/>
      <c r="B231" s="26" t="s">
        <v>212</v>
      </c>
      <c r="C231" s="26"/>
      <c r="D231" s="26"/>
      <c r="E231" s="26"/>
      <c r="F231" s="75"/>
      <c r="G231" s="75"/>
      <c r="H231" s="34"/>
      <c r="I231" s="42"/>
    </row>
    <row r="232" spans="1:10" ht="18" customHeight="1" x14ac:dyDescent="0.3">
      <c r="A232" s="1170" t="s">
        <v>1058</v>
      </c>
      <c r="B232" s="20" t="s">
        <v>7</v>
      </c>
      <c r="C232" s="20"/>
      <c r="D232" s="20"/>
      <c r="E232" s="26" t="s">
        <v>112</v>
      </c>
      <c r="F232" s="75">
        <f>D64</f>
        <v>1600</v>
      </c>
      <c r="G232" s="75"/>
      <c r="H232" s="34"/>
      <c r="I232" s="42"/>
    </row>
    <row r="233" spans="1:10" ht="18" customHeight="1" x14ac:dyDescent="0.3">
      <c r="A233" s="1170" t="s">
        <v>1045</v>
      </c>
      <c r="B233" s="20" t="s">
        <v>170</v>
      </c>
      <c r="C233" s="20"/>
      <c r="D233" s="20"/>
      <c r="E233" s="26" t="s">
        <v>112</v>
      </c>
      <c r="F233" s="75"/>
      <c r="G233" s="75">
        <f>+F232</f>
        <v>1600</v>
      </c>
      <c r="H233" s="34"/>
      <c r="I233" s="42"/>
    </row>
    <row r="234" spans="1:10" ht="18" customHeight="1" x14ac:dyDescent="0.3">
      <c r="A234" s="1171"/>
      <c r="B234" s="26" t="s">
        <v>213</v>
      </c>
      <c r="C234" s="26"/>
      <c r="D234" s="26"/>
      <c r="E234" s="26"/>
      <c r="F234" s="75"/>
      <c r="G234" s="75"/>
      <c r="H234" s="34"/>
      <c r="I234" s="42"/>
    </row>
    <row r="235" spans="1:10" ht="18" customHeight="1" x14ac:dyDescent="0.3">
      <c r="A235" s="1170" t="s">
        <v>1058</v>
      </c>
      <c r="B235" s="20" t="s">
        <v>7</v>
      </c>
      <c r="C235" s="20"/>
      <c r="D235" s="20"/>
      <c r="E235" s="26" t="s">
        <v>112</v>
      </c>
      <c r="F235" s="75">
        <f>D63</f>
        <v>900</v>
      </c>
      <c r="G235" s="75"/>
      <c r="H235" s="34"/>
      <c r="I235" s="42"/>
    </row>
    <row r="236" spans="1:10" ht="18" customHeight="1" x14ac:dyDescent="0.3">
      <c r="A236" s="1170" t="s">
        <v>1060</v>
      </c>
      <c r="B236" s="20" t="s">
        <v>8</v>
      </c>
      <c r="C236" s="20"/>
      <c r="D236" s="20"/>
      <c r="E236" s="26" t="s">
        <v>112</v>
      </c>
      <c r="F236" s="75"/>
      <c r="G236" s="75">
        <f>+F235</f>
        <v>900</v>
      </c>
      <c r="H236" s="34"/>
      <c r="I236" s="42"/>
    </row>
    <row r="237" spans="1:10" ht="18" customHeight="1" x14ac:dyDescent="0.3">
      <c r="A237" s="3"/>
      <c r="B237" s="17"/>
      <c r="C237" s="17"/>
      <c r="D237" s="17"/>
      <c r="E237" s="16"/>
      <c r="F237" s="77">
        <f>SUM(F205:F236)</f>
        <v>11700</v>
      </c>
      <c r="G237" s="77">
        <f>SUM(G205:G236)</f>
        <v>11700</v>
      </c>
      <c r="H237" s="34"/>
      <c r="I237" s="42"/>
    </row>
    <row r="238" spans="1:10" ht="18" customHeight="1" x14ac:dyDescent="0.3">
      <c r="A238" s="3"/>
      <c r="B238" s="3"/>
      <c r="C238" s="3"/>
      <c r="D238" s="3"/>
      <c r="E238" s="3"/>
      <c r="F238" s="3"/>
      <c r="G238" s="3"/>
      <c r="H238" s="20"/>
    </row>
    <row r="239" spans="1:10" ht="18" customHeight="1" x14ac:dyDescent="0.3">
      <c r="A239" s="3"/>
      <c r="B239" s="1300" t="s">
        <v>1127</v>
      </c>
      <c r="C239" s="1297"/>
      <c r="D239" s="1297"/>
      <c r="E239" s="1297"/>
      <c r="F239" s="1297"/>
      <c r="G239" s="1299" t="s">
        <v>3</v>
      </c>
      <c r="H239" s="20"/>
    </row>
    <row r="240" spans="1:10" ht="18" customHeight="1" x14ac:dyDescent="0.3">
      <c r="A240" s="3"/>
      <c r="B240" s="20" t="s">
        <v>92</v>
      </c>
      <c r="C240" s="3"/>
      <c r="D240" s="3"/>
      <c r="E240" s="3"/>
      <c r="F240" s="3"/>
      <c r="G240" s="75">
        <f>+J206</f>
        <v>0</v>
      </c>
      <c r="H240" s="20"/>
    </row>
    <row r="241" spans="1:8" ht="18" customHeight="1" x14ac:dyDescent="0.3">
      <c r="A241" s="3"/>
      <c r="B241" s="20" t="s">
        <v>730</v>
      </c>
      <c r="C241" s="3"/>
      <c r="D241" s="3"/>
      <c r="E241" s="3"/>
      <c r="F241" s="3"/>
      <c r="G241" s="75">
        <f>+J209</f>
        <v>0</v>
      </c>
      <c r="H241" s="20"/>
    </row>
    <row r="242" spans="1:8" ht="18" customHeight="1" x14ac:dyDescent="0.3">
      <c r="A242" s="3"/>
      <c r="B242" s="20" t="s">
        <v>176</v>
      </c>
      <c r="C242" s="3"/>
      <c r="D242" s="3"/>
      <c r="E242" s="3"/>
      <c r="F242" s="3"/>
      <c r="G242" s="75">
        <f>+J211</f>
        <v>0</v>
      </c>
      <c r="H242" s="20"/>
    </row>
    <row r="243" spans="1:8" ht="18" customHeight="1" x14ac:dyDescent="0.3">
      <c r="A243" s="3"/>
      <c r="B243" s="20" t="s">
        <v>1018</v>
      </c>
      <c r="C243" s="3"/>
      <c r="D243" s="3"/>
      <c r="E243" s="3"/>
      <c r="F243" s="3"/>
      <c r="G243" s="75">
        <f>+J215</f>
        <v>0</v>
      </c>
      <c r="H243" s="20"/>
    </row>
    <row r="244" spans="1:8" ht="18" customHeight="1" x14ac:dyDescent="0.3">
      <c r="A244" s="3"/>
      <c r="B244" s="20" t="s">
        <v>1002</v>
      </c>
      <c r="C244" s="3"/>
      <c r="D244" s="3"/>
      <c r="E244" s="3"/>
      <c r="F244" s="3"/>
      <c r="G244" s="75">
        <f>+J218++J219+J220</f>
        <v>0</v>
      </c>
      <c r="H244" s="20"/>
    </row>
    <row r="245" spans="1:8" ht="18" customHeight="1" x14ac:dyDescent="0.3">
      <c r="A245" s="3"/>
      <c r="B245" s="20" t="s">
        <v>736</v>
      </c>
      <c r="C245" s="3"/>
      <c r="D245" s="3"/>
      <c r="E245" s="3"/>
      <c r="F245" s="3"/>
      <c r="G245" s="75">
        <f>+J222</f>
        <v>0</v>
      </c>
      <c r="H245" s="20"/>
    </row>
    <row r="246" spans="1:8" ht="18" customHeight="1" x14ac:dyDescent="0.3">
      <c r="A246" s="3"/>
      <c r="B246" s="20" t="s">
        <v>1126</v>
      </c>
      <c r="C246" s="3"/>
      <c r="D246" s="3"/>
      <c r="E246" s="3"/>
      <c r="F246" s="3"/>
      <c r="G246" s="75">
        <f>+J226</f>
        <v>0</v>
      </c>
      <c r="H246" s="20"/>
    </row>
    <row r="247" spans="1:8" ht="18" customHeight="1" x14ac:dyDescent="0.3">
      <c r="A247" s="3"/>
      <c r="B247" s="1294"/>
      <c r="C247" s="1295"/>
      <c r="D247" s="1295"/>
      <c r="E247" s="1295"/>
      <c r="F247" s="1295"/>
      <c r="G247" s="1296">
        <f>SUM(G240:G246)</f>
        <v>0</v>
      </c>
      <c r="H247" s="20"/>
    </row>
    <row r="248" spans="1:8" ht="18" customHeight="1" x14ac:dyDescent="0.3">
      <c r="A248" s="3"/>
      <c r="B248" s="20"/>
      <c r="C248" s="3"/>
      <c r="D248" s="3"/>
      <c r="E248" s="3"/>
      <c r="F248" s="3"/>
      <c r="G248" s="3"/>
      <c r="H248" s="20"/>
    </row>
    <row r="249" spans="1:8" ht="18" customHeight="1" x14ac:dyDescent="0.3"/>
  </sheetData>
  <mergeCells count="4">
    <mergeCell ref="Q4:R4"/>
    <mergeCell ref="T4:X4"/>
    <mergeCell ref="Y4:Z4"/>
    <mergeCell ref="AA4:AD4"/>
  </mergeCells>
  <phoneticPr fontId="34" type="noConversion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4397B-3CC1-4D75-9A7B-C276076C4645}">
  <sheetPr>
    <tabColor theme="1"/>
  </sheetPr>
  <dimension ref="A2:XDV146"/>
  <sheetViews>
    <sheetView topLeftCell="A2" zoomScale="51" zoomScaleNormal="51" workbookViewId="0">
      <selection activeCell="I10" sqref="I10"/>
    </sheetView>
  </sheetViews>
  <sheetFormatPr baseColWidth="10" defaultColWidth="0" defaultRowHeight="0" customHeight="1" zeroHeight="1" x14ac:dyDescent="0.25"/>
  <cols>
    <col min="1" max="1" width="4.42578125" customWidth="1"/>
    <col min="2" max="5" width="9.7109375" customWidth="1"/>
    <col min="6" max="6" width="7.140625" customWidth="1"/>
    <col min="7" max="10" width="13" customWidth="1"/>
    <col min="11" max="12" width="11.42578125" customWidth="1"/>
    <col min="136" max="16350" width="11.42578125" hidden="1"/>
  </cols>
  <sheetData>
    <row r="2" spans="1:10" s="42" customFormat="1" ht="18.75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s="42" customFormat="1" ht="18.75" hidden="1" x14ac:dyDescent="0.3">
      <c r="A3" s="20"/>
      <c r="B3" s="1330" t="s">
        <v>368</v>
      </c>
      <c r="C3" s="1330"/>
      <c r="D3" s="1330"/>
      <c r="E3" s="1330"/>
      <c r="F3" s="1330"/>
      <c r="G3" s="1330"/>
      <c r="H3" s="1330"/>
      <c r="I3" s="1330"/>
      <c r="J3" s="1330"/>
    </row>
    <row r="4" spans="1:10" s="42" customFormat="1" ht="18.75" x14ac:dyDescent="0.3">
      <c r="A4" s="20"/>
      <c r="B4" s="629" t="s">
        <v>1227</v>
      </c>
      <c r="C4" s="629"/>
      <c r="D4" s="629"/>
      <c r="E4" s="629"/>
      <c r="F4" s="1329"/>
      <c r="G4" s="1329">
        <v>2020</v>
      </c>
      <c r="H4" s="1329">
        <v>2021</v>
      </c>
      <c r="I4" s="1329">
        <v>2021</v>
      </c>
      <c r="J4" s="1329">
        <v>2021</v>
      </c>
    </row>
    <row r="5" spans="1:10" s="42" customFormat="1" ht="18.75" x14ac:dyDescent="0.3">
      <c r="A5" s="20"/>
      <c r="B5" s="629" t="s">
        <v>62</v>
      </c>
      <c r="C5" s="629"/>
      <c r="D5" s="629"/>
      <c r="E5" s="629"/>
      <c r="F5" s="1329"/>
      <c r="G5" s="1329" t="s">
        <v>1195</v>
      </c>
      <c r="H5" s="1329" t="s">
        <v>1192</v>
      </c>
      <c r="I5" s="1329" t="s">
        <v>1193</v>
      </c>
      <c r="J5" s="1329" t="s">
        <v>1194</v>
      </c>
    </row>
    <row r="6" spans="1:10" s="42" customFormat="1" ht="24" customHeight="1" x14ac:dyDescent="0.3">
      <c r="A6" s="20"/>
      <c r="B6" s="629"/>
      <c r="C6" s="629"/>
      <c r="D6" s="629"/>
      <c r="E6" s="629"/>
      <c r="F6" s="1331"/>
      <c r="G6" s="1331" t="s">
        <v>3</v>
      </c>
      <c r="H6" s="1331" t="s">
        <v>3</v>
      </c>
      <c r="I6" s="1331" t="s">
        <v>3</v>
      </c>
      <c r="J6" s="1331" t="s">
        <v>3</v>
      </c>
    </row>
    <row r="7" spans="1:10" s="42" customFormat="1" ht="24" customHeight="1" x14ac:dyDescent="0.3">
      <c r="A7" s="20"/>
      <c r="B7" s="181" t="s">
        <v>56</v>
      </c>
      <c r="C7" s="181"/>
      <c r="D7" s="181"/>
      <c r="E7" s="181"/>
      <c r="F7" s="745"/>
      <c r="G7" s="745"/>
      <c r="H7" s="745"/>
      <c r="I7" s="745"/>
      <c r="J7" s="745"/>
    </row>
    <row r="8" spans="1:10" s="42" customFormat="1" ht="18.75" x14ac:dyDescent="0.3">
      <c r="A8" s="20"/>
      <c r="B8" s="181" t="s">
        <v>57</v>
      </c>
      <c r="C8" s="181"/>
      <c r="D8" s="181"/>
      <c r="E8" s="181"/>
      <c r="F8" s="745"/>
      <c r="G8" s="745"/>
      <c r="H8" s="745"/>
      <c r="I8" s="745"/>
      <c r="J8" s="745"/>
    </row>
    <row r="9" spans="1:10" s="42" customFormat="1" ht="18.75" x14ac:dyDescent="0.3">
      <c r="A9" s="20"/>
      <c r="B9" s="131" t="s">
        <v>1</v>
      </c>
      <c r="C9" s="131"/>
      <c r="D9" s="131"/>
      <c r="E9" s="131"/>
      <c r="F9" s="175"/>
      <c r="G9" s="175">
        <v>800</v>
      </c>
      <c r="H9" s="175">
        <v>1214</v>
      </c>
      <c r="I9" s="175">
        <v>1691</v>
      </c>
      <c r="J9" s="175">
        <v>1857</v>
      </c>
    </row>
    <row r="10" spans="1:10" s="42" customFormat="1" ht="18.75" x14ac:dyDescent="0.3">
      <c r="A10" s="20"/>
      <c r="B10" s="131" t="s">
        <v>252</v>
      </c>
      <c r="C10" s="131"/>
      <c r="D10" s="131"/>
      <c r="E10" s="131"/>
      <c r="F10" s="175"/>
      <c r="G10" s="175">
        <v>1600</v>
      </c>
      <c r="H10" s="175">
        <v>1300</v>
      </c>
      <c r="I10" s="175">
        <v>1100</v>
      </c>
      <c r="J10" s="175">
        <v>1000</v>
      </c>
    </row>
    <row r="11" spans="1:10" s="42" customFormat="1" ht="18.75" x14ac:dyDescent="0.3">
      <c r="A11" s="20"/>
      <c r="B11" s="131" t="s">
        <v>674</v>
      </c>
      <c r="C11" s="131"/>
      <c r="D11" s="131"/>
      <c r="E11" s="131"/>
      <c r="F11" s="175"/>
      <c r="G11" s="175">
        <v>780</v>
      </c>
      <c r="H11" s="175">
        <v>700</v>
      </c>
      <c r="I11" s="175">
        <v>750</v>
      </c>
      <c r="J11" s="175">
        <v>800</v>
      </c>
    </row>
    <row r="12" spans="1:10" s="42" customFormat="1" ht="18.75" x14ac:dyDescent="0.3">
      <c r="A12" s="20"/>
      <c r="B12" s="1333"/>
      <c r="C12" s="1333"/>
      <c r="D12" s="1333"/>
      <c r="E12" s="1333"/>
      <c r="F12" s="1334"/>
      <c r="G12" s="1334">
        <f>SUM(G9:G11)</f>
        <v>3180</v>
      </c>
      <c r="H12" s="1334">
        <f>SUM(H9:H11)</f>
        <v>3214</v>
      </c>
      <c r="I12" s="1334">
        <f>SUM(I9:I11)</f>
        <v>3541</v>
      </c>
      <c r="J12" s="1334">
        <f>SUM(J9:J11)</f>
        <v>3657</v>
      </c>
    </row>
    <row r="13" spans="1:10" s="42" customFormat="1" ht="18.75" x14ac:dyDescent="0.3">
      <c r="A13" s="20"/>
      <c r="B13" s="181" t="s">
        <v>58</v>
      </c>
      <c r="C13" s="181"/>
      <c r="D13" s="181"/>
      <c r="E13" s="181"/>
      <c r="F13" s="175"/>
      <c r="G13" s="175"/>
      <c r="H13" s="175"/>
      <c r="I13" s="175"/>
      <c r="J13" s="175"/>
    </row>
    <row r="14" spans="1:10" s="42" customFormat="1" ht="18.75" x14ac:dyDescent="0.3">
      <c r="A14" s="20"/>
      <c r="B14" s="131" t="s">
        <v>373</v>
      </c>
      <c r="C14" s="131"/>
      <c r="D14" s="131"/>
      <c r="E14" s="131"/>
      <c r="F14" s="175"/>
      <c r="G14" s="175">
        <v>2432</v>
      </c>
      <c r="H14" s="175">
        <f>3346</f>
        <v>3346</v>
      </c>
      <c r="I14" s="175">
        <v>3400</v>
      </c>
      <c r="J14" s="175">
        <v>3500</v>
      </c>
    </row>
    <row r="15" spans="1:10" s="42" customFormat="1" ht="18.75" x14ac:dyDescent="0.3">
      <c r="A15" s="20"/>
      <c r="B15" s="1333" t="s">
        <v>54</v>
      </c>
      <c r="C15" s="1333"/>
      <c r="D15" s="1333"/>
      <c r="E15" s="1333"/>
      <c r="F15" s="1334"/>
      <c r="G15" s="1334">
        <f>+G12+G14</f>
        <v>5612</v>
      </c>
      <c r="H15" s="1334">
        <f>+H12+H14</f>
        <v>6560</v>
      </c>
      <c r="I15" s="1334">
        <f>+I12+I14</f>
        <v>6941</v>
      </c>
      <c r="J15" s="1334">
        <f>+J12+J14</f>
        <v>7157</v>
      </c>
    </row>
    <row r="16" spans="1:10" s="42" customFormat="1" ht="18.75" x14ac:dyDescent="0.3">
      <c r="A16" s="20"/>
      <c r="B16" s="181" t="s">
        <v>59</v>
      </c>
      <c r="C16" s="181"/>
      <c r="D16" s="181"/>
      <c r="E16" s="181"/>
      <c r="F16" s="1332"/>
      <c r="G16" s="1332"/>
      <c r="H16" s="1332"/>
      <c r="I16" s="1332"/>
      <c r="J16" s="1332"/>
    </row>
    <row r="17" spans="1:12" s="42" customFormat="1" ht="18.75" x14ac:dyDescent="0.3">
      <c r="A17" s="20"/>
      <c r="B17" s="181" t="s">
        <v>61</v>
      </c>
      <c r="C17" s="181"/>
      <c r="D17" s="181"/>
      <c r="E17" s="181"/>
      <c r="F17" s="745"/>
      <c r="G17" s="745"/>
      <c r="H17" s="181"/>
      <c r="I17" s="181"/>
      <c r="J17" s="181"/>
    </row>
    <row r="18" spans="1:12" s="42" customFormat="1" ht="18.75" x14ac:dyDescent="0.3">
      <c r="A18" s="7"/>
      <c r="B18" s="131" t="s">
        <v>4</v>
      </c>
      <c r="C18" s="131"/>
      <c r="D18" s="131"/>
      <c r="E18" s="131"/>
      <c r="F18" s="175"/>
      <c r="G18" s="175">
        <v>1400</v>
      </c>
      <c r="H18" s="175">
        <v>1893</v>
      </c>
      <c r="I18" s="175">
        <v>1969</v>
      </c>
      <c r="J18" s="175">
        <v>1400</v>
      </c>
    </row>
    <row r="19" spans="1:12" s="42" customFormat="1" ht="18.75" x14ac:dyDescent="0.3">
      <c r="A19" s="7"/>
      <c r="B19" s="131" t="s">
        <v>5</v>
      </c>
      <c r="C19" s="131"/>
      <c r="D19" s="131"/>
      <c r="E19" s="131"/>
      <c r="F19" s="175"/>
      <c r="G19" s="175">
        <v>500</v>
      </c>
      <c r="H19" s="175">
        <v>505</v>
      </c>
      <c r="I19" s="175">
        <v>508</v>
      </c>
      <c r="J19" s="175">
        <v>490</v>
      </c>
    </row>
    <row r="20" spans="1:12" s="42" customFormat="1" ht="18.75" x14ac:dyDescent="0.3">
      <c r="A20" s="7"/>
      <c r="B20" s="131" t="s">
        <v>23</v>
      </c>
      <c r="C20" s="131"/>
      <c r="D20" s="131"/>
      <c r="E20" s="131"/>
      <c r="F20" s="175"/>
      <c r="G20" s="175">
        <v>90</v>
      </c>
      <c r="H20" s="175">
        <v>70</v>
      </c>
      <c r="I20" s="175">
        <v>72</v>
      </c>
      <c r="J20" s="175">
        <v>75</v>
      </c>
    </row>
    <row r="21" spans="1:12" s="42" customFormat="1" ht="18.75" x14ac:dyDescent="0.3">
      <c r="A21" s="3"/>
      <c r="B21" s="1333" t="s">
        <v>55</v>
      </c>
      <c r="C21" s="1333"/>
      <c r="D21" s="1333"/>
      <c r="E21" s="1333"/>
      <c r="F21" s="1334"/>
      <c r="G21" s="1334">
        <f>SUM(G18:G20)</f>
        <v>1990</v>
      </c>
      <c r="H21" s="1334">
        <f>SUM(H18:H20)</f>
        <v>2468</v>
      </c>
      <c r="I21" s="1334">
        <f>SUM(I18:I20)</f>
        <v>2549</v>
      </c>
      <c r="J21" s="1334">
        <f>SUM(J18:J20)</f>
        <v>1965</v>
      </c>
    </row>
    <row r="22" spans="1:12" s="42" customFormat="1" ht="18.75" x14ac:dyDescent="0.3">
      <c r="A22" s="3"/>
      <c r="B22" s="131"/>
      <c r="C22" s="131"/>
      <c r="D22" s="131"/>
      <c r="E22" s="131"/>
      <c r="F22" s="175"/>
      <c r="G22" s="175"/>
      <c r="H22" s="131"/>
      <c r="I22" s="131"/>
      <c r="J22" s="131"/>
    </row>
    <row r="23" spans="1:12" s="42" customFormat="1" ht="18.75" x14ac:dyDescent="0.3">
      <c r="A23" s="3"/>
      <c r="B23" s="131" t="s">
        <v>7</v>
      </c>
      <c r="C23" s="131"/>
      <c r="D23" s="131"/>
      <c r="E23" s="131"/>
      <c r="F23" s="175"/>
      <c r="G23" s="175">
        <v>1600</v>
      </c>
      <c r="H23" s="175">
        <v>1650</v>
      </c>
      <c r="I23" s="175">
        <v>1650</v>
      </c>
      <c r="J23" s="175">
        <v>1650</v>
      </c>
    </row>
    <row r="24" spans="1:12" s="42" customFormat="1" ht="18.75" x14ac:dyDescent="0.3">
      <c r="A24" s="3"/>
      <c r="B24" s="131" t="s">
        <v>8</v>
      </c>
      <c r="C24" s="131"/>
      <c r="D24" s="131"/>
      <c r="E24" s="131"/>
      <c r="F24" s="175"/>
      <c r="G24" s="175">
        <v>2022</v>
      </c>
      <c r="H24" s="175">
        <f>+H43+G24-80</f>
        <v>2442</v>
      </c>
      <c r="I24" s="175">
        <f>+G24+I43-80</f>
        <v>2742</v>
      </c>
      <c r="J24" s="175">
        <f>+G24+J43-80</f>
        <v>3542</v>
      </c>
    </row>
    <row r="25" spans="1:12" s="42" customFormat="1" ht="18.75" x14ac:dyDescent="0.3">
      <c r="A25" s="3"/>
      <c r="B25" s="1333" t="s">
        <v>81</v>
      </c>
      <c r="C25" s="1333"/>
      <c r="D25" s="1333"/>
      <c r="E25" s="1333"/>
      <c r="F25" s="1334"/>
      <c r="G25" s="1334">
        <f>SUM(G23:G24)</f>
        <v>3622</v>
      </c>
      <c r="H25" s="1334">
        <f>SUM(H23:H24)</f>
        <v>4092</v>
      </c>
      <c r="I25" s="1334">
        <f t="shared" ref="I25:J25" si="0">SUM(I23:I24)</f>
        <v>4392</v>
      </c>
      <c r="J25" s="1334">
        <f t="shared" si="0"/>
        <v>5192</v>
      </c>
    </row>
    <row r="26" spans="1:12" s="42" customFormat="1" ht="18.75" x14ac:dyDescent="0.3">
      <c r="A26" s="3"/>
      <c r="B26" s="1333" t="s">
        <v>82</v>
      </c>
      <c r="C26" s="1333"/>
      <c r="D26" s="1333"/>
      <c r="E26" s="1333"/>
      <c r="F26" s="1334"/>
      <c r="G26" s="1334">
        <f>+G21+G25</f>
        <v>5612</v>
      </c>
      <c r="H26" s="1334">
        <f>+H21+H25</f>
        <v>6560</v>
      </c>
      <c r="I26" s="1334">
        <f t="shared" ref="I26:J26" si="1">+I21+I25</f>
        <v>6941</v>
      </c>
      <c r="J26" s="1334">
        <f t="shared" si="1"/>
        <v>7157</v>
      </c>
    </row>
    <row r="27" spans="1:12" s="42" customFormat="1" ht="18.75" x14ac:dyDescent="0.3">
      <c r="A27" s="3"/>
      <c r="B27" s="3"/>
      <c r="C27" s="3"/>
      <c r="D27" s="3"/>
      <c r="E27" s="3"/>
      <c r="F27" s="3"/>
      <c r="G27" s="180">
        <f>+G15-G26</f>
        <v>0</v>
      </c>
      <c r="H27" s="180">
        <f>+H15-H26</f>
        <v>0</v>
      </c>
      <c r="I27" s="180">
        <f>+I15-I26</f>
        <v>0</v>
      </c>
      <c r="J27" s="180">
        <f>+J15-J26</f>
        <v>0</v>
      </c>
    </row>
    <row r="28" spans="1:12" s="42" customFormat="1" ht="18.75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/>
      <c r="L28"/>
    </row>
    <row r="29" spans="1:12" ht="18.75" x14ac:dyDescent="0.3">
      <c r="B29" s="629" t="s">
        <v>1227</v>
      </c>
      <c r="C29" s="1328"/>
      <c r="D29" s="1328"/>
      <c r="E29" s="1328"/>
      <c r="F29" s="1328"/>
      <c r="G29" s="1328"/>
      <c r="H29" s="1329">
        <v>2021</v>
      </c>
      <c r="I29" s="1329">
        <v>2021</v>
      </c>
      <c r="J29" s="1329">
        <v>2021</v>
      </c>
    </row>
    <row r="30" spans="1:12" ht="18.75" x14ac:dyDescent="0.3">
      <c r="B30" s="1328" t="s">
        <v>372</v>
      </c>
      <c r="C30" s="1328"/>
      <c r="D30" s="1328"/>
      <c r="E30" s="1328"/>
      <c r="F30" s="1328"/>
      <c r="G30" s="1328"/>
      <c r="H30" s="1329" t="s">
        <v>1192</v>
      </c>
      <c r="I30" s="1329" t="s">
        <v>1204</v>
      </c>
      <c r="J30" s="1329" t="s">
        <v>1204</v>
      </c>
    </row>
    <row r="31" spans="1:12" ht="18.75" x14ac:dyDescent="0.3">
      <c r="B31" s="1328"/>
      <c r="C31" s="1328"/>
      <c r="D31" s="1328"/>
      <c r="E31" s="1328"/>
      <c r="F31" s="1328"/>
      <c r="G31" s="1328"/>
      <c r="H31" s="1329"/>
      <c r="I31" s="1329" t="s">
        <v>1193</v>
      </c>
      <c r="J31" s="1329" t="s">
        <v>1194</v>
      </c>
    </row>
    <row r="32" spans="1:12" ht="18.75" x14ac:dyDescent="0.3">
      <c r="B32" s="1328"/>
      <c r="C32" s="1328"/>
      <c r="D32" s="1328"/>
      <c r="E32" s="1328"/>
      <c r="F32" s="1328"/>
      <c r="G32" s="1328"/>
      <c r="H32" s="1331" t="s">
        <v>3</v>
      </c>
      <c r="I32" s="1331" t="s">
        <v>3</v>
      </c>
      <c r="J32" s="1331" t="s">
        <v>3</v>
      </c>
    </row>
    <row r="33" spans="2:10" ht="18.75" x14ac:dyDescent="0.3">
      <c r="B33" s="131" t="s">
        <v>9</v>
      </c>
      <c r="C33" s="131"/>
      <c r="D33" s="175"/>
      <c r="E33" s="175"/>
      <c r="F33" s="175"/>
      <c r="G33" s="175"/>
      <c r="H33" s="175">
        <v>1608</v>
      </c>
      <c r="I33" s="175">
        <v>3163</v>
      </c>
      <c r="J33" s="175">
        <v>6326</v>
      </c>
    </row>
    <row r="34" spans="2:10" ht="18.75" x14ac:dyDescent="0.3">
      <c r="B34" s="131" t="s">
        <v>10</v>
      </c>
      <c r="C34" s="131"/>
      <c r="D34" s="175"/>
      <c r="E34" s="175"/>
      <c r="F34" s="175"/>
      <c r="G34" s="175"/>
      <c r="H34" s="132">
        <v>-800</v>
      </c>
      <c r="I34" s="132">
        <v>-1750</v>
      </c>
      <c r="J34" s="132">
        <v>-3500</v>
      </c>
    </row>
    <row r="35" spans="2:10" ht="18.75" x14ac:dyDescent="0.3">
      <c r="B35" s="1333" t="s">
        <v>13</v>
      </c>
      <c r="C35" s="1333"/>
      <c r="D35" s="1335"/>
      <c r="E35" s="1335"/>
      <c r="F35" s="1335"/>
      <c r="G35" s="1335"/>
      <c r="H35" s="1334">
        <f t="shared" ref="H35:J35" si="2">+H33+H34</f>
        <v>808</v>
      </c>
      <c r="I35" s="1334">
        <f t="shared" si="2"/>
        <v>1413</v>
      </c>
      <c r="J35" s="1334">
        <f t="shared" si="2"/>
        <v>2826</v>
      </c>
    </row>
    <row r="36" spans="2:10" ht="18.75" x14ac:dyDescent="0.3">
      <c r="B36" s="181"/>
      <c r="C36" s="181"/>
      <c r="D36" s="175"/>
      <c r="E36" s="175"/>
      <c r="F36" s="175"/>
      <c r="G36" s="175"/>
      <c r="H36" s="180"/>
      <c r="I36" s="180"/>
      <c r="J36" s="180"/>
    </row>
    <row r="37" spans="2:10" ht="18.75" x14ac:dyDescent="0.3">
      <c r="B37" s="131" t="s">
        <v>44</v>
      </c>
      <c r="C37" s="131"/>
      <c r="D37" s="175"/>
      <c r="E37" s="175"/>
      <c r="F37" s="175"/>
      <c r="G37" s="175"/>
      <c r="H37" s="132">
        <v>-108</v>
      </c>
      <c r="I37" s="132">
        <v>-213</v>
      </c>
      <c r="J37" s="132">
        <v>-426</v>
      </c>
    </row>
    <row r="38" spans="2:10" ht="18.75" x14ac:dyDescent="0.3">
      <c r="B38" s="131" t="s">
        <v>38</v>
      </c>
      <c r="C38" s="131"/>
      <c r="D38" s="175"/>
      <c r="E38" s="175"/>
      <c r="F38" s="175"/>
      <c r="G38" s="175"/>
      <c r="H38" s="132">
        <v>-90</v>
      </c>
      <c r="I38" s="132">
        <v>-180</v>
      </c>
      <c r="J38" s="132">
        <v>-360</v>
      </c>
    </row>
    <row r="39" spans="2:10" ht="18.75" x14ac:dyDescent="0.3">
      <c r="B39" s="131" t="s">
        <v>12</v>
      </c>
      <c r="C39" s="131"/>
      <c r="D39" s="180"/>
      <c r="E39" s="180"/>
      <c r="F39" s="180"/>
      <c r="G39" s="180"/>
      <c r="H39" s="132">
        <v>-70</v>
      </c>
      <c r="I39" s="132">
        <v>-145</v>
      </c>
      <c r="J39" s="132">
        <v>-290</v>
      </c>
    </row>
    <row r="40" spans="2:10" ht="18.75" x14ac:dyDescent="0.3">
      <c r="B40" s="1333" t="s">
        <v>14</v>
      </c>
      <c r="C40" s="1333"/>
      <c r="D40" s="1335"/>
      <c r="E40" s="1335"/>
      <c r="F40" s="1335"/>
      <c r="G40" s="1335"/>
      <c r="H40" s="1334">
        <f>SUM(H35:H39)</f>
        <v>540</v>
      </c>
      <c r="I40" s="1334">
        <f>SUM(I35:I39)</f>
        <v>875</v>
      </c>
      <c r="J40" s="1334">
        <f>SUM(J35:J39)</f>
        <v>1750</v>
      </c>
    </row>
    <row r="41" spans="2:10" ht="18.75" x14ac:dyDescent="0.3">
      <c r="B41" s="131"/>
      <c r="C41" s="131"/>
      <c r="D41" s="131"/>
      <c r="E41" s="131"/>
      <c r="F41" s="131"/>
      <c r="G41" s="131"/>
      <c r="H41" s="132"/>
      <c r="I41" s="132"/>
      <c r="J41" s="132"/>
    </row>
    <row r="42" spans="2:10" ht="18.75" x14ac:dyDescent="0.3">
      <c r="B42" s="131" t="s">
        <v>15</v>
      </c>
      <c r="C42" s="131"/>
      <c r="D42" s="175"/>
      <c r="E42" s="175"/>
      <c r="F42" s="175"/>
      <c r="G42" s="175"/>
      <c r="H42" s="132">
        <v>-40</v>
      </c>
      <c r="I42" s="132">
        <v>-75</v>
      </c>
      <c r="J42" s="132">
        <v>-150</v>
      </c>
    </row>
    <row r="43" spans="2:10" ht="18.75" x14ac:dyDescent="0.3">
      <c r="B43" s="1333" t="s">
        <v>16</v>
      </c>
      <c r="C43" s="1333"/>
      <c r="D43" s="1335"/>
      <c r="E43" s="1335"/>
      <c r="F43" s="1335"/>
      <c r="G43" s="1335"/>
      <c r="H43" s="1334">
        <f>SUM(H40:H42)</f>
        <v>500</v>
      </c>
      <c r="I43" s="1334">
        <f>SUM(I40:I42)</f>
        <v>800</v>
      </c>
      <c r="J43" s="1334">
        <f>SUM(J40:J42)</f>
        <v>1600</v>
      </c>
    </row>
    <row r="44" spans="2:10" ht="15" x14ac:dyDescent="0.25"/>
    <row r="45" spans="2:10" ht="15" x14ac:dyDescent="0.25"/>
    <row r="46" spans="2:10" ht="15" x14ac:dyDescent="0.25"/>
    <row r="47" spans="2:10" ht="15" x14ac:dyDescent="0.25"/>
    <row r="48" spans="2:10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hidden="1" x14ac:dyDescent="0.25"/>
    <row r="111" ht="15" x14ac:dyDescent="0.25"/>
    <row r="112" ht="15" x14ac:dyDescent="0.25"/>
    <row r="113" ht="15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8.75" hidden="1" customHeight="1" x14ac:dyDescent="0.25"/>
    <row r="141" ht="18.75" hidden="1" customHeight="1" x14ac:dyDescent="0.25"/>
    <row r="142" ht="18.75" hidden="1" customHeight="1" x14ac:dyDescent="0.25"/>
    <row r="143" ht="18.75" hidden="1" customHeight="1" x14ac:dyDescent="0.25"/>
    <row r="144" ht="18.75" hidden="1" customHeight="1" x14ac:dyDescent="0.25"/>
    <row r="145" ht="18.75" hidden="1" customHeight="1" x14ac:dyDescent="0.25"/>
    <row r="146" ht="18.75" hidden="1" customHeight="1" x14ac:dyDescent="0.25"/>
  </sheetData>
  <phoneticPr fontId="34" type="noConversion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512DA-88B2-49B6-B3A8-6172E231EA7F}">
  <sheetPr>
    <tabColor theme="1"/>
  </sheetPr>
  <dimension ref="A1:XEX44"/>
  <sheetViews>
    <sheetView zoomScale="55" zoomScaleNormal="55" workbookViewId="0">
      <selection activeCell="AC27" sqref="AC27"/>
    </sheetView>
  </sheetViews>
  <sheetFormatPr baseColWidth="10" defaultColWidth="0" defaultRowHeight="18.95" customHeight="1" x14ac:dyDescent="0.3"/>
  <cols>
    <col min="1" max="1" width="4.42578125" customWidth="1"/>
    <col min="2" max="6" width="9.7109375" customWidth="1"/>
    <col min="7" max="8" width="13" customWidth="1"/>
    <col min="9" max="9" width="4.7109375" customWidth="1"/>
    <col min="10" max="10" width="38.42578125" style="42" customWidth="1"/>
    <col min="11" max="12" width="12.5703125" style="42" customWidth="1"/>
    <col min="13" max="13" width="11.7109375" style="42" customWidth="1"/>
    <col min="14" max="14" width="11.42578125" style="42" customWidth="1"/>
    <col min="15" max="15" width="11.28515625" style="42" customWidth="1"/>
    <col min="16" max="16" width="16.140625" style="42" bestFit="1" customWidth="1"/>
    <col min="17" max="17" width="14.42578125" style="42" bestFit="1" customWidth="1"/>
    <col min="18" max="18" width="12.42578125" style="672" bestFit="1" customWidth="1"/>
    <col min="19" max="19" width="13.28515625" style="42" bestFit="1" customWidth="1"/>
    <col min="20" max="20" width="15" style="42" bestFit="1" customWidth="1"/>
    <col min="21" max="21" width="15.5703125" style="42" bestFit="1" customWidth="1"/>
    <col min="22" max="22" width="10.5703125" style="42" bestFit="1" customWidth="1"/>
    <col min="23" max="23" width="10.28515625" style="42" bestFit="1" customWidth="1"/>
    <col min="24" max="24" width="0.28515625" style="42" customWidth="1"/>
    <col min="25" max="25" width="19.85546875" style="42" customWidth="1"/>
    <col min="26" max="26" width="27.7109375" style="42" customWidth="1"/>
    <col min="27" max="27" width="14.140625" style="42" bestFit="1" customWidth="1"/>
    <col min="28" max="29" width="15.140625" style="42" bestFit="1" customWidth="1"/>
    <col min="30" max="30" width="17.28515625" style="42" customWidth="1"/>
    <col min="164" max="16378" width="11.42578125" hidden="1"/>
  </cols>
  <sheetData>
    <row r="1" spans="1:25" ht="18.95" customHeight="1" x14ac:dyDescent="0.3">
      <c r="X1"/>
      <c r="Y1" s="241"/>
    </row>
    <row r="2" spans="1:25" s="42" customFormat="1" ht="18.95" customHeight="1" x14ac:dyDescent="0.3">
      <c r="A2" s="1093"/>
      <c r="B2" s="1093"/>
      <c r="C2" s="1093"/>
      <c r="D2" s="1093"/>
      <c r="E2" s="1093"/>
      <c r="F2" s="1093"/>
      <c r="G2" s="1093"/>
      <c r="H2" s="1093"/>
      <c r="I2" s="1093"/>
      <c r="J2" s="1093"/>
      <c r="K2" s="1093"/>
      <c r="L2" s="1093"/>
      <c r="M2" s="1093"/>
      <c r="P2" s="1412"/>
      <c r="X2"/>
      <c r="Y2" s="241"/>
    </row>
    <row r="3" spans="1:25" s="42" customFormat="1" ht="18.95" customHeight="1" x14ac:dyDescent="0.3">
      <c r="B3" s="1330" t="s">
        <v>368</v>
      </c>
      <c r="C3" s="1330"/>
      <c r="D3" s="1330"/>
      <c r="E3" s="1330"/>
      <c r="F3" s="1330"/>
      <c r="G3" s="1330"/>
      <c r="H3" s="1330"/>
      <c r="I3" s="1093"/>
      <c r="J3" s="207"/>
      <c r="K3" s="1339">
        <v>2021</v>
      </c>
      <c r="L3" s="1339">
        <v>2020</v>
      </c>
      <c r="M3" s="1093"/>
      <c r="N3" s="1506" t="s">
        <v>109</v>
      </c>
      <c r="O3" s="1507"/>
      <c r="P3" s="1412"/>
      <c r="X3"/>
      <c r="Y3" s="241"/>
    </row>
    <row r="4" spans="1:25" s="42" customFormat="1" ht="18.95" customHeight="1" x14ac:dyDescent="0.3">
      <c r="B4" s="629" t="s">
        <v>62</v>
      </c>
      <c r="C4" s="629"/>
      <c r="D4" s="629"/>
      <c r="E4" s="629"/>
      <c r="F4" s="1329"/>
      <c r="G4" s="1329">
        <v>2020</v>
      </c>
      <c r="H4" s="1329">
        <v>2021</v>
      </c>
      <c r="I4" s="1093"/>
      <c r="J4" s="173"/>
      <c r="K4" s="1340" t="s">
        <v>1192</v>
      </c>
      <c r="L4" s="1340" t="s">
        <v>1195</v>
      </c>
      <c r="M4" s="168" t="s">
        <v>623</v>
      </c>
      <c r="N4" s="524" t="s">
        <v>434</v>
      </c>
      <c r="O4" s="524" t="s">
        <v>233</v>
      </c>
      <c r="P4" s="573" t="s">
        <v>742</v>
      </c>
      <c r="Q4" s="1336" t="s">
        <v>289</v>
      </c>
      <c r="R4" s="1336" t="s">
        <v>21</v>
      </c>
      <c r="S4" s="1336" t="s">
        <v>21</v>
      </c>
      <c r="T4" s="1336" t="s">
        <v>22</v>
      </c>
      <c r="U4" s="1336" t="s">
        <v>128</v>
      </c>
      <c r="V4" s="1336" t="s">
        <v>24</v>
      </c>
      <c r="W4" s="1336" t="s">
        <v>26</v>
      </c>
      <c r="X4"/>
      <c r="Y4" s="241"/>
    </row>
    <row r="5" spans="1:25" s="42" customFormat="1" ht="18.95" customHeight="1" x14ac:dyDescent="0.3">
      <c r="B5" s="629"/>
      <c r="C5" s="629"/>
      <c r="D5" s="629"/>
      <c r="E5" s="629"/>
      <c r="F5" s="1329"/>
      <c r="G5" s="1329" t="s">
        <v>1195</v>
      </c>
      <c r="H5" s="1329" t="s">
        <v>1192</v>
      </c>
      <c r="I5" s="1093"/>
      <c r="J5" s="680" t="s">
        <v>1</v>
      </c>
      <c r="K5" s="661">
        <f>+H9</f>
        <v>1214</v>
      </c>
      <c r="L5" s="661">
        <f>+G9</f>
        <v>800</v>
      </c>
      <c r="M5" s="80">
        <f t="shared" ref="M5:M14" si="0">+L5-K5</f>
        <v>-414</v>
      </c>
      <c r="N5" s="691">
        <v>0</v>
      </c>
      <c r="O5" s="691">
        <v>0</v>
      </c>
      <c r="P5" s="1369">
        <f>+M5+O5-N5</f>
        <v>-414</v>
      </c>
      <c r="Q5" s="1337" t="s">
        <v>121</v>
      </c>
      <c r="R5" s="1337" t="s">
        <v>1225</v>
      </c>
      <c r="S5" s="1337" t="s">
        <v>1224</v>
      </c>
      <c r="T5" s="1337" t="s">
        <v>1196</v>
      </c>
      <c r="U5" s="1337" t="s">
        <v>729</v>
      </c>
      <c r="V5" s="1337" t="s">
        <v>334</v>
      </c>
      <c r="W5" s="1337" t="s">
        <v>1197</v>
      </c>
      <c r="X5"/>
      <c r="Y5" s="241"/>
    </row>
    <row r="6" spans="1:25" s="42" customFormat="1" ht="18.95" customHeight="1" x14ac:dyDescent="0.3">
      <c r="B6" s="629"/>
      <c r="C6" s="629"/>
      <c r="D6" s="629"/>
      <c r="E6" s="629"/>
      <c r="F6" s="1331"/>
      <c r="G6" s="1331" t="s">
        <v>3</v>
      </c>
      <c r="H6" s="1331" t="s">
        <v>3</v>
      </c>
      <c r="I6" s="1093"/>
      <c r="J6" s="680" t="s">
        <v>252</v>
      </c>
      <c r="K6" s="661">
        <f>+H10</f>
        <v>1300</v>
      </c>
      <c r="L6" s="661">
        <f>+G10</f>
        <v>1600</v>
      </c>
      <c r="M6" s="661">
        <f t="shared" si="0"/>
        <v>300</v>
      </c>
      <c r="N6" s="691">
        <v>0</v>
      </c>
      <c r="O6" s="691">
        <v>0</v>
      </c>
      <c r="P6" s="1246">
        <f>+M6+O6-N6</f>
        <v>300</v>
      </c>
      <c r="Q6" s="83">
        <f>+P6</f>
        <v>300</v>
      </c>
      <c r="R6" s="83"/>
      <c r="S6" s="83"/>
      <c r="T6" s="83"/>
      <c r="U6" s="178"/>
      <c r="V6" s="83"/>
      <c r="W6" s="83"/>
      <c r="X6"/>
      <c r="Y6" s="241"/>
    </row>
    <row r="7" spans="1:25" s="42" customFormat="1" ht="18.95" customHeight="1" x14ac:dyDescent="0.3">
      <c r="B7" s="181" t="s">
        <v>56</v>
      </c>
      <c r="C7" s="181"/>
      <c r="D7" s="181"/>
      <c r="E7" s="181"/>
      <c r="F7" s="745"/>
      <c r="G7" s="745"/>
      <c r="H7" s="745"/>
      <c r="I7" s="1093"/>
      <c r="J7" s="680" t="s">
        <v>674</v>
      </c>
      <c r="K7" s="661">
        <f>+H11</f>
        <v>700</v>
      </c>
      <c r="L7" s="661">
        <f>+G11</f>
        <v>780</v>
      </c>
      <c r="M7" s="661">
        <f t="shared" si="0"/>
        <v>80</v>
      </c>
      <c r="N7" s="691">
        <v>0</v>
      </c>
      <c r="O7" s="691">
        <v>0</v>
      </c>
      <c r="P7" s="1246">
        <f t="shared" ref="P7:P20" si="1">+M7+O7-N7</f>
        <v>80</v>
      </c>
      <c r="Q7" s="83"/>
      <c r="R7" s="83">
        <f>+P7</f>
        <v>80</v>
      </c>
      <c r="S7" s="83"/>
      <c r="T7" s="83"/>
      <c r="U7" s="178"/>
      <c r="V7" s="83"/>
      <c r="W7" s="83"/>
      <c r="X7"/>
      <c r="Y7" s="241"/>
    </row>
    <row r="8" spans="1:25" s="42" customFormat="1" ht="18.95" customHeight="1" x14ac:dyDescent="0.3">
      <c r="B8" s="181" t="s">
        <v>57</v>
      </c>
      <c r="C8" s="181"/>
      <c r="D8" s="181"/>
      <c r="E8" s="181"/>
      <c r="F8" s="745"/>
      <c r="G8" s="745"/>
      <c r="H8" s="745"/>
      <c r="I8" s="1093"/>
      <c r="J8" s="680" t="s">
        <v>373</v>
      </c>
      <c r="K8" s="661">
        <f>+H14</f>
        <v>3346</v>
      </c>
      <c r="L8" s="661">
        <f>+G14</f>
        <v>2432</v>
      </c>
      <c r="M8" s="661">
        <f t="shared" si="0"/>
        <v>-914</v>
      </c>
      <c r="N8" s="691">
        <f>+O18</f>
        <v>90</v>
      </c>
      <c r="O8" s="691">
        <v>0</v>
      </c>
      <c r="P8" s="1246">
        <f t="shared" si="1"/>
        <v>-1004</v>
      </c>
      <c r="Q8" s="83"/>
      <c r="R8" s="83"/>
      <c r="S8" s="83"/>
      <c r="T8" s="83"/>
      <c r="U8" s="178">
        <f>+P8</f>
        <v>-1004</v>
      </c>
      <c r="V8" s="83"/>
      <c r="W8" s="83"/>
      <c r="X8"/>
      <c r="Y8" s="241"/>
    </row>
    <row r="9" spans="1:25" s="42" customFormat="1" ht="18.95" customHeight="1" x14ac:dyDescent="0.3">
      <c r="B9" s="131" t="s">
        <v>1</v>
      </c>
      <c r="C9" s="131"/>
      <c r="D9" s="131"/>
      <c r="E9" s="131"/>
      <c r="F9" s="175"/>
      <c r="G9" s="175">
        <v>800</v>
      </c>
      <c r="H9" s="175">
        <f>+'168'!H9</f>
        <v>1214</v>
      </c>
      <c r="I9" s="1093"/>
      <c r="J9" s="680" t="s">
        <v>369</v>
      </c>
      <c r="K9" s="661">
        <f>-H18</f>
        <v>-1893</v>
      </c>
      <c r="L9" s="661">
        <f>-G18</f>
        <v>-1400</v>
      </c>
      <c r="M9" s="661">
        <f t="shared" si="0"/>
        <v>493</v>
      </c>
      <c r="N9" s="691">
        <v>0</v>
      </c>
      <c r="O9" s="691">
        <v>0</v>
      </c>
      <c r="P9" s="1246">
        <f t="shared" si="1"/>
        <v>493</v>
      </c>
      <c r="Q9" s="83"/>
      <c r="R9" s="83">
        <f>+P9</f>
        <v>493</v>
      </c>
      <c r="S9" s="83"/>
      <c r="T9" s="83"/>
      <c r="U9" s="178"/>
      <c r="V9" s="83"/>
      <c r="W9" s="83"/>
      <c r="X9"/>
      <c r="Y9" s="241"/>
    </row>
    <row r="10" spans="1:25" s="42" customFormat="1" ht="18.95" customHeight="1" x14ac:dyDescent="0.3">
      <c r="B10" s="131" t="s">
        <v>252</v>
      </c>
      <c r="C10" s="131"/>
      <c r="D10" s="131"/>
      <c r="E10" s="131"/>
      <c r="F10" s="175"/>
      <c r="G10" s="175">
        <v>1600</v>
      </c>
      <c r="H10" s="175">
        <f>+'168'!H10</f>
        <v>1300</v>
      </c>
      <c r="I10" s="1093"/>
      <c r="J10" s="680" t="s">
        <v>5</v>
      </c>
      <c r="K10" s="661">
        <f>-H19</f>
        <v>-505</v>
      </c>
      <c r="L10" s="661">
        <f>-G19</f>
        <v>-500</v>
      </c>
      <c r="M10" s="661">
        <f t="shared" si="0"/>
        <v>5</v>
      </c>
      <c r="N10" s="691">
        <v>0</v>
      </c>
      <c r="O10" s="691">
        <v>0</v>
      </c>
      <c r="P10" s="1246">
        <f t="shared" si="1"/>
        <v>5</v>
      </c>
      <c r="Q10" s="83"/>
      <c r="R10" s="83"/>
      <c r="S10" s="83">
        <f>+P10</f>
        <v>5</v>
      </c>
      <c r="T10" s="83"/>
      <c r="U10" s="178"/>
      <c r="V10" s="83"/>
      <c r="W10" s="83"/>
      <c r="X10"/>
      <c r="Y10" s="241"/>
    </row>
    <row r="11" spans="1:25" s="42" customFormat="1" ht="18.95" customHeight="1" x14ac:dyDescent="0.3">
      <c r="B11" s="131" t="s">
        <v>674</v>
      </c>
      <c r="C11" s="131"/>
      <c r="D11" s="131"/>
      <c r="E11" s="131"/>
      <c r="F11" s="175"/>
      <c r="G11" s="175">
        <v>780</v>
      </c>
      <c r="H11" s="175">
        <f>+'168'!H11</f>
        <v>700</v>
      </c>
      <c r="I11" s="1093"/>
      <c r="J11" s="680" t="s">
        <v>23</v>
      </c>
      <c r="K11" s="661">
        <f>-H20</f>
        <v>-70</v>
      </c>
      <c r="L11" s="661">
        <f>-G20</f>
        <v>-90</v>
      </c>
      <c r="M11" s="661">
        <f t="shared" si="0"/>
        <v>-20</v>
      </c>
      <c r="N11" s="691">
        <v>0</v>
      </c>
      <c r="O11" s="691">
        <v>0</v>
      </c>
      <c r="P11" s="1246">
        <f t="shared" si="1"/>
        <v>-20</v>
      </c>
      <c r="Q11" s="83"/>
      <c r="R11" s="83"/>
      <c r="S11" s="83"/>
      <c r="T11" s="83">
        <f>+P11</f>
        <v>-20</v>
      </c>
      <c r="U11" s="178"/>
      <c r="V11" s="83"/>
      <c r="W11" s="83"/>
      <c r="X11"/>
      <c r="Y11" s="241"/>
    </row>
    <row r="12" spans="1:25" s="42" customFormat="1" ht="18.95" customHeight="1" x14ac:dyDescent="0.3">
      <c r="B12" s="1333"/>
      <c r="C12" s="1333"/>
      <c r="D12" s="1333"/>
      <c r="E12" s="1333"/>
      <c r="F12" s="1334"/>
      <c r="G12" s="1334">
        <f>SUM(G9:G11)</f>
        <v>3180</v>
      </c>
      <c r="H12" s="1334">
        <f>SUM(H9:H11)</f>
        <v>3214</v>
      </c>
      <c r="I12" s="1093"/>
      <c r="J12" s="680" t="s">
        <v>7</v>
      </c>
      <c r="K12" s="661">
        <f>-H23</f>
        <v>-1650</v>
      </c>
      <c r="L12" s="661">
        <f>-G23</f>
        <v>-1600</v>
      </c>
      <c r="M12" s="661">
        <f t="shared" si="0"/>
        <v>50</v>
      </c>
      <c r="N12" s="691">
        <v>0</v>
      </c>
      <c r="O12" s="691">
        <v>0</v>
      </c>
      <c r="P12" s="1246">
        <f t="shared" si="1"/>
        <v>50</v>
      </c>
      <c r="Q12" s="83"/>
      <c r="R12" s="83"/>
      <c r="S12" s="83"/>
      <c r="T12" s="83"/>
      <c r="U12" s="178"/>
      <c r="V12" s="83">
        <f>+P12</f>
        <v>50</v>
      </c>
      <c r="W12" s="83"/>
      <c r="X12"/>
      <c r="Y12" s="241"/>
    </row>
    <row r="13" spans="1:25" s="42" customFormat="1" ht="18.95" customHeight="1" x14ac:dyDescent="0.3">
      <c r="B13" s="181" t="s">
        <v>58</v>
      </c>
      <c r="C13" s="181"/>
      <c r="D13" s="181"/>
      <c r="E13" s="181"/>
      <c r="F13" s="175"/>
      <c r="G13" s="175"/>
      <c r="H13" s="175"/>
      <c r="I13" s="1093"/>
      <c r="J13" s="680" t="s">
        <v>8</v>
      </c>
      <c r="K13" s="661">
        <f>-(+H24-H43)</f>
        <v>-1942</v>
      </c>
      <c r="L13" s="661">
        <f>-G24</f>
        <v>-2022</v>
      </c>
      <c r="M13" s="661">
        <f t="shared" si="0"/>
        <v>-80</v>
      </c>
      <c r="N13" s="691">
        <v>0</v>
      </c>
      <c r="O13" s="691">
        <v>0</v>
      </c>
      <c r="P13" s="1246">
        <f t="shared" si="1"/>
        <v>-80</v>
      </c>
      <c r="Q13" s="83"/>
      <c r="R13" s="83"/>
      <c r="S13" s="83"/>
      <c r="T13" s="83"/>
      <c r="U13" s="178"/>
      <c r="V13" s="83"/>
      <c r="W13" s="83">
        <f>+P13</f>
        <v>-80</v>
      </c>
      <c r="X13"/>
      <c r="Y13" s="241"/>
    </row>
    <row r="14" spans="1:25" s="42" customFormat="1" ht="18.95" customHeight="1" x14ac:dyDescent="0.3">
      <c r="B14" s="131" t="s">
        <v>373</v>
      </c>
      <c r="C14" s="131"/>
      <c r="D14" s="131"/>
      <c r="E14" s="131"/>
      <c r="F14" s="175"/>
      <c r="G14" s="175">
        <v>2432</v>
      </c>
      <c r="H14" s="175">
        <f>+'168'!H14</f>
        <v>3346</v>
      </c>
      <c r="I14" s="1093"/>
      <c r="J14" s="680" t="s">
        <v>9</v>
      </c>
      <c r="K14" s="661">
        <f>-H33</f>
        <v>-1608</v>
      </c>
      <c r="L14" s="661"/>
      <c r="M14" s="661">
        <f t="shared" si="0"/>
        <v>1608</v>
      </c>
      <c r="N14" s="691">
        <v>0</v>
      </c>
      <c r="O14" s="691">
        <v>0</v>
      </c>
      <c r="P14" s="1246">
        <f t="shared" si="1"/>
        <v>1608</v>
      </c>
      <c r="Q14" s="83">
        <f>+P14</f>
        <v>1608</v>
      </c>
      <c r="R14" s="83"/>
      <c r="S14" s="83"/>
      <c r="T14" s="83"/>
      <c r="U14" s="178"/>
      <c r="V14" s="83"/>
      <c r="W14" s="83"/>
      <c r="X14"/>
      <c r="Y14" s="241"/>
    </row>
    <row r="15" spans="1:25" s="42" customFormat="1" ht="18.95" customHeight="1" x14ac:dyDescent="0.3">
      <c r="B15" s="1333" t="s">
        <v>54</v>
      </c>
      <c r="C15" s="1333"/>
      <c r="D15" s="1333"/>
      <c r="E15" s="1333"/>
      <c r="F15" s="1334"/>
      <c r="G15" s="1334">
        <f>+G12+G14</f>
        <v>5612</v>
      </c>
      <c r="H15" s="1334">
        <f>+H12+H14</f>
        <v>6560</v>
      </c>
      <c r="I15" s="1093"/>
      <c r="J15" s="680" t="s">
        <v>10</v>
      </c>
      <c r="K15" s="661"/>
      <c r="L15" s="661"/>
      <c r="M15" s="661"/>
      <c r="N15" s="691">
        <v>0</v>
      </c>
      <c r="O15" s="691">
        <v>0</v>
      </c>
      <c r="P15" s="1246">
        <f t="shared" si="1"/>
        <v>0</v>
      </c>
      <c r="Q15" s="83"/>
      <c r="R15" s="83"/>
      <c r="S15" s="83"/>
      <c r="T15" s="83"/>
      <c r="U15" s="178"/>
      <c r="V15" s="83"/>
      <c r="W15" s="83"/>
      <c r="X15"/>
      <c r="Y15" s="241"/>
    </row>
    <row r="16" spans="1:25" s="42" customFormat="1" ht="18.95" customHeight="1" x14ac:dyDescent="0.3">
      <c r="B16" s="181" t="s">
        <v>59</v>
      </c>
      <c r="C16" s="181"/>
      <c r="D16" s="181"/>
      <c r="E16" s="181"/>
      <c r="F16" s="1332"/>
      <c r="G16" s="1332"/>
      <c r="H16" s="1332"/>
      <c r="I16" s="1093"/>
      <c r="J16" s="680" t="s">
        <v>253</v>
      </c>
      <c r="K16" s="661">
        <f>-H34</f>
        <v>800</v>
      </c>
      <c r="L16" s="661"/>
      <c r="M16" s="661">
        <f>+L16-K16</f>
        <v>-800</v>
      </c>
      <c r="N16" s="691">
        <v>0</v>
      </c>
      <c r="O16" s="691">
        <v>0</v>
      </c>
      <c r="P16" s="1246">
        <f t="shared" si="1"/>
        <v>-800</v>
      </c>
      <c r="Q16" s="83"/>
      <c r="R16" s="83">
        <f>+P16</f>
        <v>-800</v>
      </c>
      <c r="S16" s="83"/>
      <c r="T16" s="83"/>
      <c r="U16" s="178"/>
      <c r="V16" s="83"/>
      <c r="W16" s="83"/>
      <c r="X16"/>
      <c r="Y16" s="241"/>
    </row>
    <row r="17" spans="1:30" s="42" customFormat="1" ht="18.95" customHeight="1" x14ac:dyDescent="0.3">
      <c r="B17" s="181" t="s">
        <v>61</v>
      </c>
      <c r="C17" s="181"/>
      <c r="D17" s="181"/>
      <c r="E17" s="181"/>
      <c r="F17" s="745"/>
      <c r="G17" s="745"/>
      <c r="H17" s="181"/>
      <c r="I17" s="1093"/>
      <c r="J17" s="680" t="s">
        <v>11</v>
      </c>
      <c r="K17" s="661">
        <f>-H37</f>
        <v>108</v>
      </c>
      <c r="L17" s="661"/>
      <c r="M17" s="661">
        <f>+L17-K17</f>
        <v>-108</v>
      </c>
      <c r="N17" s="691">
        <v>0</v>
      </c>
      <c r="O17" s="691">
        <v>0</v>
      </c>
      <c r="P17" s="1246">
        <f t="shared" si="1"/>
        <v>-108</v>
      </c>
      <c r="Q17" s="83"/>
      <c r="R17" s="83"/>
      <c r="S17" s="83">
        <f>+P17</f>
        <v>-108</v>
      </c>
      <c r="T17" s="83"/>
      <c r="U17" s="178"/>
      <c r="V17" s="83"/>
      <c r="W17" s="83"/>
      <c r="X17"/>
      <c r="Y17" s="241"/>
    </row>
    <row r="18" spans="1:30" s="42" customFormat="1" ht="18.95" customHeight="1" x14ac:dyDescent="0.3">
      <c r="A18" s="1093"/>
      <c r="B18" s="131" t="s">
        <v>4</v>
      </c>
      <c r="C18" s="131"/>
      <c r="D18" s="131"/>
      <c r="E18" s="131"/>
      <c r="F18" s="175"/>
      <c r="G18" s="175">
        <v>1400</v>
      </c>
      <c r="H18" s="175">
        <f>+'168'!H18</f>
        <v>1893</v>
      </c>
      <c r="I18" s="1093"/>
      <c r="J18" s="680" t="s">
        <v>38</v>
      </c>
      <c r="K18" s="661">
        <f>-H38</f>
        <v>90</v>
      </c>
      <c r="L18" s="661"/>
      <c r="M18" s="661">
        <f>+L18-K18</f>
        <v>-90</v>
      </c>
      <c r="N18" s="691">
        <v>0</v>
      </c>
      <c r="O18" s="691">
        <f>-M18</f>
        <v>90</v>
      </c>
      <c r="P18" s="1246">
        <f t="shared" si="1"/>
        <v>0</v>
      </c>
      <c r="Q18" s="83"/>
      <c r="R18" s="83"/>
      <c r="S18" s="83"/>
      <c r="T18" s="83"/>
      <c r="U18" s="178"/>
      <c r="V18" s="83"/>
      <c r="W18" s="83"/>
      <c r="X18"/>
      <c r="Y18" s="241"/>
    </row>
    <row r="19" spans="1:30" s="42" customFormat="1" ht="18.95" customHeight="1" x14ac:dyDescent="0.3">
      <c r="A19" s="1093"/>
      <c r="B19" s="131" t="s">
        <v>5</v>
      </c>
      <c r="C19" s="131"/>
      <c r="D19" s="131"/>
      <c r="E19" s="131"/>
      <c r="F19" s="175"/>
      <c r="G19" s="175">
        <v>500</v>
      </c>
      <c r="H19" s="175">
        <f>+'168'!H19</f>
        <v>505</v>
      </c>
      <c r="I19" s="1093"/>
      <c r="J19" s="680" t="s">
        <v>12</v>
      </c>
      <c r="K19" s="661">
        <f>-H39</f>
        <v>70</v>
      </c>
      <c r="L19" s="661"/>
      <c r="M19" s="661">
        <f>+L19-K19</f>
        <v>-70</v>
      </c>
      <c r="N19" s="691">
        <v>0</v>
      </c>
      <c r="O19" s="691">
        <v>0</v>
      </c>
      <c r="P19" s="1246">
        <f t="shared" si="1"/>
        <v>-70</v>
      </c>
      <c r="Q19" s="83"/>
      <c r="R19" s="83">
        <f>+P19</f>
        <v>-70</v>
      </c>
      <c r="S19" s="83"/>
      <c r="T19" s="83"/>
      <c r="U19" s="178"/>
      <c r="V19" s="83"/>
      <c r="W19" s="83"/>
      <c r="X19"/>
      <c r="Y19" s="241"/>
    </row>
    <row r="20" spans="1:30" s="42" customFormat="1" ht="18.95" customHeight="1" x14ac:dyDescent="0.3">
      <c r="A20" s="1093"/>
      <c r="B20" s="131" t="s">
        <v>23</v>
      </c>
      <c r="C20" s="131"/>
      <c r="D20" s="131"/>
      <c r="E20" s="131"/>
      <c r="F20" s="175"/>
      <c r="G20" s="175">
        <v>90</v>
      </c>
      <c r="H20" s="175">
        <f>+'168'!H20</f>
        <v>70</v>
      </c>
      <c r="I20" s="1093"/>
      <c r="J20" s="680" t="s">
        <v>15</v>
      </c>
      <c r="K20" s="661">
        <f>-H42</f>
        <v>40</v>
      </c>
      <c r="L20" s="661"/>
      <c r="M20" s="661">
        <f>+L20-K20</f>
        <v>-40</v>
      </c>
      <c r="N20" s="691">
        <v>0</v>
      </c>
      <c r="O20" s="691">
        <v>0</v>
      </c>
      <c r="P20" s="1246">
        <f t="shared" si="1"/>
        <v>-40</v>
      </c>
      <c r="Q20" s="83"/>
      <c r="R20" s="83"/>
      <c r="S20" s="83"/>
      <c r="T20" s="83">
        <f>+P20</f>
        <v>-40</v>
      </c>
      <c r="U20" s="178"/>
      <c r="V20" s="83"/>
      <c r="W20" s="83"/>
      <c r="X20"/>
      <c r="Y20" s="241"/>
    </row>
    <row r="21" spans="1:30" s="42" customFormat="1" ht="18.95" customHeight="1" x14ac:dyDescent="0.3">
      <c r="A21"/>
      <c r="B21" s="1333" t="s">
        <v>55</v>
      </c>
      <c r="C21" s="1333"/>
      <c r="D21" s="1333"/>
      <c r="E21" s="1333"/>
      <c r="F21" s="1334"/>
      <c r="G21" s="1334">
        <f>SUM(G18:G20)</f>
        <v>1990</v>
      </c>
      <c r="H21" s="1334">
        <f>SUM(H18:H20)</f>
        <v>2468</v>
      </c>
      <c r="I21" s="1093"/>
      <c r="J21" s="774"/>
      <c r="K21" s="137">
        <f t="shared" ref="K21:P21" si="2">SUM(K5:K20)</f>
        <v>0</v>
      </c>
      <c r="L21" s="137">
        <f t="shared" si="2"/>
        <v>0</v>
      </c>
      <c r="M21" s="137">
        <f t="shared" si="2"/>
        <v>0</v>
      </c>
      <c r="N21" s="155">
        <f t="shared" si="2"/>
        <v>90</v>
      </c>
      <c r="O21" s="155">
        <f t="shared" si="2"/>
        <v>90</v>
      </c>
      <c r="P21" s="1370">
        <f t="shared" si="2"/>
        <v>0</v>
      </c>
      <c r="Q21" s="692">
        <f>SUM(Q6:Q20)</f>
        <v>1908</v>
      </c>
      <c r="R21" s="693">
        <f t="shared" ref="R21:W21" si="3">SUM(R6:R20)</f>
        <v>-297</v>
      </c>
      <c r="S21" s="693">
        <f t="shared" si="3"/>
        <v>-103</v>
      </c>
      <c r="T21" s="693">
        <f t="shared" si="3"/>
        <v>-60</v>
      </c>
      <c r="U21" s="693">
        <f t="shared" si="3"/>
        <v>-1004</v>
      </c>
      <c r="V21" s="692">
        <f t="shared" si="3"/>
        <v>50</v>
      </c>
      <c r="W21" s="693">
        <f t="shared" si="3"/>
        <v>-80</v>
      </c>
      <c r="X21"/>
      <c r="Y21" s="241"/>
    </row>
    <row r="22" spans="1:30" s="42" customFormat="1" ht="18.95" customHeight="1" x14ac:dyDescent="0.3">
      <c r="A22"/>
      <c r="B22" s="1413"/>
      <c r="C22" s="1413"/>
      <c r="D22" s="1413"/>
      <c r="E22" s="1413"/>
      <c r="F22" s="1414"/>
      <c r="G22" s="1414"/>
      <c r="H22" s="1413"/>
      <c r="I22" s="1093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 s="241"/>
    </row>
    <row r="23" spans="1:30" s="42" customFormat="1" ht="18.95" customHeight="1" x14ac:dyDescent="0.3">
      <c r="A23" s="3"/>
      <c r="B23" s="131" t="s">
        <v>7</v>
      </c>
      <c r="C23" s="131"/>
      <c r="D23" s="131"/>
      <c r="E23" s="131"/>
      <c r="F23" s="175"/>
      <c r="G23" s="175">
        <v>1600</v>
      </c>
      <c r="H23" s="175">
        <f>+'168'!H23</f>
        <v>1650</v>
      </c>
      <c r="I23" s="1093"/>
      <c r="J23"/>
      <c r="K23"/>
      <c r="L23"/>
      <c r="R23" s="672"/>
      <c r="S23"/>
      <c r="T23"/>
      <c r="V23"/>
      <c r="W23" s="270" t="s">
        <v>368</v>
      </c>
      <c r="X23" s="108"/>
      <c r="Y23" s="108"/>
      <c r="Z23" s="108"/>
      <c r="AA23" s="1236" t="s">
        <v>1201</v>
      </c>
      <c r="AB23" s="1236" t="s">
        <v>1202</v>
      </c>
      <c r="AC23" s="1236" t="s">
        <v>1203</v>
      </c>
    </row>
    <row r="24" spans="1:30" s="42" customFormat="1" ht="18.95" customHeight="1" x14ac:dyDescent="0.3">
      <c r="A24" s="3"/>
      <c r="B24" s="131" t="s">
        <v>8</v>
      </c>
      <c r="C24" s="131"/>
      <c r="D24" s="131"/>
      <c r="E24" s="131"/>
      <c r="F24" s="175"/>
      <c r="G24" s="175">
        <v>2022</v>
      </c>
      <c r="H24" s="175">
        <f>+'168'!H24</f>
        <v>2442</v>
      </c>
      <c r="I24" s="1093"/>
      <c r="J24"/>
      <c r="K24"/>
      <c r="L24"/>
      <c r="M24"/>
      <c r="R24" s="672"/>
      <c r="S24"/>
      <c r="T24"/>
      <c r="W24" s="270" t="s">
        <v>1199</v>
      </c>
      <c r="X24" s="108"/>
      <c r="Y24" s="108"/>
      <c r="Z24" s="108"/>
      <c r="AA24" s="1236" t="s">
        <v>1213</v>
      </c>
      <c r="AB24" s="1236" t="s">
        <v>1226</v>
      </c>
      <c r="AC24" s="1236" t="s">
        <v>1214</v>
      </c>
    </row>
    <row r="25" spans="1:30" s="42" customFormat="1" ht="18.95" customHeight="1" x14ac:dyDescent="0.3">
      <c r="A25" s="3"/>
      <c r="B25" s="1333" t="s">
        <v>81</v>
      </c>
      <c r="C25" s="1333"/>
      <c r="D25" s="1333"/>
      <c r="E25" s="1333"/>
      <c r="F25" s="1334"/>
      <c r="G25" s="1334">
        <f>SUM(G23:G24)</f>
        <v>3622</v>
      </c>
      <c r="H25" s="1334">
        <f>SUM(H23:H24)</f>
        <v>4092</v>
      </c>
      <c r="I25" s="1093"/>
      <c r="J25"/>
      <c r="K25"/>
      <c r="L25"/>
      <c r="M25"/>
      <c r="R25" s="672"/>
      <c r="S25"/>
      <c r="T25"/>
      <c r="W25" s="685" t="s">
        <v>51</v>
      </c>
      <c r="X25" s="633"/>
      <c r="Y25" s="633"/>
      <c r="Z25" s="633"/>
      <c r="AA25" s="633"/>
      <c r="AB25" s="633"/>
      <c r="AC25" s="633"/>
    </row>
    <row r="26" spans="1:30" s="42" customFormat="1" ht="18.95" customHeight="1" x14ac:dyDescent="0.3">
      <c r="A26" s="3"/>
      <c r="B26" s="1333" t="s">
        <v>82</v>
      </c>
      <c r="C26" s="1333"/>
      <c r="D26" s="1333"/>
      <c r="E26" s="1333"/>
      <c r="F26" s="1334"/>
      <c r="G26" s="1334">
        <f>+G21+G25</f>
        <v>5612</v>
      </c>
      <c r="H26" s="1334">
        <f>+H21+H25</f>
        <v>6560</v>
      </c>
      <c r="I26" s="1093"/>
      <c r="J26"/>
      <c r="K26"/>
      <c r="L26"/>
      <c r="M26"/>
      <c r="N26"/>
      <c r="R26" s="672"/>
      <c r="S26"/>
      <c r="T26"/>
      <c r="W26" s="633" t="s">
        <v>248</v>
      </c>
      <c r="X26" s="633"/>
      <c r="Y26" s="633"/>
      <c r="Z26" s="633"/>
      <c r="AA26" s="642">
        <f>+Q21</f>
        <v>1908</v>
      </c>
      <c r="AB26" s="642"/>
      <c r="AC26" s="642"/>
      <c r="AD26" s="1168">
        <f>+AA43-K5</f>
        <v>0</v>
      </c>
    </row>
    <row r="27" spans="1:30" s="42" customFormat="1" ht="18.95" customHeight="1" x14ac:dyDescent="0.3">
      <c r="A27" s="3"/>
      <c r="B27" s="3"/>
      <c r="C27" s="3"/>
      <c r="D27" s="3"/>
      <c r="E27" s="3"/>
      <c r="F27" s="3"/>
      <c r="G27" s="180">
        <f>+G15-G26</f>
        <v>0</v>
      </c>
      <c r="H27" s="180">
        <f>+H15-H26</f>
        <v>0</v>
      </c>
      <c r="I27" s="1093"/>
      <c r="J27"/>
      <c r="K27"/>
      <c r="L27"/>
      <c r="M27"/>
      <c r="N27"/>
      <c r="R27" s="672"/>
      <c r="S27"/>
      <c r="T27"/>
      <c r="W27" s="633" t="s">
        <v>138</v>
      </c>
      <c r="X27" s="633"/>
      <c r="Y27" s="633"/>
      <c r="Z27" s="633"/>
      <c r="AA27" s="642">
        <f>+R21</f>
        <v>-297</v>
      </c>
      <c r="AB27" s="642"/>
      <c r="AC27" s="642"/>
    </row>
    <row r="28" spans="1:30" s="42" customFormat="1" ht="18.95" customHeight="1" x14ac:dyDescent="0.3">
      <c r="A28" s="3"/>
      <c r="B28" s="3"/>
      <c r="C28" s="3"/>
      <c r="D28" s="3"/>
      <c r="E28" s="3"/>
      <c r="F28" s="3"/>
      <c r="G28" s="3"/>
      <c r="H28" s="3"/>
      <c r="I28" s="1093"/>
      <c r="J28"/>
      <c r="K28"/>
      <c r="L28"/>
      <c r="M28"/>
      <c r="N28"/>
      <c r="R28" s="672"/>
      <c r="S28"/>
      <c r="T28"/>
      <c r="W28" s="633" t="s">
        <v>1200</v>
      </c>
      <c r="X28" s="633"/>
      <c r="Y28" s="633"/>
      <c r="Z28" s="633"/>
      <c r="AA28" s="642">
        <f>+S21</f>
        <v>-103</v>
      </c>
      <c r="AB28" s="642"/>
      <c r="AC28" s="642"/>
    </row>
    <row r="29" spans="1:30" s="42" customFormat="1" ht="18.95" customHeight="1" x14ac:dyDescent="0.3">
      <c r="A29"/>
      <c r="B29" s="1328" t="s">
        <v>372</v>
      </c>
      <c r="C29" s="1328"/>
      <c r="D29" s="1328"/>
      <c r="E29" s="1328"/>
      <c r="F29" s="1328"/>
      <c r="G29" s="1328"/>
      <c r="H29" s="1329">
        <v>2021</v>
      </c>
      <c r="J29"/>
      <c r="K29"/>
      <c r="L29"/>
      <c r="M29"/>
      <c r="N29"/>
      <c r="R29" s="672"/>
      <c r="S29"/>
      <c r="T29"/>
      <c r="W29" s="633" t="s">
        <v>137</v>
      </c>
      <c r="X29" s="633"/>
      <c r="Y29" s="633"/>
      <c r="Z29" s="633"/>
      <c r="AA29" s="642">
        <f>+T21</f>
        <v>-60</v>
      </c>
      <c r="AB29" s="642"/>
      <c r="AC29" s="642"/>
    </row>
    <row r="30" spans="1:30" ht="18.95" customHeight="1" x14ac:dyDescent="0.3">
      <c r="B30" s="1328"/>
      <c r="C30" s="1328"/>
      <c r="D30" s="1328"/>
      <c r="E30" s="1328"/>
      <c r="F30" s="1328"/>
      <c r="G30" s="1328"/>
      <c r="H30" s="1329" t="s">
        <v>1192</v>
      </c>
      <c r="I30" s="42"/>
      <c r="J30"/>
      <c r="K30"/>
      <c r="L30"/>
      <c r="M30"/>
      <c r="N30"/>
      <c r="S30"/>
      <c r="T30"/>
      <c r="W30" s="16" t="s">
        <v>719</v>
      </c>
      <c r="X30" s="17"/>
      <c r="Y30" s="17"/>
      <c r="Z30" s="17"/>
      <c r="AA30" s="48"/>
      <c r="AB30" s="48"/>
      <c r="AC30" s="48"/>
    </row>
    <row r="31" spans="1:30" ht="18.95" customHeight="1" x14ac:dyDescent="0.3">
      <c r="B31" s="1328"/>
      <c r="C31" s="1328"/>
      <c r="D31" s="1328"/>
      <c r="E31" s="1328"/>
      <c r="F31" s="1328"/>
      <c r="G31" s="1328"/>
      <c r="H31" s="1331" t="s">
        <v>3</v>
      </c>
      <c r="I31" s="42"/>
      <c r="J31"/>
      <c r="K31"/>
      <c r="L31"/>
      <c r="M31"/>
      <c r="N31"/>
      <c r="S31"/>
      <c r="T31"/>
      <c r="W31" s="16" t="s">
        <v>1205</v>
      </c>
      <c r="X31" s="17"/>
      <c r="Y31" s="17"/>
      <c r="Z31" s="17"/>
      <c r="AA31" s="48">
        <f>SUM(AA26:AA29)</f>
        <v>1448</v>
      </c>
      <c r="AB31" s="48"/>
      <c r="AC31" s="48"/>
    </row>
    <row r="32" spans="1:30" ht="18.95" customHeight="1" x14ac:dyDescent="0.3">
      <c r="B32" s="175"/>
      <c r="C32" s="175"/>
      <c r="D32" s="175"/>
      <c r="E32" s="175"/>
      <c r="F32" s="175"/>
      <c r="G32" s="175"/>
      <c r="H32" s="175"/>
      <c r="I32" s="42"/>
      <c r="J32"/>
      <c r="K32"/>
      <c r="L32"/>
      <c r="M32"/>
      <c r="N32"/>
      <c r="S32"/>
      <c r="T32"/>
      <c r="W32" s="685" t="s">
        <v>52</v>
      </c>
      <c r="X32" s="633"/>
      <c r="Y32" s="633"/>
      <c r="Z32" s="633"/>
      <c r="AA32" s="633"/>
      <c r="AB32" s="633"/>
      <c r="AC32" s="633"/>
    </row>
    <row r="33" spans="2:30" ht="18.95" customHeight="1" x14ac:dyDescent="0.3">
      <c r="B33" s="131" t="s">
        <v>9</v>
      </c>
      <c r="C33" s="131"/>
      <c r="D33" s="175"/>
      <c r="E33" s="175"/>
      <c r="F33" s="175"/>
      <c r="G33" s="175"/>
      <c r="H33" s="132">
        <f>+'168'!H33</f>
        <v>1608</v>
      </c>
      <c r="I33" s="42"/>
      <c r="J33"/>
      <c r="K33"/>
      <c r="L33"/>
      <c r="M33"/>
      <c r="N33"/>
      <c r="S33"/>
      <c r="T33"/>
      <c r="W33" s="633" t="s">
        <v>280</v>
      </c>
      <c r="X33" s="633"/>
      <c r="Y33" s="633"/>
      <c r="Z33" s="633"/>
      <c r="AA33" s="642">
        <f>+U21</f>
        <v>-1004</v>
      </c>
      <c r="AB33" s="642"/>
      <c r="AC33" s="642"/>
    </row>
    <row r="34" spans="2:30" ht="18.95" customHeight="1" x14ac:dyDescent="0.3">
      <c r="B34" s="131" t="s">
        <v>10</v>
      </c>
      <c r="C34" s="131"/>
      <c r="D34" s="175"/>
      <c r="E34" s="175"/>
      <c r="F34" s="175"/>
      <c r="G34" s="175"/>
      <c r="H34" s="132">
        <f>+'168'!H34</f>
        <v>-800</v>
      </c>
      <c r="J34"/>
      <c r="K34"/>
      <c r="L34"/>
      <c r="M34"/>
      <c r="N34"/>
      <c r="S34"/>
      <c r="T34"/>
      <c r="W34" s="16" t="s">
        <v>719</v>
      </c>
      <c r="X34" s="17"/>
      <c r="Y34" s="17"/>
      <c r="Z34" s="17"/>
      <c r="AA34" s="48"/>
      <c r="AB34" s="48"/>
      <c r="AC34" s="48"/>
    </row>
    <row r="35" spans="2:30" ht="18.95" customHeight="1" x14ac:dyDescent="0.3">
      <c r="B35" s="1333" t="s">
        <v>13</v>
      </c>
      <c r="C35" s="1333"/>
      <c r="D35" s="1335"/>
      <c r="E35" s="1335"/>
      <c r="F35" s="1335"/>
      <c r="G35" s="1335"/>
      <c r="H35" s="1334">
        <f>+H33+H34</f>
        <v>808</v>
      </c>
      <c r="J35"/>
      <c r="K35"/>
      <c r="L35"/>
      <c r="M35"/>
      <c r="N35"/>
      <c r="S35"/>
      <c r="T35"/>
      <c r="W35" s="16" t="s">
        <v>1206</v>
      </c>
      <c r="X35" s="17"/>
      <c r="Y35" s="17"/>
      <c r="Z35" s="17"/>
      <c r="AA35" s="48">
        <f>+AA33</f>
        <v>-1004</v>
      </c>
      <c r="AB35" s="48"/>
      <c r="AC35" s="48"/>
      <c r="AD35"/>
    </row>
    <row r="36" spans="2:30" ht="18.95" customHeight="1" x14ac:dyDescent="0.3">
      <c r="B36" s="181"/>
      <c r="C36" s="181"/>
      <c r="D36" s="175"/>
      <c r="E36" s="175"/>
      <c r="F36" s="175"/>
      <c r="G36" s="175"/>
      <c r="H36" s="180"/>
      <c r="J36"/>
      <c r="K36"/>
      <c r="L36"/>
      <c r="M36"/>
      <c r="N36"/>
      <c r="S36"/>
      <c r="T36"/>
      <c r="W36" s="685" t="s">
        <v>74</v>
      </c>
      <c r="X36" s="633"/>
      <c r="Y36" s="633"/>
      <c r="Z36" s="633"/>
      <c r="AA36" s="633"/>
      <c r="AB36" s="633"/>
      <c r="AC36" s="633"/>
      <c r="AD36"/>
    </row>
    <row r="37" spans="2:30" ht="18.95" customHeight="1" x14ac:dyDescent="0.3">
      <c r="B37" s="131" t="s">
        <v>44</v>
      </c>
      <c r="C37" s="131"/>
      <c r="D37" s="175"/>
      <c r="E37" s="175"/>
      <c r="F37" s="175"/>
      <c r="G37" s="175"/>
      <c r="H37" s="132">
        <f>+'168'!H37</f>
        <v>-108</v>
      </c>
      <c r="J37"/>
      <c r="K37"/>
      <c r="L37"/>
      <c r="M37"/>
      <c r="N37"/>
      <c r="S37"/>
      <c r="T37"/>
      <c r="W37" s="633" t="s">
        <v>283</v>
      </c>
      <c r="X37" s="633"/>
      <c r="Y37" s="633"/>
      <c r="Z37" s="633"/>
      <c r="AA37" s="642">
        <f>+V21</f>
        <v>50</v>
      </c>
      <c r="AB37" s="642"/>
      <c r="AC37" s="642"/>
      <c r="AD37"/>
    </row>
    <row r="38" spans="2:30" ht="18.95" customHeight="1" x14ac:dyDescent="0.3">
      <c r="B38" s="131" t="s">
        <v>38</v>
      </c>
      <c r="C38" s="131"/>
      <c r="D38" s="175"/>
      <c r="E38" s="175"/>
      <c r="F38" s="175"/>
      <c r="G38" s="175"/>
      <c r="H38" s="132">
        <f>+'168'!H38</f>
        <v>-90</v>
      </c>
      <c r="J38"/>
      <c r="N38"/>
      <c r="S38"/>
      <c r="T38"/>
      <c r="W38" s="633" t="s">
        <v>142</v>
      </c>
      <c r="X38" s="633"/>
      <c r="Y38" s="633"/>
      <c r="Z38" s="633"/>
      <c r="AA38" s="642">
        <f>+W21</f>
        <v>-80</v>
      </c>
      <c r="AB38" s="642"/>
      <c r="AC38" s="642"/>
      <c r="AD38"/>
    </row>
    <row r="39" spans="2:30" ht="18.95" customHeight="1" x14ac:dyDescent="0.3">
      <c r="B39" s="131" t="s">
        <v>12</v>
      </c>
      <c r="C39" s="131"/>
      <c r="D39" s="180"/>
      <c r="E39" s="180"/>
      <c r="F39" s="180"/>
      <c r="G39" s="180"/>
      <c r="H39" s="132">
        <f>+'168'!H39</f>
        <v>-70</v>
      </c>
      <c r="J39"/>
      <c r="N39"/>
      <c r="S39"/>
      <c r="T39"/>
      <c r="W39" s="16" t="s">
        <v>719</v>
      </c>
      <c r="X39" s="17"/>
      <c r="Y39" s="17"/>
      <c r="Z39" s="17"/>
      <c r="AA39" s="48"/>
      <c r="AB39" s="48"/>
      <c r="AC39" s="48"/>
      <c r="AD39"/>
    </row>
    <row r="40" spans="2:30" ht="18.95" customHeight="1" x14ac:dyDescent="0.3">
      <c r="B40" s="1333" t="s">
        <v>14</v>
      </c>
      <c r="C40" s="1333"/>
      <c r="D40" s="1335"/>
      <c r="E40" s="1335"/>
      <c r="F40" s="1335"/>
      <c r="G40" s="1335"/>
      <c r="H40" s="1334">
        <f>SUM(H35:H39)</f>
        <v>540</v>
      </c>
      <c r="J40"/>
      <c r="N40"/>
      <c r="S40"/>
      <c r="T40"/>
      <c r="W40" s="16" t="s">
        <v>1207</v>
      </c>
      <c r="X40" s="17"/>
      <c r="Y40" s="17"/>
      <c r="Z40" s="17"/>
      <c r="AA40" s="48">
        <f>SUM(AA37:AA38)</f>
        <v>-30</v>
      </c>
      <c r="AB40" s="48"/>
      <c r="AC40" s="48"/>
      <c r="AD40"/>
    </row>
    <row r="41" spans="2:30" ht="18.95" customHeight="1" x14ac:dyDescent="0.3">
      <c r="B41" s="131"/>
      <c r="C41" s="131"/>
      <c r="D41" s="131"/>
      <c r="E41" s="131"/>
      <c r="F41" s="131"/>
      <c r="G41" s="131"/>
      <c r="H41" s="132"/>
      <c r="J41"/>
      <c r="S41"/>
      <c r="T41"/>
      <c r="W41" s="522" t="s">
        <v>286</v>
      </c>
      <c r="X41" s="215"/>
      <c r="Y41" s="215"/>
      <c r="Z41" s="215"/>
      <c r="AA41" s="1341">
        <f>+AA31+AA35+AA40</f>
        <v>414</v>
      </c>
      <c r="AB41" s="1341"/>
      <c r="AC41" s="1341"/>
      <c r="AD41"/>
    </row>
    <row r="42" spans="2:30" ht="18.95" customHeight="1" x14ac:dyDescent="0.3">
      <c r="B42" s="131" t="s">
        <v>15</v>
      </c>
      <c r="C42" s="131"/>
      <c r="D42" s="175"/>
      <c r="E42" s="175"/>
      <c r="F42" s="175"/>
      <c r="G42" s="175"/>
      <c r="H42" s="132">
        <f>+'168'!H42</f>
        <v>-40</v>
      </c>
      <c r="J42"/>
      <c r="S42"/>
      <c r="T42"/>
      <c r="W42" s="1342" t="s">
        <v>47</v>
      </c>
      <c r="X42" s="1342"/>
      <c r="Y42" s="1342"/>
      <c r="Z42" s="1342"/>
      <c r="AA42" s="1345">
        <f>+L5</f>
        <v>800</v>
      </c>
      <c r="AB42" s="1343"/>
      <c r="AC42" s="1343"/>
      <c r="AD42"/>
    </row>
    <row r="43" spans="2:30" ht="18.95" customHeight="1" x14ac:dyDescent="0.3">
      <c r="B43" s="1333" t="s">
        <v>16</v>
      </c>
      <c r="C43" s="1333"/>
      <c r="D43" s="1335"/>
      <c r="E43" s="1335"/>
      <c r="F43" s="1335"/>
      <c r="G43" s="1335"/>
      <c r="H43" s="1334">
        <f>SUM(H40:H42)</f>
        <v>500</v>
      </c>
      <c r="J43"/>
      <c r="S43"/>
      <c r="T43"/>
      <c r="W43" s="1344" t="s">
        <v>49</v>
      </c>
      <c r="X43" s="1342"/>
      <c r="Y43" s="1342"/>
      <c r="Z43" s="1342"/>
      <c r="AA43" s="1343">
        <f>+AA41+AA42</f>
        <v>1214</v>
      </c>
      <c r="AB43" s="1343"/>
      <c r="AC43" s="1343"/>
      <c r="AD43"/>
    </row>
    <row r="44" spans="2:30" ht="18.95" customHeight="1" x14ac:dyDescent="0.3">
      <c r="J44"/>
      <c r="S44" s="3"/>
      <c r="T44" s="3"/>
      <c r="U44" s="20"/>
      <c r="Z44"/>
      <c r="AA44"/>
      <c r="AB44"/>
      <c r="AC44"/>
      <c r="AD44"/>
    </row>
  </sheetData>
  <mergeCells count="1">
    <mergeCell ref="N3:O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CC5B9-FEDC-4BCC-97B2-C140DED0F341}">
  <sheetPr>
    <tabColor theme="1"/>
  </sheetPr>
  <dimension ref="A2:XEW60"/>
  <sheetViews>
    <sheetView topLeftCell="A2" zoomScale="40" zoomScaleNormal="40" workbookViewId="0">
      <selection activeCell="G10" sqref="G10"/>
    </sheetView>
  </sheetViews>
  <sheetFormatPr baseColWidth="10" defaultColWidth="0" defaultRowHeight="0" customHeight="1" zeroHeight="1" x14ac:dyDescent="0.3"/>
  <cols>
    <col min="1" max="1" width="4.42578125" customWidth="1"/>
    <col min="2" max="6" width="9.7109375" customWidth="1"/>
    <col min="7" max="8" width="13" customWidth="1"/>
    <col min="9" max="9" width="4.7109375" customWidth="1"/>
    <col min="10" max="10" width="37.28515625" style="42" customWidth="1"/>
    <col min="11" max="12" width="14.7109375" style="42" customWidth="1"/>
    <col min="13" max="13" width="15.140625" style="42" customWidth="1"/>
    <col min="14" max="15" width="13.85546875" style="42" customWidth="1"/>
    <col min="16" max="16" width="16.140625" style="42" bestFit="1" customWidth="1"/>
    <col min="17" max="17" width="14.42578125" style="42" bestFit="1" customWidth="1"/>
    <col min="18" max="18" width="12.42578125" style="672" bestFit="1" customWidth="1"/>
    <col min="19" max="19" width="13.28515625" style="42" bestFit="1" customWidth="1"/>
    <col min="20" max="20" width="15" style="42" bestFit="1" customWidth="1"/>
    <col min="21" max="21" width="15.85546875" style="42" bestFit="1" customWidth="1"/>
    <col min="22" max="22" width="10.5703125" style="42" bestFit="1" customWidth="1"/>
    <col min="23" max="23" width="10.28515625" style="42" bestFit="1" customWidth="1"/>
    <col min="24" max="28" width="13.7109375" style="42" customWidth="1"/>
    <col min="29" max="29" width="17.28515625" style="42" customWidth="1"/>
    <col min="30" max="30" width="17.5703125" customWidth="1"/>
    <col min="31" max="31" width="17.5703125" bestFit="1" customWidth="1"/>
    <col min="32" max="32" width="11.42578125" customWidth="1"/>
    <col min="163" max="16377" width="11.42578125" hidden="1"/>
  </cols>
  <sheetData>
    <row r="2" spans="1:29" s="42" customFormat="1" ht="18.75" x14ac:dyDescent="0.3">
      <c r="A2" s="1093"/>
      <c r="B2" s="1093"/>
      <c r="C2" s="1093"/>
      <c r="D2" s="1093"/>
      <c r="E2" s="1093"/>
      <c r="F2" s="1093"/>
      <c r="G2" s="1093"/>
      <c r="H2" s="1093"/>
      <c r="I2" s="1093"/>
      <c r="J2" s="1093"/>
      <c r="K2" s="1093"/>
      <c r="L2" s="1093"/>
      <c r="M2" s="1093"/>
      <c r="P2" s="1412"/>
      <c r="X2" s="1135"/>
      <c r="Y2" s="1135"/>
      <c r="Z2" s="1135"/>
      <c r="AA2" s="1135"/>
      <c r="AB2" s="1135"/>
      <c r="AC2" s="1135"/>
    </row>
    <row r="3" spans="1:29" s="42" customFormat="1" ht="18.75" x14ac:dyDescent="0.3">
      <c r="A3" s="20"/>
      <c r="B3" s="1330" t="s">
        <v>368</v>
      </c>
      <c r="C3" s="1330"/>
      <c r="D3" s="1330"/>
      <c r="E3" s="1330"/>
      <c r="F3" s="1330"/>
      <c r="G3" s="1330"/>
      <c r="H3" s="1330"/>
      <c r="I3" s="1093"/>
      <c r="J3" s="207"/>
      <c r="K3" s="1339">
        <v>2021</v>
      </c>
      <c r="L3" s="1339">
        <v>2020</v>
      </c>
      <c r="M3" s="1093"/>
      <c r="N3" s="1506" t="s">
        <v>109</v>
      </c>
      <c r="O3" s="1507"/>
      <c r="P3" s="1412"/>
    </row>
    <row r="4" spans="1:29" s="42" customFormat="1" ht="18.75" x14ac:dyDescent="0.3">
      <c r="A4" s="20"/>
      <c r="B4" s="629" t="s">
        <v>62</v>
      </c>
      <c r="C4" s="629"/>
      <c r="D4" s="629"/>
      <c r="E4" s="629"/>
      <c r="F4" s="1329"/>
      <c r="G4" s="1329">
        <v>2020</v>
      </c>
      <c r="H4" s="1329">
        <v>2021</v>
      </c>
      <c r="I4" s="1093"/>
      <c r="J4" s="173"/>
      <c r="K4" s="1340" t="str">
        <f>+H5</f>
        <v>FEB</v>
      </c>
      <c r="L4" s="1340" t="s">
        <v>1195</v>
      </c>
      <c r="M4" s="168" t="s">
        <v>623</v>
      </c>
      <c r="N4" s="524" t="s">
        <v>434</v>
      </c>
      <c r="O4" s="524" t="s">
        <v>233</v>
      </c>
      <c r="P4" s="573" t="s">
        <v>742</v>
      </c>
      <c r="Q4" s="1336" t="s">
        <v>289</v>
      </c>
      <c r="R4" s="1336" t="s">
        <v>21</v>
      </c>
      <c r="S4" s="1336" t="s">
        <v>21</v>
      </c>
      <c r="T4" s="1336" t="s">
        <v>22</v>
      </c>
      <c r="U4" s="1336" t="s">
        <v>128</v>
      </c>
      <c r="V4" s="1336" t="s">
        <v>24</v>
      </c>
      <c r="W4" s="1336" t="s">
        <v>26</v>
      </c>
    </row>
    <row r="5" spans="1:29" s="42" customFormat="1" ht="18.75" x14ac:dyDescent="0.3">
      <c r="A5" s="20"/>
      <c r="B5" s="629"/>
      <c r="C5" s="629"/>
      <c r="D5" s="629"/>
      <c r="E5" s="629"/>
      <c r="F5" s="1329"/>
      <c r="G5" s="1329" t="s">
        <v>1195</v>
      </c>
      <c r="H5" s="1329" t="s">
        <v>1193</v>
      </c>
      <c r="I5" s="1093"/>
      <c r="J5" s="680" t="s">
        <v>1</v>
      </c>
      <c r="K5" s="661">
        <f>+H9</f>
        <v>1691</v>
      </c>
      <c r="L5" s="661">
        <f>+G9</f>
        <v>800</v>
      </c>
      <c r="M5" s="80">
        <f t="shared" ref="M5:M14" si="0">+L5-K5</f>
        <v>-891</v>
      </c>
      <c r="N5" s="691">
        <v>0</v>
      </c>
      <c r="O5" s="691">
        <v>0</v>
      </c>
      <c r="P5" s="773">
        <f>+M5+O5-N5</f>
        <v>-891</v>
      </c>
      <c r="Q5" s="1337" t="s">
        <v>121</v>
      </c>
      <c r="R5" s="1337" t="s">
        <v>1225</v>
      </c>
      <c r="S5" s="1337" t="s">
        <v>1224</v>
      </c>
      <c r="T5" s="1337" t="s">
        <v>1196</v>
      </c>
      <c r="U5" s="1337" t="s">
        <v>729</v>
      </c>
      <c r="V5" s="1337" t="s">
        <v>334</v>
      </c>
      <c r="W5" s="1337" t="s">
        <v>1197</v>
      </c>
    </row>
    <row r="6" spans="1:29" s="42" customFormat="1" ht="24" customHeight="1" x14ac:dyDescent="0.3">
      <c r="A6" s="20"/>
      <c r="B6" s="629"/>
      <c r="C6" s="629"/>
      <c r="D6" s="629"/>
      <c r="E6" s="629"/>
      <c r="F6" s="1331"/>
      <c r="G6" s="1331" t="s">
        <v>3</v>
      </c>
      <c r="H6" s="1331" t="s">
        <v>3</v>
      </c>
      <c r="I6" s="1093"/>
      <c r="J6" s="680" t="s">
        <v>252</v>
      </c>
      <c r="K6" s="661">
        <f>+H10</f>
        <v>1100</v>
      </c>
      <c r="L6" s="661">
        <f>+G10</f>
        <v>1600</v>
      </c>
      <c r="M6" s="661">
        <f t="shared" si="0"/>
        <v>500</v>
      </c>
      <c r="N6" s="691">
        <v>0</v>
      </c>
      <c r="O6" s="691">
        <v>0</v>
      </c>
      <c r="P6" s="661">
        <f>+M6+O6-N6</f>
        <v>500</v>
      </c>
      <c r="Q6" s="83">
        <f>+P6</f>
        <v>500</v>
      </c>
      <c r="R6" s="83"/>
      <c r="S6" s="83"/>
      <c r="T6" s="83"/>
      <c r="U6" s="178"/>
      <c r="V6" s="83"/>
      <c r="W6" s="83"/>
    </row>
    <row r="7" spans="1:29" s="42" customFormat="1" ht="24" customHeight="1" x14ac:dyDescent="0.3">
      <c r="A7" s="20"/>
      <c r="B7" s="181" t="s">
        <v>56</v>
      </c>
      <c r="C7" s="181"/>
      <c r="D7" s="181"/>
      <c r="E7" s="181"/>
      <c r="F7" s="745"/>
      <c r="G7" s="745"/>
      <c r="H7" s="745"/>
      <c r="I7" s="1093"/>
      <c r="J7" s="680" t="s">
        <v>674</v>
      </c>
      <c r="K7" s="661">
        <f>+H11</f>
        <v>750</v>
      </c>
      <c r="L7" s="661">
        <f>+G11</f>
        <v>780</v>
      </c>
      <c r="M7" s="661">
        <f t="shared" si="0"/>
        <v>30</v>
      </c>
      <c r="N7" s="691">
        <v>0</v>
      </c>
      <c r="O7" s="691">
        <v>0</v>
      </c>
      <c r="P7" s="661">
        <f t="shared" ref="P7:P20" si="1">+M7+O7-N7</f>
        <v>30</v>
      </c>
      <c r="Q7" s="83"/>
      <c r="R7" s="83">
        <f>+P7</f>
        <v>30</v>
      </c>
      <c r="S7" s="83"/>
      <c r="T7" s="83"/>
      <c r="U7" s="178"/>
      <c r="V7" s="83"/>
      <c r="W7" s="83"/>
    </row>
    <row r="8" spans="1:29" s="42" customFormat="1" ht="18.75" x14ac:dyDescent="0.3">
      <c r="A8" s="20"/>
      <c r="B8" s="181" t="s">
        <v>57</v>
      </c>
      <c r="C8" s="181"/>
      <c r="D8" s="181"/>
      <c r="E8" s="181"/>
      <c r="F8" s="745"/>
      <c r="G8" s="745"/>
      <c r="H8" s="745"/>
      <c r="I8" s="1093"/>
      <c r="J8" s="680" t="s">
        <v>373</v>
      </c>
      <c r="K8" s="661">
        <f>+H14</f>
        <v>3400</v>
      </c>
      <c r="L8" s="661">
        <f>+G14</f>
        <v>2432</v>
      </c>
      <c r="M8" s="661">
        <f t="shared" si="0"/>
        <v>-968</v>
      </c>
      <c r="N8" s="691">
        <f>+O18</f>
        <v>180</v>
      </c>
      <c r="O8" s="691">
        <v>0</v>
      </c>
      <c r="P8" s="661">
        <f t="shared" si="1"/>
        <v>-1148</v>
      </c>
      <c r="Q8" s="83"/>
      <c r="R8" s="83"/>
      <c r="S8" s="83"/>
      <c r="T8" s="83"/>
      <c r="U8" s="178">
        <f>+P8</f>
        <v>-1148</v>
      </c>
      <c r="V8" s="83"/>
      <c r="W8" s="83"/>
      <c r="X8" s="241"/>
    </row>
    <row r="9" spans="1:29" s="42" customFormat="1" ht="18.75" x14ac:dyDescent="0.3">
      <c r="A9" s="20"/>
      <c r="B9" s="131" t="s">
        <v>1</v>
      </c>
      <c r="C9" s="131"/>
      <c r="D9" s="131"/>
      <c r="E9" s="131"/>
      <c r="F9" s="175"/>
      <c r="G9" s="175">
        <v>800</v>
      </c>
      <c r="H9" s="175">
        <f>+'168'!I9</f>
        <v>1691</v>
      </c>
      <c r="I9" s="1093"/>
      <c r="J9" s="680" t="s">
        <v>369</v>
      </c>
      <c r="K9" s="661">
        <f>-H18</f>
        <v>-1969</v>
      </c>
      <c r="L9" s="661">
        <f>-G18</f>
        <v>-1400</v>
      </c>
      <c r="M9" s="661">
        <f t="shared" si="0"/>
        <v>569</v>
      </c>
      <c r="N9" s="691">
        <v>0</v>
      </c>
      <c r="O9" s="691">
        <v>0</v>
      </c>
      <c r="P9" s="661">
        <f t="shared" si="1"/>
        <v>569</v>
      </c>
      <c r="Q9" s="83"/>
      <c r="R9" s="83">
        <f>+P9</f>
        <v>569</v>
      </c>
      <c r="S9" s="83"/>
      <c r="T9" s="83"/>
      <c r="U9" s="178"/>
      <c r="V9" s="83"/>
      <c r="W9" s="83"/>
      <c r="X9" s="241"/>
    </row>
    <row r="10" spans="1:29" s="42" customFormat="1" ht="18.75" x14ac:dyDescent="0.3">
      <c r="A10" s="20"/>
      <c r="B10" s="131" t="s">
        <v>252</v>
      </c>
      <c r="C10" s="131"/>
      <c r="D10" s="131"/>
      <c r="E10" s="131"/>
      <c r="F10" s="175"/>
      <c r="G10" s="175">
        <v>1600</v>
      </c>
      <c r="H10" s="175">
        <f>+'168'!I10</f>
        <v>1100</v>
      </c>
      <c r="I10" s="1093"/>
      <c r="J10" s="680" t="s">
        <v>5</v>
      </c>
      <c r="K10" s="661">
        <f>-H19</f>
        <v>-508</v>
      </c>
      <c r="L10" s="661">
        <f>-G19</f>
        <v>-500</v>
      </c>
      <c r="M10" s="661">
        <f t="shared" si="0"/>
        <v>8</v>
      </c>
      <c r="N10" s="691">
        <v>0</v>
      </c>
      <c r="O10" s="691">
        <v>0</v>
      </c>
      <c r="P10" s="661">
        <f t="shared" si="1"/>
        <v>8</v>
      </c>
      <c r="Q10" s="83"/>
      <c r="R10" s="83"/>
      <c r="S10" s="83">
        <f>+P10</f>
        <v>8</v>
      </c>
      <c r="T10" s="83"/>
      <c r="U10" s="178"/>
      <c r="V10" s="83"/>
      <c r="W10" s="83"/>
      <c r="X10" s="241"/>
    </row>
    <row r="11" spans="1:29" s="42" customFormat="1" ht="18.75" x14ac:dyDescent="0.3">
      <c r="A11" s="20"/>
      <c r="B11" s="131" t="s">
        <v>674</v>
      </c>
      <c r="C11" s="131"/>
      <c r="D11" s="131"/>
      <c r="E11" s="131"/>
      <c r="F11" s="175"/>
      <c r="G11" s="175">
        <v>780</v>
      </c>
      <c r="H11" s="175">
        <f>+'168'!I11</f>
        <v>750</v>
      </c>
      <c r="I11" s="1093"/>
      <c r="J11" s="680" t="s">
        <v>23</v>
      </c>
      <c r="K11" s="661">
        <f>-H20</f>
        <v>-72</v>
      </c>
      <c r="L11" s="661">
        <f>-G20</f>
        <v>-90</v>
      </c>
      <c r="M11" s="661">
        <f t="shared" si="0"/>
        <v>-18</v>
      </c>
      <c r="N11" s="691">
        <v>0</v>
      </c>
      <c r="O11" s="691">
        <v>0</v>
      </c>
      <c r="P11" s="661">
        <f t="shared" si="1"/>
        <v>-18</v>
      </c>
      <c r="Q11" s="83"/>
      <c r="R11" s="83"/>
      <c r="S11" s="83"/>
      <c r="T11" s="83">
        <f>+P11</f>
        <v>-18</v>
      </c>
      <c r="U11" s="178"/>
      <c r="V11" s="83"/>
      <c r="W11" s="83"/>
      <c r="X11" s="241"/>
    </row>
    <row r="12" spans="1:29" s="42" customFormat="1" ht="18.75" x14ac:dyDescent="0.3">
      <c r="A12" s="20"/>
      <c r="B12" s="1333"/>
      <c r="C12" s="1333"/>
      <c r="D12" s="1333"/>
      <c r="E12" s="1333"/>
      <c r="F12" s="1334"/>
      <c r="G12" s="1334">
        <f>SUM(G9:G11)</f>
        <v>3180</v>
      </c>
      <c r="H12" s="1334">
        <f>SUM(I9:I11)</f>
        <v>0</v>
      </c>
      <c r="I12" s="1093"/>
      <c r="J12" s="680" t="s">
        <v>7</v>
      </c>
      <c r="K12" s="661">
        <f>-H23</f>
        <v>-1650</v>
      </c>
      <c r="L12" s="661">
        <f>-G23</f>
        <v>-1600</v>
      </c>
      <c r="M12" s="661">
        <f t="shared" si="0"/>
        <v>50</v>
      </c>
      <c r="N12" s="691">
        <v>0</v>
      </c>
      <c r="O12" s="691">
        <v>0</v>
      </c>
      <c r="P12" s="661">
        <f t="shared" si="1"/>
        <v>50</v>
      </c>
      <c r="Q12" s="83"/>
      <c r="R12" s="83"/>
      <c r="S12" s="83"/>
      <c r="T12" s="83"/>
      <c r="U12" s="178"/>
      <c r="V12" s="83">
        <f>+P12</f>
        <v>50</v>
      </c>
      <c r="W12" s="83"/>
      <c r="X12" s="241"/>
    </row>
    <row r="13" spans="1:29" s="42" customFormat="1" ht="18.75" x14ac:dyDescent="0.3">
      <c r="A13" s="20"/>
      <c r="B13" s="181" t="s">
        <v>58</v>
      </c>
      <c r="C13" s="181"/>
      <c r="D13" s="181"/>
      <c r="E13" s="181"/>
      <c r="F13" s="175"/>
      <c r="G13" s="175"/>
      <c r="H13" s="175"/>
      <c r="I13" s="1093"/>
      <c r="J13" s="680" t="s">
        <v>8</v>
      </c>
      <c r="K13" s="661">
        <f>-(+H24-H43)</f>
        <v>-1942</v>
      </c>
      <c r="L13" s="661">
        <f>-G24</f>
        <v>-2022</v>
      </c>
      <c r="M13" s="661">
        <f t="shared" si="0"/>
        <v>-80</v>
      </c>
      <c r="N13" s="691">
        <v>0</v>
      </c>
      <c r="O13" s="691">
        <v>0</v>
      </c>
      <c r="P13" s="661">
        <f t="shared" si="1"/>
        <v>-80</v>
      </c>
      <c r="Q13" s="83"/>
      <c r="R13" s="83"/>
      <c r="S13" s="83"/>
      <c r="T13" s="83"/>
      <c r="U13" s="178"/>
      <c r="V13" s="83"/>
      <c r="W13" s="83">
        <f>+P13</f>
        <v>-80</v>
      </c>
      <c r="X13" s="241"/>
    </row>
    <row r="14" spans="1:29" s="42" customFormat="1" ht="18.75" x14ac:dyDescent="0.3">
      <c r="A14" s="20"/>
      <c r="B14" s="131" t="s">
        <v>373</v>
      </c>
      <c r="C14" s="131"/>
      <c r="D14" s="131"/>
      <c r="E14" s="131"/>
      <c r="F14" s="175"/>
      <c r="G14" s="175">
        <v>2432</v>
      </c>
      <c r="H14" s="175">
        <f>+'168'!I14</f>
        <v>3400</v>
      </c>
      <c r="I14" s="1093"/>
      <c r="J14" s="680" t="s">
        <v>9</v>
      </c>
      <c r="K14" s="661">
        <f>-H33</f>
        <v>-3163</v>
      </c>
      <c r="L14" s="661"/>
      <c r="M14" s="661">
        <f t="shared" si="0"/>
        <v>3163</v>
      </c>
      <c r="N14" s="691">
        <v>0</v>
      </c>
      <c r="O14" s="691">
        <v>0</v>
      </c>
      <c r="P14" s="661">
        <f t="shared" si="1"/>
        <v>3163</v>
      </c>
      <c r="Q14" s="83">
        <f>+P14</f>
        <v>3163</v>
      </c>
      <c r="R14" s="83"/>
      <c r="S14" s="83"/>
      <c r="T14" s="83"/>
      <c r="U14" s="178"/>
      <c r="V14" s="83"/>
      <c r="W14" s="83"/>
      <c r="X14" s="241"/>
    </row>
    <row r="15" spans="1:29" s="42" customFormat="1" ht="18.75" x14ac:dyDescent="0.3">
      <c r="A15" s="20"/>
      <c r="B15" s="1333" t="s">
        <v>54</v>
      </c>
      <c r="C15" s="1333"/>
      <c r="D15" s="1333"/>
      <c r="E15" s="1333"/>
      <c r="F15" s="1334"/>
      <c r="G15" s="1334">
        <f>+G12+G14</f>
        <v>5612</v>
      </c>
      <c r="H15" s="1334">
        <f>+I12+I14</f>
        <v>0</v>
      </c>
      <c r="I15" s="1093"/>
      <c r="J15" s="680" t="s">
        <v>10</v>
      </c>
      <c r="K15" s="661"/>
      <c r="L15" s="661"/>
      <c r="M15" s="661"/>
      <c r="N15" s="691">
        <v>0</v>
      </c>
      <c r="O15" s="691">
        <v>0</v>
      </c>
      <c r="P15" s="661">
        <f t="shared" si="1"/>
        <v>0</v>
      </c>
      <c r="Q15" s="83"/>
      <c r="R15" s="83"/>
      <c r="S15" s="83"/>
      <c r="T15" s="83"/>
      <c r="U15" s="178"/>
      <c r="V15" s="83"/>
      <c r="W15" s="83"/>
      <c r="X15" s="241"/>
    </row>
    <row r="16" spans="1:29" s="42" customFormat="1" ht="18.75" x14ac:dyDescent="0.3">
      <c r="A16" s="20"/>
      <c r="B16" s="181" t="s">
        <v>59</v>
      </c>
      <c r="C16" s="181"/>
      <c r="D16" s="181"/>
      <c r="E16" s="181"/>
      <c r="F16" s="1332"/>
      <c r="G16" s="1332"/>
      <c r="H16" s="1332"/>
      <c r="I16" s="1093"/>
      <c r="J16" s="680" t="s">
        <v>253</v>
      </c>
      <c r="K16" s="661">
        <f>-H34</f>
        <v>1750</v>
      </c>
      <c r="L16" s="661"/>
      <c r="M16" s="661">
        <f>+L16-K16</f>
        <v>-1750</v>
      </c>
      <c r="N16" s="691">
        <v>0</v>
      </c>
      <c r="O16" s="691">
        <v>0</v>
      </c>
      <c r="P16" s="661">
        <f t="shared" si="1"/>
        <v>-1750</v>
      </c>
      <c r="Q16" s="83"/>
      <c r="R16" s="83">
        <f>+P16</f>
        <v>-1750</v>
      </c>
      <c r="S16" s="83"/>
      <c r="T16" s="83"/>
      <c r="U16" s="178"/>
      <c r="V16" s="83"/>
      <c r="W16" s="83"/>
      <c r="X16" s="241"/>
    </row>
    <row r="17" spans="1:32" s="42" customFormat="1" ht="18.75" x14ac:dyDescent="0.3">
      <c r="A17" s="20"/>
      <c r="B17" s="181" t="s">
        <v>61</v>
      </c>
      <c r="C17" s="181"/>
      <c r="D17" s="181"/>
      <c r="E17" s="181"/>
      <c r="F17" s="745"/>
      <c r="G17" s="745"/>
      <c r="H17" s="181"/>
      <c r="I17" s="1093"/>
      <c r="J17" s="680" t="s">
        <v>11</v>
      </c>
      <c r="K17" s="661">
        <f>-H37</f>
        <v>213</v>
      </c>
      <c r="L17" s="661"/>
      <c r="M17" s="661">
        <f>+L17-K17</f>
        <v>-213</v>
      </c>
      <c r="N17" s="691">
        <v>0</v>
      </c>
      <c r="O17" s="691">
        <v>0</v>
      </c>
      <c r="P17" s="661">
        <f t="shared" si="1"/>
        <v>-213</v>
      </c>
      <c r="Q17" s="83"/>
      <c r="R17" s="83"/>
      <c r="S17" s="83">
        <f>+P17</f>
        <v>-213</v>
      </c>
      <c r="T17" s="83"/>
      <c r="U17" s="178"/>
      <c r="V17" s="83"/>
      <c r="W17" s="83"/>
      <c r="X17" s="241"/>
    </row>
    <row r="18" spans="1:32" s="42" customFormat="1" ht="18.75" x14ac:dyDescent="0.3">
      <c r="A18" s="7"/>
      <c r="B18" s="131" t="s">
        <v>4</v>
      </c>
      <c r="C18" s="131"/>
      <c r="D18" s="131"/>
      <c r="E18" s="131"/>
      <c r="F18" s="175"/>
      <c r="G18" s="175">
        <v>1400</v>
      </c>
      <c r="H18" s="175">
        <f>+'168'!I18</f>
        <v>1969</v>
      </c>
      <c r="I18" s="1093"/>
      <c r="J18" s="680" t="s">
        <v>38</v>
      </c>
      <c r="K18" s="661">
        <f>-H38</f>
        <v>180</v>
      </c>
      <c r="L18" s="661"/>
      <c r="M18" s="661">
        <f>+L18-K18</f>
        <v>-180</v>
      </c>
      <c r="N18" s="691">
        <v>0</v>
      </c>
      <c r="O18" s="691">
        <f>-M18</f>
        <v>180</v>
      </c>
      <c r="P18" s="661">
        <f t="shared" si="1"/>
        <v>0</v>
      </c>
      <c r="Q18" s="83"/>
      <c r="R18" s="83"/>
      <c r="S18" s="83"/>
      <c r="T18" s="83"/>
      <c r="U18" s="178"/>
      <c r="V18" s="83"/>
      <c r="W18" s="83"/>
      <c r="X18" s="241"/>
    </row>
    <row r="19" spans="1:32" s="42" customFormat="1" ht="18.75" x14ac:dyDescent="0.3">
      <c r="A19" s="7"/>
      <c r="B19" s="131" t="s">
        <v>5</v>
      </c>
      <c r="C19" s="131"/>
      <c r="D19" s="131"/>
      <c r="E19" s="131"/>
      <c r="F19" s="175"/>
      <c r="G19" s="175">
        <v>500</v>
      </c>
      <c r="H19" s="175">
        <f>+'168'!I19</f>
        <v>508</v>
      </c>
      <c r="I19" s="1093"/>
      <c r="J19" s="680" t="s">
        <v>12</v>
      </c>
      <c r="K19" s="661">
        <f>-H39</f>
        <v>145</v>
      </c>
      <c r="L19" s="661"/>
      <c r="M19" s="661">
        <f>+L19-K19</f>
        <v>-145</v>
      </c>
      <c r="N19" s="691">
        <v>0</v>
      </c>
      <c r="O19" s="691">
        <v>0</v>
      </c>
      <c r="P19" s="661">
        <f t="shared" si="1"/>
        <v>-145</v>
      </c>
      <c r="Q19" s="83"/>
      <c r="R19" s="83">
        <f>+P19</f>
        <v>-145</v>
      </c>
      <c r="S19" s="83"/>
      <c r="T19" s="83"/>
      <c r="U19" s="178"/>
      <c r="V19" s="83"/>
      <c r="W19" s="83"/>
      <c r="X19" s="241"/>
    </row>
    <row r="20" spans="1:32" s="42" customFormat="1" ht="18.75" x14ac:dyDescent="0.3">
      <c r="A20" s="7"/>
      <c r="B20" s="131" t="s">
        <v>23</v>
      </c>
      <c r="C20" s="131"/>
      <c r="D20" s="131"/>
      <c r="E20" s="131"/>
      <c r="F20" s="175"/>
      <c r="G20" s="175">
        <v>90</v>
      </c>
      <c r="H20" s="175">
        <f>+'168'!I20</f>
        <v>72</v>
      </c>
      <c r="I20" s="1093"/>
      <c r="J20" s="680" t="s">
        <v>15</v>
      </c>
      <c r="K20" s="661">
        <f>-H42</f>
        <v>75</v>
      </c>
      <c r="L20" s="661"/>
      <c r="M20" s="661">
        <f>+L20-K20</f>
        <v>-75</v>
      </c>
      <c r="N20" s="691">
        <v>0</v>
      </c>
      <c r="O20" s="691">
        <v>0</v>
      </c>
      <c r="P20" s="661">
        <f t="shared" si="1"/>
        <v>-75</v>
      </c>
      <c r="Q20" s="83"/>
      <c r="R20" s="83"/>
      <c r="S20" s="83"/>
      <c r="T20" s="83">
        <f>+P20</f>
        <v>-75</v>
      </c>
      <c r="U20" s="178"/>
      <c r="V20" s="83"/>
      <c r="W20" s="83"/>
      <c r="X20" s="241"/>
    </row>
    <row r="21" spans="1:32" s="42" customFormat="1" ht="18.75" x14ac:dyDescent="0.3">
      <c r="A21" s="3"/>
      <c r="B21" s="1333" t="s">
        <v>55</v>
      </c>
      <c r="C21" s="1333"/>
      <c r="D21" s="1333"/>
      <c r="E21" s="1333"/>
      <c r="F21" s="1334"/>
      <c r="G21" s="1334">
        <f>SUM(G18:G20)</f>
        <v>1990</v>
      </c>
      <c r="H21" s="1334">
        <f>SUM(I18:I20)</f>
        <v>0</v>
      </c>
      <c r="I21" s="1093"/>
      <c r="J21" s="774"/>
      <c r="K21" s="137">
        <f t="shared" ref="K21:P21" si="2">SUM(K5:K20)</f>
        <v>0</v>
      </c>
      <c r="L21" s="137">
        <f t="shared" si="2"/>
        <v>0</v>
      </c>
      <c r="M21" s="137">
        <f t="shared" si="2"/>
        <v>0</v>
      </c>
      <c r="N21" s="155">
        <f t="shared" si="2"/>
        <v>180</v>
      </c>
      <c r="O21" s="155">
        <f t="shared" si="2"/>
        <v>180</v>
      </c>
      <c r="P21" s="137">
        <f t="shared" si="2"/>
        <v>0</v>
      </c>
      <c r="Q21" s="692">
        <f>SUM(Q6:Q20)</f>
        <v>3663</v>
      </c>
      <c r="R21" s="693">
        <f t="shared" ref="R21:W21" si="3">SUM(R6:R20)</f>
        <v>-1296</v>
      </c>
      <c r="S21" s="693">
        <f t="shared" si="3"/>
        <v>-205</v>
      </c>
      <c r="T21" s="693">
        <f t="shared" si="3"/>
        <v>-93</v>
      </c>
      <c r="U21" s="693">
        <f t="shared" si="3"/>
        <v>-1148</v>
      </c>
      <c r="V21" s="692">
        <f t="shared" si="3"/>
        <v>50</v>
      </c>
      <c r="W21" s="693">
        <f t="shared" si="3"/>
        <v>-80</v>
      </c>
      <c r="X21" s="241"/>
    </row>
    <row r="22" spans="1:32" s="42" customFormat="1" ht="18.75" x14ac:dyDescent="0.3">
      <c r="A22" s="3"/>
      <c r="B22" s="131"/>
      <c r="C22" s="131"/>
      <c r="D22" s="131"/>
      <c r="E22" s="131"/>
      <c r="F22" s="175"/>
      <c r="G22" s="175"/>
      <c r="H22" s="131"/>
      <c r="I22" s="1093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 s="241"/>
    </row>
    <row r="23" spans="1:32" s="42" customFormat="1" ht="18.75" x14ac:dyDescent="0.3">
      <c r="A23" s="3"/>
      <c r="B23" s="131" t="s">
        <v>7</v>
      </c>
      <c r="C23" s="131"/>
      <c r="D23" s="131"/>
      <c r="E23" s="131"/>
      <c r="F23" s="175"/>
      <c r="G23" s="175">
        <v>1600</v>
      </c>
      <c r="H23" s="175">
        <f>+'168'!I23</f>
        <v>1650</v>
      </c>
      <c r="I23" s="1093"/>
      <c r="J23"/>
      <c r="K23"/>
      <c r="L23"/>
      <c r="R23" s="672"/>
      <c r="S23"/>
      <c r="T23"/>
      <c r="V23"/>
      <c r="W23"/>
      <c r="X23" s="241"/>
    </row>
    <row r="24" spans="1:32" s="42" customFormat="1" ht="18.75" x14ac:dyDescent="0.3">
      <c r="A24" s="3"/>
      <c r="B24" s="131" t="s">
        <v>8</v>
      </c>
      <c r="C24" s="131"/>
      <c r="D24" s="131"/>
      <c r="E24" s="131"/>
      <c r="F24" s="175"/>
      <c r="G24" s="175">
        <v>2022</v>
      </c>
      <c r="H24" s="175">
        <f>+'168'!I24</f>
        <v>2742</v>
      </c>
      <c r="I24" s="1093"/>
      <c r="J24"/>
      <c r="K24"/>
      <c r="L24"/>
      <c r="M24"/>
      <c r="R24" s="672"/>
      <c r="S24"/>
      <c r="T24"/>
      <c r="W24" s="270" t="s">
        <v>368</v>
      </c>
      <c r="X24" s="108"/>
      <c r="Y24" s="108"/>
      <c r="Z24" s="108"/>
      <c r="AA24" s="108"/>
      <c r="AB24" s="108"/>
      <c r="AC24" s="108"/>
    </row>
    <row r="25" spans="1:32" s="42" customFormat="1" ht="18.75" x14ac:dyDescent="0.3">
      <c r="A25" s="3"/>
      <c r="B25" s="1333" t="s">
        <v>81</v>
      </c>
      <c r="C25" s="1333"/>
      <c r="D25" s="1333"/>
      <c r="E25" s="1333"/>
      <c r="F25" s="1334"/>
      <c r="G25" s="1334">
        <f>SUM(G23:G24)</f>
        <v>3622</v>
      </c>
      <c r="H25" s="1334">
        <f>SUM(I23:I24)</f>
        <v>0</v>
      </c>
      <c r="I25" s="1093"/>
      <c r="J25"/>
      <c r="K25"/>
      <c r="L25"/>
      <c r="M25"/>
      <c r="R25" s="672"/>
      <c r="S25"/>
      <c r="T25"/>
      <c r="W25" s="270" t="s">
        <v>1199</v>
      </c>
      <c r="X25" s="108"/>
      <c r="Y25" s="108"/>
      <c r="Z25" s="108"/>
      <c r="AA25" s="1236" t="s">
        <v>1201</v>
      </c>
      <c r="AB25" s="1236" t="s">
        <v>1202</v>
      </c>
      <c r="AC25" s="1236" t="s">
        <v>1203</v>
      </c>
    </row>
    <row r="26" spans="1:32" s="42" customFormat="1" ht="18.75" x14ac:dyDescent="0.3">
      <c r="A26" s="3"/>
      <c r="B26" s="1333" t="s">
        <v>82</v>
      </c>
      <c r="C26" s="1333"/>
      <c r="D26" s="1333"/>
      <c r="E26" s="1333"/>
      <c r="F26" s="1334"/>
      <c r="G26" s="1334">
        <f>+G21+G25</f>
        <v>5612</v>
      </c>
      <c r="H26" s="1334">
        <f>+I21+I25</f>
        <v>0</v>
      </c>
      <c r="I26" s="1093"/>
      <c r="J26"/>
      <c r="K26"/>
      <c r="L26"/>
      <c r="M26"/>
      <c r="N26"/>
      <c r="R26" s="672"/>
      <c r="S26"/>
      <c r="T26"/>
      <c r="W26" s="108"/>
      <c r="X26" s="108"/>
      <c r="Y26" s="108"/>
      <c r="Z26" s="108"/>
      <c r="AA26" s="1236" t="s">
        <v>1213</v>
      </c>
      <c r="AB26" s="1236" t="s">
        <v>1226</v>
      </c>
      <c r="AC26" s="1236" t="s">
        <v>1214</v>
      </c>
    </row>
    <row r="27" spans="1:32" s="42" customFormat="1" ht="18.75" x14ac:dyDescent="0.3">
      <c r="A27" s="3"/>
      <c r="B27" s="3"/>
      <c r="C27" s="3"/>
      <c r="D27" s="3"/>
      <c r="E27" s="3"/>
      <c r="F27" s="3"/>
      <c r="G27" s="180">
        <f>+G15-G26</f>
        <v>0</v>
      </c>
      <c r="H27" s="180">
        <f>+I15-I26</f>
        <v>0</v>
      </c>
      <c r="I27" s="1093"/>
      <c r="J27"/>
      <c r="K27"/>
      <c r="L27"/>
      <c r="M27"/>
      <c r="N27"/>
      <c r="R27" s="672"/>
      <c r="S27"/>
      <c r="T27"/>
      <c r="W27" s="685" t="s">
        <v>51</v>
      </c>
      <c r="X27" s="633"/>
      <c r="Y27" s="633"/>
      <c r="Z27" s="633"/>
      <c r="AA27" s="633"/>
      <c r="AB27" s="633"/>
      <c r="AC27" s="633"/>
      <c r="AD27"/>
      <c r="AE27"/>
    </row>
    <row r="28" spans="1:32" s="42" customFormat="1" ht="18.75" x14ac:dyDescent="0.3">
      <c r="A28" s="3"/>
      <c r="B28" s="3"/>
      <c r="C28" s="3"/>
      <c r="D28" s="3"/>
      <c r="E28" s="3"/>
      <c r="F28" s="3"/>
      <c r="G28" s="3"/>
      <c r="H28" s="3"/>
      <c r="I28" s="1093"/>
      <c r="J28"/>
      <c r="K28"/>
      <c r="L28"/>
      <c r="M28"/>
      <c r="N28"/>
      <c r="R28" s="672"/>
      <c r="S28"/>
      <c r="T28"/>
      <c r="W28" s="633" t="s">
        <v>248</v>
      </c>
      <c r="X28" s="633"/>
      <c r="Y28" s="633"/>
      <c r="Z28" s="633"/>
      <c r="AA28" s="642">
        <f>+'169-170'!AA26</f>
        <v>1908</v>
      </c>
      <c r="AB28" s="642">
        <f>+Q21</f>
        <v>3663</v>
      </c>
      <c r="AC28" s="642"/>
      <c r="AD28"/>
      <c r="AE28"/>
    </row>
    <row r="29" spans="1:32" s="42" customFormat="1" ht="18.75" x14ac:dyDescent="0.3">
      <c r="A29"/>
      <c r="B29" s="1328" t="s">
        <v>372</v>
      </c>
      <c r="C29" s="1328"/>
      <c r="D29" s="1328"/>
      <c r="E29" s="1328"/>
      <c r="F29" s="1328"/>
      <c r="G29" s="1328"/>
      <c r="H29" s="1329">
        <v>2021</v>
      </c>
      <c r="J29"/>
      <c r="K29"/>
      <c r="L29"/>
      <c r="M29"/>
      <c r="N29"/>
      <c r="R29" s="672"/>
      <c r="S29"/>
      <c r="T29"/>
      <c r="W29" s="633" t="s">
        <v>138</v>
      </c>
      <c r="X29" s="633"/>
      <c r="Y29" s="633"/>
      <c r="Z29" s="633"/>
      <c r="AA29" s="642">
        <f>+'169-170'!AA27</f>
        <v>-297</v>
      </c>
      <c r="AB29" s="642">
        <f>+R21</f>
        <v>-1296</v>
      </c>
      <c r="AC29" s="642"/>
      <c r="AD29"/>
      <c r="AE29"/>
      <c r="AF29"/>
    </row>
    <row r="30" spans="1:32" ht="18.75" x14ac:dyDescent="0.3">
      <c r="B30" s="1328"/>
      <c r="C30" s="1328"/>
      <c r="D30" s="1328"/>
      <c r="E30" s="1328"/>
      <c r="F30" s="1328"/>
      <c r="G30" s="1328"/>
      <c r="H30" s="1329" t="str">
        <f>+H5</f>
        <v>FEB</v>
      </c>
      <c r="I30" s="42"/>
      <c r="J30"/>
      <c r="K30"/>
      <c r="L30"/>
      <c r="M30"/>
      <c r="N30"/>
      <c r="S30"/>
      <c r="T30"/>
      <c r="W30" s="633" t="s">
        <v>1200</v>
      </c>
      <c r="X30" s="633"/>
      <c r="Y30" s="633"/>
      <c r="Z30" s="633"/>
      <c r="AA30" s="642">
        <f>+'169-170'!AA28</f>
        <v>-103</v>
      </c>
      <c r="AB30" s="642">
        <f>+S21</f>
        <v>-205</v>
      </c>
      <c r="AC30" s="642"/>
    </row>
    <row r="31" spans="1:32" ht="18.75" x14ac:dyDescent="0.3">
      <c r="B31" s="1328"/>
      <c r="C31" s="1328"/>
      <c r="D31" s="1328"/>
      <c r="E31" s="1328"/>
      <c r="F31" s="1328"/>
      <c r="G31" s="1328"/>
      <c r="H31" s="1331" t="s">
        <v>3</v>
      </c>
      <c r="I31" s="42"/>
      <c r="J31"/>
      <c r="K31"/>
      <c r="L31"/>
      <c r="M31"/>
      <c r="N31"/>
      <c r="S31"/>
      <c r="T31"/>
      <c r="W31" s="633" t="s">
        <v>137</v>
      </c>
      <c r="X31" s="633"/>
      <c r="Y31" s="633"/>
      <c r="Z31" s="633"/>
      <c r="AA31" s="642">
        <f>+'169-170'!AA29</f>
        <v>-60</v>
      </c>
      <c r="AB31" s="642">
        <f>+T21</f>
        <v>-93</v>
      </c>
      <c r="AC31" s="642"/>
    </row>
    <row r="32" spans="1:32" ht="18.75" x14ac:dyDescent="0.3">
      <c r="B32" s="175"/>
      <c r="C32" s="175"/>
      <c r="D32" s="175"/>
      <c r="E32" s="175"/>
      <c r="F32" s="175"/>
      <c r="G32" s="175"/>
      <c r="H32" s="175"/>
      <c r="I32" s="42"/>
      <c r="J32"/>
      <c r="K32"/>
      <c r="L32"/>
      <c r="M32"/>
      <c r="N32"/>
      <c r="S32"/>
      <c r="T32"/>
      <c r="W32" s="16" t="s">
        <v>719</v>
      </c>
      <c r="X32" s="17"/>
      <c r="Y32" s="17"/>
      <c r="Z32" s="17"/>
      <c r="AA32" s="48"/>
      <c r="AB32" s="48"/>
      <c r="AC32" s="48"/>
    </row>
    <row r="33" spans="2:29" ht="18.75" x14ac:dyDescent="0.3">
      <c r="B33" s="131" t="s">
        <v>9</v>
      </c>
      <c r="C33" s="131"/>
      <c r="D33" s="175"/>
      <c r="E33" s="175"/>
      <c r="F33" s="175"/>
      <c r="G33" s="175"/>
      <c r="H33" s="132">
        <f>+'168'!I33</f>
        <v>3163</v>
      </c>
      <c r="I33" s="42"/>
      <c r="J33"/>
      <c r="K33"/>
      <c r="L33"/>
      <c r="M33"/>
      <c r="N33"/>
      <c r="S33"/>
      <c r="T33"/>
      <c r="W33" s="16" t="s">
        <v>1205</v>
      </c>
      <c r="X33" s="17"/>
      <c r="Y33" s="17"/>
      <c r="Z33" s="17"/>
      <c r="AA33" s="48">
        <f>SUM(AA28:AA31)</f>
        <v>1448</v>
      </c>
      <c r="AB33" s="48">
        <f>SUM(AB28:AB31)</f>
        <v>2069</v>
      </c>
      <c r="AC33" s="48"/>
    </row>
    <row r="34" spans="2:29" ht="18.75" x14ac:dyDescent="0.3">
      <c r="B34" s="131" t="s">
        <v>10</v>
      </c>
      <c r="C34" s="131"/>
      <c r="D34" s="175"/>
      <c r="E34" s="175"/>
      <c r="F34" s="175"/>
      <c r="G34" s="175"/>
      <c r="H34" s="132">
        <f>+'168'!I34</f>
        <v>-1750</v>
      </c>
      <c r="J34"/>
      <c r="K34"/>
      <c r="L34"/>
      <c r="M34"/>
      <c r="N34"/>
      <c r="S34"/>
      <c r="T34"/>
      <c r="W34" s="685" t="s">
        <v>52</v>
      </c>
      <c r="X34" s="633"/>
      <c r="Y34" s="633"/>
      <c r="Z34" s="633"/>
      <c r="AA34" s="633"/>
      <c r="AB34" s="633"/>
      <c r="AC34" s="633"/>
    </row>
    <row r="35" spans="2:29" ht="18.75" x14ac:dyDescent="0.3">
      <c r="B35" s="1333" t="s">
        <v>13</v>
      </c>
      <c r="C35" s="1333"/>
      <c r="D35" s="1335"/>
      <c r="E35" s="1335"/>
      <c r="F35" s="1335"/>
      <c r="G35" s="1335"/>
      <c r="H35" s="1334">
        <f>+H33+H34</f>
        <v>1413</v>
      </c>
      <c r="J35"/>
      <c r="K35"/>
      <c r="L35"/>
      <c r="M35"/>
      <c r="N35"/>
      <c r="S35"/>
      <c r="T35"/>
      <c r="W35" s="633" t="s">
        <v>280</v>
      </c>
      <c r="X35" s="633"/>
      <c r="Y35" s="633"/>
      <c r="Z35" s="633"/>
      <c r="AA35" s="642">
        <f>+'169-170'!AA33</f>
        <v>-1004</v>
      </c>
      <c r="AB35" s="642">
        <f>+U21</f>
        <v>-1148</v>
      </c>
      <c r="AC35" s="642"/>
    </row>
    <row r="36" spans="2:29" ht="18.75" x14ac:dyDescent="0.3">
      <c r="B36" s="181"/>
      <c r="C36" s="181"/>
      <c r="D36" s="175"/>
      <c r="E36" s="175"/>
      <c r="F36" s="175"/>
      <c r="G36" s="175"/>
      <c r="H36" s="180"/>
      <c r="J36"/>
      <c r="K36"/>
      <c r="L36"/>
      <c r="M36"/>
      <c r="N36"/>
      <c r="S36"/>
      <c r="T36"/>
      <c r="W36" s="16" t="s">
        <v>719</v>
      </c>
      <c r="X36" s="17"/>
      <c r="Y36" s="17"/>
      <c r="Z36" s="17"/>
      <c r="AA36" s="48"/>
      <c r="AB36" s="48"/>
      <c r="AC36" s="48"/>
    </row>
    <row r="37" spans="2:29" ht="18.75" x14ac:dyDescent="0.3">
      <c r="B37" s="131" t="s">
        <v>44</v>
      </c>
      <c r="C37" s="131"/>
      <c r="D37" s="175"/>
      <c r="E37" s="175"/>
      <c r="F37" s="175"/>
      <c r="G37" s="175"/>
      <c r="H37" s="132">
        <f>+'168'!I37</f>
        <v>-213</v>
      </c>
      <c r="J37"/>
      <c r="K37"/>
      <c r="L37"/>
      <c r="M37"/>
      <c r="N37"/>
      <c r="S37"/>
      <c r="T37"/>
      <c r="W37" s="16" t="s">
        <v>1206</v>
      </c>
      <c r="X37" s="17"/>
      <c r="Y37" s="17"/>
      <c r="Z37" s="17"/>
      <c r="AA37" s="48">
        <f>+AA35</f>
        <v>-1004</v>
      </c>
      <c r="AB37" s="48">
        <f>+AB35</f>
        <v>-1148</v>
      </c>
      <c r="AC37" s="48"/>
    </row>
    <row r="38" spans="2:29" ht="18.75" x14ac:dyDescent="0.3">
      <c r="B38" s="131" t="s">
        <v>38</v>
      </c>
      <c r="C38" s="131"/>
      <c r="D38" s="175"/>
      <c r="E38" s="175"/>
      <c r="F38" s="175"/>
      <c r="G38" s="175"/>
      <c r="H38" s="132">
        <f>+'168'!I38</f>
        <v>-180</v>
      </c>
      <c r="J38"/>
      <c r="N38"/>
      <c r="S38"/>
      <c r="T38"/>
      <c r="W38" s="685" t="s">
        <v>74</v>
      </c>
      <c r="X38" s="633"/>
      <c r="Y38" s="633"/>
      <c r="Z38" s="633"/>
      <c r="AA38" s="633"/>
      <c r="AB38" s="633"/>
      <c r="AC38" s="633"/>
    </row>
    <row r="39" spans="2:29" ht="18.75" x14ac:dyDescent="0.3">
      <c r="B39" s="131" t="s">
        <v>12</v>
      </c>
      <c r="C39" s="131"/>
      <c r="D39" s="180"/>
      <c r="E39" s="180"/>
      <c r="F39" s="180"/>
      <c r="G39" s="180"/>
      <c r="H39" s="132">
        <f>+'168'!I39</f>
        <v>-145</v>
      </c>
      <c r="J39"/>
      <c r="N39"/>
      <c r="S39"/>
      <c r="T39"/>
      <c r="W39" s="633" t="s">
        <v>283</v>
      </c>
      <c r="X39" s="633"/>
      <c r="Y39" s="633"/>
      <c r="Z39" s="633"/>
      <c r="AA39" s="642">
        <f>+'169-170'!AA37</f>
        <v>50</v>
      </c>
      <c r="AB39" s="642">
        <f>+V21</f>
        <v>50</v>
      </c>
      <c r="AC39" s="642"/>
    </row>
    <row r="40" spans="2:29" ht="18.75" x14ac:dyDescent="0.3">
      <c r="B40" s="1333" t="s">
        <v>14</v>
      </c>
      <c r="C40" s="1333"/>
      <c r="D40" s="1335"/>
      <c r="E40" s="1335"/>
      <c r="F40" s="1335"/>
      <c r="G40" s="1335"/>
      <c r="H40" s="1334">
        <f>SUM(H35:H39)</f>
        <v>875</v>
      </c>
      <c r="J40"/>
      <c r="N40"/>
      <c r="S40"/>
      <c r="T40"/>
      <c r="W40" s="633" t="s">
        <v>142</v>
      </c>
      <c r="X40" s="633"/>
      <c r="Y40" s="633"/>
      <c r="Z40" s="633"/>
      <c r="AA40" s="642">
        <f>+'169-170'!AA38</f>
        <v>-80</v>
      </c>
      <c r="AB40" s="642">
        <f>+W21</f>
        <v>-80</v>
      </c>
      <c r="AC40" s="642"/>
    </row>
    <row r="41" spans="2:29" ht="18.75" x14ac:dyDescent="0.3">
      <c r="B41" s="131"/>
      <c r="C41" s="131"/>
      <c r="D41" s="131"/>
      <c r="E41" s="131"/>
      <c r="F41" s="131"/>
      <c r="G41" s="131"/>
      <c r="H41" s="132"/>
      <c r="J41"/>
      <c r="S41"/>
      <c r="T41"/>
      <c r="W41" s="16" t="s">
        <v>719</v>
      </c>
      <c r="X41" s="17"/>
      <c r="Y41" s="17"/>
      <c r="Z41" s="17"/>
      <c r="AA41" s="48"/>
      <c r="AB41" s="48"/>
      <c r="AC41" s="48"/>
    </row>
    <row r="42" spans="2:29" ht="18.75" x14ac:dyDescent="0.3">
      <c r="B42" s="131" t="s">
        <v>15</v>
      </c>
      <c r="C42" s="131"/>
      <c r="D42" s="175"/>
      <c r="E42" s="175"/>
      <c r="F42" s="175"/>
      <c r="G42" s="175"/>
      <c r="H42" s="132">
        <f>+'168'!I42</f>
        <v>-75</v>
      </c>
      <c r="J42"/>
      <c r="S42"/>
      <c r="T42"/>
      <c r="W42" s="16" t="s">
        <v>1207</v>
      </c>
      <c r="X42" s="17"/>
      <c r="Y42" s="17"/>
      <c r="Z42" s="17"/>
      <c r="AA42" s="48">
        <f>SUM(AA39:AA40)</f>
        <v>-30</v>
      </c>
      <c r="AB42" s="48">
        <f>SUM(AB39:AB40)</f>
        <v>-30</v>
      </c>
      <c r="AC42" s="48"/>
    </row>
    <row r="43" spans="2:29" ht="18.75" x14ac:dyDescent="0.3">
      <c r="B43" s="1333" t="s">
        <v>16</v>
      </c>
      <c r="C43" s="1333"/>
      <c r="D43" s="1335"/>
      <c r="E43" s="1335"/>
      <c r="F43" s="1335"/>
      <c r="G43" s="1335"/>
      <c r="H43" s="1334">
        <f>+H40+H42</f>
        <v>800</v>
      </c>
      <c r="J43"/>
      <c r="S43"/>
      <c r="T43"/>
      <c r="W43" s="522" t="s">
        <v>286</v>
      </c>
      <c r="X43" s="215"/>
      <c r="Y43" s="215"/>
      <c r="Z43" s="215"/>
      <c r="AA43" s="1341">
        <f>+AA33+AA37+AA42</f>
        <v>414</v>
      </c>
      <c r="AB43" s="1341">
        <f>+AB33+AB37+AB42</f>
        <v>891</v>
      </c>
      <c r="AC43" s="1341"/>
    </row>
    <row r="44" spans="2:29" ht="18.75" x14ac:dyDescent="0.3">
      <c r="J44"/>
      <c r="S44"/>
      <c r="T44"/>
      <c r="W44" s="1342" t="s">
        <v>47</v>
      </c>
      <c r="X44" s="1342"/>
      <c r="Y44" s="1342"/>
      <c r="Z44" s="1342"/>
      <c r="AA44" s="1345">
        <f>+L5</f>
        <v>800</v>
      </c>
      <c r="AB44" s="1345">
        <f>+AA44</f>
        <v>800</v>
      </c>
      <c r="AC44" s="1343"/>
    </row>
    <row r="45" spans="2:29" ht="18.75" x14ac:dyDescent="0.3">
      <c r="J45"/>
      <c r="S45"/>
      <c r="T45"/>
      <c r="W45" s="1344" t="s">
        <v>49</v>
      </c>
      <c r="X45" s="1342"/>
      <c r="Y45" s="1342"/>
      <c r="Z45" s="1342"/>
      <c r="AA45" s="1343">
        <f>+AA43+AA44</f>
        <v>1214</v>
      </c>
      <c r="AB45" s="1343">
        <f>+AB43+AB44</f>
        <v>1691</v>
      </c>
      <c r="AC45" s="1343"/>
    </row>
    <row r="46" spans="2:29" ht="18.75" x14ac:dyDescent="0.3">
      <c r="S46" s="3"/>
      <c r="T46" s="3"/>
      <c r="U46" s="20"/>
      <c r="W46"/>
      <c r="X46"/>
      <c r="Y46"/>
      <c r="Z46"/>
      <c r="AA46" s="20"/>
      <c r="AB46" s="1168">
        <f>+AB45-K5</f>
        <v>0</v>
      </c>
    </row>
    <row r="47" spans="2:29" ht="18.75" hidden="1" x14ac:dyDescent="0.3"/>
    <row r="48" spans="2:29" ht="18.75" hidden="1" x14ac:dyDescent="0.3"/>
    <row r="49" ht="18.75" hidden="1" x14ac:dyDescent="0.3"/>
    <row r="50" ht="18.75" hidden="1" x14ac:dyDescent="0.3"/>
    <row r="51" ht="18.75" hidden="1" x14ac:dyDescent="0.3"/>
    <row r="52" ht="18.75" hidden="1" x14ac:dyDescent="0.3"/>
    <row r="53" ht="18.75" hidden="1" x14ac:dyDescent="0.3"/>
    <row r="54" ht="18.75" hidden="1" customHeight="1" x14ac:dyDescent="0.3"/>
    <row r="55" ht="18.75" hidden="1" customHeight="1" x14ac:dyDescent="0.3"/>
    <row r="56" ht="18.75" hidden="1" customHeight="1" x14ac:dyDescent="0.3"/>
    <row r="57" ht="18.75" hidden="1" customHeight="1" x14ac:dyDescent="0.3"/>
    <row r="58" ht="18.75" hidden="1" customHeight="1" x14ac:dyDescent="0.3"/>
    <row r="59" ht="18.75" hidden="1" customHeight="1" x14ac:dyDescent="0.3"/>
    <row r="60" ht="18.75" hidden="1" customHeight="1" x14ac:dyDescent="0.3"/>
  </sheetData>
  <mergeCells count="1">
    <mergeCell ref="N3:O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790F-F123-46F6-B0DE-50C3DD61D11B}">
  <sheetPr>
    <tabColor theme="1"/>
  </sheetPr>
  <dimension ref="A2:XEX60"/>
  <sheetViews>
    <sheetView topLeftCell="A2" zoomScale="80" zoomScaleNormal="80" workbookViewId="0">
      <selection activeCell="U23" sqref="U23"/>
    </sheetView>
  </sheetViews>
  <sheetFormatPr baseColWidth="10" defaultColWidth="0" defaultRowHeight="0" customHeight="1" zeroHeight="1" x14ac:dyDescent="0.3"/>
  <cols>
    <col min="1" max="1" width="4.42578125" customWidth="1"/>
    <col min="2" max="6" width="9.7109375" customWidth="1"/>
    <col min="7" max="7" width="13" customWidth="1"/>
    <col min="8" max="8" width="14.140625" customWidth="1"/>
    <col min="9" max="9" width="4.7109375" customWidth="1"/>
    <col min="10" max="10" width="34" style="42" customWidth="1"/>
    <col min="11" max="12" width="14.7109375" style="42" customWidth="1"/>
    <col min="13" max="13" width="17.7109375" style="42" customWidth="1"/>
    <col min="14" max="15" width="11.28515625" style="42" customWidth="1"/>
    <col min="16" max="16" width="15.5703125" style="42" bestFit="1" customWidth="1"/>
    <col min="17" max="17" width="13" style="42" bestFit="1" customWidth="1"/>
    <col min="18" max="18" width="16.28515625" style="672" bestFit="1" customWidth="1"/>
    <col min="19" max="19" width="16.5703125" style="42" bestFit="1" customWidth="1"/>
    <col min="20" max="20" width="13.42578125" style="42" bestFit="1" customWidth="1"/>
    <col min="21" max="21" width="13.7109375" style="42" bestFit="1" customWidth="1"/>
    <col min="22" max="22" width="9.85546875" style="42" bestFit="1" customWidth="1"/>
    <col min="23" max="23" width="10.85546875" style="42" customWidth="1"/>
    <col min="24" max="28" width="13.7109375" style="42" customWidth="1"/>
    <col min="29" max="29" width="17.28515625" style="42" customWidth="1"/>
    <col min="30" max="30" width="17.5703125" customWidth="1"/>
    <col min="31" max="31" width="17.5703125" bestFit="1" customWidth="1"/>
    <col min="32" max="37" width="11.42578125" customWidth="1"/>
    <col min="38" max="41" width="15.7109375" customWidth="1"/>
    <col min="42" max="43" width="11.42578125" customWidth="1"/>
    <col min="164" max="16378" width="11.42578125" hidden="1"/>
  </cols>
  <sheetData>
    <row r="2" spans="1:41" s="42" customFormat="1" ht="18.75" x14ac:dyDescent="0.3">
      <c r="A2" s="1093"/>
      <c r="B2" s="1093"/>
      <c r="C2" s="1093"/>
      <c r="D2" s="1093"/>
      <c r="E2" s="1093"/>
      <c r="F2" s="1093"/>
      <c r="G2" s="1093"/>
      <c r="H2" s="1093"/>
      <c r="I2" s="1093"/>
      <c r="J2" s="1093"/>
      <c r="K2" s="1093"/>
      <c r="L2" s="1093"/>
      <c r="M2" s="1093"/>
      <c r="P2" s="1412"/>
      <c r="X2" s="1135"/>
      <c r="Y2" s="1135"/>
      <c r="Z2" s="1135"/>
      <c r="AA2" s="1135"/>
      <c r="AB2" s="1135"/>
      <c r="AC2" s="1135"/>
    </row>
    <row r="3" spans="1:41" s="42" customFormat="1" ht="18.75" x14ac:dyDescent="0.3">
      <c r="A3" s="20"/>
      <c r="B3" s="1330" t="s">
        <v>368</v>
      </c>
      <c r="C3" s="1330"/>
      <c r="D3" s="1330"/>
      <c r="E3" s="1330"/>
      <c r="F3" s="1330"/>
      <c r="G3" s="1330"/>
      <c r="H3" s="1330"/>
      <c r="I3" s="7"/>
      <c r="J3" s="207"/>
      <c r="K3" s="1339">
        <v>2021</v>
      </c>
      <c r="L3" s="1339">
        <v>2020</v>
      </c>
      <c r="M3" s="7"/>
      <c r="N3" s="1506" t="s">
        <v>109</v>
      </c>
      <c r="O3" s="1507"/>
      <c r="P3" s="1338"/>
    </row>
    <row r="4" spans="1:41" s="42" customFormat="1" ht="18.75" x14ac:dyDescent="0.3">
      <c r="A4" s="20"/>
      <c r="B4" s="629" t="s">
        <v>62</v>
      </c>
      <c r="C4" s="629"/>
      <c r="D4" s="629"/>
      <c r="E4" s="629"/>
      <c r="F4" s="1329"/>
      <c r="G4" s="1329">
        <v>2020</v>
      </c>
      <c r="H4" s="1329">
        <v>2021</v>
      </c>
      <c r="I4" s="7"/>
      <c r="J4" s="173"/>
      <c r="K4" s="1340" t="str">
        <f>+H5</f>
        <v>MAR</v>
      </c>
      <c r="L4" s="1340" t="s">
        <v>1195</v>
      </c>
      <c r="M4" s="168" t="s">
        <v>623</v>
      </c>
      <c r="N4" s="524" t="s">
        <v>434</v>
      </c>
      <c r="O4" s="524" t="s">
        <v>233</v>
      </c>
      <c r="P4" s="573" t="s">
        <v>742</v>
      </c>
      <c r="Q4" s="1336" t="s">
        <v>289</v>
      </c>
      <c r="R4" s="1336" t="s">
        <v>21</v>
      </c>
      <c r="S4" s="1336" t="s">
        <v>21</v>
      </c>
      <c r="T4" s="1336" t="s">
        <v>22</v>
      </c>
      <c r="U4" s="1336" t="s">
        <v>1198</v>
      </c>
      <c r="V4" s="1336" t="s">
        <v>24</v>
      </c>
      <c r="W4" s="1336" t="s">
        <v>26</v>
      </c>
      <c r="AG4" s="270" t="s">
        <v>368</v>
      </c>
      <c r="AH4" s="108"/>
      <c r="AI4" s="108"/>
      <c r="AJ4" s="108"/>
      <c r="AK4" s="108"/>
      <c r="AL4" s="1236" t="s">
        <v>1201</v>
      </c>
      <c r="AM4" s="1236" t="s">
        <v>1201</v>
      </c>
      <c r="AN4" s="1236" t="s">
        <v>1201</v>
      </c>
      <c r="AO4" s="1346" t="s">
        <v>1211</v>
      </c>
    </row>
    <row r="5" spans="1:41" s="42" customFormat="1" ht="18.75" x14ac:dyDescent="0.3">
      <c r="A5" s="20"/>
      <c r="B5" s="629"/>
      <c r="C5" s="629"/>
      <c r="D5" s="629"/>
      <c r="E5" s="629"/>
      <c r="F5" s="1329"/>
      <c r="G5" s="1329" t="s">
        <v>1195</v>
      </c>
      <c r="H5" s="1329" t="s">
        <v>1194</v>
      </c>
      <c r="I5" s="7"/>
      <c r="J5" s="680" t="s">
        <v>1</v>
      </c>
      <c r="K5" s="661">
        <f>+H9</f>
        <v>1857</v>
      </c>
      <c r="L5" s="661">
        <f>+G9</f>
        <v>800</v>
      </c>
      <c r="M5" s="80">
        <f t="shared" ref="M5:M14" si="0">+L5-K5</f>
        <v>-1057</v>
      </c>
      <c r="N5" s="691">
        <v>0</v>
      </c>
      <c r="O5" s="691">
        <v>0</v>
      </c>
      <c r="P5" s="1369">
        <f>+M5+O5-N5</f>
        <v>-1057</v>
      </c>
      <c r="Q5" s="1337" t="s">
        <v>121</v>
      </c>
      <c r="R5" s="1337" t="s">
        <v>130</v>
      </c>
      <c r="S5" s="1337" t="s">
        <v>695</v>
      </c>
      <c r="T5" s="1337" t="s">
        <v>1196</v>
      </c>
      <c r="U5" s="1337" t="s">
        <v>729</v>
      </c>
      <c r="V5" s="1337" t="s">
        <v>334</v>
      </c>
      <c r="W5" s="1337" t="s">
        <v>1197</v>
      </c>
      <c r="AG5" s="270" t="s">
        <v>1199</v>
      </c>
      <c r="AH5" s="108"/>
      <c r="AI5" s="108"/>
      <c r="AJ5" s="108"/>
      <c r="AK5" s="108"/>
      <c r="AL5" s="1236" t="s">
        <v>1208</v>
      </c>
      <c r="AM5" s="1236" t="s">
        <v>1209</v>
      </c>
      <c r="AN5" s="1236" t="s">
        <v>1210</v>
      </c>
      <c r="AO5" s="1346" t="s">
        <v>1212</v>
      </c>
    </row>
    <row r="6" spans="1:41" s="42" customFormat="1" ht="24" customHeight="1" x14ac:dyDescent="0.3">
      <c r="A6" s="20"/>
      <c r="B6" s="629"/>
      <c r="C6" s="629"/>
      <c r="D6" s="629"/>
      <c r="E6" s="629"/>
      <c r="F6" s="1331"/>
      <c r="G6" s="1331" t="s">
        <v>3</v>
      </c>
      <c r="H6" s="1331" t="s">
        <v>3</v>
      </c>
      <c r="I6" s="7"/>
      <c r="J6" s="680" t="s">
        <v>252</v>
      </c>
      <c r="K6" s="661">
        <f>+H10</f>
        <v>1000</v>
      </c>
      <c r="L6" s="661">
        <f>+G10</f>
        <v>1600</v>
      </c>
      <c r="M6" s="661">
        <f t="shared" si="0"/>
        <v>600</v>
      </c>
      <c r="N6" s="691">
        <v>0</v>
      </c>
      <c r="O6" s="691">
        <v>0</v>
      </c>
      <c r="P6" s="661">
        <f>+M6+O6-N6</f>
        <v>600</v>
      </c>
      <c r="Q6" s="83">
        <f>+P6</f>
        <v>600</v>
      </c>
      <c r="R6" s="83"/>
      <c r="S6" s="83"/>
      <c r="T6" s="83"/>
      <c r="U6" s="178"/>
      <c r="V6" s="83"/>
      <c r="W6" s="83"/>
      <c r="AG6" s="685" t="s">
        <v>51</v>
      </c>
      <c r="AH6" s="633"/>
      <c r="AI6" s="633"/>
      <c r="AJ6" s="633"/>
      <c r="AK6" s="633"/>
      <c r="AL6" s="633"/>
      <c r="AM6" s="633"/>
      <c r="AN6" s="633"/>
      <c r="AO6" s="1347"/>
    </row>
    <row r="7" spans="1:41" s="42" customFormat="1" ht="24" customHeight="1" x14ac:dyDescent="0.3">
      <c r="A7" s="20"/>
      <c r="B7" s="181" t="s">
        <v>56</v>
      </c>
      <c r="C7" s="181"/>
      <c r="D7" s="181"/>
      <c r="E7" s="181"/>
      <c r="F7" s="745"/>
      <c r="G7" s="745"/>
      <c r="H7" s="745"/>
      <c r="I7" s="7"/>
      <c r="J7" s="680" t="s">
        <v>674</v>
      </c>
      <c r="K7" s="661">
        <f>+H11</f>
        <v>800</v>
      </c>
      <c r="L7" s="661">
        <f>+G11</f>
        <v>780</v>
      </c>
      <c r="M7" s="661">
        <f t="shared" si="0"/>
        <v>-20</v>
      </c>
      <c r="N7" s="691">
        <v>0</v>
      </c>
      <c r="O7" s="691">
        <v>0</v>
      </c>
      <c r="P7" s="661">
        <f t="shared" ref="P7:P20" si="1">+M7+O7-N7</f>
        <v>-20</v>
      </c>
      <c r="Q7" s="83"/>
      <c r="R7" s="83">
        <f>+P7</f>
        <v>-20</v>
      </c>
      <c r="S7" s="83"/>
      <c r="T7" s="83"/>
      <c r="U7" s="178"/>
      <c r="V7" s="83"/>
      <c r="W7" s="83"/>
      <c r="AG7" s="633" t="s">
        <v>248</v>
      </c>
      <c r="AH7" s="633"/>
      <c r="AI7" s="633"/>
      <c r="AJ7" s="633"/>
      <c r="AK7" s="633"/>
      <c r="AL7" s="642">
        <f>+AA26</f>
        <v>1908</v>
      </c>
      <c r="AM7" s="642">
        <f>+AB26-AL7</f>
        <v>1755</v>
      </c>
      <c r="AN7" s="642">
        <f>+AC26-AL7-AM7</f>
        <v>3263</v>
      </c>
      <c r="AO7" s="1348">
        <f>+AL7+AM7+AN7</f>
        <v>6926</v>
      </c>
    </row>
    <row r="8" spans="1:41" s="42" customFormat="1" ht="18.75" x14ac:dyDescent="0.3">
      <c r="A8" s="20"/>
      <c r="B8" s="181" t="s">
        <v>57</v>
      </c>
      <c r="C8" s="181"/>
      <c r="D8" s="181"/>
      <c r="E8" s="181"/>
      <c r="F8" s="745"/>
      <c r="G8" s="745"/>
      <c r="H8" s="745"/>
      <c r="I8" s="7"/>
      <c r="J8" s="680" t="s">
        <v>373</v>
      </c>
      <c r="K8" s="661">
        <f>+H14</f>
        <v>3500</v>
      </c>
      <c r="L8" s="661">
        <f>+G14</f>
        <v>2432</v>
      </c>
      <c r="M8" s="661">
        <f t="shared" si="0"/>
        <v>-1068</v>
      </c>
      <c r="N8" s="691">
        <f>+O18</f>
        <v>360</v>
      </c>
      <c r="O8" s="691">
        <v>0</v>
      </c>
      <c r="P8" s="661">
        <f t="shared" si="1"/>
        <v>-1428</v>
      </c>
      <c r="Q8" s="83"/>
      <c r="R8" s="83"/>
      <c r="S8" s="83"/>
      <c r="T8" s="83"/>
      <c r="U8" s="178">
        <f>+P8</f>
        <v>-1428</v>
      </c>
      <c r="V8" s="83"/>
      <c r="W8" s="83"/>
      <c r="X8" s="241"/>
      <c r="AG8" s="633" t="s">
        <v>138</v>
      </c>
      <c r="AH8" s="633"/>
      <c r="AI8" s="633"/>
      <c r="AJ8" s="633"/>
      <c r="AK8" s="633"/>
      <c r="AL8" s="642">
        <f>+AA27</f>
        <v>-297</v>
      </c>
      <c r="AM8" s="642">
        <f>+AB27-AL8</f>
        <v>-999</v>
      </c>
      <c r="AN8" s="642">
        <f>+AC27-AL8-AM8</f>
        <v>-2514</v>
      </c>
      <c r="AO8" s="1348">
        <f t="shared" ref="AO8:AO10" si="2">+AL8+AM8+AN8</f>
        <v>-3810</v>
      </c>
    </row>
    <row r="9" spans="1:41" s="42" customFormat="1" ht="18.75" x14ac:dyDescent="0.3">
      <c r="A9" s="20"/>
      <c r="B9" s="131" t="s">
        <v>1</v>
      </c>
      <c r="C9" s="131"/>
      <c r="D9" s="131"/>
      <c r="E9" s="131"/>
      <c r="F9" s="175"/>
      <c r="G9" s="175">
        <v>800</v>
      </c>
      <c r="H9" s="175">
        <f>+'168'!J9</f>
        <v>1857</v>
      </c>
      <c r="I9" s="7"/>
      <c r="J9" s="680" t="s">
        <v>369</v>
      </c>
      <c r="K9" s="661">
        <f>-H18</f>
        <v>-1400</v>
      </c>
      <c r="L9" s="661">
        <f>-G18</f>
        <v>-1400</v>
      </c>
      <c r="M9" s="661">
        <f t="shared" si="0"/>
        <v>0</v>
      </c>
      <c r="N9" s="691">
        <v>0</v>
      </c>
      <c r="O9" s="691">
        <v>0</v>
      </c>
      <c r="P9" s="661">
        <f t="shared" si="1"/>
        <v>0</v>
      </c>
      <c r="Q9" s="83"/>
      <c r="R9" s="83">
        <f>+P9</f>
        <v>0</v>
      </c>
      <c r="S9" s="83"/>
      <c r="T9" s="83"/>
      <c r="U9" s="178"/>
      <c r="V9" s="83"/>
      <c r="W9" s="83"/>
      <c r="X9" s="241"/>
      <c r="AG9" s="633" t="s">
        <v>1200</v>
      </c>
      <c r="AH9" s="633"/>
      <c r="AI9" s="633"/>
      <c r="AJ9" s="633"/>
      <c r="AK9" s="633"/>
      <c r="AL9" s="642">
        <f>+AA28</f>
        <v>-103</v>
      </c>
      <c r="AM9" s="642">
        <f>+AB28-AL9</f>
        <v>-102</v>
      </c>
      <c r="AN9" s="642">
        <f>+AC28-AL9-AM9</f>
        <v>-231</v>
      </c>
      <c r="AO9" s="1348">
        <f t="shared" si="2"/>
        <v>-436</v>
      </c>
    </row>
    <row r="10" spans="1:41" s="42" customFormat="1" ht="18.75" x14ac:dyDescent="0.3">
      <c r="A10" s="20"/>
      <c r="B10" s="131" t="s">
        <v>252</v>
      </c>
      <c r="C10" s="131"/>
      <c r="D10" s="131"/>
      <c r="E10" s="131"/>
      <c r="F10" s="175"/>
      <c r="G10" s="175">
        <v>1600</v>
      </c>
      <c r="H10" s="175">
        <f>+'168'!J10</f>
        <v>1000</v>
      </c>
      <c r="I10" s="7"/>
      <c r="J10" s="680" t="s">
        <v>5</v>
      </c>
      <c r="K10" s="661">
        <f>-H19</f>
        <v>-490</v>
      </c>
      <c r="L10" s="661">
        <f>-G19</f>
        <v>-500</v>
      </c>
      <c r="M10" s="661">
        <f t="shared" si="0"/>
        <v>-10</v>
      </c>
      <c r="N10" s="691">
        <v>0</v>
      </c>
      <c r="O10" s="691">
        <v>0</v>
      </c>
      <c r="P10" s="661">
        <f t="shared" si="1"/>
        <v>-10</v>
      </c>
      <c r="Q10" s="83"/>
      <c r="R10" s="83"/>
      <c r="S10" s="83">
        <f>+P10</f>
        <v>-10</v>
      </c>
      <c r="T10" s="83"/>
      <c r="U10" s="178"/>
      <c r="V10" s="83"/>
      <c r="W10" s="83"/>
      <c r="X10" s="241"/>
      <c r="AG10" s="633" t="s">
        <v>137</v>
      </c>
      <c r="AH10" s="633"/>
      <c r="AI10" s="633"/>
      <c r="AJ10" s="633"/>
      <c r="AK10" s="633"/>
      <c r="AL10" s="642">
        <f>+AA29</f>
        <v>-60</v>
      </c>
      <c r="AM10" s="642">
        <f>+AB29-AL10</f>
        <v>-33</v>
      </c>
      <c r="AN10" s="642">
        <f>+AC29-AL10-AM10</f>
        <v>-72</v>
      </c>
      <c r="AO10" s="1348">
        <f t="shared" si="2"/>
        <v>-165</v>
      </c>
    </row>
    <row r="11" spans="1:41" s="42" customFormat="1" ht="18.75" x14ac:dyDescent="0.3">
      <c r="A11" s="20"/>
      <c r="B11" s="131" t="s">
        <v>674</v>
      </c>
      <c r="C11" s="131"/>
      <c r="D11" s="131"/>
      <c r="E11" s="131"/>
      <c r="F11" s="175"/>
      <c r="G11" s="175">
        <v>780</v>
      </c>
      <c r="H11" s="175">
        <f>+'168'!J11</f>
        <v>800</v>
      </c>
      <c r="I11" s="7"/>
      <c r="J11" s="680" t="s">
        <v>23</v>
      </c>
      <c r="K11" s="661">
        <f>-H20</f>
        <v>-75</v>
      </c>
      <c r="L11" s="661">
        <f>-G20</f>
        <v>-90</v>
      </c>
      <c r="M11" s="661">
        <f t="shared" si="0"/>
        <v>-15</v>
      </c>
      <c r="N11" s="691">
        <v>0</v>
      </c>
      <c r="O11" s="691">
        <v>0</v>
      </c>
      <c r="P11" s="661">
        <f t="shared" si="1"/>
        <v>-15</v>
      </c>
      <c r="Q11" s="83"/>
      <c r="R11" s="83"/>
      <c r="S11" s="83"/>
      <c r="T11" s="83">
        <f>+P11</f>
        <v>-15</v>
      </c>
      <c r="U11" s="178"/>
      <c r="V11" s="83"/>
      <c r="W11" s="83"/>
      <c r="X11" s="241"/>
      <c r="AG11" s="16" t="s">
        <v>719</v>
      </c>
      <c r="AH11" s="17"/>
      <c r="AI11" s="17"/>
      <c r="AJ11" s="17"/>
      <c r="AK11" s="17"/>
      <c r="AL11" s="48"/>
      <c r="AM11" s="48"/>
      <c r="AN11" s="48"/>
      <c r="AO11" s="1349"/>
    </row>
    <row r="12" spans="1:41" s="42" customFormat="1" ht="18.75" x14ac:dyDescent="0.3">
      <c r="A12" s="20"/>
      <c r="B12" s="1333"/>
      <c r="C12" s="1333"/>
      <c r="D12" s="1333"/>
      <c r="E12" s="1333"/>
      <c r="F12" s="1334"/>
      <c r="G12" s="1334">
        <f>SUM(G9:G11)</f>
        <v>3180</v>
      </c>
      <c r="H12" s="1334">
        <f>SUM(H9:H11)</f>
        <v>3657</v>
      </c>
      <c r="I12" s="7"/>
      <c r="J12" s="680" t="s">
        <v>7</v>
      </c>
      <c r="K12" s="661">
        <f>-H23</f>
        <v>-1650</v>
      </c>
      <c r="L12" s="661">
        <f>-G23</f>
        <v>-1600</v>
      </c>
      <c r="M12" s="661">
        <f t="shared" si="0"/>
        <v>50</v>
      </c>
      <c r="N12" s="691">
        <v>0</v>
      </c>
      <c r="O12" s="691">
        <v>0</v>
      </c>
      <c r="P12" s="661">
        <f t="shared" si="1"/>
        <v>50</v>
      </c>
      <c r="Q12" s="83"/>
      <c r="R12" s="83"/>
      <c r="S12" s="83"/>
      <c r="T12" s="83"/>
      <c r="U12" s="178"/>
      <c r="V12" s="83">
        <f>+P12</f>
        <v>50</v>
      </c>
      <c r="W12" s="83"/>
      <c r="X12" s="241"/>
      <c r="AG12" s="16" t="s">
        <v>1205</v>
      </c>
      <c r="AH12" s="17"/>
      <c r="AI12" s="17"/>
      <c r="AJ12" s="17"/>
      <c r="AK12" s="17"/>
      <c r="AL12" s="48">
        <f>SUM(AL7:AL10)</f>
        <v>1448</v>
      </c>
      <c r="AM12" s="48">
        <f>SUM(AM7:AM10)</f>
        <v>621</v>
      </c>
      <c r="AN12" s="48">
        <f>SUM(AN7:AN10)</f>
        <v>446</v>
      </c>
      <c r="AO12" s="1349">
        <f>SUM(AO7:AO10)</f>
        <v>2515</v>
      </c>
    </row>
    <row r="13" spans="1:41" s="42" customFormat="1" ht="18.75" x14ac:dyDescent="0.3">
      <c r="A13" s="20"/>
      <c r="B13" s="181" t="s">
        <v>58</v>
      </c>
      <c r="C13" s="181"/>
      <c r="D13" s="181"/>
      <c r="E13" s="181"/>
      <c r="F13" s="175"/>
      <c r="G13" s="175"/>
      <c r="H13" s="175"/>
      <c r="I13" s="7"/>
      <c r="J13" s="680" t="s">
        <v>8</v>
      </c>
      <c r="K13" s="661">
        <f>-(+H24-H43)</f>
        <v>-1942</v>
      </c>
      <c r="L13" s="661">
        <f>-G24</f>
        <v>-2022</v>
      </c>
      <c r="M13" s="661">
        <f t="shared" si="0"/>
        <v>-80</v>
      </c>
      <c r="N13" s="691">
        <v>0</v>
      </c>
      <c r="O13" s="691">
        <v>0</v>
      </c>
      <c r="P13" s="661">
        <f t="shared" si="1"/>
        <v>-80</v>
      </c>
      <c r="Q13" s="83"/>
      <c r="R13" s="83"/>
      <c r="S13" s="83"/>
      <c r="T13" s="83"/>
      <c r="U13" s="178"/>
      <c r="V13" s="83"/>
      <c r="W13" s="83">
        <f>+P13</f>
        <v>-80</v>
      </c>
      <c r="X13" s="241"/>
      <c r="AG13" s="685" t="s">
        <v>52</v>
      </c>
      <c r="AH13" s="633"/>
      <c r="AI13" s="633"/>
      <c r="AJ13" s="633"/>
      <c r="AK13" s="633"/>
      <c r="AL13" s="633"/>
      <c r="AM13" s="633"/>
      <c r="AN13" s="633"/>
      <c r="AO13" s="1347"/>
    </row>
    <row r="14" spans="1:41" s="42" customFormat="1" ht="18.75" x14ac:dyDescent="0.3">
      <c r="A14" s="20"/>
      <c r="B14" s="131" t="s">
        <v>373</v>
      </c>
      <c r="C14" s="131"/>
      <c r="D14" s="131"/>
      <c r="E14" s="131"/>
      <c r="F14" s="175"/>
      <c r="G14" s="175">
        <v>2432</v>
      </c>
      <c r="H14" s="175">
        <f>+'168'!J14</f>
        <v>3500</v>
      </c>
      <c r="I14" s="7"/>
      <c r="J14" s="680" t="s">
        <v>9</v>
      </c>
      <c r="K14" s="661">
        <f>-H33</f>
        <v>-6326</v>
      </c>
      <c r="L14" s="661"/>
      <c r="M14" s="661">
        <f t="shared" si="0"/>
        <v>6326</v>
      </c>
      <c r="N14" s="691">
        <v>0</v>
      </c>
      <c r="O14" s="691">
        <v>0</v>
      </c>
      <c r="P14" s="661">
        <f t="shared" si="1"/>
        <v>6326</v>
      </c>
      <c r="Q14" s="83">
        <f>+P14</f>
        <v>6326</v>
      </c>
      <c r="R14" s="83"/>
      <c r="S14" s="83"/>
      <c r="T14" s="83"/>
      <c r="U14" s="178"/>
      <c r="V14" s="83"/>
      <c r="W14" s="83"/>
      <c r="X14" s="241"/>
      <c r="AG14" s="633" t="s">
        <v>280</v>
      </c>
      <c r="AH14" s="633"/>
      <c r="AI14" s="633"/>
      <c r="AJ14" s="633"/>
      <c r="AK14" s="633"/>
      <c r="AL14" s="642">
        <f>+AA33</f>
        <v>-1004</v>
      </c>
      <c r="AM14" s="642">
        <f>+AB33-AL14</f>
        <v>-144</v>
      </c>
      <c r="AN14" s="642">
        <f>+AC33-AL14-AM14</f>
        <v>-280</v>
      </c>
      <c r="AO14" s="1348">
        <f>+AL14+AM14+AN14</f>
        <v>-1428</v>
      </c>
    </row>
    <row r="15" spans="1:41" s="42" customFormat="1" ht="18.75" x14ac:dyDescent="0.3">
      <c r="A15" s="20"/>
      <c r="B15" s="1333" t="s">
        <v>54</v>
      </c>
      <c r="C15" s="1333"/>
      <c r="D15" s="1333"/>
      <c r="E15" s="1333"/>
      <c r="F15" s="1334"/>
      <c r="G15" s="1334">
        <f>+G12+G14</f>
        <v>5612</v>
      </c>
      <c r="H15" s="1334">
        <f>+H12+H14</f>
        <v>7157</v>
      </c>
      <c r="I15" s="7"/>
      <c r="J15" s="680" t="s">
        <v>10</v>
      </c>
      <c r="K15" s="661"/>
      <c r="L15" s="661"/>
      <c r="M15" s="661"/>
      <c r="N15" s="691">
        <v>0</v>
      </c>
      <c r="O15" s="691">
        <v>0</v>
      </c>
      <c r="P15" s="661">
        <f t="shared" si="1"/>
        <v>0</v>
      </c>
      <c r="Q15" s="83"/>
      <c r="R15" s="83"/>
      <c r="S15" s="83"/>
      <c r="T15" s="83"/>
      <c r="U15" s="178"/>
      <c r="V15" s="83"/>
      <c r="W15" s="83"/>
      <c r="X15" s="241"/>
      <c r="AG15" s="16" t="s">
        <v>719</v>
      </c>
      <c r="AH15" s="17"/>
      <c r="AI15" s="17"/>
      <c r="AJ15" s="17"/>
      <c r="AK15" s="17"/>
      <c r="AL15" s="48"/>
      <c r="AM15" s="48"/>
      <c r="AN15" s="48"/>
      <c r="AO15" s="1349"/>
    </row>
    <row r="16" spans="1:41" s="42" customFormat="1" ht="18.75" x14ac:dyDescent="0.3">
      <c r="A16" s="20"/>
      <c r="B16" s="181" t="s">
        <v>59</v>
      </c>
      <c r="C16" s="181"/>
      <c r="D16" s="181"/>
      <c r="E16" s="181"/>
      <c r="F16" s="1332"/>
      <c r="G16" s="1332"/>
      <c r="H16" s="1332"/>
      <c r="I16" s="7"/>
      <c r="J16" s="680" t="s">
        <v>253</v>
      </c>
      <c r="K16" s="661">
        <f>-H34</f>
        <v>3500</v>
      </c>
      <c r="L16" s="661"/>
      <c r="M16" s="661">
        <f>+L16-K16</f>
        <v>-3500</v>
      </c>
      <c r="N16" s="691">
        <v>0</v>
      </c>
      <c r="O16" s="691">
        <v>0</v>
      </c>
      <c r="P16" s="661">
        <f t="shared" si="1"/>
        <v>-3500</v>
      </c>
      <c r="Q16" s="83"/>
      <c r="R16" s="83">
        <f>+P16</f>
        <v>-3500</v>
      </c>
      <c r="S16" s="83"/>
      <c r="T16" s="83"/>
      <c r="U16" s="178"/>
      <c r="V16" s="83"/>
      <c r="W16" s="83"/>
      <c r="X16" s="241"/>
      <c r="AG16" s="16" t="s">
        <v>1206</v>
      </c>
      <c r="AH16" s="17"/>
      <c r="AI16" s="17"/>
      <c r="AJ16" s="17"/>
      <c r="AK16" s="17"/>
      <c r="AL16" s="48">
        <f>+AL14</f>
        <v>-1004</v>
      </c>
      <c r="AM16" s="48">
        <f>+AM14</f>
        <v>-144</v>
      </c>
      <c r="AN16" s="48">
        <f>+AN14</f>
        <v>-280</v>
      </c>
      <c r="AO16" s="1349">
        <f>+AO14</f>
        <v>-1428</v>
      </c>
    </row>
    <row r="17" spans="1:43" s="42" customFormat="1" ht="18.75" x14ac:dyDescent="0.3">
      <c r="A17" s="20"/>
      <c r="B17" s="181" t="s">
        <v>61</v>
      </c>
      <c r="C17" s="181"/>
      <c r="D17" s="181"/>
      <c r="E17" s="181"/>
      <c r="F17" s="745"/>
      <c r="G17" s="745"/>
      <c r="H17" s="181"/>
      <c r="I17" s="7"/>
      <c r="J17" s="680" t="s">
        <v>11</v>
      </c>
      <c r="K17" s="661">
        <f>-H37</f>
        <v>426</v>
      </c>
      <c r="L17" s="661"/>
      <c r="M17" s="661">
        <f>+L17-K17</f>
        <v>-426</v>
      </c>
      <c r="N17" s="691">
        <v>0</v>
      </c>
      <c r="O17" s="691">
        <v>0</v>
      </c>
      <c r="P17" s="661">
        <f t="shared" si="1"/>
        <v>-426</v>
      </c>
      <c r="Q17" s="83"/>
      <c r="R17" s="83"/>
      <c r="S17" s="83">
        <f>+P17</f>
        <v>-426</v>
      </c>
      <c r="T17" s="83"/>
      <c r="U17" s="178"/>
      <c r="V17" s="83"/>
      <c r="W17" s="83"/>
      <c r="X17" s="241"/>
      <c r="AG17" s="685" t="s">
        <v>74</v>
      </c>
      <c r="AH17" s="633"/>
      <c r="AI17" s="633"/>
      <c r="AJ17" s="633"/>
      <c r="AK17" s="633"/>
      <c r="AL17" s="633"/>
      <c r="AM17" s="633"/>
      <c r="AN17" s="633"/>
      <c r="AO17" s="1347"/>
    </row>
    <row r="18" spans="1:43" s="42" customFormat="1" ht="18.75" x14ac:dyDescent="0.3">
      <c r="A18" s="7"/>
      <c r="B18" s="131" t="s">
        <v>4</v>
      </c>
      <c r="C18" s="131"/>
      <c r="D18" s="131"/>
      <c r="E18" s="131"/>
      <c r="F18" s="175"/>
      <c r="G18" s="175">
        <v>1400</v>
      </c>
      <c r="H18" s="175">
        <f>+'168'!J18</f>
        <v>1400</v>
      </c>
      <c r="I18" s="7"/>
      <c r="J18" s="680" t="s">
        <v>38</v>
      </c>
      <c r="K18" s="661">
        <f>-H38</f>
        <v>360</v>
      </c>
      <c r="L18" s="661"/>
      <c r="M18" s="661">
        <f>+L18-K18</f>
        <v>-360</v>
      </c>
      <c r="N18" s="691">
        <v>0</v>
      </c>
      <c r="O18" s="691">
        <f>-M18</f>
        <v>360</v>
      </c>
      <c r="P18" s="661">
        <f t="shared" si="1"/>
        <v>0</v>
      </c>
      <c r="Q18" s="83"/>
      <c r="R18" s="83"/>
      <c r="S18" s="83"/>
      <c r="T18" s="83"/>
      <c r="U18" s="178"/>
      <c r="V18" s="83"/>
      <c r="W18" s="83"/>
      <c r="X18" s="241"/>
      <c r="AG18" s="633" t="s">
        <v>283</v>
      </c>
      <c r="AH18" s="633"/>
      <c r="AI18" s="633"/>
      <c r="AJ18" s="633"/>
      <c r="AK18" s="633"/>
      <c r="AL18" s="642">
        <f>+AA37</f>
        <v>50</v>
      </c>
      <c r="AM18" s="642">
        <f>+AB37-AL18</f>
        <v>0</v>
      </c>
      <c r="AN18" s="642">
        <f>+AC37-AL18-AM18</f>
        <v>0</v>
      </c>
      <c r="AO18" s="1348">
        <f t="shared" ref="AO18:AO19" si="3">+AL18+AM18+AN18</f>
        <v>50</v>
      </c>
    </row>
    <row r="19" spans="1:43" s="42" customFormat="1" ht="18.75" x14ac:dyDescent="0.3">
      <c r="A19" s="7"/>
      <c r="B19" s="131" t="s">
        <v>5</v>
      </c>
      <c r="C19" s="131"/>
      <c r="D19" s="131"/>
      <c r="E19" s="131"/>
      <c r="F19" s="175"/>
      <c r="G19" s="175">
        <v>500</v>
      </c>
      <c r="H19" s="175">
        <f>+'168'!J19</f>
        <v>490</v>
      </c>
      <c r="I19" s="7"/>
      <c r="J19" s="680" t="s">
        <v>12</v>
      </c>
      <c r="K19" s="661">
        <f>-H39</f>
        <v>290</v>
      </c>
      <c r="L19" s="661"/>
      <c r="M19" s="661">
        <f>+L19-K19</f>
        <v>-290</v>
      </c>
      <c r="N19" s="691">
        <v>0</v>
      </c>
      <c r="O19" s="691">
        <v>0</v>
      </c>
      <c r="P19" s="661">
        <f t="shared" si="1"/>
        <v>-290</v>
      </c>
      <c r="Q19" s="83"/>
      <c r="R19" s="83">
        <f>+P19</f>
        <v>-290</v>
      </c>
      <c r="S19" s="83"/>
      <c r="T19" s="83"/>
      <c r="U19" s="178"/>
      <c r="V19" s="83"/>
      <c r="W19" s="83"/>
      <c r="X19" s="241"/>
      <c r="AG19" s="633" t="s">
        <v>142</v>
      </c>
      <c r="AH19" s="633"/>
      <c r="AI19" s="633"/>
      <c r="AJ19" s="633"/>
      <c r="AK19" s="633"/>
      <c r="AL19" s="642">
        <f>+AA38</f>
        <v>-80</v>
      </c>
      <c r="AM19" s="642">
        <f>+AB38-AL19</f>
        <v>0</v>
      </c>
      <c r="AN19" s="642">
        <f>+AC38-AL19-AM19</f>
        <v>0</v>
      </c>
      <c r="AO19" s="1348">
        <f t="shared" si="3"/>
        <v>-80</v>
      </c>
    </row>
    <row r="20" spans="1:43" s="42" customFormat="1" ht="18.75" x14ac:dyDescent="0.3">
      <c r="A20" s="7"/>
      <c r="B20" s="131" t="s">
        <v>23</v>
      </c>
      <c r="C20" s="131"/>
      <c r="D20" s="131"/>
      <c r="E20" s="131"/>
      <c r="F20" s="175"/>
      <c r="G20" s="175">
        <v>90</v>
      </c>
      <c r="H20" s="175">
        <f>+'168'!J20</f>
        <v>75</v>
      </c>
      <c r="I20" s="7"/>
      <c r="J20" s="680" t="s">
        <v>15</v>
      </c>
      <c r="K20" s="661">
        <f>-H42</f>
        <v>150</v>
      </c>
      <c r="L20" s="661"/>
      <c r="M20" s="661">
        <f>+L20-K20</f>
        <v>-150</v>
      </c>
      <c r="N20" s="691">
        <v>0</v>
      </c>
      <c r="O20" s="691">
        <v>0</v>
      </c>
      <c r="P20" s="661">
        <f t="shared" si="1"/>
        <v>-150</v>
      </c>
      <c r="Q20" s="83"/>
      <c r="R20" s="83"/>
      <c r="S20" s="83"/>
      <c r="T20" s="83">
        <f>+P20</f>
        <v>-150</v>
      </c>
      <c r="U20" s="178"/>
      <c r="V20" s="83"/>
      <c r="W20" s="83"/>
      <c r="X20" s="241"/>
      <c r="AG20" s="16" t="s">
        <v>719</v>
      </c>
      <c r="AH20" s="17"/>
      <c r="AI20" s="17"/>
      <c r="AJ20" s="17"/>
      <c r="AK20" s="17"/>
      <c r="AL20" s="48"/>
      <c r="AM20" s="48"/>
      <c r="AN20" s="48"/>
      <c r="AO20" s="1349"/>
    </row>
    <row r="21" spans="1:43" s="42" customFormat="1" ht="18.75" x14ac:dyDescent="0.3">
      <c r="A21" s="3"/>
      <c r="B21" s="1333" t="s">
        <v>55</v>
      </c>
      <c r="C21" s="1333"/>
      <c r="D21" s="1333"/>
      <c r="E21" s="1333"/>
      <c r="F21" s="1334"/>
      <c r="G21" s="1334">
        <f>SUM(G18:G20)</f>
        <v>1990</v>
      </c>
      <c r="H21" s="1334">
        <f>SUM(H18:H20)</f>
        <v>1965</v>
      </c>
      <c r="I21" s="7"/>
      <c r="J21" s="774"/>
      <c r="K21" s="137">
        <f t="shared" ref="K21:P21" si="4">SUM(K5:K20)</f>
        <v>0</v>
      </c>
      <c r="L21" s="137">
        <f t="shared" si="4"/>
        <v>0</v>
      </c>
      <c r="M21" s="137">
        <f t="shared" si="4"/>
        <v>0</v>
      </c>
      <c r="N21" s="155">
        <f t="shared" si="4"/>
        <v>360</v>
      </c>
      <c r="O21" s="155">
        <f t="shared" si="4"/>
        <v>360</v>
      </c>
      <c r="P21" s="137">
        <f t="shared" si="4"/>
        <v>0</v>
      </c>
      <c r="Q21" s="692">
        <f>SUM(Q6:Q20)</f>
        <v>6926</v>
      </c>
      <c r="R21" s="693">
        <f t="shared" ref="R21:W21" si="5">SUM(R6:R20)</f>
        <v>-3810</v>
      </c>
      <c r="S21" s="693">
        <f t="shared" si="5"/>
        <v>-436</v>
      </c>
      <c r="T21" s="693">
        <f t="shared" si="5"/>
        <v>-165</v>
      </c>
      <c r="U21" s="693">
        <f t="shared" si="5"/>
        <v>-1428</v>
      </c>
      <c r="V21" s="692">
        <f t="shared" si="5"/>
        <v>50</v>
      </c>
      <c r="W21" s="693">
        <f t="shared" si="5"/>
        <v>-80</v>
      </c>
      <c r="X21" s="241"/>
      <c r="AG21" s="16" t="s">
        <v>1207</v>
      </c>
      <c r="AH21" s="17"/>
      <c r="AI21" s="17"/>
      <c r="AJ21" s="17"/>
      <c r="AK21" s="17"/>
      <c r="AL21" s="48">
        <f>SUM(AL18:AL19)</f>
        <v>-30</v>
      </c>
      <c r="AM21" s="48">
        <f t="shared" ref="AM21:AN21" si="6">SUM(AM18:AM19)</f>
        <v>0</v>
      </c>
      <c r="AN21" s="48">
        <f t="shared" si="6"/>
        <v>0</v>
      </c>
      <c r="AO21" s="1349">
        <f>SUM(AO18:AO19)</f>
        <v>-30</v>
      </c>
    </row>
    <row r="22" spans="1:43" s="42" customFormat="1" ht="18.75" x14ac:dyDescent="0.3">
      <c r="A22" s="3"/>
      <c r="B22" s="131"/>
      <c r="C22" s="131"/>
      <c r="D22" s="131"/>
      <c r="E22" s="131"/>
      <c r="F22" s="175"/>
      <c r="G22" s="175"/>
      <c r="H22" s="131"/>
      <c r="I22" s="1093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 s="241"/>
      <c r="AG22" s="522" t="s">
        <v>286</v>
      </c>
      <c r="AH22" s="215"/>
      <c r="AI22" s="215"/>
      <c r="AJ22" s="215"/>
      <c r="AK22" s="215"/>
      <c r="AL22" s="1341">
        <f>+AL12+AL16+AL21</f>
        <v>414</v>
      </c>
      <c r="AM22" s="1341">
        <f>+AM12+AM16+AM21</f>
        <v>477</v>
      </c>
      <c r="AN22" s="1341">
        <f>+AN12+AN16+AN21</f>
        <v>166</v>
      </c>
      <c r="AO22" s="1350">
        <f>+AO12+AO16+AO21</f>
        <v>1057</v>
      </c>
    </row>
    <row r="23" spans="1:43" s="42" customFormat="1" ht="18.75" x14ac:dyDescent="0.3">
      <c r="A23" s="3"/>
      <c r="B23" s="131" t="s">
        <v>7</v>
      </c>
      <c r="C23" s="131"/>
      <c r="D23" s="131"/>
      <c r="E23" s="131"/>
      <c r="F23" s="175"/>
      <c r="G23" s="175">
        <v>1600</v>
      </c>
      <c r="H23" s="175">
        <f>+'168'!J23</f>
        <v>1650</v>
      </c>
      <c r="I23" s="1093"/>
      <c r="J23"/>
      <c r="K23"/>
      <c r="L23"/>
      <c r="R23" s="672"/>
      <c r="S23"/>
      <c r="T23"/>
      <c r="V23"/>
      <c r="W23" s="270" t="s">
        <v>368</v>
      </c>
      <c r="X23" s="108"/>
      <c r="Y23" s="108"/>
      <c r="Z23" s="108"/>
      <c r="AA23" s="1236" t="s">
        <v>1201</v>
      </c>
      <c r="AB23" s="1236" t="s">
        <v>1202</v>
      </c>
      <c r="AC23" s="1236" t="s">
        <v>1203</v>
      </c>
      <c r="AG23" s="1342" t="s">
        <v>47</v>
      </c>
      <c r="AH23" s="1342"/>
      <c r="AI23" s="1342"/>
      <c r="AJ23" s="1342"/>
      <c r="AK23" s="1342"/>
      <c r="AL23" s="1345">
        <f>+AA42</f>
        <v>800</v>
      </c>
      <c r="AM23" s="1345">
        <f>+AL24</f>
        <v>1214</v>
      </c>
      <c r="AN23" s="1345">
        <f>+AM24</f>
        <v>1691</v>
      </c>
      <c r="AO23" s="1351">
        <f>+AL23</f>
        <v>800</v>
      </c>
    </row>
    <row r="24" spans="1:43" s="42" customFormat="1" ht="19.5" thickBot="1" x14ac:dyDescent="0.35">
      <c r="A24" s="3"/>
      <c r="B24" s="131" t="s">
        <v>8</v>
      </c>
      <c r="C24" s="131"/>
      <c r="D24" s="131"/>
      <c r="E24" s="131"/>
      <c r="F24" s="175"/>
      <c r="G24" s="175">
        <v>2022</v>
      </c>
      <c r="H24" s="175">
        <f>+'168'!J24</f>
        <v>3542</v>
      </c>
      <c r="I24" s="1093"/>
      <c r="J24"/>
      <c r="K24"/>
      <c r="L24"/>
      <c r="M24"/>
      <c r="R24" s="672"/>
      <c r="S24"/>
      <c r="T24"/>
      <c r="W24" s="270" t="s">
        <v>1199</v>
      </c>
      <c r="X24" s="108"/>
      <c r="Y24" s="108"/>
      <c r="Z24" s="108"/>
      <c r="AA24" s="1236" t="s">
        <v>1213</v>
      </c>
      <c r="AB24" s="1236" t="s">
        <v>1226</v>
      </c>
      <c r="AC24" s="1236" t="s">
        <v>1214</v>
      </c>
      <c r="AG24" s="1344" t="s">
        <v>49</v>
      </c>
      <c r="AH24" s="1342"/>
      <c r="AI24" s="1342"/>
      <c r="AJ24" s="1342"/>
      <c r="AK24" s="1342"/>
      <c r="AL24" s="1343">
        <f>+AL22+AL23</f>
        <v>1214</v>
      </c>
      <c r="AM24" s="1343">
        <f>+AM22+AM23</f>
        <v>1691</v>
      </c>
      <c r="AN24" s="1343">
        <f>+AN22+AN23</f>
        <v>1857</v>
      </c>
      <c r="AO24" s="1352">
        <f>+AO22+AO23</f>
        <v>1857</v>
      </c>
    </row>
    <row r="25" spans="1:43" s="42" customFormat="1" ht="18.75" x14ac:dyDescent="0.3">
      <c r="A25" s="3"/>
      <c r="B25" s="1333" t="s">
        <v>81</v>
      </c>
      <c r="C25" s="1333"/>
      <c r="D25" s="1333"/>
      <c r="E25" s="1333"/>
      <c r="F25" s="1334"/>
      <c r="G25" s="1334">
        <f>SUM(G23:G24)</f>
        <v>3622</v>
      </c>
      <c r="H25" s="1334">
        <f>SUM(H23:H24)</f>
        <v>5192</v>
      </c>
      <c r="I25" s="1093"/>
      <c r="J25"/>
      <c r="K25"/>
      <c r="L25"/>
      <c r="M25"/>
      <c r="R25" s="672"/>
      <c r="S25"/>
      <c r="T25"/>
      <c r="W25" s="685" t="s">
        <v>51</v>
      </c>
      <c r="X25" s="633"/>
      <c r="Y25" s="633"/>
      <c r="Z25" s="633"/>
      <c r="AA25" s="633"/>
      <c r="AB25" s="633"/>
      <c r="AC25" s="633"/>
    </row>
    <row r="26" spans="1:43" s="42" customFormat="1" ht="18.75" x14ac:dyDescent="0.3">
      <c r="A26" s="3"/>
      <c r="B26" s="1333" t="s">
        <v>82</v>
      </c>
      <c r="C26" s="1333"/>
      <c r="D26" s="1333"/>
      <c r="E26" s="1333"/>
      <c r="F26" s="1334"/>
      <c r="G26" s="1334">
        <f>+G21+G25</f>
        <v>5612</v>
      </c>
      <c r="H26" s="1334">
        <f>+H21+H25</f>
        <v>7157</v>
      </c>
      <c r="I26" s="1093"/>
      <c r="J26"/>
      <c r="K26"/>
      <c r="L26"/>
      <c r="M26"/>
      <c r="N26"/>
      <c r="R26" s="672"/>
      <c r="S26"/>
      <c r="T26"/>
      <c r="W26" s="633" t="s">
        <v>248</v>
      </c>
      <c r="X26" s="633"/>
      <c r="Y26" s="633"/>
      <c r="Z26" s="633"/>
      <c r="AA26" s="642">
        <f>+'169-170'!AA26</f>
        <v>1908</v>
      </c>
      <c r="AB26" s="642">
        <f>+'171-172'!AB28</f>
        <v>3663</v>
      </c>
      <c r="AC26" s="642">
        <f>+Q21</f>
        <v>6926</v>
      </c>
      <c r="AD26"/>
      <c r="AE26"/>
    </row>
    <row r="27" spans="1:43" s="42" customFormat="1" ht="18.75" x14ac:dyDescent="0.3">
      <c r="A27" s="3"/>
      <c r="B27" s="3"/>
      <c r="C27" s="3"/>
      <c r="D27" s="3"/>
      <c r="E27" s="3"/>
      <c r="F27" s="3"/>
      <c r="G27" s="180">
        <f>+G15-G26</f>
        <v>0</v>
      </c>
      <c r="H27" s="180">
        <f>+H15-H26</f>
        <v>0</v>
      </c>
      <c r="I27" s="1093"/>
      <c r="J27"/>
      <c r="K27"/>
      <c r="L27"/>
      <c r="M27"/>
      <c r="N27"/>
      <c r="R27" s="672"/>
      <c r="S27"/>
      <c r="T27"/>
      <c r="W27" s="633" t="s">
        <v>138</v>
      </c>
      <c r="X27" s="633"/>
      <c r="Y27" s="633"/>
      <c r="Z27" s="633"/>
      <c r="AA27" s="642">
        <f>+'169-170'!AA27</f>
        <v>-297</v>
      </c>
      <c r="AB27" s="642">
        <f>+'171-172'!AB29</f>
        <v>-1296</v>
      </c>
      <c r="AC27" s="642">
        <f>+R21</f>
        <v>-3810</v>
      </c>
      <c r="AD27"/>
      <c r="AE27"/>
    </row>
    <row r="28" spans="1:43" s="42" customFormat="1" ht="18.75" x14ac:dyDescent="0.3">
      <c r="A28" s="3"/>
      <c r="B28" s="3"/>
      <c r="C28" s="3"/>
      <c r="D28" s="3"/>
      <c r="E28" s="3"/>
      <c r="F28" s="3"/>
      <c r="G28" s="3"/>
      <c r="H28" s="3"/>
      <c r="I28" s="1093"/>
      <c r="J28"/>
      <c r="K28"/>
      <c r="L28"/>
      <c r="M28"/>
      <c r="N28"/>
      <c r="R28" s="672"/>
      <c r="S28"/>
      <c r="T28"/>
      <c r="W28" s="633" t="s">
        <v>1200</v>
      </c>
      <c r="X28" s="633"/>
      <c r="Y28" s="633"/>
      <c r="Z28" s="633"/>
      <c r="AA28" s="642">
        <f>+'169-170'!AA28</f>
        <v>-103</v>
      </c>
      <c r="AB28" s="642">
        <f>+'171-172'!AB30</f>
        <v>-205</v>
      </c>
      <c r="AC28" s="642">
        <f>+S21</f>
        <v>-436</v>
      </c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3" s="42" customFormat="1" ht="18.75" x14ac:dyDescent="0.3">
      <c r="A29"/>
      <c r="B29" s="1328" t="s">
        <v>372</v>
      </c>
      <c r="C29" s="1328"/>
      <c r="D29" s="1328"/>
      <c r="E29" s="1328"/>
      <c r="F29" s="1328"/>
      <c r="G29" s="1328"/>
      <c r="H29" s="1329">
        <v>2021</v>
      </c>
      <c r="J29"/>
      <c r="K29"/>
      <c r="L29"/>
      <c r="M29"/>
      <c r="N29"/>
      <c r="R29" s="672"/>
      <c r="S29"/>
      <c r="T29"/>
      <c r="W29" s="633" t="s">
        <v>137</v>
      </c>
      <c r="X29" s="633"/>
      <c r="Y29" s="633"/>
      <c r="Z29" s="633"/>
      <c r="AA29" s="642">
        <f>+'169-170'!AA29</f>
        <v>-60</v>
      </c>
      <c r="AB29" s="642">
        <f>+'171-172'!AB31</f>
        <v>-93</v>
      </c>
      <c r="AC29" s="642">
        <f>+T21</f>
        <v>-165</v>
      </c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ht="18.75" x14ac:dyDescent="0.3">
      <c r="B30" s="1328"/>
      <c r="C30" s="1328"/>
      <c r="D30" s="1328"/>
      <c r="E30" s="1328"/>
      <c r="F30" s="1328"/>
      <c r="G30" s="1328"/>
      <c r="H30" s="1329" t="s">
        <v>1194</v>
      </c>
      <c r="I30" s="42"/>
      <c r="J30"/>
      <c r="K30"/>
      <c r="L30"/>
      <c r="M30"/>
      <c r="N30"/>
      <c r="S30"/>
      <c r="T30"/>
      <c r="W30" s="16" t="s">
        <v>719</v>
      </c>
      <c r="X30" s="17"/>
      <c r="Y30" s="17"/>
      <c r="Z30" s="17"/>
      <c r="AA30" s="48"/>
      <c r="AB30" s="48"/>
      <c r="AC30" s="48"/>
    </row>
    <row r="31" spans="1:43" ht="18.75" x14ac:dyDescent="0.3">
      <c r="B31" s="1328"/>
      <c r="C31" s="1328"/>
      <c r="D31" s="1328"/>
      <c r="E31" s="1328"/>
      <c r="F31" s="1328"/>
      <c r="G31" s="1328"/>
      <c r="H31" s="1331" t="s">
        <v>3</v>
      </c>
      <c r="I31" s="42"/>
      <c r="J31"/>
      <c r="K31"/>
      <c r="L31"/>
      <c r="M31"/>
      <c r="N31"/>
      <c r="S31"/>
      <c r="T31"/>
      <c r="W31" s="16" t="s">
        <v>1205</v>
      </c>
      <c r="X31" s="17"/>
      <c r="Y31" s="17"/>
      <c r="Z31" s="17"/>
      <c r="AA31" s="48">
        <f>SUM(AA26:AA29)</f>
        <v>1448</v>
      </c>
      <c r="AB31" s="48">
        <f>SUM(AB26:AB29)</f>
        <v>2069</v>
      </c>
      <c r="AC31" s="48">
        <f>SUM(AC26:AC29)</f>
        <v>2515</v>
      </c>
    </row>
    <row r="32" spans="1:43" ht="18.75" x14ac:dyDescent="0.3">
      <c r="B32" s="175"/>
      <c r="C32" s="175"/>
      <c r="D32" s="175"/>
      <c r="E32" s="175"/>
      <c r="F32" s="175"/>
      <c r="G32" s="175"/>
      <c r="H32" s="175"/>
      <c r="I32" s="42"/>
      <c r="J32"/>
      <c r="K32"/>
      <c r="L32"/>
      <c r="M32"/>
      <c r="N32"/>
      <c r="S32"/>
      <c r="T32"/>
      <c r="W32" s="685" t="s">
        <v>52</v>
      </c>
      <c r="X32" s="633"/>
      <c r="Y32" s="633"/>
      <c r="Z32" s="633"/>
      <c r="AA32" s="633"/>
      <c r="AB32" s="633"/>
      <c r="AC32" s="633"/>
    </row>
    <row r="33" spans="2:29" ht="18.75" x14ac:dyDescent="0.3">
      <c r="B33" s="131" t="s">
        <v>9</v>
      </c>
      <c r="C33" s="131"/>
      <c r="D33" s="175"/>
      <c r="E33" s="175"/>
      <c r="F33" s="175"/>
      <c r="G33" s="175"/>
      <c r="H33" s="132">
        <f>+'168'!J33</f>
        <v>6326</v>
      </c>
      <c r="I33" s="42"/>
      <c r="J33"/>
      <c r="K33"/>
      <c r="L33"/>
      <c r="M33"/>
      <c r="N33"/>
      <c r="S33"/>
      <c r="T33"/>
      <c r="W33" s="633" t="s">
        <v>280</v>
      </c>
      <c r="X33" s="633"/>
      <c r="Y33" s="633"/>
      <c r="Z33" s="633"/>
      <c r="AA33" s="642">
        <f>+'169-170'!AA33</f>
        <v>-1004</v>
      </c>
      <c r="AB33" s="642">
        <f>+'171-172'!AB35</f>
        <v>-1148</v>
      </c>
      <c r="AC33" s="642">
        <f>+U21</f>
        <v>-1428</v>
      </c>
    </row>
    <row r="34" spans="2:29" ht="18.75" x14ac:dyDescent="0.3">
      <c r="B34" s="131" t="s">
        <v>10</v>
      </c>
      <c r="C34" s="131"/>
      <c r="D34" s="175"/>
      <c r="E34" s="175"/>
      <c r="F34" s="175"/>
      <c r="G34" s="175"/>
      <c r="H34" s="132">
        <f>+'168'!J34</f>
        <v>-3500</v>
      </c>
      <c r="J34"/>
      <c r="K34"/>
      <c r="L34"/>
      <c r="M34"/>
      <c r="N34"/>
      <c r="S34"/>
      <c r="T34"/>
      <c r="W34" s="16" t="s">
        <v>719</v>
      </c>
      <c r="X34" s="17"/>
      <c r="Y34" s="17"/>
      <c r="Z34" s="17"/>
      <c r="AA34" s="48"/>
      <c r="AB34" s="48"/>
      <c r="AC34" s="48"/>
    </row>
    <row r="35" spans="2:29" ht="18.75" x14ac:dyDescent="0.3">
      <c r="B35" s="1333" t="s">
        <v>13</v>
      </c>
      <c r="C35" s="1333"/>
      <c r="D35" s="1335"/>
      <c r="E35" s="1335"/>
      <c r="F35" s="1335"/>
      <c r="G35" s="1335"/>
      <c r="H35" s="1334">
        <f>+H33+H34</f>
        <v>2826</v>
      </c>
      <c r="J35"/>
      <c r="K35"/>
      <c r="L35"/>
      <c r="M35"/>
      <c r="N35"/>
      <c r="S35"/>
      <c r="T35"/>
      <c r="W35" s="16" t="s">
        <v>1206</v>
      </c>
      <c r="X35" s="17"/>
      <c r="Y35" s="17"/>
      <c r="Z35" s="17"/>
      <c r="AA35" s="48">
        <f>+AA33</f>
        <v>-1004</v>
      </c>
      <c r="AB35" s="48">
        <f>+AB33</f>
        <v>-1148</v>
      </c>
      <c r="AC35" s="48">
        <f>+AC33</f>
        <v>-1428</v>
      </c>
    </row>
    <row r="36" spans="2:29" ht="18.75" x14ac:dyDescent="0.3">
      <c r="B36" s="181"/>
      <c r="C36" s="181"/>
      <c r="D36" s="175"/>
      <c r="E36" s="175"/>
      <c r="F36" s="175"/>
      <c r="G36" s="175"/>
      <c r="H36" s="180"/>
      <c r="J36"/>
      <c r="K36"/>
      <c r="L36"/>
      <c r="M36"/>
      <c r="N36"/>
      <c r="S36"/>
      <c r="T36"/>
      <c r="W36" s="685" t="s">
        <v>74</v>
      </c>
      <c r="X36" s="633"/>
      <c r="Y36" s="633"/>
      <c r="Z36" s="633"/>
      <c r="AA36" s="633"/>
      <c r="AB36" s="633"/>
      <c r="AC36" s="633"/>
    </row>
    <row r="37" spans="2:29" ht="18.75" x14ac:dyDescent="0.3">
      <c r="B37" s="131" t="s">
        <v>44</v>
      </c>
      <c r="C37" s="131"/>
      <c r="D37" s="175"/>
      <c r="E37" s="175"/>
      <c r="F37" s="175"/>
      <c r="G37" s="175"/>
      <c r="H37" s="132">
        <f>+'168'!J37</f>
        <v>-426</v>
      </c>
      <c r="J37"/>
      <c r="K37"/>
      <c r="L37"/>
      <c r="M37"/>
      <c r="N37"/>
      <c r="S37"/>
      <c r="T37"/>
      <c r="W37" s="633" t="s">
        <v>283</v>
      </c>
      <c r="X37" s="633"/>
      <c r="Y37" s="633"/>
      <c r="Z37" s="633"/>
      <c r="AA37" s="642">
        <f>+'169-170'!AA37</f>
        <v>50</v>
      </c>
      <c r="AB37" s="642">
        <f>+'171-172'!AB39</f>
        <v>50</v>
      </c>
      <c r="AC37" s="642">
        <f>+V21</f>
        <v>50</v>
      </c>
    </row>
    <row r="38" spans="2:29" ht="18.75" x14ac:dyDescent="0.3">
      <c r="B38" s="131" t="s">
        <v>38</v>
      </c>
      <c r="C38" s="131"/>
      <c r="D38" s="175"/>
      <c r="E38" s="175"/>
      <c r="F38" s="175"/>
      <c r="G38" s="175"/>
      <c r="H38" s="132">
        <f>+'168'!J38</f>
        <v>-360</v>
      </c>
      <c r="J38"/>
      <c r="N38"/>
      <c r="S38"/>
      <c r="T38"/>
      <c r="W38" s="633" t="s">
        <v>142</v>
      </c>
      <c r="X38" s="633"/>
      <c r="Y38" s="633"/>
      <c r="Z38" s="633"/>
      <c r="AA38" s="642">
        <f>+'169-170'!AA38</f>
        <v>-80</v>
      </c>
      <c r="AB38" s="642">
        <f>+'171-172'!AB40</f>
        <v>-80</v>
      </c>
      <c r="AC38" s="642">
        <f>+W21</f>
        <v>-80</v>
      </c>
    </row>
    <row r="39" spans="2:29" ht="18.75" x14ac:dyDescent="0.3">
      <c r="B39" s="131" t="s">
        <v>12</v>
      </c>
      <c r="C39" s="131"/>
      <c r="D39" s="180"/>
      <c r="E39" s="180"/>
      <c r="F39" s="180"/>
      <c r="G39" s="180"/>
      <c r="H39" s="132">
        <f>+'168'!J39</f>
        <v>-290</v>
      </c>
      <c r="J39"/>
      <c r="N39"/>
      <c r="S39"/>
      <c r="T39"/>
      <c r="W39" s="16" t="s">
        <v>719</v>
      </c>
      <c r="X39" s="17"/>
      <c r="Y39" s="17"/>
      <c r="Z39" s="17"/>
      <c r="AA39" s="48"/>
      <c r="AB39" s="48"/>
      <c r="AC39" s="48"/>
    </row>
    <row r="40" spans="2:29" ht="18.75" x14ac:dyDescent="0.3">
      <c r="B40" s="1333" t="s">
        <v>14</v>
      </c>
      <c r="C40" s="1333"/>
      <c r="D40" s="1335"/>
      <c r="E40" s="1335"/>
      <c r="F40" s="1335"/>
      <c r="G40" s="1335"/>
      <c r="H40" s="1334">
        <f>SUM(H35:H39)</f>
        <v>1750</v>
      </c>
      <c r="J40"/>
      <c r="N40"/>
      <c r="S40"/>
      <c r="T40"/>
      <c r="W40" s="16" t="s">
        <v>1207</v>
      </c>
      <c r="X40" s="17"/>
      <c r="Y40" s="17"/>
      <c r="Z40" s="17"/>
      <c r="AA40" s="48">
        <f>SUM(AA37:AA38)</f>
        <v>-30</v>
      </c>
      <c r="AB40" s="48">
        <f>SUM(AB37:AB38)</f>
        <v>-30</v>
      </c>
      <c r="AC40" s="48">
        <f>SUM(AC37:AC38)</f>
        <v>-30</v>
      </c>
    </row>
    <row r="41" spans="2:29" ht="18.75" x14ac:dyDescent="0.3">
      <c r="B41" s="131"/>
      <c r="C41" s="131"/>
      <c r="D41" s="131"/>
      <c r="E41" s="131"/>
      <c r="F41" s="131"/>
      <c r="G41" s="131"/>
      <c r="H41" s="132"/>
      <c r="J41"/>
      <c r="S41"/>
      <c r="T41"/>
      <c r="W41" s="522" t="s">
        <v>286</v>
      </c>
      <c r="X41" s="215"/>
      <c r="Y41" s="215"/>
      <c r="Z41" s="215"/>
      <c r="AA41" s="1341">
        <f>+AA31+AA35+AA40</f>
        <v>414</v>
      </c>
      <c r="AB41" s="1341">
        <f>+AB31+AB35+AB40</f>
        <v>891</v>
      </c>
      <c r="AC41" s="1341">
        <f>+AC31+AC35+AC40</f>
        <v>1057</v>
      </c>
    </row>
    <row r="42" spans="2:29" ht="18.75" x14ac:dyDescent="0.3">
      <c r="B42" s="131" t="s">
        <v>15</v>
      </c>
      <c r="C42" s="131"/>
      <c r="D42" s="175"/>
      <c r="E42" s="175"/>
      <c r="F42" s="175"/>
      <c r="G42" s="175"/>
      <c r="H42" s="132">
        <f>+'168'!J42</f>
        <v>-150</v>
      </c>
      <c r="J42"/>
      <c r="S42"/>
      <c r="T42"/>
      <c r="W42" s="1342" t="s">
        <v>47</v>
      </c>
      <c r="X42" s="1342"/>
      <c r="Y42" s="1342"/>
      <c r="Z42" s="1342"/>
      <c r="AA42" s="1345">
        <f>+L5</f>
        <v>800</v>
      </c>
      <c r="AB42" s="1345">
        <f>+AA42</f>
        <v>800</v>
      </c>
      <c r="AC42" s="1345">
        <f>+AB42</f>
        <v>800</v>
      </c>
    </row>
    <row r="43" spans="2:29" ht="18.75" x14ac:dyDescent="0.3">
      <c r="B43" s="1333" t="s">
        <v>16</v>
      </c>
      <c r="C43" s="1333"/>
      <c r="D43" s="1335"/>
      <c r="E43" s="1335"/>
      <c r="F43" s="1335"/>
      <c r="G43" s="1335"/>
      <c r="H43" s="1334">
        <f>+H40+H42</f>
        <v>1600</v>
      </c>
      <c r="J43"/>
      <c r="S43"/>
      <c r="T43"/>
      <c r="W43" s="1344" t="s">
        <v>49</v>
      </c>
      <c r="X43" s="1342"/>
      <c r="Y43" s="1342"/>
      <c r="Z43" s="1342"/>
      <c r="AA43" s="1343">
        <f>+AA41+AA42</f>
        <v>1214</v>
      </c>
      <c r="AB43" s="1343">
        <f>+AB41+AB42</f>
        <v>1691</v>
      </c>
      <c r="AC43" s="1343">
        <f>+AC41+AC42</f>
        <v>1857</v>
      </c>
    </row>
    <row r="44" spans="2:29" ht="18.75" x14ac:dyDescent="0.3">
      <c r="J44"/>
      <c r="S44"/>
      <c r="T44"/>
      <c r="W44"/>
      <c r="X44"/>
      <c r="Y44"/>
      <c r="Z44"/>
      <c r="AA44" s="20"/>
      <c r="AC44" s="1168">
        <f>+AC43-K5</f>
        <v>0</v>
      </c>
    </row>
    <row r="45" spans="2:29" ht="18.75" x14ac:dyDescent="0.3">
      <c r="J45"/>
      <c r="S45"/>
      <c r="T45"/>
      <c r="Y45"/>
      <c r="Z45"/>
      <c r="AA45"/>
      <c r="AB45"/>
      <c r="AC45"/>
    </row>
    <row r="46" spans="2:29" ht="18.75" x14ac:dyDescent="0.3">
      <c r="S46"/>
      <c r="T46"/>
      <c r="Y46"/>
      <c r="Z46"/>
      <c r="AA46"/>
      <c r="AB46"/>
      <c r="AC46"/>
    </row>
    <row r="47" spans="2:29" ht="18.75" hidden="1" x14ac:dyDescent="0.3"/>
    <row r="48" spans="2:29" ht="18.75" hidden="1" x14ac:dyDescent="0.3"/>
    <row r="49" ht="18.75" hidden="1" x14ac:dyDescent="0.3"/>
    <row r="50" ht="18.75" hidden="1" x14ac:dyDescent="0.3"/>
    <row r="51" ht="18.75" hidden="1" x14ac:dyDescent="0.3"/>
    <row r="52" ht="18.75" hidden="1" x14ac:dyDescent="0.3"/>
    <row r="53" ht="18.75" hidden="1" x14ac:dyDescent="0.3"/>
    <row r="54" ht="18.75" hidden="1" customHeight="1" x14ac:dyDescent="0.3"/>
    <row r="55" ht="18.75" hidden="1" customHeight="1" x14ac:dyDescent="0.3"/>
    <row r="56" ht="18.75" hidden="1" customHeight="1" x14ac:dyDescent="0.3"/>
    <row r="57" ht="18.75" hidden="1" customHeight="1" x14ac:dyDescent="0.3"/>
    <row r="58" ht="18.75" hidden="1" customHeight="1" x14ac:dyDescent="0.3"/>
    <row r="59" ht="18.75" hidden="1" customHeight="1" x14ac:dyDescent="0.3"/>
    <row r="60" ht="18.75" hidden="1" customHeight="1" x14ac:dyDescent="0.3"/>
  </sheetData>
  <mergeCells count="1">
    <mergeCell ref="N3:O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6A30-E6BE-4D16-A571-B5753B2631A5}">
  <sheetPr>
    <tabColor theme="1"/>
  </sheetPr>
  <dimension ref="A1:XDQ44"/>
  <sheetViews>
    <sheetView zoomScale="40" zoomScaleNormal="40" workbookViewId="0">
      <selection activeCell="S1" sqref="S1:AA1048576"/>
    </sheetView>
  </sheetViews>
  <sheetFormatPr baseColWidth="10" defaultColWidth="0" defaultRowHeight="0" customHeight="1" zeroHeight="1" x14ac:dyDescent="0.3"/>
  <cols>
    <col min="1" max="1" width="9.85546875" style="42" bestFit="1" customWidth="1"/>
    <col min="2" max="2" width="10.85546875" style="42" customWidth="1"/>
    <col min="3" max="7" width="13.7109375" style="42" customWidth="1"/>
    <col min="8" max="8" width="17.28515625" style="42" customWidth="1"/>
    <col min="9" max="9" width="5" customWidth="1"/>
    <col min="10" max="10" width="17.5703125" bestFit="1" customWidth="1"/>
    <col min="11" max="12" width="11.42578125" customWidth="1"/>
    <col min="13" max="13" width="0.7109375" customWidth="1"/>
    <col min="14" max="14" width="13.7109375" customWidth="1"/>
    <col min="15" max="15" width="13.7109375" bestFit="1" customWidth="1"/>
    <col min="16" max="16" width="12.42578125" bestFit="1" customWidth="1"/>
    <col min="17" max="17" width="16.28515625" customWidth="1"/>
    <col min="18" max="18" width="11.42578125" customWidth="1"/>
    <col min="19" max="19" width="12.42578125" hidden="1" customWidth="1"/>
    <col min="20" max="20" width="12" hidden="1" customWidth="1"/>
    <col min="21" max="21" width="12.85546875" hidden="1" customWidth="1"/>
    <col min="22" max="25" width="11.42578125" hidden="1" customWidth="1"/>
    <col min="131" max="16345" width="11.42578125" hidden="1"/>
  </cols>
  <sheetData>
    <row r="1" spans="1:25" s="42" customFormat="1" ht="18.75" x14ac:dyDescent="0.3">
      <c r="A1"/>
      <c r="B1"/>
      <c r="C1" s="241"/>
    </row>
    <row r="2" spans="1:25" s="42" customFormat="1" ht="18.75" x14ac:dyDescent="0.3">
      <c r="A2"/>
      <c r="B2" s="270" t="s">
        <v>368</v>
      </c>
      <c r="C2" s="108"/>
      <c r="D2" s="108"/>
      <c r="E2" s="108"/>
      <c r="F2" s="1236" t="s">
        <v>1201</v>
      </c>
      <c r="G2" s="1236" t="s">
        <v>1202</v>
      </c>
      <c r="H2" s="1236" t="s">
        <v>1203</v>
      </c>
      <c r="J2" s="270" t="s">
        <v>368</v>
      </c>
      <c r="K2" s="108"/>
      <c r="L2" s="108"/>
      <c r="M2" s="108"/>
      <c r="N2" s="1236" t="s">
        <v>1201</v>
      </c>
      <c r="O2" s="1236" t="s">
        <v>1201</v>
      </c>
      <c r="P2" s="1236" t="s">
        <v>1201</v>
      </c>
      <c r="Q2" s="1346" t="s">
        <v>1211</v>
      </c>
      <c r="S2" s="270" t="s">
        <v>368</v>
      </c>
      <c r="T2" s="108"/>
      <c r="U2" s="108"/>
      <c r="V2" s="108"/>
      <c r="W2" s="1236">
        <v>2020</v>
      </c>
      <c r="X2" s="1236">
        <v>2019</v>
      </c>
    </row>
    <row r="3" spans="1:25" s="42" customFormat="1" ht="18.75" x14ac:dyDescent="0.3">
      <c r="B3" s="270" t="s">
        <v>1199</v>
      </c>
      <c r="C3" s="108"/>
      <c r="D3" s="108"/>
      <c r="E3" s="108"/>
      <c r="F3" s="1236" t="s">
        <v>1213</v>
      </c>
      <c r="G3" s="1236" t="s">
        <v>1226</v>
      </c>
      <c r="H3" s="1236" t="s">
        <v>1214</v>
      </c>
      <c r="J3" s="270" t="s">
        <v>1199</v>
      </c>
      <c r="K3" s="108"/>
      <c r="L3" s="108"/>
      <c r="M3" s="108"/>
      <c r="N3" s="1236" t="s">
        <v>1208</v>
      </c>
      <c r="O3" s="1236" t="s">
        <v>1209</v>
      </c>
      <c r="P3" s="1236" t="s">
        <v>1210</v>
      </c>
      <c r="Q3" s="1346" t="s">
        <v>1212</v>
      </c>
      <c r="S3" s="270" t="s">
        <v>1199</v>
      </c>
      <c r="T3" s="108"/>
      <c r="U3" s="108"/>
      <c r="V3" s="108"/>
      <c r="W3" s="1236" t="s">
        <v>387</v>
      </c>
      <c r="X3" s="1236" t="s">
        <v>387</v>
      </c>
    </row>
    <row r="4" spans="1:25" s="42" customFormat="1" ht="18.75" x14ac:dyDescent="0.3">
      <c r="B4" s="685" t="s">
        <v>51</v>
      </c>
      <c r="C4" s="633"/>
      <c r="D4" s="633"/>
      <c r="E4" s="633"/>
      <c r="F4" s="633"/>
      <c r="G4" s="633"/>
      <c r="H4" s="633"/>
      <c r="J4" s="685" t="s">
        <v>51</v>
      </c>
      <c r="K4" s="633"/>
      <c r="L4" s="633"/>
      <c r="M4" s="633"/>
      <c r="N4" s="633"/>
      <c r="O4" s="633"/>
      <c r="P4" s="633"/>
      <c r="Q4" s="1347"/>
      <c r="S4" s="685" t="s">
        <v>51</v>
      </c>
      <c r="T4" s="633"/>
      <c r="U4" s="633"/>
      <c r="V4" s="633"/>
      <c r="W4" s="633"/>
      <c r="X4" s="633"/>
    </row>
    <row r="5" spans="1:25" s="42" customFormat="1" ht="18.75" x14ac:dyDescent="0.3">
      <c r="B5" s="633" t="s">
        <v>248</v>
      </c>
      <c r="C5" s="633"/>
      <c r="D5" s="633"/>
      <c r="E5" s="633"/>
      <c r="F5" s="642">
        <f>+'169-170'!AA26</f>
        <v>1908</v>
      </c>
      <c r="G5" s="642">
        <f>+'171-172'!AB28</f>
        <v>3663</v>
      </c>
      <c r="H5" s="642">
        <f>+'173-174'!AC26</f>
        <v>6926</v>
      </c>
      <c r="I5"/>
      <c r="J5" s="633" t="s">
        <v>248</v>
      </c>
      <c r="K5" s="633"/>
      <c r="L5" s="633"/>
      <c r="M5" s="633"/>
      <c r="N5" s="642">
        <f>+F5</f>
        <v>1908</v>
      </c>
      <c r="O5" s="642">
        <f>+G5-F5</f>
        <v>1755</v>
      </c>
      <c r="P5" s="642">
        <f>+H5-G5</f>
        <v>3263</v>
      </c>
      <c r="Q5" s="1348">
        <f>+N5+O5+P5</f>
        <v>6926</v>
      </c>
      <c r="S5" s="633" t="s">
        <v>248</v>
      </c>
      <c r="T5" s="633"/>
      <c r="U5" s="633"/>
      <c r="V5" s="633"/>
      <c r="W5" s="642">
        <f>+O5</f>
        <v>1755</v>
      </c>
      <c r="X5" s="642">
        <v>2200</v>
      </c>
    </row>
    <row r="6" spans="1:25" s="42" customFormat="1" ht="18.75" x14ac:dyDescent="0.3">
      <c r="B6" s="633" t="s">
        <v>138</v>
      </c>
      <c r="C6" s="633"/>
      <c r="D6" s="633"/>
      <c r="E6" s="633"/>
      <c r="F6" s="642">
        <f>+'169-170'!AA27</f>
        <v>-297</v>
      </c>
      <c r="G6" s="642">
        <f>+'171-172'!AB29</f>
        <v>-1296</v>
      </c>
      <c r="H6" s="642">
        <f>+'173-174'!AC27</f>
        <v>-3810</v>
      </c>
      <c r="I6"/>
      <c r="J6" s="633" t="s">
        <v>138</v>
      </c>
      <c r="K6" s="633"/>
      <c r="L6" s="633"/>
      <c r="M6" s="633"/>
      <c r="N6" s="642">
        <f t="shared" ref="N6:N8" si="0">+F6</f>
        <v>-297</v>
      </c>
      <c r="O6" s="642">
        <f t="shared" ref="O6:O8" si="1">+G6-F6</f>
        <v>-999</v>
      </c>
      <c r="P6" s="642">
        <f t="shared" ref="P6:P8" si="2">+H6-G6</f>
        <v>-2514</v>
      </c>
      <c r="Q6" s="1348">
        <f t="shared" ref="Q6:Q8" si="3">+N6+O6+P6</f>
        <v>-3810</v>
      </c>
      <c r="S6" s="633" t="s">
        <v>138</v>
      </c>
      <c r="T6" s="633"/>
      <c r="U6" s="633"/>
      <c r="V6" s="633"/>
      <c r="W6" s="642">
        <f t="shared" ref="W6:W8" si="4">+O6</f>
        <v>-999</v>
      </c>
      <c r="X6" s="642">
        <f t="shared" ref="X6:X8" si="5">+P6-O6</f>
        <v>-1515</v>
      </c>
    </row>
    <row r="7" spans="1:25" s="42" customFormat="1" ht="18.75" x14ac:dyDescent="0.3">
      <c r="B7" s="633" t="s">
        <v>1200</v>
      </c>
      <c r="C7" s="633"/>
      <c r="D7" s="633"/>
      <c r="E7" s="633"/>
      <c r="F7" s="642">
        <f>+'169-170'!AA28</f>
        <v>-103</v>
      </c>
      <c r="G7" s="642">
        <f>+'171-172'!AB30</f>
        <v>-205</v>
      </c>
      <c r="H7" s="642">
        <f>+'173-174'!AC28</f>
        <v>-436</v>
      </c>
      <c r="I7"/>
      <c r="J7" s="633" t="s">
        <v>1200</v>
      </c>
      <c r="K7" s="633"/>
      <c r="L7" s="633"/>
      <c r="M7" s="633"/>
      <c r="N7" s="642">
        <f t="shared" si="0"/>
        <v>-103</v>
      </c>
      <c r="O7" s="642">
        <f t="shared" si="1"/>
        <v>-102</v>
      </c>
      <c r="P7" s="642">
        <f t="shared" si="2"/>
        <v>-231</v>
      </c>
      <c r="Q7" s="1348">
        <f t="shared" si="3"/>
        <v>-436</v>
      </c>
      <c r="S7" s="633" t="s">
        <v>1200</v>
      </c>
      <c r="T7" s="633"/>
      <c r="U7" s="633"/>
      <c r="V7" s="633"/>
      <c r="W7" s="642">
        <f t="shared" si="4"/>
        <v>-102</v>
      </c>
      <c r="X7" s="642">
        <f t="shared" si="5"/>
        <v>-129</v>
      </c>
    </row>
    <row r="8" spans="1:25" s="42" customFormat="1" ht="18.75" x14ac:dyDescent="0.3">
      <c r="B8" s="633" t="s">
        <v>137</v>
      </c>
      <c r="C8" s="633"/>
      <c r="D8" s="633"/>
      <c r="E8" s="633"/>
      <c r="F8" s="642">
        <f>+'169-170'!AA29</f>
        <v>-60</v>
      </c>
      <c r="G8" s="642">
        <f>+'171-172'!AB31</f>
        <v>-93</v>
      </c>
      <c r="H8" s="642">
        <f>+'173-174'!AC29</f>
        <v>-165</v>
      </c>
      <c r="I8"/>
      <c r="J8" s="633" t="s">
        <v>137</v>
      </c>
      <c r="K8" s="633"/>
      <c r="L8" s="633"/>
      <c r="M8" s="633"/>
      <c r="N8" s="642">
        <f t="shared" si="0"/>
        <v>-60</v>
      </c>
      <c r="O8" s="642">
        <f t="shared" si="1"/>
        <v>-33</v>
      </c>
      <c r="P8" s="642">
        <f t="shared" si="2"/>
        <v>-72</v>
      </c>
      <c r="Q8" s="1348">
        <f t="shared" si="3"/>
        <v>-165</v>
      </c>
      <c r="R8"/>
      <c r="S8" s="633" t="s">
        <v>137</v>
      </c>
      <c r="T8" s="633"/>
      <c r="U8" s="633"/>
      <c r="V8" s="633"/>
      <c r="W8" s="642">
        <f t="shared" si="4"/>
        <v>-33</v>
      </c>
      <c r="X8" s="642">
        <f t="shared" si="5"/>
        <v>-39</v>
      </c>
      <c r="Y8"/>
    </row>
    <row r="9" spans="1:25" ht="18.75" x14ac:dyDescent="0.3">
      <c r="B9" s="16" t="s">
        <v>719</v>
      </c>
      <c r="C9" s="17"/>
      <c r="D9" s="17"/>
      <c r="E9" s="17"/>
      <c r="F9" s="48"/>
      <c r="G9" s="48"/>
      <c r="H9" s="48"/>
      <c r="J9" s="16" t="s">
        <v>719</v>
      </c>
      <c r="K9" s="17"/>
      <c r="L9" s="17"/>
      <c r="M9" s="17"/>
      <c r="N9" s="48"/>
      <c r="O9" s="48"/>
      <c r="P9" s="48"/>
      <c r="Q9" s="1349"/>
      <c r="S9" s="16" t="s">
        <v>719</v>
      </c>
      <c r="T9" s="17"/>
      <c r="U9" s="17"/>
      <c r="V9" s="17"/>
      <c r="W9" s="48"/>
      <c r="X9" s="48"/>
    </row>
    <row r="10" spans="1:25" ht="18.75" x14ac:dyDescent="0.3">
      <c r="B10" s="16" t="s">
        <v>1205</v>
      </c>
      <c r="C10" s="17"/>
      <c r="D10" s="17"/>
      <c r="E10" s="17"/>
      <c r="F10" s="48">
        <f>SUM(F5:F8)</f>
        <v>1448</v>
      </c>
      <c r="G10" s="48">
        <f>SUM(G5:G8)</f>
        <v>2069</v>
      </c>
      <c r="H10" s="48">
        <f>SUM(H5:H8)</f>
        <v>2515</v>
      </c>
      <c r="J10" s="16" t="s">
        <v>1205</v>
      </c>
      <c r="K10" s="17"/>
      <c r="L10" s="17"/>
      <c r="M10" s="17"/>
      <c r="N10" s="48">
        <f>SUM(N5:N8)</f>
        <v>1448</v>
      </c>
      <c r="O10" s="48">
        <f>SUM(O5:O8)</f>
        <v>621</v>
      </c>
      <c r="P10" s="48">
        <f>SUM(P5:P8)</f>
        <v>446</v>
      </c>
      <c r="Q10" s="1349">
        <f>SUM(Q5:Q8)</f>
        <v>2515</v>
      </c>
      <c r="S10" s="16" t="s">
        <v>1205</v>
      </c>
      <c r="T10" s="17"/>
      <c r="U10" s="17"/>
      <c r="V10" s="17"/>
      <c r="W10" s="48">
        <f>SUM(W5:W8)</f>
        <v>621</v>
      </c>
      <c r="X10" s="48">
        <f>SUM(X5:X8)</f>
        <v>517</v>
      </c>
    </row>
    <row r="11" spans="1:25" ht="18.75" x14ac:dyDescent="0.3">
      <c r="B11" s="685" t="s">
        <v>52</v>
      </c>
      <c r="C11" s="633"/>
      <c r="D11" s="633"/>
      <c r="E11" s="633"/>
      <c r="F11" s="633"/>
      <c r="G11" s="633"/>
      <c r="H11" s="633"/>
      <c r="J11" s="685" t="s">
        <v>52</v>
      </c>
      <c r="K11" s="633"/>
      <c r="L11" s="633"/>
      <c r="M11" s="633"/>
      <c r="N11" s="633"/>
      <c r="O11" s="633"/>
      <c r="P11" s="633"/>
      <c r="Q11" s="1347"/>
      <c r="S11" s="685" t="s">
        <v>52</v>
      </c>
      <c r="T11" s="633"/>
      <c r="U11" s="633"/>
      <c r="V11" s="633"/>
      <c r="W11" s="633"/>
      <c r="X11" s="633"/>
    </row>
    <row r="12" spans="1:25" ht="18.75" x14ac:dyDescent="0.3">
      <c r="B12" s="633" t="s">
        <v>280</v>
      </c>
      <c r="C12" s="633"/>
      <c r="D12" s="633"/>
      <c r="E12" s="633"/>
      <c r="F12" s="642">
        <f>+'169-170'!AA33</f>
        <v>-1004</v>
      </c>
      <c r="G12" s="642">
        <f>+'171-172'!AB35</f>
        <v>-1148</v>
      </c>
      <c r="H12" s="642">
        <f>+'173-174'!AC33</f>
        <v>-1428</v>
      </c>
      <c r="J12" s="633" t="s">
        <v>280</v>
      </c>
      <c r="K12" s="633"/>
      <c r="L12" s="633"/>
      <c r="M12" s="633"/>
      <c r="N12" s="642">
        <f>+F12</f>
        <v>-1004</v>
      </c>
      <c r="O12" s="642">
        <f>+G12-F12</f>
        <v>-144</v>
      </c>
      <c r="P12" s="642">
        <f>+H12-G12</f>
        <v>-280</v>
      </c>
      <c r="Q12" s="1348">
        <f>+N12+O12+P12</f>
        <v>-1428</v>
      </c>
      <c r="S12" s="633" t="s">
        <v>280</v>
      </c>
      <c r="T12" s="633"/>
      <c r="U12" s="633"/>
      <c r="V12" s="633"/>
      <c r="W12" s="642">
        <f>+O12</f>
        <v>-144</v>
      </c>
      <c r="X12" s="642">
        <f>+P12-O12</f>
        <v>-136</v>
      </c>
    </row>
    <row r="13" spans="1:25" ht="18.75" x14ac:dyDescent="0.3">
      <c r="B13" s="16" t="s">
        <v>719</v>
      </c>
      <c r="C13" s="17"/>
      <c r="D13" s="17"/>
      <c r="E13" s="17"/>
      <c r="F13" s="48"/>
      <c r="G13" s="48"/>
      <c r="H13" s="48"/>
      <c r="J13" s="16" t="s">
        <v>719</v>
      </c>
      <c r="K13" s="17"/>
      <c r="L13" s="17"/>
      <c r="M13" s="17"/>
      <c r="N13" s="48"/>
      <c r="O13" s="48"/>
      <c r="P13" s="48"/>
      <c r="Q13" s="1349"/>
      <c r="S13" s="16" t="s">
        <v>719</v>
      </c>
      <c r="T13" s="17"/>
      <c r="U13" s="17"/>
      <c r="V13" s="17"/>
      <c r="W13" s="48"/>
      <c r="X13" s="48"/>
    </row>
    <row r="14" spans="1:25" ht="18.75" x14ac:dyDescent="0.3">
      <c r="B14" s="16" t="s">
        <v>1206</v>
      </c>
      <c r="C14" s="17"/>
      <c r="D14" s="17"/>
      <c r="E14" s="17"/>
      <c r="F14" s="48">
        <f>+F12</f>
        <v>-1004</v>
      </c>
      <c r="G14" s="48">
        <f>+G12</f>
        <v>-1148</v>
      </c>
      <c r="H14" s="48">
        <f>+H12</f>
        <v>-1428</v>
      </c>
      <c r="J14" s="16" t="s">
        <v>1206</v>
      </c>
      <c r="K14" s="17"/>
      <c r="L14" s="17"/>
      <c r="M14" s="17"/>
      <c r="N14" s="48">
        <f>+N12</f>
        <v>-1004</v>
      </c>
      <c r="O14" s="48">
        <f>+O12</f>
        <v>-144</v>
      </c>
      <c r="P14" s="48">
        <f>+P12</f>
        <v>-280</v>
      </c>
      <c r="Q14" s="1349">
        <f>+Q12</f>
        <v>-1428</v>
      </c>
      <c r="S14" s="16" t="s">
        <v>1206</v>
      </c>
      <c r="T14" s="17"/>
      <c r="U14" s="17"/>
      <c r="V14" s="17"/>
      <c r="W14" s="48">
        <f>+W12</f>
        <v>-144</v>
      </c>
      <c r="X14" s="48">
        <f>+X12</f>
        <v>-136</v>
      </c>
    </row>
    <row r="15" spans="1:25" ht="18.75" x14ac:dyDescent="0.3">
      <c r="B15" s="685" t="s">
        <v>74</v>
      </c>
      <c r="C15" s="633"/>
      <c r="D15" s="633"/>
      <c r="E15" s="633"/>
      <c r="F15" s="633"/>
      <c r="G15" s="633"/>
      <c r="H15" s="633"/>
      <c r="J15" s="685" t="s">
        <v>74</v>
      </c>
      <c r="K15" s="633"/>
      <c r="L15" s="633"/>
      <c r="M15" s="633"/>
      <c r="N15" s="633"/>
      <c r="O15" s="633"/>
      <c r="P15" s="633"/>
      <c r="Q15" s="1347"/>
      <c r="S15" s="685" t="s">
        <v>74</v>
      </c>
      <c r="T15" s="633"/>
      <c r="U15" s="633"/>
      <c r="V15" s="633"/>
      <c r="W15" s="633"/>
      <c r="X15" s="633"/>
    </row>
    <row r="16" spans="1:25" ht="18.75" x14ac:dyDescent="0.3">
      <c r="B16" s="633" t="s">
        <v>283</v>
      </c>
      <c r="C16" s="633"/>
      <c r="D16" s="633"/>
      <c r="E16" s="633"/>
      <c r="F16" s="642">
        <f>+'169-170'!AA37</f>
        <v>50</v>
      </c>
      <c r="G16" s="642">
        <f>+'171-172'!AB39</f>
        <v>50</v>
      </c>
      <c r="H16" s="642">
        <f>+'173-174'!AC37</f>
        <v>50</v>
      </c>
      <c r="J16" s="633" t="s">
        <v>283</v>
      </c>
      <c r="K16" s="633"/>
      <c r="L16" s="633"/>
      <c r="M16" s="633"/>
      <c r="N16" s="642">
        <f t="shared" ref="N16:N17" si="6">+F16</f>
        <v>50</v>
      </c>
      <c r="O16" s="642">
        <f t="shared" ref="O16:O17" si="7">+G16-F16</f>
        <v>0</v>
      </c>
      <c r="P16" s="642">
        <f t="shared" ref="P16:P17" si="8">+H16-G16</f>
        <v>0</v>
      </c>
      <c r="Q16" s="1348">
        <f t="shared" ref="Q16:Q17" si="9">+N16+O16+P16</f>
        <v>50</v>
      </c>
      <c r="S16" s="633" t="s">
        <v>283</v>
      </c>
      <c r="T16" s="633"/>
      <c r="U16" s="633"/>
      <c r="V16" s="633"/>
      <c r="W16" s="642">
        <v>1000</v>
      </c>
      <c r="X16" s="642">
        <v>500</v>
      </c>
    </row>
    <row r="17" spans="2:24" ht="18.75" x14ac:dyDescent="0.3">
      <c r="B17" s="633" t="s">
        <v>142</v>
      </c>
      <c r="C17" s="633"/>
      <c r="D17" s="633"/>
      <c r="E17" s="633"/>
      <c r="F17" s="642">
        <f>+'169-170'!AA38</f>
        <v>-80</v>
      </c>
      <c r="G17" s="642">
        <f>+'171-172'!AB40</f>
        <v>-80</v>
      </c>
      <c r="H17" s="642">
        <f>+'173-174'!AC38</f>
        <v>-80</v>
      </c>
      <c r="J17" s="633" t="s">
        <v>142</v>
      </c>
      <c r="K17" s="633"/>
      <c r="L17" s="633"/>
      <c r="M17" s="633"/>
      <c r="N17" s="642">
        <f t="shared" si="6"/>
        <v>-80</v>
      </c>
      <c r="O17" s="642">
        <f t="shared" si="7"/>
        <v>0</v>
      </c>
      <c r="P17" s="642">
        <f t="shared" si="8"/>
        <v>0</v>
      </c>
      <c r="Q17" s="1348">
        <f t="shared" si="9"/>
        <v>-80</v>
      </c>
      <c r="S17" s="633" t="s">
        <v>140</v>
      </c>
      <c r="T17" s="633"/>
      <c r="U17" s="633"/>
      <c r="V17" s="633"/>
      <c r="W17" s="642">
        <v>-30</v>
      </c>
      <c r="X17" s="642">
        <v>-35</v>
      </c>
    </row>
    <row r="18" spans="2:24" ht="18.75" x14ac:dyDescent="0.3">
      <c r="B18" s="16" t="s">
        <v>719</v>
      </c>
      <c r="C18" s="17"/>
      <c r="D18" s="17"/>
      <c r="E18" s="17"/>
      <c r="F18" s="48"/>
      <c r="G18" s="48"/>
      <c r="H18" s="48"/>
      <c r="J18" s="16" t="s">
        <v>719</v>
      </c>
      <c r="K18" s="17"/>
      <c r="L18" s="17"/>
      <c r="M18" s="17"/>
      <c r="N18" s="48"/>
      <c r="O18" s="48"/>
      <c r="P18" s="48"/>
      <c r="Q18" s="1349"/>
      <c r="S18" s="16" t="s">
        <v>719</v>
      </c>
      <c r="T18" s="17"/>
      <c r="U18" s="17"/>
      <c r="V18" s="17"/>
      <c r="W18" s="48"/>
      <c r="X18" s="48"/>
    </row>
    <row r="19" spans="2:24" ht="18.75" x14ac:dyDescent="0.3">
      <c r="B19" s="16" t="s">
        <v>1207</v>
      </c>
      <c r="C19" s="17"/>
      <c r="D19" s="17"/>
      <c r="E19" s="17"/>
      <c r="F19" s="48">
        <f>SUM(F16:F17)</f>
        <v>-30</v>
      </c>
      <c r="G19" s="48">
        <f>SUM(G16:G17)</f>
        <v>-30</v>
      </c>
      <c r="H19" s="48">
        <f>SUM(H16:H17)</f>
        <v>-30</v>
      </c>
      <c r="J19" s="16" t="s">
        <v>1207</v>
      </c>
      <c r="K19" s="17"/>
      <c r="L19" s="17"/>
      <c r="M19" s="17"/>
      <c r="N19" s="48">
        <f>SUM(N16:N17)</f>
        <v>-30</v>
      </c>
      <c r="O19" s="48">
        <f t="shared" ref="O19:P19" si="10">SUM(O16:O17)</f>
        <v>0</v>
      </c>
      <c r="P19" s="48">
        <f t="shared" si="10"/>
        <v>0</v>
      </c>
      <c r="Q19" s="1349">
        <f>SUM(Q16:Q17)</f>
        <v>-30</v>
      </c>
      <c r="S19" s="16" t="s">
        <v>1207</v>
      </c>
      <c r="T19" s="17"/>
      <c r="U19" s="17"/>
      <c r="V19" s="17"/>
      <c r="W19" s="48">
        <f>SUM(W16:W17)</f>
        <v>970</v>
      </c>
      <c r="X19" s="48">
        <f t="shared" ref="X19" si="11">SUM(X16:X17)</f>
        <v>465</v>
      </c>
    </row>
    <row r="20" spans="2:24" ht="18.75" x14ac:dyDescent="0.3">
      <c r="B20" s="522" t="s">
        <v>286</v>
      </c>
      <c r="C20" s="215"/>
      <c r="D20" s="215"/>
      <c r="E20" s="215"/>
      <c r="F20" s="1341">
        <f>+F10+F14+F19</f>
        <v>414</v>
      </c>
      <c r="G20" s="1341">
        <f>+G10+G14+G19</f>
        <v>891</v>
      </c>
      <c r="H20" s="1341">
        <f>+H10+H14+H19</f>
        <v>1057</v>
      </c>
      <c r="J20" s="522" t="s">
        <v>286</v>
      </c>
      <c r="K20" s="215"/>
      <c r="L20" s="215"/>
      <c r="M20" s="215"/>
      <c r="N20" s="1341">
        <f>+N10+N14+N19</f>
        <v>414</v>
      </c>
      <c r="O20" s="1341">
        <f>+O10+O14+O19</f>
        <v>477</v>
      </c>
      <c r="P20" s="1341">
        <f>+P10+P14+P19</f>
        <v>166</v>
      </c>
      <c r="Q20" s="1350">
        <f>+Q10+Q14+Q19</f>
        <v>1057</v>
      </c>
      <c r="S20" s="522" t="s">
        <v>286</v>
      </c>
      <c r="T20" s="215"/>
      <c r="U20" s="215"/>
      <c r="V20" s="215"/>
      <c r="W20" s="1341">
        <f>+W10+W14+W19</f>
        <v>1447</v>
      </c>
      <c r="X20" s="1341">
        <f>+X10+X14+X19</f>
        <v>846</v>
      </c>
    </row>
    <row r="21" spans="2:24" ht="18.75" x14ac:dyDescent="0.3">
      <c r="B21" s="1342" t="s">
        <v>47</v>
      </c>
      <c r="C21" s="1342"/>
      <c r="D21" s="1342"/>
      <c r="E21" s="1342"/>
      <c r="F21" s="1345">
        <f>+'168'!G9</f>
        <v>800</v>
      </c>
      <c r="G21" s="1345">
        <f>+F21</f>
        <v>800</v>
      </c>
      <c r="H21" s="1345">
        <f>+G21</f>
        <v>800</v>
      </c>
      <c r="J21" s="1342" t="s">
        <v>47</v>
      </c>
      <c r="K21" s="1342"/>
      <c r="L21" s="1342"/>
      <c r="M21" s="1342"/>
      <c r="N21" s="1345">
        <f>+F21</f>
        <v>800</v>
      </c>
      <c r="O21" s="1345">
        <f>+N22</f>
        <v>1214</v>
      </c>
      <c r="P21" s="1345">
        <f>+O22</f>
        <v>1691</v>
      </c>
      <c r="Q21" s="1351">
        <f>+N21</f>
        <v>800</v>
      </c>
      <c r="S21" s="1342" t="s">
        <v>47</v>
      </c>
      <c r="T21" s="1342"/>
      <c r="U21" s="1342"/>
      <c r="V21" s="1342"/>
      <c r="W21" s="1345">
        <f>+X22</f>
        <v>3346</v>
      </c>
      <c r="X21" s="1345">
        <v>2500</v>
      </c>
    </row>
    <row r="22" spans="2:24" ht="19.5" thickBot="1" x14ac:dyDescent="0.35">
      <c r="B22" s="1344" t="s">
        <v>49</v>
      </c>
      <c r="C22" s="1342"/>
      <c r="D22" s="1342"/>
      <c r="E22" s="1342"/>
      <c r="F22" s="1343">
        <f>+F20+F21</f>
        <v>1214</v>
      </c>
      <c r="G22" s="1343">
        <f>+G20+G21</f>
        <v>1691</v>
      </c>
      <c r="H22" s="1343">
        <f>+H20+H21</f>
        <v>1857</v>
      </c>
      <c r="J22" s="1344" t="s">
        <v>49</v>
      </c>
      <c r="K22" s="1342"/>
      <c r="L22" s="1342"/>
      <c r="M22" s="1342"/>
      <c r="N22" s="1343">
        <f>+N20+N21</f>
        <v>1214</v>
      </c>
      <c r="O22" s="1343">
        <f>+O20+O21</f>
        <v>1691</v>
      </c>
      <c r="P22" s="1343">
        <f>+P20+P21</f>
        <v>1857</v>
      </c>
      <c r="Q22" s="1352">
        <f>+Q20+Q21</f>
        <v>1857</v>
      </c>
      <c r="S22" s="1344" t="s">
        <v>49</v>
      </c>
      <c r="T22" s="1342"/>
      <c r="U22" s="1342"/>
      <c r="V22" s="1342"/>
      <c r="W22" s="1343">
        <f>+W20+W21</f>
        <v>4793</v>
      </c>
      <c r="X22" s="1343">
        <f>+X20+X21</f>
        <v>3346</v>
      </c>
    </row>
    <row r="23" spans="2:24" ht="18.75" x14ac:dyDescent="0.3">
      <c r="B23"/>
      <c r="C23"/>
      <c r="D23"/>
      <c r="E23"/>
      <c r="F23" s="95">
        <f>+F22-'168'!H9</f>
        <v>0</v>
      </c>
      <c r="G23" s="95">
        <f>+G22-'168'!I9</f>
        <v>0</v>
      </c>
      <c r="H23" s="95">
        <f>+H22-'168'!J9</f>
        <v>0</v>
      </c>
      <c r="S23" s="1135" t="s">
        <v>1250</v>
      </c>
      <c r="T23" s="1135"/>
      <c r="U23" s="1135"/>
      <c r="V23" s="1135"/>
      <c r="W23" s="1135"/>
      <c r="X23" s="1135"/>
    </row>
    <row r="24" spans="2:24" ht="18.75" x14ac:dyDescent="0.3">
      <c r="D24"/>
      <c r="E24"/>
      <c r="F24"/>
      <c r="G24"/>
      <c r="H24"/>
      <c r="S24" s="42" t="s">
        <v>1253</v>
      </c>
      <c r="T24" s="42"/>
      <c r="U24" s="42"/>
      <c r="V24" s="42"/>
      <c r="W24" s="42"/>
      <c r="X24" s="42"/>
    </row>
    <row r="25" spans="2:24" ht="18.75" x14ac:dyDescent="0.3">
      <c r="D25"/>
      <c r="E25"/>
      <c r="F25"/>
      <c r="G25"/>
      <c r="H25"/>
      <c r="S25" s="1386" t="s">
        <v>1251</v>
      </c>
      <c r="T25" s="42"/>
      <c r="U25" s="42"/>
      <c r="V25" s="42"/>
      <c r="W25" s="42">
        <v>100</v>
      </c>
      <c r="X25" s="42">
        <v>0</v>
      </c>
    </row>
    <row r="26" spans="2:24" ht="18.75" x14ac:dyDescent="0.3">
      <c r="D26"/>
      <c r="E26"/>
      <c r="F26"/>
      <c r="G26"/>
      <c r="H26"/>
      <c r="S26" s="42" t="s">
        <v>1252</v>
      </c>
      <c r="T26" s="42"/>
      <c r="U26" s="42"/>
      <c r="V26" s="42"/>
      <c r="W26" s="42"/>
      <c r="X26" s="42"/>
    </row>
    <row r="27" spans="2:24" ht="18.75" x14ac:dyDescent="0.3">
      <c r="D27"/>
      <c r="E27"/>
      <c r="F27"/>
      <c r="G27"/>
      <c r="H27"/>
      <c r="S27" s="1387" t="s">
        <v>244</v>
      </c>
      <c r="T27" s="206"/>
      <c r="U27" s="206"/>
      <c r="V27" s="206"/>
      <c r="W27" s="206">
        <v>50</v>
      </c>
      <c r="X27" s="206">
        <v>60</v>
      </c>
    </row>
    <row r="28" spans="2:24" ht="18.75" x14ac:dyDescent="0.3">
      <c r="D28"/>
      <c r="E28"/>
      <c r="F28"/>
      <c r="G28"/>
      <c r="H28"/>
      <c r="S28" s="42"/>
      <c r="T28" s="42"/>
      <c r="U28" s="42"/>
      <c r="V28" s="42"/>
      <c r="W28" s="42"/>
      <c r="X28" s="42"/>
    </row>
    <row r="29" spans="2:24" ht="18.75" x14ac:dyDescent="0.3">
      <c r="D29"/>
      <c r="E29"/>
      <c r="F29"/>
      <c r="G29"/>
      <c r="H29"/>
      <c r="S29" s="42"/>
      <c r="T29" s="42"/>
      <c r="U29" s="42"/>
      <c r="V29" s="42"/>
      <c r="W29" s="42"/>
      <c r="X29" s="42"/>
    </row>
    <row r="30" spans="2:24" ht="18.75" x14ac:dyDescent="0.3">
      <c r="D30"/>
      <c r="E30"/>
      <c r="F30"/>
      <c r="G30"/>
      <c r="H30"/>
      <c r="S30" s="42"/>
      <c r="T30" s="42"/>
      <c r="U30" s="42"/>
      <c r="V30" s="42"/>
      <c r="W30" s="42"/>
      <c r="X30" s="42"/>
    </row>
    <row r="31" spans="2:24" ht="18.75" hidden="1" x14ac:dyDescent="0.3"/>
    <row r="32" spans="2:24" ht="18.75" hidden="1" x14ac:dyDescent="0.3"/>
    <row r="33" ht="18.75" hidden="1" x14ac:dyDescent="0.3"/>
    <row r="34" ht="18.75" hidden="1" x14ac:dyDescent="0.3"/>
    <row r="35" ht="18.75" hidden="1" x14ac:dyDescent="0.3"/>
    <row r="36" ht="18.75" hidden="1" x14ac:dyDescent="0.3"/>
    <row r="37" ht="18.75" hidden="1" x14ac:dyDescent="0.3"/>
    <row r="38" ht="18.75" hidden="1" customHeight="1" x14ac:dyDescent="0.3"/>
    <row r="39" ht="18.75" hidden="1" customHeight="1" x14ac:dyDescent="0.3"/>
    <row r="40" ht="18.75" hidden="1" customHeight="1" x14ac:dyDescent="0.3"/>
    <row r="41" ht="18.75" hidden="1" customHeight="1" x14ac:dyDescent="0.3"/>
    <row r="42" ht="18.75" hidden="1" customHeight="1" x14ac:dyDescent="0.3"/>
    <row r="43" ht="18.75" hidden="1" customHeight="1" x14ac:dyDescent="0.3"/>
    <row r="44" ht="18.75" hidden="1" customHeight="1" x14ac:dyDescent="0.3"/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F56BD-1EC0-43D5-AA61-12E583896444}">
  <sheetPr>
    <tabColor theme="1"/>
  </sheetPr>
  <dimension ref="A1:XDG62"/>
  <sheetViews>
    <sheetView showGridLines="0" zoomScale="70" zoomScaleNormal="70" workbookViewId="0">
      <selection activeCell="G6" sqref="G6"/>
    </sheetView>
  </sheetViews>
  <sheetFormatPr baseColWidth="10" defaultColWidth="0" defaultRowHeight="0" customHeight="1" zeroHeight="1" x14ac:dyDescent="0.3"/>
  <cols>
    <col min="1" max="1" width="4.140625" style="42" customWidth="1"/>
    <col min="2" max="2" width="10.85546875" style="42" customWidth="1"/>
    <col min="3" max="16" width="13.7109375" style="42" customWidth="1"/>
    <col min="17" max="17" width="14" style="42" bestFit="1" customWidth="1"/>
    <col min="18" max="18" width="11.42578125" customWidth="1"/>
    <col min="121" max="16335" width="11.42578125" hidden="1"/>
  </cols>
  <sheetData>
    <row r="1" spans="1:18" s="42" customFormat="1" ht="18.75" x14ac:dyDescent="0.3">
      <c r="A1"/>
      <c r="B1"/>
      <c r="C1" s="241"/>
      <c r="Q1"/>
    </row>
    <row r="2" spans="1:18" s="42" customFormat="1" ht="18.75" x14ac:dyDescent="0.3">
      <c r="A2"/>
      <c r="B2" s="270" t="s">
        <v>368</v>
      </c>
      <c r="C2" s="108"/>
      <c r="D2" s="108"/>
      <c r="E2" s="1236" t="s">
        <v>1239</v>
      </c>
      <c r="F2" s="1236" t="s">
        <v>1240</v>
      </c>
      <c r="G2" s="1236" t="s">
        <v>1211</v>
      </c>
      <c r="H2" s="1236" t="s">
        <v>1241</v>
      </c>
      <c r="I2" s="1236" t="s">
        <v>1242</v>
      </c>
      <c r="J2" s="1236" t="s">
        <v>1243</v>
      </c>
      <c r="K2" s="1236" t="s">
        <v>1244</v>
      </c>
      <c r="L2" s="1236" t="s">
        <v>1245</v>
      </c>
      <c r="M2" s="1236" t="s">
        <v>1246</v>
      </c>
      <c r="N2" s="1236" t="s">
        <v>1247</v>
      </c>
      <c r="O2" s="1236" t="s">
        <v>1248</v>
      </c>
      <c r="P2" s="1236" t="s">
        <v>1249</v>
      </c>
      <c r="Q2"/>
    </row>
    <row r="3" spans="1:18" s="42" customFormat="1" ht="18.75" x14ac:dyDescent="0.3">
      <c r="B3" s="270" t="s">
        <v>1238</v>
      </c>
      <c r="C3" s="108"/>
      <c r="D3" s="108"/>
      <c r="E3" s="1236" t="s">
        <v>1208</v>
      </c>
      <c r="F3" s="1236" t="s">
        <v>1209</v>
      </c>
      <c r="G3" s="1236" t="s">
        <v>1210</v>
      </c>
      <c r="H3" s="1236" t="s">
        <v>1228</v>
      </c>
      <c r="I3" s="1236" t="s">
        <v>1229</v>
      </c>
      <c r="J3" s="1236" t="s">
        <v>1230</v>
      </c>
      <c r="K3" s="1236" t="s">
        <v>1231</v>
      </c>
      <c r="L3" s="1236" t="s">
        <v>1232</v>
      </c>
      <c r="M3" s="1236" t="s">
        <v>1233</v>
      </c>
      <c r="N3" s="1236" t="s">
        <v>1234</v>
      </c>
      <c r="O3" s="1236" t="s">
        <v>1235</v>
      </c>
      <c r="P3" s="1236" t="s">
        <v>1236</v>
      </c>
      <c r="Q3"/>
    </row>
    <row r="4" spans="1:18" s="42" customFormat="1" ht="18.75" x14ac:dyDescent="0.3">
      <c r="B4" s="685" t="s">
        <v>51</v>
      </c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3"/>
      <c r="N4" s="633"/>
      <c r="O4" s="633"/>
      <c r="P4" s="633"/>
      <c r="Q4"/>
    </row>
    <row r="5" spans="1:18" s="42" customFormat="1" ht="18.75" x14ac:dyDescent="0.3">
      <c r="B5" s="633" t="s">
        <v>248</v>
      </c>
      <c r="C5" s="633"/>
      <c r="D5" s="633"/>
      <c r="E5" s="642">
        <v>7702</v>
      </c>
      <c r="F5" s="642">
        <v>14220</v>
      </c>
      <c r="G5" s="642">
        <v>21891</v>
      </c>
      <c r="H5" s="642">
        <v>28970</v>
      </c>
      <c r="I5" s="642">
        <v>36003</v>
      </c>
      <c r="J5" s="642">
        <v>43950</v>
      </c>
      <c r="K5" s="642">
        <v>51159</v>
      </c>
      <c r="L5" s="642">
        <v>58900</v>
      </c>
      <c r="M5" s="642">
        <v>66080</v>
      </c>
      <c r="N5" s="642">
        <v>73696</v>
      </c>
      <c r="O5" s="642">
        <v>81062</v>
      </c>
      <c r="P5" s="642">
        <v>88725</v>
      </c>
      <c r="Q5"/>
    </row>
    <row r="6" spans="1:18" s="42" customFormat="1" ht="18.75" x14ac:dyDescent="0.3">
      <c r="B6" s="633" t="s">
        <v>138</v>
      </c>
      <c r="C6" s="633"/>
      <c r="D6" s="633"/>
      <c r="E6" s="642">
        <v>-2993</v>
      </c>
      <c r="F6" s="642">
        <v>-5668</v>
      </c>
      <c r="G6" s="642">
        <v>-8524</v>
      </c>
      <c r="H6" s="642">
        <v>-11478</v>
      </c>
      <c r="I6" s="642">
        <v>-14474</v>
      </c>
      <c r="J6" s="642">
        <v>-17409</v>
      </c>
      <c r="K6" s="642">
        <v>-20375</v>
      </c>
      <c r="L6" s="642">
        <v>-23201</v>
      </c>
      <c r="M6" s="642">
        <v>-26163</v>
      </c>
      <c r="N6" s="642">
        <v>-29067</v>
      </c>
      <c r="O6" s="642">
        <v>-31873</v>
      </c>
      <c r="P6" s="642">
        <v>-34733</v>
      </c>
      <c r="Q6"/>
    </row>
    <row r="7" spans="1:18" s="42" customFormat="1" ht="18.75" x14ac:dyDescent="0.3">
      <c r="B7" s="633" t="s">
        <v>1200</v>
      </c>
      <c r="C7" s="633"/>
      <c r="D7" s="633"/>
      <c r="E7" s="642">
        <v>-1392</v>
      </c>
      <c r="F7" s="642">
        <v>-2160</v>
      </c>
      <c r="G7" s="642">
        <v>-3383</v>
      </c>
      <c r="H7" s="642">
        <v>-4877</v>
      </c>
      <c r="I7" s="642">
        <v>-6120</v>
      </c>
      <c r="J7" s="642">
        <v>-7387</v>
      </c>
      <c r="K7" s="642">
        <v>-8727</v>
      </c>
      <c r="L7" s="642">
        <v>-10131</v>
      </c>
      <c r="M7" s="642">
        <v>-11387</v>
      </c>
      <c r="N7" s="642">
        <v>-12809</v>
      </c>
      <c r="O7" s="642">
        <v>-14217</v>
      </c>
      <c r="P7" s="642">
        <v>-15412</v>
      </c>
      <c r="Q7"/>
    </row>
    <row r="8" spans="1:18" s="42" customFormat="1" ht="18.75" x14ac:dyDescent="0.3">
      <c r="B8" s="633" t="s">
        <v>137</v>
      </c>
      <c r="C8" s="633"/>
      <c r="D8" s="633"/>
      <c r="E8" s="642">
        <v>-465</v>
      </c>
      <c r="F8" s="642">
        <v>-909</v>
      </c>
      <c r="G8" s="642">
        <v>-1358</v>
      </c>
      <c r="H8" s="642">
        <v>-1791</v>
      </c>
      <c r="I8" s="642">
        <v>-2245</v>
      </c>
      <c r="J8" s="642">
        <v>-2674</v>
      </c>
      <c r="K8" s="642">
        <v>-3094</v>
      </c>
      <c r="L8" s="642">
        <v>-3562</v>
      </c>
      <c r="M8" s="642">
        <v>-4049</v>
      </c>
      <c r="N8" s="642">
        <v>-4518</v>
      </c>
      <c r="O8" s="642">
        <v>-4978</v>
      </c>
      <c r="P8" s="642">
        <v>-5436</v>
      </c>
      <c r="Q8"/>
      <c r="R8"/>
    </row>
    <row r="9" spans="1:18" ht="18.75" x14ac:dyDescent="0.3">
      <c r="B9" s="16" t="s">
        <v>719</v>
      </c>
      <c r="C9" s="17"/>
      <c r="D9" s="1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/>
    </row>
    <row r="10" spans="1:18" ht="18.75" x14ac:dyDescent="0.3">
      <c r="B10" s="16" t="s">
        <v>1205</v>
      </c>
      <c r="C10" s="17"/>
      <c r="D10" s="17"/>
      <c r="E10" s="48">
        <f>SUM(E5:E8)</f>
        <v>2852</v>
      </c>
      <c r="F10" s="48">
        <f>SUM(F5:F8)</f>
        <v>5483</v>
      </c>
      <c r="G10" s="48">
        <f>SUM(G5:G8)</f>
        <v>8626</v>
      </c>
      <c r="H10" s="48">
        <f t="shared" ref="H10:P10" si="0">SUM(H5:H8)</f>
        <v>10824</v>
      </c>
      <c r="I10" s="48">
        <f t="shared" si="0"/>
        <v>13164</v>
      </c>
      <c r="J10" s="48">
        <f t="shared" si="0"/>
        <v>16480</v>
      </c>
      <c r="K10" s="48">
        <f t="shared" si="0"/>
        <v>18963</v>
      </c>
      <c r="L10" s="48">
        <f t="shared" si="0"/>
        <v>22006</v>
      </c>
      <c r="M10" s="48">
        <f t="shared" si="0"/>
        <v>24481</v>
      </c>
      <c r="N10" s="48">
        <f t="shared" si="0"/>
        <v>27302</v>
      </c>
      <c r="O10" s="48">
        <f t="shared" si="0"/>
        <v>29994</v>
      </c>
      <c r="P10" s="48">
        <f t="shared" si="0"/>
        <v>33144</v>
      </c>
      <c r="Q10"/>
    </row>
    <row r="11" spans="1:18" ht="18.75" x14ac:dyDescent="0.3">
      <c r="B11" s="685" t="s">
        <v>52</v>
      </c>
      <c r="C11" s="633"/>
      <c r="D11" s="633"/>
      <c r="E11" s="633"/>
      <c r="F11" s="633"/>
      <c r="G11" s="633"/>
      <c r="H11" s="633"/>
      <c r="I11" s="633"/>
      <c r="J11" s="633"/>
      <c r="K11" s="633"/>
      <c r="L11" s="633"/>
      <c r="M11" s="633"/>
      <c r="N11" s="633"/>
      <c r="O11" s="633"/>
      <c r="P11" s="633"/>
      <c r="Q11"/>
    </row>
    <row r="12" spans="1:18" ht="18.75" x14ac:dyDescent="0.3">
      <c r="B12" s="633" t="s">
        <v>280</v>
      </c>
      <c r="C12" s="633"/>
      <c r="D12" s="633"/>
      <c r="E12" s="642">
        <v>-2444</v>
      </c>
      <c r="F12" s="642">
        <v>-2621</v>
      </c>
      <c r="G12" s="642">
        <v>-2621</v>
      </c>
      <c r="H12" s="642">
        <v>-5755</v>
      </c>
      <c r="I12" s="642">
        <v>-7939</v>
      </c>
      <c r="J12" s="642">
        <v>-7939</v>
      </c>
      <c r="K12" s="642">
        <v>-9919</v>
      </c>
      <c r="L12" s="642">
        <v>-9919</v>
      </c>
      <c r="M12" s="642">
        <v>-12519</v>
      </c>
      <c r="N12" s="642">
        <v>-12519</v>
      </c>
      <c r="O12" s="642">
        <v>-15268</v>
      </c>
      <c r="P12" s="642">
        <v>-18378</v>
      </c>
      <c r="Q12"/>
    </row>
    <row r="13" spans="1:18" ht="18.75" x14ac:dyDescent="0.3">
      <c r="B13" s="16" t="s">
        <v>719</v>
      </c>
      <c r="C13" s="17"/>
      <c r="D13" s="1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/>
    </row>
    <row r="14" spans="1:18" ht="18.75" x14ac:dyDescent="0.3">
      <c r="B14" s="16" t="s">
        <v>1206</v>
      </c>
      <c r="C14" s="17"/>
      <c r="D14" s="17"/>
      <c r="E14" s="48">
        <f>+E12</f>
        <v>-2444</v>
      </c>
      <c r="F14" s="48">
        <f>+F12</f>
        <v>-2621</v>
      </c>
      <c r="G14" s="48">
        <f>+G12</f>
        <v>-2621</v>
      </c>
      <c r="H14" s="48">
        <f t="shared" ref="H14:P14" si="1">+H12</f>
        <v>-5755</v>
      </c>
      <c r="I14" s="48">
        <f t="shared" si="1"/>
        <v>-7939</v>
      </c>
      <c r="J14" s="48">
        <f t="shared" si="1"/>
        <v>-7939</v>
      </c>
      <c r="K14" s="48">
        <f t="shared" si="1"/>
        <v>-9919</v>
      </c>
      <c r="L14" s="48">
        <f t="shared" si="1"/>
        <v>-9919</v>
      </c>
      <c r="M14" s="48">
        <f t="shared" si="1"/>
        <v>-12519</v>
      </c>
      <c r="N14" s="48">
        <f t="shared" si="1"/>
        <v>-12519</v>
      </c>
      <c r="O14" s="48">
        <f t="shared" si="1"/>
        <v>-15268</v>
      </c>
      <c r="P14" s="48">
        <f t="shared" si="1"/>
        <v>-18378</v>
      </c>
      <c r="Q14"/>
    </row>
    <row r="15" spans="1:18" ht="18.75" x14ac:dyDescent="0.3">
      <c r="B15" s="685" t="s">
        <v>74</v>
      </c>
      <c r="C15" s="633"/>
      <c r="D15" s="633"/>
      <c r="E15" s="633"/>
      <c r="F15" s="633"/>
      <c r="G15" s="633"/>
      <c r="H15" s="633"/>
      <c r="I15" s="633"/>
      <c r="J15" s="633"/>
      <c r="K15" s="633"/>
      <c r="L15" s="633"/>
      <c r="M15" s="633"/>
      <c r="N15" s="633"/>
      <c r="O15" s="633"/>
      <c r="P15" s="633"/>
      <c r="Q15"/>
    </row>
    <row r="16" spans="1:18" ht="18.75" x14ac:dyDescent="0.3">
      <c r="B16" s="633" t="s">
        <v>282</v>
      </c>
      <c r="C16" s="633"/>
      <c r="D16" s="633"/>
      <c r="E16" s="642">
        <v>5000</v>
      </c>
      <c r="F16" s="642">
        <v>8000</v>
      </c>
      <c r="G16" s="642">
        <v>8000</v>
      </c>
      <c r="H16" s="642">
        <v>8000</v>
      </c>
      <c r="I16" s="642">
        <v>14000</v>
      </c>
      <c r="J16" s="642">
        <v>14000</v>
      </c>
      <c r="K16" s="642">
        <v>14000</v>
      </c>
      <c r="L16" s="642">
        <v>14000</v>
      </c>
      <c r="M16" s="642">
        <v>14000</v>
      </c>
      <c r="N16" s="642">
        <v>21000</v>
      </c>
      <c r="O16" s="642">
        <v>21000</v>
      </c>
      <c r="P16" s="642">
        <v>21000</v>
      </c>
      <c r="Q16"/>
    </row>
    <row r="17" spans="1:18" ht="18.75" x14ac:dyDescent="0.3">
      <c r="B17" s="633" t="s">
        <v>140</v>
      </c>
      <c r="C17" s="633"/>
      <c r="D17" s="633"/>
      <c r="E17" s="642">
        <v>-2019</v>
      </c>
      <c r="F17" s="642">
        <v>-3734</v>
      </c>
      <c r="G17" s="642">
        <v>-5285</v>
      </c>
      <c r="H17" s="642">
        <v>-7677</v>
      </c>
      <c r="I17" s="642">
        <v>-10024</v>
      </c>
      <c r="J17" s="642">
        <v>-12499</v>
      </c>
      <c r="K17" s="642">
        <v>-15139</v>
      </c>
      <c r="L17" s="642">
        <v>-16827</v>
      </c>
      <c r="M17" s="642">
        <v>-18704</v>
      </c>
      <c r="N17" s="642">
        <v>-20489</v>
      </c>
      <c r="O17" s="642">
        <v>-22384</v>
      </c>
      <c r="P17" s="642">
        <v>-24951</v>
      </c>
      <c r="Q17"/>
    </row>
    <row r="18" spans="1:18" ht="18.75" x14ac:dyDescent="0.3">
      <c r="B18" s="633" t="s">
        <v>269</v>
      </c>
      <c r="C18" s="633"/>
      <c r="D18" s="633"/>
      <c r="E18" s="642">
        <v>-611</v>
      </c>
      <c r="F18" s="642">
        <v>-1196</v>
      </c>
      <c r="G18" s="642">
        <v>-1885</v>
      </c>
      <c r="H18" s="642">
        <v>-2529</v>
      </c>
      <c r="I18" s="642">
        <v>-3142</v>
      </c>
      <c r="J18" s="642">
        <v>-3757</v>
      </c>
      <c r="K18" s="642">
        <v>-4334</v>
      </c>
      <c r="L18" s="642">
        <v>-4942</v>
      </c>
      <c r="M18" s="642">
        <v>-5525</v>
      </c>
      <c r="N18" s="642">
        <v>-6101</v>
      </c>
      <c r="O18" s="642">
        <v>-6704</v>
      </c>
      <c r="P18" s="642">
        <v>-7330</v>
      </c>
      <c r="Q18"/>
    </row>
    <row r="19" spans="1:18" ht="18.75" x14ac:dyDescent="0.3">
      <c r="B19" s="16" t="s">
        <v>719</v>
      </c>
      <c r="C19" s="17"/>
      <c r="D19" s="17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/>
    </row>
    <row r="20" spans="1:18" ht="18.75" x14ac:dyDescent="0.3">
      <c r="B20" s="16" t="s">
        <v>1207</v>
      </c>
      <c r="C20" s="17"/>
      <c r="D20" s="17"/>
      <c r="E20" s="48">
        <f>SUM(E16:E18)</f>
        <v>2370</v>
      </c>
      <c r="F20" s="48">
        <f t="shared" ref="F20:P20" si="2">SUM(F16:F18)</f>
        <v>3070</v>
      </c>
      <c r="G20" s="48">
        <f t="shared" si="2"/>
        <v>830</v>
      </c>
      <c r="H20" s="48">
        <f t="shared" si="2"/>
        <v>-2206</v>
      </c>
      <c r="I20" s="48">
        <f t="shared" si="2"/>
        <v>834</v>
      </c>
      <c r="J20" s="48">
        <f t="shared" si="2"/>
        <v>-2256</v>
      </c>
      <c r="K20" s="48">
        <f t="shared" si="2"/>
        <v>-5473</v>
      </c>
      <c r="L20" s="48">
        <f t="shared" si="2"/>
        <v>-7769</v>
      </c>
      <c r="M20" s="48">
        <f t="shared" si="2"/>
        <v>-10229</v>
      </c>
      <c r="N20" s="48">
        <f t="shared" si="2"/>
        <v>-5590</v>
      </c>
      <c r="O20" s="48">
        <f t="shared" si="2"/>
        <v>-8088</v>
      </c>
      <c r="P20" s="48">
        <f t="shared" si="2"/>
        <v>-11281</v>
      </c>
      <c r="Q20"/>
    </row>
    <row r="21" spans="1:18" ht="19.5" thickBot="1" x14ac:dyDescent="0.35">
      <c r="B21" s="522" t="s">
        <v>286</v>
      </c>
      <c r="C21" s="215"/>
      <c r="D21" s="215"/>
      <c r="E21" s="1308">
        <f>+E10+E14+E20</f>
        <v>2778</v>
      </c>
      <c r="F21" s="1341">
        <f t="shared" ref="F21:P21" si="3">+F10+F14+F20</f>
        <v>5932</v>
      </c>
      <c r="G21" s="1341">
        <f t="shared" si="3"/>
        <v>6835</v>
      </c>
      <c r="H21" s="1371">
        <f t="shared" si="3"/>
        <v>2863</v>
      </c>
      <c r="I21" s="1371">
        <f t="shared" si="3"/>
        <v>6059</v>
      </c>
      <c r="J21" s="1371">
        <f t="shared" si="3"/>
        <v>6285</v>
      </c>
      <c r="K21" s="1371">
        <f t="shared" si="3"/>
        <v>3571</v>
      </c>
      <c r="L21" s="1371">
        <f t="shared" si="3"/>
        <v>4318</v>
      </c>
      <c r="M21" s="1371">
        <f t="shared" si="3"/>
        <v>1733</v>
      </c>
      <c r="N21" s="1371">
        <f t="shared" si="3"/>
        <v>9193</v>
      </c>
      <c r="O21" s="1371">
        <f t="shared" si="3"/>
        <v>6638</v>
      </c>
      <c r="P21" s="1371">
        <f t="shared" si="3"/>
        <v>3485</v>
      </c>
      <c r="Q21"/>
    </row>
    <row r="22" spans="1:18" ht="19.5" thickBot="1" x14ac:dyDescent="0.35">
      <c r="B22" s="1342" t="s">
        <v>47</v>
      </c>
      <c r="C22" s="1342"/>
      <c r="D22" s="1342"/>
      <c r="E22" s="1383">
        <v>1100</v>
      </c>
      <c r="F22" s="1345">
        <f>+E22</f>
        <v>1100</v>
      </c>
      <c r="G22" s="1345">
        <f t="shared" ref="G22:P22" si="4">+F22</f>
        <v>1100</v>
      </c>
      <c r="H22" s="1345">
        <f t="shared" si="4"/>
        <v>1100</v>
      </c>
      <c r="I22" s="1345">
        <f t="shared" si="4"/>
        <v>1100</v>
      </c>
      <c r="J22" s="1345">
        <f t="shared" si="4"/>
        <v>1100</v>
      </c>
      <c r="K22" s="1345">
        <f t="shared" si="4"/>
        <v>1100</v>
      </c>
      <c r="L22" s="1345">
        <f t="shared" si="4"/>
        <v>1100</v>
      </c>
      <c r="M22" s="1345">
        <f t="shared" si="4"/>
        <v>1100</v>
      </c>
      <c r="N22" s="1345">
        <f t="shared" si="4"/>
        <v>1100</v>
      </c>
      <c r="O22" s="1345">
        <f t="shared" si="4"/>
        <v>1100</v>
      </c>
      <c r="P22" s="1345">
        <f t="shared" si="4"/>
        <v>1100</v>
      </c>
      <c r="Q22"/>
    </row>
    <row r="23" spans="1:18" ht="19.5" thickBot="1" x14ac:dyDescent="0.35">
      <c r="B23" s="1344" t="s">
        <v>49</v>
      </c>
      <c r="C23" s="1342"/>
      <c r="D23" s="1342"/>
      <c r="E23" s="1382">
        <f>+E21+E22</f>
        <v>3878</v>
      </c>
      <c r="F23" s="1343">
        <f>+F21+F22</f>
        <v>7032</v>
      </c>
      <c r="G23" s="1343">
        <f>+G21+G22</f>
        <v>7935</v>
      </c>
      <c r="H23" s="1343">
        <f t="shared" ref="H23:P23" si="5">+H21+H22</f>
        <v>3963</v>
      </c>
      <c r="I23" s="1343">
        <f t="shared" si="5"/>
        <v>7159</v>
      </c>
      <c r="J23" s="1343">
        <f t="shared" si="5"/>
        <v>7385</v>
      </c>
      <c r="K23" s="1343">
        <f t="shared" si="5"/>
        <v>4671</v>
      </c>
      <c r="L23" s="1343">
        <f t="shared" si="5"/>
        <v>5418</v>
      </c>
      <c r="M23" s="1343">
        <f t="shared" si="5"/>
        <v>2833</v>
      </c>
      <c r="N23" s="1343">
        <f t="shared" si="5"/>
        <v>10293</v>
      </c>
      <c r="O23" s="1343">
        <f t="shared" si="5"/>
        <v>7738</v>
      </c>
      <c r="P23" s="1380">
        <f t="shared" si="5"/>
        <v>4585</v>
      </c>
      <c r="Q23"/>
    </row>
    <row r="24" spans="1:18" ht="19.5" thickBot="1" x14ac:dyDescent="0.35"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8" s="42" customFormat="1" ht="18.75" x14ac:dyDescent="0.3">
      <c r="A25"/>
      <c r="B25" s="270" t="s">
        <v>368</v>
      </c>
      <c r="C25" s="108"/>
      <c r="D25" s="108"/>
      <c r="E25" s="1236" t="s">
        <v>1239</v>
      </c>
      <c r="F25" s="1236" t="s">
        <v>1239</v>
      </c>
      <c r="G25" s="1236" t="s">
        <v>1239</v>
      </c>
      <c r="H25" s="1236" t="s">
        <v>1239</v>
      </c>
      <c r="I25" s="1236" t="s">
        <v>1239</v>
      </c>
      <c r="J25" s="1236" t="s">
        <v>1239</v>
      </c>
      <c r="K25" s="1236" t="s">
        <v>1239</v>
      </c>
      <c r="L25" s="1236" t="s">
        <v>1239</v>
      </c>
      <c r="M25" s="1236" t="s">
        <v>1239</v>
      </c>
      <c r="N25" s="1236" t="s">
        <v>1239</v>
      </c>
      <c r="O25" s="1236" t="s">
        <v>1239</v>
      </c>
      <c r="P25" s="1236" t="s">
        <v>1239</v>
      </c>
      <c r="Q25" s="1372"/>
    </row>
    <row r="26" spans="1:18" s="42" customFormat="1" ht="18.75" x14ac:dyDescent="0.3">
      <c r="B26" s="270" t="s">
        <v>1237</v>
      </c>
      <c r="C26" s="108"/>
      <c r="D26" s="108"/>
      <c r="E26" s="1236" t="s">
        <v>1208</v>
      </c>
      <c r="F26" s="1236" t="s">
        <v>1209</v>
      </c>
      <c r="G26" s="1236" t="s">
        <v>1210</v>
      </c>
      <c r="H26" s="1236" t="s">
        <v>1228</v>
      </c>
      <c r="I26" s="1236" t="s">
        <v>1229</v>
      </c>
      <c r="J26" s="1236" t="s">
        <v>1230</v>
      </c>
      <c r="K26" s="1236" t="s">
        <v>1231</v>
      </c>
      <c r="L26" s="1236" t="s">
        <v>1232</v>
      </c>
      <c r="M26" s="1236" t="s">
        <v>1233</v>
      </c>
      <c r="N26" s="1236" t="s">
        <v>1234</v>
      </c>
      <c r="O26" s="1236" t="s">
        <v>1235</v>
      </c>
      <c r="P26" s="1236" t="s">
        <v>1236</v>
      </c>
      <c r="Q26" s="1373" t="s">
        <v>1005</v>
      </c>
    </row>
    <row r="27" spans="1:18" s="42" customFormat="1" ht="18.75" x14ac:dyDescent="0.3">
      <c r="B27" s="685" t="s">
        <v>51</v>
      </c>
      <c r="C27" s="633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1374"/>
    </row>
    <row r="28" spans="1:18" s="42" customFormat="1" ht="18.75" x14ac:dyDescent="0.3">
      <c r="B28" s="633" t="s">
        <v>248</v>
      </c>
      <c r="C28" s="633"/>
      <c r="D28" s="633"/>
      <c r="E28" s="642">
        <v>7702</v>
      </c>
      <c r="F28" s="642">
        <f>+F5-E5</f>
        <v>6518</v>
      </c>
      <c r="G28" s="642">
        <f t="shared" ref="G28:P28" si="6">+G5-F5</f>
        <v>7671</v>
      </c>
      <c r="H28" s="642">
        <f t="shared" si="6"/>
        <v>7079</v>
      </c>
      <c r="I28" s="642">
        <f t="shared" si="6"/>
        <v>7033</v>
      </c>
      <c r="J28" s="642">
        <f t="shared" si="6"/>
        <v>7947</v>
      </c>
      <c r="K28" s="642">
        <f t="shared" si="6"/>
        <v>7209</v>
      </c>
      <c r="L28" s="642">
        <f t="shared" si="6"/>
        <v>7741</v>
      </c>
      <c r="M28" s="642">
        <f t="shared" si="6"/>
        <v>7180</v>
      </c>
      <c r="N28" s="642">
        <f t="shared" si="6"/>
        <v>7616</v>
      </c>
      <c r="O28" s="642">
        <f t="shared" si="6"/>
        <v>7366</v>
      </c>
      <c r="P28" s="642">
        <f t="shared" si="6"/>
        <v>7663</v>
      </c>
      <c r="Q28" s="1375">
        <f>SUM(E28:P28)</f>
        <v>88725</v>
      </c>
    </row>
    <row r="29" spans="1:18" s="42" customFormat="1" ht="18.75" x14ac:dyDescent="0.3">
      <c r="B29" s="633" t="s">
        <v>138</v>
      </c>
      <c r="C29" s="633"/>
      <c r="D29" s="633"/>
      <c r="E29" s="642">
        <v>-2993</v>
      </c>
      <c r="F29" s="642">
        <f t="shared" ref="F29:P31" si="7">+F6-E6</f>
        <v>-2675</v>
      </c>
      <c r="G29" s="642">
        <f t="shared" si="7"/>
        <v>-2856</v>
      </c>
      <c r="H29" s="642">
        <f t="shared" si="7"/>
        <v>-2954</v>
      </c>
      <c r="I29" s="642">
        <f t="shared" si="7"/>
        <v>-2996</v>
      </c>
      <c r="J29" s="642">
        <f t="shared" si="7"/>
        <v>-2935</v>
      </c>
      <c r="K29" s="642">
        <f t="shared" si="7"/>
        <v>-2966</v>
      </c>
      <c r="L29" s="642">
        <f t="shared" si="7"/>
        <v>-2826</v>
      </c>
      <c r="M29" s="642">
        <f t="shared" si="7"/>
        <v>-2962</v>
      </c>
      <c r="N29" s="642">
        <f t="shared" si="7"/>
        <v>-2904</v>
      </c>
      <c r="O29" s="642">
        <f t="shared" si="7"/>
        <v>-2806</v>
      </c>
      <c r="P29" s="642">
        <f t="shared" si="7"/>
        <v>-2860</v>
      </c>
      <c r="Q29" s="1376">
        <f>SUM(E29:P29)</f>
        <v>-34733</v>
      </c>
    </row>
    <row r="30" spans="1:18" s="42" customFormat="1" ht="18.75" x14ac:dyDescent="0.3">
      <c r="B30" s="633" t="s">
        <v>1200</v>
      </c>
      <c r="C30" s="633"/>
      <c r="D30" s="633"/>
      <c r="E30" s="642">
        <v>-1392</v>
      </c>
      <c r="F30" s="642">
        <f t="shared" si="7"/>
        <v>-768</v>
      </c>
      <c r="G30" s="642">
        <f t="shared" si="7"/>
        <v>-1223</v>
      </c>
      <c r="H30" s="642">
        <f t="shared" si="7"/>
        <v>-1494</v>
      </c>
      <c r="I30" s="642">
        <f t="shared" si="7"/>
        <v>-1243</v>
      </c>
      <c r="J30" s="642">
        <f t="shared" si="7"/>
        <v>-1267</v>
      </c>
      <c r="K30" s="642">
        <f t="shared" si="7"/>
        <v>-1340</v>
      </c>
      <c r="L30" s="642">
        <f t="shared" si="7"/>
        <v>-1404</v>
      </c>
      <c r="M30" s="642">
        <f t="shared" si="7"/>
        <v>-1256</v>
      </c>
      <c r="N30" s="642">
        <f t="shared" si="7"/>
        <v>-1422</v>
      </c>
      <c r="O30" s="642">
        <f t="shared" si="7"/>
        <v>-1408</v>
      </c>
      <c r="P30" s="642">
        <f t="shared" si="7"/>
        <v>-1195</v>
      </c>
      <c r="Q30" s="1376">
        <f>SUM(E30:P30)</f>
        <v>-15412</v>
      </c>
    </row>
    <row r="31" spans="1:18" s="42" customFormat="1" ht="18.75" x14ac:dyDescent="0.3">
      <c r="B31" s="633" t="s">
        <v>137</v>
      </c>
      <c r="C31" s="633"/>
      <c r="D31" s="633"/>
      <c r="E31" s="642">
        <v>-465</v>
      </c>
      <c r="F31" s="642">
        <f t="shared" si="7"/>
        <v>-444</v>
      </c>
      <c r="G31" s="642">
        <f t="shared" si="7"/>
        <v>-449</v>
      </c>
      <c r="H31" s="642">
        <f t="shared" si="7"/>
        <v>-433</v>
      </c>
      <c r="I31" s="642">
        <f t="shared" si="7"/>
        <v>-454</v>
      </c>
      <c r="J31" s="642">
        <f t="shared" si="7"/>
        <v>-429</v>
      </c>
      <c r="K31" s="642">
        <f t="shared" si="7"/>
        <v>-420</v>
      </c>
      <c r="L31" s="642">
        <f t="shared" si="7"/>
        <v>-468</v>
      </c>
      <c r="M31" s="642">
        <f t="shared" si="7"/>
        <v>-487</v>
      </c>
      <c r="N31" s="642">
        <f t="shared" si="7"/>
        <v>-469</v>
      </c>
      <c r="O31" s="642">
        <f t="shared" si="7"/>
        <v>-460</v>
      </c>
      <c r="P31" s="642">
        <f t="shared" si="7"/>
        <v>-458</v>
      </c>
      <c r="Q31" s="1376">
        <f>SUM(E31:P31)</f>
        <v>-5436</v>
      </c>
      <c r="R31"/>
    </row>
    <row r="32" spans="1:18" ht="18.75" x14ac:dyDescent="0.3">
      <c r="B32" s="16" t="s">
        <v>719</v>
      </c>
      <c r="C32" s="17"/>
      <c r="D32" s="17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1377"/>
    </row>
    <row r="33" spans="1:18" ht="18.75" x14ac:dyDescent="0.3">
      <c r="B33" s="16" t="s">
        <v>1205</v>
      </c>
      <c r="C33" s="17"/>
      <c r="D33" s="17"/>
      <c r="E33" s="48">
        <f>SUM(E28:E31)</f>
        <v>2852</v>
      </c>
      <c r="F33" s="48">
        <f>SUM(F28:F31)</f>
        <v>2631</v>
      </c>
      <c r="G33" s="48">
        <f>SUM(G28:G31)</f>
        <v>3143</v>
      </c>
      <c r="H33" s="48">
        <f t="shared" ref="H33:Q33" si="8">SUM(H28:H31)</f>
        <v>2198</v>
      </c>
      <c r="I33" s="48">
        <f t="shared" si="8"/>
        <v>2340</v>
      </c>
      <c r="J33" s="48">
        <f t="shared" si="8"/>
        <v>3316</v>
      </c>
      <c r="K33" s="48">
        <f t="shared" si="8"/>
        <v>2483</v>
      </c>
      <c r="L33" s="48">
        <f t="shared" si="8"/>
        <v>3043</v>
      </c>
      <c r="M33" s="48">
        <f t="shared" si="8"/>
        <v>2475</v>
      </c>
      <c r="N33" s="48">
        <f t="shared" si="8"/>
        <v>2821</v>
      </c>
      <c r="O33" s="48">
        <f t="shared" si="8"/>
        <v>2692</v>
      </c>
      <c r="P33" s="48">
        <f t="shared" si="8"/>
        <v>3150</v>
      </c>
      <c r="Q33" s="1377">
        <f t="shared" si="8"/>
        <v>33144</v>
      </c>
    </row>
    <row r="34" spans="1:18" ht="18.75" x14ac:dyDescent="0.3">
      <c r="B34" s="685" t="s">
        <v>52</v>
      </c>
      <c r="C34" s="633"/>
      <c r="D34" s="633"/>
      <c r="E34" s="633"/>
      <c r="F34" s="633"/>
      <c r="G34" s="633"/>
      <c r="H34" s="633"/>
      <c r="I34" s="633"/>
      <c r="J34" s="633"/>
      <c r="K34" s="633"/>
      <c r="L34" s="633"/>
      <c r="M34" s="633"/>
      <c r="N34" s="633"/>
      <c r="O34" s="633"/>
      <c r="P34" s="633"/>
      <c r="Q34" s="1376"/>
    </row>
    <row r="35" spans="1:18" ht="18.75" x14ac:dyDescent="0.3">
      <c r="B35" s="633" t="s">
        <v>280</v>
      </c>
      <c r="C35" s="633"/>
      <c r="D35" s="633"/>
      <c r="E35" s="642">
        <v>-2444</v>
      </c>
      <c r="F35" s="642">
        <f t="shared" ref="F35:P35" si="9">+F12-E12</f>
        <v>-177</v>
      </c>
      <c r="G35" s="642">
        <f t="shared" si="9"/>
        <v>0</v>
      </c>
      <c r="H35" s="642">
        <f t="shared" si="9"/>
        <v>-3134</v>
      </c>
      <c r="I35" s="642">
        <f t="shared" si="9"/>
        <v>-2184</v>
      </c>
      <c r="J35" s="642">
        <f t="shared" si="9"/>
        <v>0</v>
      </c>
      <c r="K35" s="642">
        <f t="shared" si="9"/>
        <v>-1980</v>
      </c>
      <c r="L35" s="642">
        <f t="shared" si="9"/>
        <v>0</v>
      </c>
      <c r="M35" s="642">
        <f t="shared" si="9"/>
        <v>-2600</v>
      </c>
      <c r="N35" s="642">
        <f t="shared" si="9"/>
        <v>0</v>
      </c>
      <c r="O35" s="642">
        <f t="shared" si="9"/>
        <v>-2749</v>
      </c>
      <c r="P35" s="642">
        <f t="shared" si="9"/>
        <v>-3110</v>
      </c>
      <c r="Q35" s="1376">
        <f>SUM(E35:P35)</f>
        <v>-18378</v>
      </c>
    </row>
    <row r="36" spans="1:18" ht="18.75" x14ac:dyDescent="0.3">
      <c r="B36" s="16" t="s">
        <v>719</v>
      </c>
      <c r="C36" s="17"/>
      <c r="D36" s="17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1378"/>
    </row>
    <row r="37" spans="1:18" ht="18.75" x14ac:dyDescent="0.3">
      <c r="B37" s="16" t="s">
        <v>1206</v>
      </c>
      <c r="C37" s="17"/>
      <c r="D37" s="17"/>
      <c r="E37" s="48">
        <f>+E35</f>
        <v>-2444</v>
      </c>
      <c r="F37" s="48">
        <f>+F35</f>
        <v>-177</v>
      </c>
      <c r="G37" s="48">
        <f>+G35</f>
        <v>0</v>
      </c>
      <c r="H37" s="48">
        <f t="shared" ref="H37:Q37" si="10">+H35</f>
        <v>-3134</v>
      </c>
      <c r="I37" s="48">
        <f t="shared" si="10"/>
        <v>-2184</v>
      </c>
      <c r="J37" s="48">
        <f t="shared" si="10"/>
        <v>0</v>
      </c>
      <c r="K37" s="48">
        <f t="shared" si="10"/>
        <v>-1980</v>
      </c>
      <c r="L37" s="48">
        <f t="shared" si="10"/>
        <v>0</v>
      </c>
      <c r="M37" s="48">
        <f t="shared" si="10"/>
        <v>-2600</v>
      </c>
      <c r="N37" s="48">
        <f t="shared" si="10"/>
        <v>0</v>
      </c>
      <c r="O37" s="48">
        <f t="shared" si="10"/>
        <v>-2749</v>
      </c>
      <c r="P37" s="48">
        <f t="shared" si="10"/>
        <v>-3110</v>
      </c>
      <c r="Q37" s="1378">
        <f t="shared" si="10"/>
        <v>-18378</v>
      </c>
    </row>
    <row r="38" spans="1:18" ht="18.75" x14ac:dyDescent="0.3">
      <c r="B38" s="685" t="s">
        <v>74</v>
      </c>
      <c r="C38" s="633"/>
      <c r="D38" s="633"/>
      <c r="E38" s="633"/>
      <c r="F38" s="633"/>
      <c r="G38" s="633"/>
      <c r="H38" s="633"/>
      <c r="I38" s="633"/>
      <c r="J38" s="633"/>
      <c r="K38" s="633"/>
      <c r="L38" s="633"/>
      <c r="M38" s="633"/>
      <c r="N38" s="633"/>
      <c r="O38" s="633"/>
      <c r="P38" s="633"/>
      <c r="Q38" s="1375"/>
    </row>
    <row r="39" spans="1:18" ht="18.75" x14ac:dyDescent="0.3">
      <c r="B39" s="633" t="s">
        <v>282</v>
      </c>
      <c r="C39" s="633"/>
      <c r="D39" s="633"/>
      <c r="E39" s="642">
        <v>5000</v>
      </c>
      <c r="F39" s="642">
        <f t="shared" ref="F39:P41" si="11">+F16-E16</f>
        <v>3000</v>
      </c>
      <c r="G39" s="642">
        <f t="shared" si="11"/>
        <v>0</v>
      </c>
      <c r="H39" s="642">
        <f t="shared" si="11"/>
        <v>0</v>
      </c>
      <c r="I39" s="642">
        <f t="shared" si="11"/>
        <v>6000</v>
      </c>
      <c r="J39" s="642">
        <f t="shared" si="11"/>
        <v>0</v>
      </c>
      <c r="K39" s="642">
        <f t="shared" si="11"/>
        <v>0</v>
      </c>
      <c r="L39" s="642">
        <f t="shared" si="11"/>
        <v>0</v>
      </c>
      <c r="M39" s="642">
        <f t="shared" si="11"/>
        <v>0</v>
      </c>
      <c r="N39" s="642">
        <f t="shared" si="11"/>
        <v>7000</v>
      </c>
      <c r="O39" s="642">
        <f t="shared" si="11"/>
        <v>0</v>
      </c>
      <c r="P39" s="642">
        <f t="shared" si="11"/>
        <v>0</v>
      </c>
      <c r="Q39" s="1376">
        <f t="shared" ref="Q39:Q41" si="12">SUM(E39:P39)</f>
        <v>21000</v>
      </c>
    </row>
    <row r="40" spans="1:18" ht="18.75" x14ac:dyDescent="0.3">
      <c r="B40" s="633" t="s">
        <v>140</v>
      </c>
      <c r="C40" s="633"/>
      <c r="D40" s="633"/>
      <c r="E40" s="642">
        <v>-2019</v>
      </c>
      <c r="F40" s="642">
        <f t="shared" si="11"/>
        <v>-1715</v>
      </c>
      <c r="G40" s="642">
        <f t="shared" ref="G40:P40" si="13">+G17-F17</f>
        <v>-1551</v>
      </c>
      <c r="H40" s="642">
        <f t="shared" si="13"/>
        <v>-2392</v>
      </c>
      <c r="I40" s="642">
        <f t="shared" si="13"/>
        <v>-2347</v>
      </c>
      <c r="J40" s="642">
        <f t="shared" si="13"/>
        <v>-2475</v>
      </c>
      <c r="K40" s="642">
        <f t="shared" si="13"/>
        <v>-2640</v>
      </c>
      <c r="L40" s="642">
        <f t="shared" si="13"/>
        <v>-1688</v>
      </c>
      <c r="M40" s="642">
        <f t="shared" si="13"/>
        <v>-1877</v>
      </c>
      <c r="N40" s="642">
        <f t="shared" si="13"/>
        <v>-1785</v>
      </c>
      <c r="O40" s="642">
        <f t="shared" si="13"/>
        <v>-1895</v>
      </c>
      <c r="P40" s="642">
        <f t="shared" si="13"/>
        <v>-2567</v>
      </c>
      <c r="Q40" s="1376">
        <f t="shared" si="12"/>
        <v>-24951</v>
      </c>
    </row>
    <row r="41" spans="1:18" ht="18.75" x14ac:dyDescent="0.3">
      <c r="B41" s="633" t="s">
        <v>269</v>
      </c>
      <c r="C41" s="633"/>
      <c r="D41" s="633"/>
      <c r="E41" s="642">
        <v>-611</v>
      </c>
      <c r="F41" s="642">
        <f t="shared" si="11"/>
        <v>-585</v>
      </c>
      <c r="G41" s="642">
        <f t="shared" ref="G41:P41" si="14">+G18-F18</f>
        <v>-689</v>
      </c>
      <c r="H41" s="642">
        <f t="shared" si="14"/>
        <v>-644</v>
      </c>
      <c r="I41" s="642">
        <f t="shared" si="14"/>
        <v>-613</v>
      </c>
      <c r="J41" s="642">
        <f t="shared" si="14"/>
        <v>-615</v>
      </c>
      <c r="K41" s="642">
        <f t="shared" si="14"/>
        <v>-577</v>
      </c>
      <c r="L41" s="642">
        <f t="shared" si="14"/>
        <v>-608</v>
      </c>
      <c r="M41" s="642">
        <f t="shared" si="14"/>
        <v>-583</v>
      </c>
      <c r="N41" s="642">
        <f t="shared" si="14"/>
        <v>-576</v>
      </c>
      <c r="O41" s="642">
        <f t="shared" si="14"/>
        <v>-603</v>
      </c>
      <c r="P41" s="642">
        <f t="shared" si="14"/>
        <v>-626</v>
      </c>
      <c r="Q41" s="1376">
        <f t="shared" si="12"/>
        <v>-7330</v>
      </c>
    </row>
    <row r="42" spans="1:18" ht="18.75" x14ac:dyDescent="0.3">
      <c r="B42" s="16" t="s">
        <v>719</v>
      </c>
      <c r="C42" s="17"/>
      <c r="D42" s="17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1378"/>
    </row>
    <row r="43" spans="1:18" ht="18.75" x14ac:dyDescent="0.3">
      <c r="B43" s="16" t="s">
        <v>1207</v>
      </c>
      <c r="C43" s="17"/>
      <c r="D43" s="17"/>
      <c r="E43" s="48">
        <f>SUM(E39:E41)</f>
        <v>2370</v>
      </c>
      <c r="F43" s="48">
        <f t="shared" ref="F43:Q43" si="15">SUM(F39:F41)</f>
        <v>700</v>
      </c>
      <c r="G43" s="48">
        <f t="shared" si="15"/>
        <v>-2240</v>
      </c>
      <c r="H43" s="48">
        <f t="shared" si="15"/>
        <v>-3036</v>
      </c>
      <c r="I43" s="48">
        <f t="shared" si="15"/>
        <v>3040</v>
      </c>
      <c r="J43" s="48">
        <f t="shared" si="15"/>
        <v>-3090</v>
      </c>
      <c r="K43" s="48">
        <f t="shared" si="15"/>
        <v>-3217</v>
      </c>
      <c r="L43" s="48">
        <f t="shared" si="15"/>
        <v>-2296</v>
      </c>
      <c r="M43" s="48">
        <f t="shared" si="15"/>
        <v>-2460</v>
      </c>
      <c r="N43" s="48">
        <f t="shared" si="15"/>
        <v>4639</v>
      </c>
      <c r="O43" s="48">
        <f t="shared" si="15"/>
        <v>-2498</v>
      </c>
      <c r="P43" s="48">
        <f t="shared" si="15"/>
        <v>-3193</v>
      </c>
      <c r="Q43" s="1378">
        <f t="shared" si="15"/>
        <v>-11281</v>
      </c>
    </row>
    <row r="44" spans="1:18" ht="19.5" thickBot="1" x14ac:dyDescent="0.35">
      <c r="B44" s="522" t="s">
        <v>286</v>
      </c>
      <c r="C44" s="215"/>
      <c r="D44" s="215"/>
      <c r="E44" s="1308">
        <f>+E33+E37+E43</f>
        <v>2778</v>
      </c>
      <c r="F44" s="1341">
        <f t="shared" ref="F44" si="16">+F33+F37+F43</f>
        <v>3154</v>
      </c>
      <c r="G44" s="1341">
        <f t="shared" ref="G44" si="17">+G33+G37+G43</f>
        <v>903</v>
      </c>
      <c r="H44" s="1371">
        <f t="shared" ref="H44" si="18">+H33+H37+H43</f>
        <v>-3972</v>
      </c>
      <c r="I44" s="1371">
        <f t="shared" ref="I44" si="19">+I33+I37+I43</f>
        <v>3196</v>
      </c>
      <c r="J44" s="1371">
        <f t="shared" ref="J44" si="20">+J33+J37+J43</f>
        <v>226</v>
      </c>
      <c r="K44" s="1371">
        <f t="shared" ref="K44" si="21">+K33+K37+K43</f>
        <v>-2714</v>
      </c>
      <c r="L44" s="1371">
        <f t="shared" ref="L44" si="22">+L33+L37+L43</f>
        <v>747</v>
      </c>
      <c r="M44" s="1371">
        <f t="shared" ref="M44" si="23">+M33+M37+M43</f>
        <v>-2585</v>
      </c>
      <c r="N44" s="1371">
        <f t="shared" ref="N44" si="24">+N33+N37+N43</f>
        <v>7460</v>
      </c>
      <c r="O44" s="1371">
        <f t="shared" ref="O44" si="25">+O33+O37+O43</f>
        <v>-2555</v>
      </c>
      <c r="P44" s="1371">
        <f t="shared" ref="P44" si="26">+P33+P37+P43</f>
        <v>-3153</v>
      </c>
      <c r="Q44" s="1384">
        <f>+Q33+Q37+Q43</f>
        <v>3485</v>
      </c>
    </row>
    <row r="45" spans="1:18" ht="19.5" thickBot="1" x14ac:dyDescent="0.35">
      <c r="B45" s="1342" t="s">
        <v>47</v>
      </c>
      <c r="C45" s="1342"/>
      <c r="D45" s="1342"/>
      <c r="E45" s="1345">
        <v>1100</v>
      </c>
      <c r="F45" s="1345">
        <f>+E46</f>
        <v>3878</v>
      </c>
      <c r="G45" s="1345">
        <f t="shared" ref="G45:P45" si="27">+F46</f>
        <v>7032</v>
      </c>
      <c r="H45" s="1345">
        <f t="shared" si="27"/>
        <v>7935</v>
      </c>
      <c r="I45" s="1345">
        <f t="shared" si="27"/>
        <v>3963</v>
      </c>
      <c r="J45" s="1345">
        <f t="shared" si="27"/>
        <v>7159</v>
      </c>
      <c r="K45" s="1345">
        <f t="shared" si="27"/>
        <v>7385</v>
      </c>
      <c r="L45" s="1345">
        <f t="shared" si="27"/>
        <v>4671</v>
      </c>
      <c r="M45" s="1345">
        <f t="shared" si="27"/>
        <v>5418</v>
      </c>
      <c r="N45" s="1345">
        <f t="shared" si="27"/>
        <v>2833</v>
      </c>
      <c r="O45" s="1345">
        <f t="shared" si="27"/>
        <v>10293</v>
      </c>
      <c r="P45" s="1379">
        <f t="shared" si="27"/>
        <v>7738</v>
      </c>
      <c r="Q45" s="1383">
        <f>+E45</f>
        <v>1100</v>
      </c>
    </row>
    <row r="46" spans="1:18" ht="19.5" thickBot="1" x14ac:dyDescent="0.35">
      <c r="B46" s="1344" t="s">
        <v>49</v>
      </c>
      <c r="C46" s="1342"/>
      <c r="D46" s="1342"/>
      <c r="E46" s="1382">
        <f>+E44+E45</f>
        <v>3878</v>
      </c>
      <c r="F46" s="1343">
        <f>+F44+F45</f>
        <v>7032</v>
      </c>
      <c r="G46" s="1343">
        <f>+G44+G45</f>
        <v>7935</v>
      </c>
      <c r="H46" s="1343">
        <f t="shared" ref="H46" si="28">+H44+H45</f>
        <v>3963</v>
      </c>
      <c r="I46" s="1343">
        <f t="shared" ref="I46" si="29">+I44+I45</f>
        <v>7159</v>
      </c>
      <c r="J46" s="1343">
        <f t="shared" ref="J46" si="30">+J44+J45</f>
        <v>7385</v>
      </c>
      <c r="K46" s="1343">
        <f t="shared" ref="K46" si="31">+K44+K45</f>
        <v>4671</v>
      </c>
      <c r="L46" s="1343">
        <f t="shared" ref="L46" si="32">+L44+L45</f>
        <v>5418</v>
      </c>
      <c r="M46" s="1343">
        <f t="shared" ref="M46" si="33">+M44+M45</f>
        <v>2833</v>
      </c>
      <c r="N46" s="1343">
        <f t="shared" ref="N46" si="34">+N44+N45</f>
        <v>10293</v>
      </c>
      <c r="O46" s="1345">
        <f t="shared" ref="O46" si="35">+O44+O45</f>
        <v>7738</v>
      </c>
      <c r="P46" s="1385">
        <f t="shared" ref="P46" si="36">+P44+P45</f>
        <v>4585</v>
      </c>
      <c r="Q46" s="1381">
        <f t="shared" ref="Q46" si="37">+Q44+Q45</f>
        <v>4585</v>
      </c>
    </row>
    <row r="47" spans="1:18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8" s="42" customFormat="1" ht="18.75" hidden="1" x14ac:dyDescent="0.3">
      <c r="R48"/>
    </row>
    <row r="49" spans="18:18" s="42" customFormat="1" ht="18.75" hidden="1" x14ac:dyDescent="0.3">
      <c r="R49"/>
    </row>
    <row r="50" spans="18:18" s="42" customFormat="1" ht="18.75" hidden="1" x14ac:dyDescent="0.3">
      <c r="R50"/>
    </row>
    <row r="51" spans="18:18" s="42" customFormat="1" ht="18.75" hidden="1" x14ac:dyDescent="0.3">
      <c r="R51"/>
    </row>
    <row r="52" spans="18:18" s="42" customFormat="1" ht="18.75" hidden="1" x14ac:dyDescent="0.3">
      <c r="R52"/>
    </row>
    <row r="53" spans="18:18" s="42" customFormat="1" ht="18.75" hidden="1" x14ac:dyDescent="0.3">
      <c r="R53"/>
    </row>
    <row r="54" spans="18:18" s="42" customFormat="1" ht="18.75" hidden="1" x14ac:dyDescent="0.3">
      <c r="R54"/>
    </row>
    <row r="55" spans="18:18" s="42" customFormat="1" ht="18.75" hidden="1" customHeight="1" x14ac:dyDescent="0.3">
      <c r="R55"/>
    </row>
    <row r="56" spans="18:18" s="42" customFormat="1" ht="18.75" hidden="1" customHeight="1" x14ac:dyDescent="0.3">
      <c r="R56"/>
    </row>
    <row r="57" spans="18:18" s="42" customFormat="1" ht="18.75" hidden="1" customHeight="1" x14ac:dyDescent="0.3">
      <c r="R57"/>
    </row>
    <row r="58" spans="18:18" s="42" customFormat="1" ht="18.75" hidden="1" customHeight="1" x14ac:dyDescent="0.3">
      <c r="R58"/>
    </row>
    <row r="59" spans="18:18" s="42" customFormat="1" ht="18.75" hidden="1" customHeight="1" x14ac:dyDescent="0.3">
      <c r="R59"/>
    </row>
    <row r="60" spans="18:18" s="42" customFormat="1" ht="18.75" hidden="1" customHeight="1" x14ac:dyDescent="0.3">
      <c r="R60"/>
    </row>
    <row r="61" spans="18:18" s="42" customFormat="1" ht="18.75" hidden="1" customHeight="1" x14ac:dyDescent="0.3">
      <c r="R61"/>
    </row>
    <row r="62" spans="18:18" s="42" customFormat="1" ht="0" hidden="1" customHeight="1" x14ac:dyDescent="0.3">
      <c r="R62"/>
    </row>
  </sheetData>
  <phoneticPr fontId="3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B42B-551D-444A-AAA7-577BFCBB35CA}">
  <sheetPr>
    <tabColor theme="1"/>
  </sheetPr>
  <dimension ref="A1:Q69"/>
  <sheetViews>
    <sheetView workbookViewId="0">
      <selection activeCell="J10" sqref="J10"/>
    </sheetView>
  </sheetViews>
  <sheetFormatPr baseColWidth="10" defaultColWidth="0" defaultRowHeight="14.25" zeroHeight="1" x14ac:dyDescent="0.2"/>
  <cols>
    <col min="1" max="1" width="4.140625" style="362" customWidth="1"/>
    <col min="2" max="3" width="11.42578125" style="362" customWidth="1"/>
    <col min="4" max="4" width="9.7109375" style="362" bestFit="1" customWidth="1"/>
    <col min="5" max="5" width="2" style="362" customWidth="1"/>
    <col min="6" max="6" width="5.28515625" style="362" customWidth="1"/>
    <col min="7" max="7" width="9.7109375" style="362" customWidth="1"/>
    <col min="8" max="8" width="11.28515625" style="362" customWidth="1"/>
    <col min="9" max="9" width="10.5703125" style="362" customWidth="1"/>
    <col min="10" max="10" width="9.7109375" style="362" customWidth="1"/>
    <col min="11" max="11" width="1.7109375" style="362" customWidth="1"/>
    <col min="12" max="12" width="11.7109375" style="362" bestFit="1" customWidth="1"/>
    <col min="13" max="16" width="9.7109375" style="362" customWidth="1"/>
    <col min="17" max="17" width="11.42578125" style="362" customWidth="1"/>
    <col min="18" max="16384" width="11.42578125" style="362" hidden="1"/>
  </cols>
  <sheetData>
    <row r="1" spans="1:17" x14ac:dyDescent="0.2">
      <c r="A1" s="1420" t="s">
        <v>626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</row>
    <row r="2" spans="1:17" x14ac:dyDescent="0.2">
      <c r="A2" s="369"/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</row>
    <row r="3" spans="1:17" x14ac:dyDescent="0.2">
      <c r="A3" s="377" t="s">
        <v>158</v>
      </c>
      <c r="B3" s="377" t="s">
        <v>160</v>
      </c>
      <c r="C3" s="377" t="s">
        <v>159</v>
      </c>
      <c r="D3" s="377" t="s">
        <v>156</v>
      </c>
      <c r="E3" s="377" t="s">
        <v>161</v>
      </c>
      <c r="F3" s="377" t="s">
        <v>162</v>
      </c>
      <c r="G3" s="377" t="s">
        <v>157</v>
      </c>
      <c r="H3" s="377" t="s">
        <v>233</v>
      </c>
      <c r="I3" s="377" t="s">
        <v>234</v>
      </c>
      <c r="J3" s="377" t="s">
        <v>275</v>
      </c>
      <c r="K3" s="377" t="s">
        <v>276</v>
      </c>
      <c r="L3" s="377" t="s">
        <v>277</v>
      </c>
      <c r="M3" s="377" t="s">
        <v>245</v>
      </c>
      <c r="N3" s="377" t="s">
        <v>246</v>
      </c>
      <c r="O3" s="377" t="s">
        <v>640</v>
      </c>
      <c r="P3" s="377" t="s">
        <v>641</v>
      </c>
      <c r="Q3" s="369"/>
    </row>
    <row r="4" spans="1:17" x14ac:dyDescent="0.2">
      <c r="A4" s="377">
        <v>4</v>
      </c>
      <c r="B4" s="372" t="s">
        <v>627</v>
      </c>
      <c r="C4" s="372"/>
      <c r="D4" s="372"/>
      <c r="E4" s="371"/>
      <c r="F4" s="373" t="s">
        <v>636</v>
      </c>
      <c r="G4" s="374"/>
      <c r="H4" s="374"/>
      <c r="I4" s="374"/>
      <c r="J4" s="374"/>
      <c r="K4" s="371"/>
      <c r="L4" s="373" t="s">
        <v>637</v>
      </c>
      <c r="M4" s="374"/>
      <c r="N4" s="374"/>
      <c r="O4" s="374"/>
      <c r="P4" s="374"/>
      <c r="Q4" s="369"/>
    </row>
    <row r="5" spans="1:17" x14ac:dyDescent="0.2">
      <c r="A5" s="377">
        <f>+A4+1</f>
        <v>5</v>
      </c>
      <c r="B5" s="365" t="s">
        <v>202</v>
      </c>
      <c r="C5" s="365"/>
      <c r="D5" s="364">
        <v>1000000</v>
      </c>
      <c r="E5" s="371"/>
      <c r="F5" s="372" t="s">
        <v>638</v>
      </c>
      <c r="G5" s="374" t="s">
        <v>620</v>
      </c>
      <c r="H5" s="374" t="s">
        <v>631</v>
      </c>
      <c r="I5" s="374" t="s">
        <v>632</v>
      </c>
      <c r="J5" s="374" t="s">
        <v>621</v>
      </c>
      <c r="K5" s="371"/>
      <c r="L5" s="374" t="s">
        <v>639</v>
      </c>
      <c r="M5" s="374" t="s">
        <v>620</v>
      </c>
      <c r="N5" s="374" t="s">
        <v>631</v>
      </c>
      <c r="O5" s="374" t="s">
        <v>632</v>
      </c>
      <c r="P5" s="374" t="s">
        <v>621</v>
      </c>
      <c r="Q5" s="369"/>
    </row>
    <row r="6" spans="1:17" x14ac:dyDescent="0.2">
      <c r="A6" s="377">
        <f t="shared" ref="A6:A61" si="0">+A5+1</f>
        <v>6</v>
      </c>
      <c r="B6" s="365" t="s">
        <v>628</v>
      </c>
      <c r="C6" s="365"/>
      <c r="D6" s="366">
        <v>0.01</v>
      </c>
      <c r="E6" s="371"/>
      <c r="F6" s="364">
        <v>1</v>
      </c>
      <c r="G6" s="364">
        <f>+D5</f>
        <v>1000000</v>
      </c>
      <c r="H6" s="364">
        <f>+G6*$D$6</f>
        <v>10000</v>
      </c>
      <c r="I6" s="364">
        <f>-$D$8</f>
        <v>-26333.835431927764</v>
      </c>
      <c r="J6" s="364">
        <f>SUM(G6:I6)</f>
        <v>983666.16456807218</v>
      </c>
      <c r="K6" s="371"/>
      <c r="L6" s="368">
        <v>43830</v>
      </c>
      <c r="M6" s="364">
        <f>+G6</f>
        <v>1000000</v>
      </c>
      <c r="N6" s="364">
        <f>SUM(H6:H11)</f>
        <v>57517.01102515198</v>
      </c>
      <c r="O6" s="364">
        <f>SUM(I6:I11)</f>
        <v>-158003.01259156657</v>
      </c>
      <c r="P6" s="364">
        <f>SUM(M6:O6)</f>
        <v>899513.9984335854</v>
      </c>
      <c r="Q6" s="369"/>
    </row>
    <row r="7" spans="1:17" x14ac:dyDescent="0.2">
      <c r="A7" s="377">
        <f t="shared" si="0"/>
        <v>7</v>
      </c>
      <c r="B7" s="365" t="s">
        <v>629</v>
      </c>
      <c r="C7" s="365"/>
      <c r="D7" s="365">
        <v>48</v>
      </c>
      <c r="E7" s="371"/>
      <c r="F7" s="364">
        <f>+F6+1</f>
        <v>2</v>
      </c>
      <c r="G7" s="364">
        <f>+J6</f>
        <v>983666.16456807218</v>
      </c>
      <c r="H7" s="364">
        <f>+G7*$D$6</f>
        <v>9836.6616456807224</v>
      </c>
      <c r="I7" s="364">
        <f>-$D$8</f>
        <v>-26333.835431927764</v>
      </c>
      <c r="J7" s="364">
        <f>SUM(G7:I7)</f>
        <v>967168.99078182504</v>
      </c>
      <c r="K7" s="371"/>
      <c r="L7" s="368">
        <v>44196</v>
      </c>
      <c r="M7" s="364">
        <f>+P6</f>
        <v>899513.9984335854</v>
      </c>
      <c r="N7" s="364">
        <f>SUM(H12:H23)</f>
        <v>96107.967924144075</v>
      </c>
      <c r="O7" s="364">
        <f>SUM(I12:I23)</f>
        <v>-316006.02518313314</v>
      </c>
      <c r="P7" s="364">
        <f>SUM(M7:O7)</f>
        <v>679615.94117459632</v>
      </c>
      <c r="Q7" s="369"/>
    </row>
    <row r="8" spans="1:17" x14ac:dyDescent="0.2">
      <c r="A8" s="377">
        <f t="shared" si="0"/>
        <v>8</v>
      </c>
      <c r="B8" s="365" t="s">
        <v>630</v>
      </c>
      <c r="C8" s="365"/>
      <c r="D8" s="364">
        <f>PMT(D6,D7,-D5,0,0)</f>
        <v>26333.835431927764</v>
      </c>
      <c r="E8" s="371"/>
      <c r="F8" s="364">
        <f t="shared" ref="F8:F54" si="1">+F7+1</f>
        <v>3</v>
      </c>
      <c r="G8" s="364">
        <f t="shared" ref="G8:G54" si="2">+J7</f>
        <v>967168.99078182504</v>
      </c>
      <c r="H8" s="364">
        <f t="shared" ref="H8:H54" si="3">+G8*$D$6</f>
        <v>9671.6899078182505</v>
      </c>
      <c r="I8" s="364">
        <f t="shared" ref="I8:I54" si="4">-$D$8</f>
        <v>-26333.835431927764</v>
      </c>
      <c r="J8" s="364">
        <f t="shared" ref="J8:J54" si="5">SUM(G8:I8)</f>
        <v>950506.84525771544</v>
      </c>
      <c r="K8" s="371"/>
      <c r="L8" s="368">
        <v>44561</v>
      </c>
      <c r="M8" s="364">
        <f t="shared" ref="M8:M10" si="6">+P7</f>
        <v>679615.94117459632</v>
      </c>
      <c r="N8" s="364">
        <f>SUM(H24:H35)</f>
        <v>68219.390186311066</v>
      </c>
      <c r="O8" s="364">
        <f>SUM(I24:I35)</f>
        <v>-316006.02518313314</v>
      </c>
      <c r="P8" s="364">
        <f t="shared" ref="P8:P10" si="7">SUM(M8:O8)</f>
        <v>431829.30617777427</v>
      </c>
      <c r="Q8" s="369"/>
    </row>
    <row r="9" spans="1:17" x14ac:dyDescent="0.2">
      <c r="A9" s="377">
        <f t="shared" si="0"/>
        <v>9</v>
      </c>
      <c r="B9" s="365" t="s">
        <v>633</v>
      </c>
      <c r="C9" s="365"/>
      <c r="D9" s="367" t="s">
        <v>634</v>
      </c>
      <c r="E9" s="371"/>
      <c r="F9" s="364">
        <f t="shared" si="1"/>
        <v>4</v>
      </c>
      <c r="G9" s="364">
        <f t="shared" si="2"/>
        <v>950506.84525771544</v>
      </c>
      <c r="H9" s="364">
        <f t="shared" si="3"/>
        <v>9505.0684525771539</v>
      </c>
      <c r="I9" s="364">
        <f t="shared" si="4"/>
        <v>-26333.835431927764</v>
      </c>
      <c r="J9" s="364">
        <f t="shared" si="5"/>
        <v>933678.07827836473</v>
      </c>
      <c r="K9" s="371"/>
      <c r="L9" s="368">
        <v>44712</v>
      </c>
      <c r="M9" s="364">
        <f t="shared" si="6"/>
        <v>431829.30617777427</v>
      </c>
      <c r="N9" s="364">
        <f>SUM(H36:H48)</f>
        <v>36793.8427365397</v>
      </c>
      <c r="O9" s="364">
        <f>SUM(I36:I48)</f>
        <v>-316006.02518313314</v>
      </c>
      <c r="P9" s="364">
        <f t="shared" si="7"/>
        <v>152617.12373118085</v>
      </c>
      <c r="Q9" s="369"/>
    </row>
    <row r="10" spans="1:17" x14ac:dyDescent="0.2">
      <c r="A10" s="377">
        <f t="shared" si="0"/>
        <v>10</v>
      </c>
      <c r="B10" s="371"/>
      <c r="C10" s="371"/>
      <c r="D10" s="376" t="s">
        <v>1308</v>
      </c>
      <c r="E10" s="371"/>
      <c r="F10" s="364">
        <f t="shared" si="1"/>
        <v>5</v>
      </c>
      <c r="G10" s="364">
        <f t="shared" si="2"/>
        <v>933678.07827836473</v>
      </c>
      <c r="H10" s="364">
        <f t="shared" si="3"/>
        <v>9336.7807827836477</v>
      </c>
      <c r="I10" s="364">
        <f t="shared" si="4"/>
        <v>-26333.835431927764</v>
      </c>
      <c r="J10" s="364">
        <f t="shared" si="5"/>
        <v>916681.02362922055</v>
      </c>
      <c r="K10" s="371"/>
      <c r="L10" s="368">
        <v>45077</v>
      </c>
      <c r="M10" s="364">
        <f t="shared" si="6"/>
        <v>152617.12373118085</v>
      </c>
      <c r="N10" s="364">
        <f>SUM(H49:H54)</f>
        <v>5385.8888603855876</v>
      </c>
      <c r="O10" s="364">
        <f>SUM(I49:I54)</f>
        <v>-158003.01259156657</v>
      </c>
      <c r="P10" s="364">
        <f t="shared" si="7"/>
        <v>0</v>
      </c>
      <c r="Q10" s="369"/>
    </row>
    <row r="11" spans="1:17" x14ac:dyDescent="0.2">
      <c r="A11" s="377">
        <f t="shared" si="0"/>
        <v>11</v>
      </c>
      <c r="B11" s="371"/>
      <c r="C11" s="371"/>
      <c r="D11" s="371"/>
      <c r="E11" s="371"/>
      <c r="F11" s="364">
        <f>+F10+1</f>
        <v>6</v>
      </c>
      <c r="G11" s="364">
        <f>+J10</f>
        <v>916681.02362922055</v>
      </c>
      <c r="H11" s="364">
        <f t="shared" si="3"/>
        <v>9166.8102362922054</v>
      </c>
      <c r="I11" s="364">
        <f t="shared" si="4"/>
        <v>-26333.835431927764</v>
      </c>
      <c r="J11" s="364">
        <f t="shared" si="5"/>
        <v>899513.99843358493</v>
      </c>
      <c r="K11" s="371"/>
      <c r="Q11" s="369"/>
    </row>
    <row r="12" spans="1:17" x14ac:dyDescent="0.2">
      <c r="A12" s="377">
        <f t="shared" si="0"/>
        <v>12</v>
      </c>
      <c r="B12" s="371"/>
      <c r="C12" s="371"/>
      <c r="D12" s="371"/>
      <c r="E12" s="371"/>
      <c r="F12" s="364">
        <f t="shared" si="1"/>
        <v>7</v>
      </c>
      <c r="G12" s="364">
        <f t="shared" si="2"/>
        <v>899513.99843358493</v>
      </c>
      <c r="H12" s="364">
        <f t="shared" si="3"/>
        <v>8995.1399843358504</v>
      </c>
      <c r="I12" s="364">
        <f t="shared" si="4"/>
        <v>-26333.835431927764</v>
      </c>
      <c r="J12" s="364">
        <f t="shared" si="5"/>
        <v>882175.30298599298</v>
      </c>
      <c r="K12" s="371"/>
      <c r="Q12" s="369"/>
    </row>
    <row r="13" spans="1:17" x14ac:dyDescent="0.2">
      <c r="A13" s="377">
        <f t="shared" si="0"/>
        <v>13</v>
      </c>
      <c r="B13" s="371"/>
      <c r="C13" s="371"/>
      <c r="D13" s="371"/>
      <c r="E13" s="371"/>
      <c r="F13" s="364">
        <f t="shared" si="1"/>
        <v>8</v>
      </c>
      <c r="G13" s="364">
        <f t="shared" si="2"/>
        <v>882175.30298599298</v>
      </c>
      <c r="H13" s="364">
        <f t="shared" si="3"/>
        <v>8821.7530298599304</v>
      </c>
      <c r="I13" s="364">
        <f t="shared" si="4"/>
        <v>-26333.835431927764</v>
      </c>
      <c r="J13" s="364">
        <f t="shared" si="5"/>
        <v>864663.22058392514</v>
      </c>
      <c r="K13" s="371"/>
      <c r="Q13" s="369"/>
    </row>
    <row r="14" spans="1:17" x14ac:dyDescent="0.2">
      <c r="A14" s="377">
        <f t="shared" si="0"/>
        <v>14</v>
      </c>
      <c r="B14" s="371"/>
      <c r="C14" s="371"/>
      <c r="D14" s="371"/>
      <c r="E14" s="371"/>
      <c r="F14" s="364">
        <f t="shared" si="1"/>
        <v>9</v>
      </c>
      <c r="G14" s="364">
        <f t="shared" si="2"/>
        <v>864663.22058392514</v>
      </c>
      <c r="H14" s="364">
        <f t="shared" si="3"/>
        <v>8646.6322058392507</v>
      </c>
      <c r="I14" s="364">
        <f t="shared" si="4"/>
        <v>-26333.835431927764</v>
      </c>
      <c r="J14" s="364">
        <f t="shared" si="5"/>
        <v>846976.01735783659</v>
      </c>
      <c r="K14" s="371"/>
      <c r="Q14" s="369"/>
    </row>
    <row r="15" spans="1:17" x14ac:dyDescent="0.2">
      <c r="A15" s="377">
        <f t="shared" si="0"/>
        <v>15</v>
      </c>
      <c r="B15" s="371"/>
      <c r="C15" s="371"/>
      <c r="D15" s="371"/>
      <c r="E15" s="371"/>
      <c r="F15" s="364">
        <f t="shared" si="1"/>
        <v>10</v>
      </c>
      <c r="G15" s="364">
        <f t="shared" si="2"/>
        <v>846976.01735783659</v>
      </c>
      <c r="H15" s="364">
        <f t="shared" si="3"/>
        <v>8469.7601735783664</v>
      </c>
      <c r="I15" s="364">
        <f t="shared" si="4"/>
        <v>-26333.835431927764</v>
      </c>
      <c r="J15" s="364">
        <f t="shared" si="5"/>
        <v>829111.94209948718</v>
      </c>
      <c r="K15" s="371"/>
      <c r="Q15" s="369"/>
    </row>
    <row r="16" spans="1:17" x14ac:dyDescent="0.2">
      <c r="A16" s="377">
        <f t="shared" si="0"/>
        <v>16</v>
      </c>
      <c r="B16" s="371"/>
      <c r="C16" s="371"/>
      <c r="D16" s="371"/>
      <c r="E16" s="371"/>
      <c r="F16" s="364">
        <f t="shared" si="1"/>
        <v>11</v>
      </c>
      <c r="G16" s="364">
        <f t="shared" si="2"/>
        <v>829111.94209948718</v>
      </c>
      <c r="H16" s="364">
        <f t="shared" si="3"/>
        <v>8291.1194209948717</v>
      </c>
      <c r="I16" s="364">
        <f t="shared" si="4"/>
        <v>-26333.835431927764</v>
      </c>
      <c r="J16" s="364">
        <f t="shared" si="5"/>
        <v>811069.22608855425</v>
      </c>
      <c r="K16" s="371"/>
      <c r="Q16" s="369"/>
    </row>
    <row r="17" spans="1:17" x14ac:dyDescent="0.2">
      <c r="A17" s="377">
        <f t="shared" si="0"/>
        <v>17</v>
      </c>
      <c r="B17" s="371"/>
      <c r="C17" s="371"/>
      <c r="D17" s="371"/>
      <c r="E17" s="371"/>
      <c r="F17" s="364">
        <f t="shared" si="1"/>
        <v>12</v>
      </c>
      <c r="G17" s="364">
        <f t="shared" si="2"/>
        <v>811069.22608855425</v>
      </c>
      <c r="H17" s="364">
        <f t="shared" si="3"/>
        <v>8110.692260885543</v>
      </c>
      <c r="I17" s="364">
        <f t="shared" si="4"/>
        <v>-26333.835431927764</v>
      </c>
      <c r="J17" s="364">
        <f t="shared" si="5"/>
        <v>792846.08291751193</v>
      </c>
      <c r="K17" s="371"/>
      <c r="Q17" s="369"/>
    </row>
    <row r="18" spans="1:17" x14ac:dyDescent="0.2">
      <c r="A18" s="377">
        <f t="shared" si="0"/>
        <v>18</v>
      </c>
      <c r="B18" s="371"/>
      <c r="C18" s="371"/>
      <c r="D18" s="371"/>
      <c r="E18" s="371"/>
      <c r="F18" s="364">
        <f t="shared" si="1"/>
        <v>13</v>
      </c>
      <c r="G18" s="364">
        <f t="shared" si="2"/>
        <v>792846.08291751193</v>
      </c>
      <c r="H18" s="364">
        <f t="shared" si="3"/>
        <v>7928.4608291751192</v>
      </c>
      <c r="I18" s="364">
        <f t="shared" si="4"/>
        <v>-26333.835431927764</v>
      </c>
      <c r="J18" s="364">
        <f t="shared" si="5"/>
        <v>774440.70831475919</v>
      </c>
      <c r="K18" s="371"/>
      <c r="Q18" s="369"/>
    </row>
    <row r="19" spans="1:17" x14ac:dyDescent="0.2">
      <c r="A19" s="377">
        <f t="shared" si="0"/>
        <v>19</v>
      </c>
      <c r="B19" s="371"/>
      <c r="C19" s="371"/>
      <c r="D19" s="371"/>
      <c r="E19" s="371"/>
      <c r="F19" s="364">
        <f t="shared" si="1"/>
        <v>14</v>
      </c>
      <c r="G19" s="364">
        <f t="shared" si="2"/>
        <v>774440.70831475919</v>
      </c>
      <c r="H19" s="364">
        <f t="shared" si="3"/>
        <v>7744.4070831475919</v>
      </c>
      <c r="I19" s="364">
        <f t="shared" si="4"/>
        <v>-26333.835431927764</v>
      </c>
      <c r="J19" s="364">
        <f t="shared" si="5"/>
        <v>755851.27996597893</v>
      </c>
      <c r="K19" s="371"/>
      <c r="Q19" s="369"/>
    </row>
    <row r="20" spans="1:17" x14ac:dyDescent="0.2">
      <c r="A20" s="377">
        <f t="shared" si="0"/>
        <v>20</v>
      </c>
      <c r="B20" s="371"/>
      <c r="C20" s="371"/>
      <c r="D20" s="371"/>
      <c r="E20" s="371"/>
      <c r="F20" s="364">
        <f t="shared" si="1"/>
        <v>15</v>
      </c>
      <c r="G20" s="364">
        <f t="shared" si="2"/>
        <v>755851.27996597893</v>
      </c>
      <c r="H20" s="364">
        <f t="shared" si="3"/>
        <v>7558.5127996597894</v>
      </c>
      <c r="I20" s="364">
        <f t="shared" si="4"/>
        <v>-26333.835431927764</v>
      </c>
      <c r="J20" s="364">
        <f t="shared" si="5"/>
        <v>737075.95733371086</v>
      </c>
      <c r="K20" s="371"/>
      <c r="Q20" s="369"/>
    </row>
    <row r="21" spans="1:17" x14ac:dyDescent="0.2">
      <c r="A21" s="377">
        <f t="shared" si="0"/>
        <v>21</v>
      </c>
      <c r="B21" s="371"/>
      <c r="C21" s="371"/>
      <c r="D21" s="371"/>
      <c r="E21" s="371"/>
      <c r="F21" s="364">
        <f t="shared" si="1"/>
        <v>16</v>
      </c>
      <c r="G21" s="364">
        <f t="shared" si="2"/>
        <v>737075.95733371086</v>
      </c>
      <c r="H21" s="364">
        <f t="shared" si="3"/>
        <v>7370.759573337109</v>
      </c>
      <c r="I21" s="364">
        <f t="shared" si="4"/>
        <v>-26333.835431927764</v>
      </c>
      <c r="J21" s="364">
        <f t="shared" si="5"/>
        <v>718112.8814751202</v>
      </c>
      <c r="K21" s="371"/>
      <c r="Q21" s="369"/>
    </row>
    <row r="22" spans="1:17" x14ac:dyDescent="0.2">
      <c r="A22" s="377">
        <f t="shared" si="0"/>
        <v>22</v>
      </c>
      <c r="B22" s="371"/>
      <c r="C22" s="371"/>
      <c r="D22" s="371"/>
      <c r="E22" s="371"/>
      <c r="F22" s="364">
        <f t="shared" si="1"/>
        <v>17</v>
      </c>
      <c r="G22" s="364">
        <f t="shared" si="2"/>
        <v>718112.8814751202</v>
      </c>
      <c r="H22" s="364">
        <f t="shared" si="3"/>
        <v>7181.1288147512023</v>
      </c>
      <c r="I22" s="364">
        <f t="shared" si="4"/>
        <v>-26333.835431927764</v>
      </c>
      <c r="J22" s="364">
        <f t="shared" si="5"/>
        <v>698960.17485794355</v>
      </c>
      <c r="K22" s="371"/>
      <c r="Q22" s="369"/>
    </row>
    <row r="23" spans="1:17" x14ac:dyDescent="0.2">
      <c r="A23" s="377">
        <f t="shared" si="0"/>
        <v>23</v>
      </c>
      <c r="B23" s="371"/>
      <c r="C23" s="371"/>
      <c r="D23" s="371"/>
      <c r="E23" s="371"/>
      <c r="F23" s="364">
        <f t="shared" si="1"/>
        <v>18</v>
      </c>
      <c r="G23" s="364">
        <f t="shared" si="2"/>
        <v>698960.17485794355</v>
      </c>
      <c r="H23" s="364">
        <f t="shared" si="3"/>
        <v>6989.6017485794355</v>
      </c>
      <c r="I23" s="364">
        <f t="shared" si="4"/>
        <v>-26333.835431927764</v>
      </c>
      <c r="J23" s="364">
        <f t="shared" si="5"/>
        <v>679615.94117459515</v>
      </c>
      <c r="K23" s="371"/>
      <c r="Q23" s="369"/>
    </row>
    <row r="24" spans="1:17" x14ac:dyDescent="0.2">
      <c r="A24" s="377">
        <f t="shared" si="0"/>
        <v>24</v>
      </c>
      <c r="B24" s="371"/>
      <c r="C24" s="371"/>
      <c r="D24" s="371"/>
      <c r="E24" s="371"/>
      <c r="F24" s="364">
        <f t="shared" si="1"/>
        <v>19</v>
      </c>
      <c r="G24" s="364">
        <f t="shared" si="2"/>
        <v>679615.94117459515</v>
      </c>
      <c r="H24" s="364">
        <f t="shared" si="3"/>
        <v>6796.1594117459517</v>
      </c>
      <c r="I24" s="364">
        <f t="shared" si="4"/>
        <v>-26333.835431927764</v>
      </c>
      <c r="J24" s="364">
        <f t="shared" si="5"/>
        <v>660078.2651544133</v>
      </c>
      <c r="K24" s="371"/>
      <c r="Q24" s="369"/>
    </row>
    <row r="25" spans="1:17" x14ac:dyDescent="0.2">
      <c r="A25" s="377">
        <f t="shared" si="0"/>
        <v>25</v>
      </c>
      <c r="B25" s="371"/>
      <c r="C25" s="371"/>
      <c r="D25" s="371"/>
      <c r="E25" s="371"/>
      <c r="F25" s="364">
        <f t="shared" si="1"/>
        <v>20</v>
      </c>
      <c r="G25" s="364">
        <f t="shared" si="2"/>
        <v>660078.2651544133</v>
      </c>
      <c r="H25" s="364">
        <f t="shared" si="3"/>
        <v>6600.7826515441329</v>
      </c>
      <c r="I25" s="364">
        <f t="shared" si="4"/>
        <v>-26333.835431927764</v>
      </c>
      <c r="J25" s="364">
        <f t="shared" si="5"/>
        <v>640345.21237402956</v>
      </c>
      <c r="K25" s="371"/>
      <c r="Q25" s="369"/>
    </row>
    <row r="26" spans="1:17" x14ac:dyDescent="0.2">
      <c r="A26" s="377">
        <f t="shared" si="0"/>
        <v>26</v>
      </c>
      <c r="B26" s="371"/>
      <c r="C26" s="371"/>
      <c r="D26" s="371"/>
      <c r="E26" s="371"/>
      <c r="F26" s="364">
        <f t="shared" si="1"/>
        <v>21</v>
      </c>
      <c r="G26" s="364">
        <f t="shared" si="2"/>
        <v>640345.21237402956</v>
      </c>
      <c r="H26" s="364">
        <f t="shared" si="3"/>
        <v>6403.452123740296</v>
      </c>
      <c r="I26" s="364">
        <f t="shared" si="4"/>
        <v>-26333.835431927764</v>
      </c>
      <c r="J26" s="364">
        <f t="shared" si="5"/>
        <v>620414.82906584209</v>
      </c>
      <c r="K26" s="371"/>
      <c r="Q26" s="369"/>
    </row>
    <row r="27" spans="1:17" x14ac:dyDescent="0.2">
      <c r="A27" s="377">
        <f t="shared" si="0"/>
        <v>27</v>
      </c>
      <c r="B27" s="371"/>
      <c r="C27" s="371"/>
      <c r="D27" s="371"/>
      <c r="E27" s="371"/>
      <c r="F27" s="364">
        <f t="shared" si="1"/>
        <v>22</v>
      </c>
      <c r="G27" s="364">
        <f t="shared" si="2"/>
        <v>620414.82906584209</v>
      </c>
      <c r="H27" s="364">
        <f t="shared" si="3"/>
        <v>6204.1482906584206</v>
      </c>
      <c r="I27" s="364">
        <f t="shared" si="4"/>
        <v>-26333.835431927764</v>
      </c>
      <c r="J27" s="364">
        <f t="shared" si="5"/>
        <v>600285.14192457264</v>
      </c>
      <c r="K27" s="371"/>
      <c r="Q27" s="369"/>
    </row>
    <row r="28" spans="1:17" x14ac:dyDescent="0.2">
      <c r="A28" s="377">
        <f t="shared" si="0"/>
        <v>28</v>
      </c>
      <c r="B28" s="371"/>
      <c r="C28" s="371"/>
      <c r="D28" s="371"/>
      <c r="E28" s="371"/>
      <c r="F28" s="364">
        <f t="shared" si="1"/>
        <v>23</v>
      </c>
      <c r="G28" s="364">
        <f t="shared" si="2"/>
        <v>600285.14192457264</v>
      </c>
      <c r="H28" s="364">
        <f t="shared" si="3"/>
        <v>6002.8514192457269</v>
      </c>
      <c r="I28" s="364">
        <f t="shared" si="4"/>
        <v>-26333.835431927764</v>
      </c>
      <c r="J28" s="364">
        <f t="shared" si="5"/>
        <v>579954.15791189054</v>
      </c>
      <c r="K28" s="371"/>
      <c r="Q28" s="369"/>
    </row>
    <row r="29" spans="1:17" x14ac:dyDescent="0.2">
      <c r="A29" s="377">
        <f t="shared" si="0"/>
        <v>29</v>
      </c>
      <c r="B29" s="371"/>
      <c r="C29" s="371"/>
      <c r="D29" s="371"/>
      <c r="E29" s="371"/>
      <c r="F29" s="364">
        <f t="shared" si="1"/>
        <v>24</v>
      </c>
      <c r="G29" s="364">
        <f t="shared" si="2"/>
        <v>579954.15791189054</v>
      </c>
      <c r="H29" s="364">
        <f t="shared" si="3"/>
        <v>5799.5415791189052</v>
      </c>
      <c r="I29" s="364">
        <f t="shared" si="4"/>
        <v>-26333.835431927764</v>
      </c>
      <c r="J29" s="364">
        <f t="shared" si="5"/>
        <v>559419.86405908165</v>
      </c>
      <c r="K29" s="371"/>
      <c r="Q29" s="369"/>
    </row>
    <row r="30" spans="1:17" x14ac:dyDescent="0.2">
      <c r="A30" s="377">
        <f t="shared" si="0"/>
        <v>30</v>
      </c>
      <c r="B30" s="371"/>
      <c r="C30" s="371"/>
      <c r="D30" s="371"/>
      <c r="E30" s="371"/>
      <c r="F30" s="364">
        <f t="shared" si="1"/>
        <v>25</v>
      </c>
      <c r="G30" s="364">
        <f t="shared" si="2"/>
        <v>559419.86405908165</v>
      </c>
      <c r="H30" s="364">
        <f t="shared" si="3"/>
        <v>5594.1986405908165</v>
      </c>
      <c r="I30" s="364">
        <f t="shared" si="4"/>
        <v>-26333.835431927764</v>
      </c>
      <c r="J30" s="364">
        <f t="shared" si="5"/>
        <v>538680.2272677446</v>
      </c>
      <c r="K30" s="371"/>
      <c r="Q30" s="369"/>
    </row>
    <row r="31" spans="1:17" x14ac:dyDescent="0.2">
      <c r="A31" s="377">
        <f t="shared" si="0"/>
        <v>31</v>
      </c>
      <c r="B31" s="371"/>
      <c r="C31" s="371"/>
      <c r="D31" s="371"/>
      <c r="E31" s="371"/>
      <c r="F31" s="364">
        <f t="shared" si="1"/>
        <v>26</v>
      </c>
      <c r="G31" s="364">
        <f t="shared" si="2"/>
        <v>538680.2272677446</v>
      </c>
      <c r="H31" s="364">
        <f t="shared" si="3"/>
        <v>5386.8022726774461</v>
      </c>
      <c r="I31" s="364">
        <f t="shared" si="4"/>
        <v>-26333.835431927764</v>
      </c>
      <c r="J31" s="364">
        <f t="shared" si="5"/>
        <v>517733.19410849427</v>
      </c>
      <c r="K31" s="371"/>
      <c r="Q31" s="369"/>
    </row>
    <row r="32" spans="1:17" x14ac:dyDescent="0.2">
      <c r="A32" s="377">
        <f t="shared" si="0"/>
        <v>32</v>
      </c>
      <c r="B32" s="371"/>
      <c r="C32" s="371"/>
      <c r="D32" s="371"/>
      <c r="E32" s="371"/>
      <c r="F32" s="364">
        <f t="shared" si="1"/>
        <v>27</v>
      </c>
      <c r="G32" s="364">
        <f t="shared" si="2"/>
        <v>517733.19410849427</v>
      </c>
      <c r="H32" s="364">
        <f t="shared" si="3"/>
        <v>5177.3319410849426</v>
      </c>
      <c r="I32" s="364">
        <f t="shared" si="4"/>
        <v>-26333.835431927764</v>
      </c>
      <c r="J32" s="364">
        <f t="shared" si="5"/>
        <v>496576.69061765145</v>
      </c>
      <c r="K32" s="371"/>
      <c r="Q32" s="369"/>
    </row>
    <row r="33" spans="1:17" x14ac:dyDescent="0.2">
      <c r="A33" s="377">
        <f t="shared" si="0"/>
        <v>33</v>
      </c>
      <c r="B33" s="371"/>
      <c r="C33" s="371"/>
      <c r="D33" s="371"/>
      <c r="E33" s="371"/>
      <c r="F33" s="364">
        <f t="shared" si="1"/>
        <v>28</v>
      </c>
      <c r="G33" s="364">
        <f t="shared" si="2"/>
        <v>496576.69061765145</v>
      </c>
      <c r="H33" s="364">
        <f t="shared" si="3"/>
        <v>4965.7669061765146</v>
      </c>
      <c r="I33" s="364">
        <f t="shared" si="4"/>
        <v>-26333.835431927764</v>
      </c>
      <c r="J33" s="364">
        <f t="shared" si="5"/>
        <v>475208.62209190021</v>
      </c>
      <c r="K33" s="371"/>
      <c r="Q33" s="369"/>
    </row>
    <row r="34" spans="1:17" x14ac:dyDescent="0.2">
      <c r="A34" s="377">
        <f t="shared" si="0"/>
        <v>34</v>
      </c>
      <c r="B34" s="371"/>
      <c r="C34" s="371"/>
      <c r="D34" s="371"/>
      <c r="E34" s="371"/>
      <c r="F34" s="364">
        <f t="shared" si="1"/>
        <v>29</v>
      </c>
      <c r="G34" s="364">
        <f t="shared" si="2"/>
        <v>475208.62209190021</v>
      </c>
      <c r="H34" s="364">
        <f t="shared" si="3"/>
        <v>4752.0862209190018</v>
      </c>
      <c r="I34" s="364">
        <f t="shared" si="4"/>
        <v>-26333.835431927764</v>
      </c>
      <c r="J34" s="364">
        <f t="shared" si="5"/>
        <v>453626.87288089143</v>
      </c>
      <c r="K34" s="371"/>
      <c r="Q34" s="369"/>
    </row>
    <row r="35" spans="1:17" x14ac:dyDescent="0.2">
      <c r="A35" s="377">
        <f t="shared" si="0"/>
        <v>35</v>
      </c>
      <c r="B35" s="371"/>
      <c r="C35" s="371"/>
      <c r="D35" s="371"/>
      <c r="E35" s="371"/>
      <c r="F35" s="364">
        <f t="shared" si="1"/>
        <v>30</v>
      </c>
      <c r="G35" s="364">
        <f t="shared" si="2"/>
        <v>453626.87288089143</v>
      </c>
      <c r="H35" s="364">
        <f t="shared" si="3"/>
        <v>4536.2687288089146</v>
      </c>
      <c r="I35" s="364">
        <f t="shared" si="4"/>
        <v>-26333.835431927764</v>
      </c>
      <c r="J35" s="364">
        <f t="shared" si="5"/>
        <v>431829.30617777258</v>
      </c>
      <c r="K35" s="371"/>
      <c r="Q35" s="369"/>
    </row>
    <row r="36" spans="1:17" x14ac:dyDescent="0.2">
      <c r="A36" s="377">
        <f t="shared" si="0"/>
        <v>36</v>
      </c>
      <c r="B36" s="371"/>
      <c r="C36" s="371"/>
      <c r="D36" s="371"/>
      <c r="E36" s="371"/>
      <c r="F36" s="364">
        <f t="shared" si="1"/>
        <v>31</v>
      </c>
      <c r="G36" s="364">
        <f t="shared" si="2"/>
        <v>431829.30617777258</v>
      </c>
      <c r="H36" s="364">
        <f t="shared" si="3"/>
        <v>4318.2930617777256</v>
      </c>
      <c r="I36" s="364">
        <f t="shared" si="4"/>
        <v>-26333.835431927764</v>
      </c>
      <c r="J36" s="364">
        <f t="shared" si="5"/>
        <v>409813.76380762254</v>
      </c>
      <c r="K36" s="371"/>
      <c r="Q36" s="369"/>
    </row>
    <row r="37" spans="1:17" x14ac:dyDescent="0.2">
      <c r="A37" s="377">
        <f t="shared" si="0"/>
        <v>37</v>
      </c>
      <c r="B37" s="371"/>
      <c r="C37" s="371"/>
      <c r="D37" s="371"/>
      <c r="E37" s="371"/>
      <c r="F37" s="364">
        <f t="shared" si="1"/>
        <v>32</v>
      </c>
      <c r="G37" s="364">
        <f t="shared" si="2"/>
        <v>409813.76380762254</v>
      </c>
      <c r="H37" s="364">
        <f t="shared" si="3"/>
        <v>4098.1376380762258</v>
      </c>
      <c r="I37" s="364">
        <f t="shared" si="4"/>
        <v>-26333.835431927764</v>
      </c>
      <c r="J37" s="364">
        <f t="shared" si="5"/>
        <v>387578.06601377099</v>
      </c>
      <c r="K37" s="371"/>
      <c r="Q37" s="369"/>
    </row>
    <row r="38" spans="1:17" x14ac:dyDescent="0.2">
      <c r="A38" s="377">
        <f t="shared" si="0"/>
        <v>38</v>
      </c>
      <c r="B38" s="371"/>
      <c r="C38" s="371"/>
      <c r="D38" s="371"/>
      <c r="E38" s="371"/>
      <c r="F38" s="364">
        <f t="shared" si="1"/>
        <v>33</v>
      </c>
      <c r="G38" s="364">
        <f t="shared" si="2"/>
        <v>387578.06601377099</v>
      </c>
      <c r="H38" s="364">
        <f t="shared" si="3"/>
        <v>3875.7806601377101</v>
      </c>
      <c r="I38" s="364">
        <f t="shared" si="4"/>
        <v>-26333.835431927764</v>
      </c>
      <c r="J38" s="364">
        <f t="shared" si="5"/>
        <v>365120.01124198094</v>
      </c>
      <c r="K38" s="371"/>
      <c r="Q38" s="369"/>
    </row>
    <row r="39" spans="1:17" x14ac:dyDescent="0.2">
      <c r="A39" s="377">
        <f t="shared" si="0"/>
        <v>39</v>
      </c>
      <c r="B39" s="371"/>
      <c r="C39" s="371"/>
      <c r="D39" s="371"/>
      <c r="E39" s="371"/>
      <c r="F39" s="364">
        <f t="shared" si="1"/>
        <v>34</v>
      </c>
      <c r="G39" s="364">
        <f t="shared" si="2"/>
        <v>365120.01124198094</v>
      </c>
      <c r="H39" s="364">
        <f t="shared" si="3"/>
        <v>3651.2001124198096</v>
      </c>
      <c r="I39" s="364">
        <f t="shared" si="4"/>
        <v>-26333.835431927764</v>
      </c>
      <c r="J39" s="364">
        <f t="shared" si="5"/>
        <v>342437.37592247297</v>
      </c>
      <c r="K39" s="371"/>
      <c r="Q39" s="369"/>
    </row>
    <row r="40" spans="1:17" x14ac:dyDescent="0.2">
      <c r="A40" s="377">
        <f t="shared" si="0"/>
        <v>40</v>
      </c>
      <c r="B40" s="371"/>
      <c r="C40" s="371"/>
      <c r="D40" s="371"/>
      <c r="E40" s="371"/>
      <c r="F40" s="364">
        <f t="shared" si="1"/>
        <v>35</v>
      </c>
      <c r="G40" s="364">
        <f t="shared" si="2"/>
        <v>342437.37592247297</v>
      </c>
      <c r="H40" s="364">
        <f t="shared" si="3"/>
        <v>3424.3737592247298</v>
      </c>
      <c r="I40" s="364">
        <f t="shared" si="4"/>
        <v>-26333.835431927764</v>
      </c>
      <c r="J40" s="364">
        <f t="shared" si="5"/>
        <v>319527.91424976994</v>
      </c>
      <c r="K40" s="371"/>
      <c r="Q40" s="369"/>
    </row>
    <row r="41" spans="1:17" x14ac:dyDescent="0.2">
      <c r="A41" s="377">
        <f t="shared" si="0"/>
        <v>41</v>
      </c>
      <c r="B41" s="371"/>
      <c r="C41" s="371"/>
      <c r="D41" s="371"/>
      <c r="E41" s="371"/>
      <c r="F41" s="364">
        <f t="shared" si="1"/>
        <v>36</v>
      </c>
      <c r="G41" s="364">
        <f t="shared" si="2"/>
        <v>319527.91424976994</v>
      </c>
      <c r="H41" s="364">
        <f t="shared" si="3"/>
        <v>3195.2791424976995</v>
      </c>
      <c r="I41" s="364">
        <f t="shared" si="4"/>
        <v>-26333.835431927764</v>
      </c>
      <c r="J41" s="364">
        <f t="shared" si="5"/>
        <v>296389.35796033987</v>
      </c>
      <c r="K41" s="371"/>
      <c r="Q41" s="369"/>
    </row>
    <row r="42" spans="1:17" x14ac:dyDescent="0.2">
      <c r="A42" s="377">
        <f t="shared" si="0"/>
        <v>42</v>
      </c>
      <c r="B42" s="371"/>
      <c r="C42" s="371"/>
      <c r="D42" s="371"/>
      <c r="E42" s="371"/>
      <c r="F42" s="364">
        <f t="shared" si="1"/>
        <v>37</v>
      </c>
      <c r="G42" s="364">
        <f t="shared" si="2"/>
        <v>296389.35796033987</v>
      </c>
      <c r="H42" s="364">
        <f t="shared" si="3"/>
        <v>2963.8935796033988</v>
      </c>
      <c r="I42" s="364">
        <f t="shared" si="4"/>
        <v>-26333.835431927764</v>
      </c>
      <c r="J42" s="364">
        <f t="shared" si="5"/>
        <v>273019.41610801552</v>
      </c>
      <c r="K42" s="371"/>
      <c r="Q42" s="369"/>
    </row>
    <row r="43" spans="1:17" x14ac:dyDescent="0.2">
      <c r="A43" s="377">
        <f t="shared" si="0"/>
        <v>43</v>
      </c>
      <c r="B43" s="371"/>
      <c r="C43" s="371"/>
      <c r="D43" s="371"/>
      <c r="E43" s="371"/>
      <c r="F43" s="364">
        <f t="shared" si="1"/>
        <v>38</v>
      </c>
      <c r="G43" s="364">
        <f t="shared" si="2"/>
        <v>273019.41610801552</v>
      </c>
      <c r="H43" s="364">
        <f t="shared" si="3"/>
        <v>2730.194161080155</v>
      </c>
      <c r="I43" s="364">
        <f t="shared" si="4"/>
        <v>-26333.835431927764</v>
      </c>
      <c r="J43" s="364">
        <f t="shared" si="5"/>
        <v>249415.77483716793</v>
      </c>
      <c r="K43" s="371"/>
      <c r="Q43" s="369"/>
    </row>
    <row r="44" spans="1:17" x14ac:dyDescent="0.2">
      <c r="A44" s="377">
        <f t="shared" si="0"/>
        <v>44</v>
      </c>
      <c r="B44" s="371"/>
      <c r="C44" s="371"/>
      <c r="D44" s="371"/>
      <c r="E44" s="371"/>
      <c r="F44" s="364">
        <f t="shared" si="1"/>
        <v>39</v>
      </c>
      <c r="G44" s="364">
        <f t="shared" si="2"/>
        <v>249415.77483716793</v>
      </c>
      <c r="H44" s="364">
        <f t="shared" si="3"/>
        <v>2494.1577483716792</v>
      </c>
      <c r="I44" s="364">
        <f t="shared" si="4"/>
        <v>-26333.835431927764</v>
      </c>
      <c r="J44" s="364">
        <f t="shared" si="5"/>
        <v>225576.09715361186</v>
      </c>
      <c r="K44" s="371"/>
      <c r="Q44" s="369"/>
    </row>
    <row r="45" spans="1:17" x14ac:dyDescent="0.2">
      <c r="A45" s="377">
        <f t="shared" si="0"/>
        <v>45</v>
      </c>
      <c r="B45" s="371"/>
      <c r="C45" s="371"/>
      <c r="D45" s="371"/>
      <c r="E45" s="371"/>
      <c r="F45" s="363" t="s">
        <v>635</v>
      </c>
      <c r="G45" s="363" t="s">
        <v>635</v>
      </c>
      <c r="H45" s="363" t="s">
        <v>635</v>
      </c>
      <c r="I45" s="363" t="s">
        <v>635</v>
      </c>
      <c r="J45" s="363" t="s">
        <v>635</v>
      </c>
      <c r="K45" s="371"/>
      <c r="L45" s="371"/>
      <c r="M45" s="371"/>
      <c r="N45" s="371"/>
      <c r="O45" s="371"/>
      <c r="P45" s="371"/>
      <c r="Q45" s="369"/>
    </row>
    <row r="46" spans="1:17" x14ac:dyDescent="0.2">
      <c r="A46" s="377">
        <f t="shared" si="0"/>
        <v>46</v>
      </c>
      <c r="B46" s="371"/>
      <c r="C46" s="371"/>
      <c r="D46" s="371"/>
      <c r="E46" s="371"/>
      <c r="F46" s="364">
        <f>+F44+1</f>
        <v>40</v>
      </c>
      <c r="G46" s="364">
        <f>+J44</f>
        <v>225576.09715361186</v>
      </c>
      <c r="H46" s="364">
        <f t="shared" si="3"/>
        <v>2255.7609715361186</v>
      </c>
      <c r="I46" s="364">
        <f t="shared" si="4"/>
        <v>-26333.835431927764</v>
      </c>
      <c r="J46" s="364">
        <f t="shared" si="5"/>
        <v>201498.02269322023</v>
      </c>
      <c r="K46" s="371"/>
      <c r="L46" s="371"/>
      <c r="M46" s="371"/>
      <c r="N46" s="371"/>
      <c r="O46" s="371"/>
      <c r="P46" s="371"/>
      <c r="Q46" s="369"/>
    </row>
    <row r="47" spans="1:17" x14ac:dyDescent="0.2">
      <c r="A47" s="377">
        <f t="shared" si="0"/>
        <v>47</v>
      </c>
      <c r="B47" s="371"/>
      <c r="C47" s="371"/>
      <c r="D47" s="371"/>
      <c r="E47" s="371"/>
      <c r="F47" s="364">
        <f t="shared" si="1"/>
        <v>41</v>
      </c>
      <c r="G47" s="364">
        <f t="shared" si="2"/>
        <v>201498.02269322023</v>
      </c>
      <c r="H47" s="364">
        <f t="shared" si="3"/>
        <v>2014.9802269322024</v>
      </c>
      <c r="I47" s="364">
        <f t="shared" si="4"/>
        <v>-26333.835431927764</v>
      </c>
      <c r="J47" s="364">
        <f t="shared" si="5"/>
        <v>177179.16748822469</v>
      </c>
      <c r="K47" s="371"/>
      <c r="L47" s="371"/>
      <c r="M47" s="371"/>
      <c r="N47" s="371"/>
      <c r="O47" s="371"/>
      <c r="P47" s="371"/>
      <c r="Q47" s="369"/>
    </row>
    <row r="48" spans="1:17" x14ac:dyDescent="0.2">
      <c r="A48" s="377">
        <f t="shared" si="0"/>
        <v>48</v>
      </c>
      <c r="B48" s="371"/>
      <c r="C48" s="371"/>
      <c r="D48" s="371"/>
      <c r="E48" s="371"/>
      <c r="F48" s="364">
        <f t="shared" si="1"/>
        <v>42</v>
      </c>
      <c r="G48" s="364">
        <f t="shared" si="2"/>
        <v>177179.16748822469</v>
      </c>
      <c r="H48" s="364">
        <f t="shared" si="3"/>
        <v>1771.791674882247</v>
      </c>
      <c r="I48" s="364">
        <f t="shared" si="4"/>
        <v>-26333.835431927764</v>
      </c>
      <c r="J48" s="364">
        <f t="shared" si="5"/>
        <v>152617.12373117919</v>
      </c>
      <c r="K48" s="371"/>
      <c r="L48" s="371"/>
      <c r="M48" s="371"/>
      <c r="N48" s="371"/>
      <c r="O48" s="371"/>
      <c r="P48" s="371"/>
      <c r="Q48" s="369"/>
    </row>
    <row r="49" spans="1:17" x14ac:dyDescent="0.2">
      <c r="A49" s="377">
        <f t="shared" si="0"/>
        <v>49</v>
      </c>
      <c r="B49" s="371"/>
      <c r="C49" s="371"/>
      <c r="D49" s="371"/>
      <c r="E49" s="371"/>
      <c r="F49" s="364">
        <f t="shared" si="1"/>
        <v>43</v>
      </c>
      <c r="G49" s="364">
        <f t="shared" si="2"/>
        <v>152617.12373117919</v>
      </c>
      <c r="H49" s="364">
        <f t="shared" si="3"/>
        <v>1526.1712373117919</v>
      </c>
      <c r="I49" s="364">
        <f t="shared" si="4"/>
        <v>-26333.835431927764</v>
      </c>
      <c r="J49" s="364">
        <f t="shared" si="5"/>
        <v>127809.45953656323</v>
      </c>
      <c r="K49" s="371"/>
      <c r="L49" s="371"/>
      <c r="M49" s="371"/>
      <c r="N49" s="371"/>
      <c r="O49" s="371"/>
      <c r="P49" s="371"/>
      <c r="Q49" s="369"/>
    </row>
    <row r="50" spans="1:17" x14ac:dyDescent="0.2">
      <c r="A50" s="377">
        <f t="shared" si="0"/>
        <v>50</v>
      </c>
      <c r="B50" s="371"/>
      <c r="C50" s="371"/>
      <c r="D50" s="371"/>
      <c r="E50" s="371"/>
      <c r="F50" s="364">
        <f t="shared" si="1"/>
        <v>44</v>
      </c>
      <c r="G50" s="364">
        <f t="shared" si="2"/>
        <v>127809.45953656323</v>
      </c>
      <c r="H50" s="364">
        <f t="shared" si="3"/>
        <v>1278.0945953656324</v>
      </c>
      <c r="I50" s="364">
        <f t="shared" si="4"/>
        <v>-26333.835431927764</v>
      </c>
      <c r="J50" s="364">
        <f t="shared" si="5"/>
        <v>102753.7187000011</v>
      </c>
      <c r="K50" s="371"/>
      <c r="L50" s="371"/>
      <c r="M50" s="371"/>
      <c r="N50" s="371"/>
      <c r="O50" s="371"/>
      <c r="P50" s="371"/>
      <c r="Q50" s="369"/>
    </row>
    <row r="51" spans="1:17" x14ac:dyDescent="0.2">
      <c r="A51" s="377">
        <f t="shared" si="0"/>
        <v>51</v>
      </c>
      <c r="B51" s="371"/>
      <c r="C51" s="371"/>
      <c r="D51" s="371"/>
      <c r="E51" s="371"/>
      <c r="F51" s="364">
        <f t="shared" si="1"/>
        <v>45</v>
      </c>
      <c r="G51" s="364">
        <f t="shared" si="2"/>
        <v>102753.7187000011</v>
      </c>
      <c r="H51" s="364">
        <f t="shared" si="3"/>
        <v>1027.537187000011</v>
      </c>
      <c r="I51" s="364">
        <f t="shared" si="4"/>
        <v>-26333.835431927764</v>
      </c>
      <c r="J51" s="364">
        <f t="shared" si="5"/>
        <v>77447.420455073356</v>
      </c>
      <c r="K51" s="371"/>
      <c r="L51" s="371"/>
      <c r="M51" s="371"/>
      <c r="N51" s="371"/>
      <c r="O51" s="371"/>
      <c r="P51" s="371"/>
      <c r="Q51" s="369"/>
    </row>
    <row r="52" spans="1:17" x14ac:dyDescent="0.2">
      <c r="A52" s="377">
        <f t="shared" si="0"/>
        <v>52</v>
      </c>
      <c r="B52" s="371"/>
      <c r="C52" s="371"/>
      <c r="D52" s="371"/>
      <c r="E52" s="371"/>
      <c r="F52" s="364">
        <f t="shared" si="1"/>
        <v>46</v>
      </c>
      <c r="G52" s="364">
        <f t="shared" si="2"/>
        <v>77447.420455073356</v>
      </c>
      <c r="H52" s="364">
        <f t="shared" si="3"/>
        <v>774.47420455073359</v>
      </c>
      <c r="I52" s="364">
        <f t="shared" si="4"/>
        <v>-26333.835431927764</v>
      </c>
      <c r="J52" s="364">
        <f t="shared" si="5"/>
        <v>51888.059227696322</v>
      </c>
      <c r="K52" s="371"/>
      <c r="L52" s="371"/>
      <c r="M52" s="371"/>
      <c r="N52" s="371"/>
      <c r="O52" s="371"/>
      <c r="P52" s="371"/>
      <c r="Q52" s="369"/>
    </row>
    <row r="53" spans="1:17" x14ac:dyDescent="0.2">
      <c r="A53" s="377">
        <f t="shared" si="0"/>
        <v>53</v>
      </c>
      <c r="B53" s="371"/>
      <c r="C53" s="371"/>
      <c r="D53" s="371"/>
      <c r="E53" s="371"/>
      <c r="F53" s="364">
        <f t="shared" si="1"/>
        <v>47</v>
      </c>
      <c r="G53" s="364">
        <f t="shared" si="2"/>
        <v>51888.059227696322</v>
      </c>
      <c r="H53" s="364">
        <f t="shared" si="3"/>
        <v>518.88059227696317</v>
      </c>
      <c r="I53" s="364">
        <f t="shared" si="4"/>
        <v>-26333.835431927764</v>
      </c>
      <c r="J53" s="364">
        <f t="shared" si="5"/>
        <v>26073.104388045518</v>
      </c>
      <c r="K53" s="371"/>
      <c r="L53" s="371"/>
      <c r="M53" s="371"/>
      <c r="N53" s="371"/>
      <c r="O53" s="371"/>
      <c r="P53" s="371"/>
      <c r="Q53" s="369"/>
    </row>
    <row r="54" spans="1:17" x14ac:dyDescent="0.2">
      <c r="A54" s="377">
        <f t="shared" si="0"/>
        <v>54</v>
      </c>
      <c r="B54" s="371"/>
      <c r="C54" s="371"/>
      <c r="D54" s="371"/>
      <c r="E54" s="371"/>
      <c r="F54" s="364">
        <f t="shared" si="1"/>
        <v>48</v>
      </c>
      <c r="G54" s="364">
        <f t="shared" si="2"/>
        <v>26073.104388045518</v>
      </c>
      <c r="H54" s="364">
        <f t="shared" si="3"/>
        <v>260.73104388045516</v>
      </c>
      <c r="I54" s="364">
        <f t="shared" si="4"/>
        <v>-26333.835431927764</v>
      </c>
      <c r="J54" s="364">
        <f t="shared" si="5"/>
        <v>-1.7898855730891228E-9</v>
      </c>
      <c r="K54" s="371"/>
      <c r="L54" s="371"/>
      <c r="M54" s="371"/>
      <c r="N54" s="371"/>
      <c r="O54" s="371"/>
      <c r="P54" s="371"/>
      <c r="Q54" s="369"/>
    </row>
    <row r="55" spans="1:17" x14ac:dyDescent="0.2">
      <c r="A55" s="377">
        <f t="shared" si="0"/>
        <v>55</v>
      </c>
      <c r="B55" s="371"/>
      <c r="C55" s="371"/>
      <c r="D55" s="371"/>
      <c r="E55" s="371"/>
      <c r="F55" s="371"/>
      <c r="G55" s="371"/>
      <c r="H55" s="371"/>
      <c r="I55" s="371"/>
      <c r="J55" s="371"/>
      <c r="K55" s="371"/>
      <c r="L55" s="371"/>
      <c r="M55" s="371"/>
      <c r="N55" s="371"/>
      <c r="O55" s="371"/>
      <c r="P55" s="371"/>
      <c r="Q55" s="369"/>
    </row>
    <row r="56" spans="1:17" x14ac:dyDescent="0.2">
      <c r="A56" s="377">
        <f t="shared" si="0"/>
        <v>56</v>
      </c>
      <c r="B56" s="372" t="s">
        <v>642</v>
      </c>
      <c r="C56" s="372"/>
      <c r="D56" s="372"/>
      <c r="E56" s="371"/>
      <c r="F56" s="371"/>
      <c r="G56" s="371"/>
      <c r="H56" s="371"/>
      <c r="I56" s="371"/>
      <c r="J56" s="371"/>
      <c r="K56" s="371"/>
      <c r="L56" s="371"/>
      <c r="M56" s="371"/>
      <c r="N56" s="371"/>
      <c r="O56" s="371"/>
      <c r="P56" s="371"/>
      <c r="Q56" s="369"/>
    </row>
    <row r="57" spans="1:17" x14ac:dyDescent="0.2">
      <c r="A57" s="377">
        <f t="shared" si="0"/>
        <v>57</v>
      </c>
      <c r="B57" s="378" t="s">
        <v>30</v>
      </c>
      <c r="C57" s="364"/>
      <c r="D57" s="364">
        <f>+M8</f>
        <v>679615.94117459632</v>
      </c>
      <c r="E57" s="371"/>
      <c r="F57" s="372" t="s">
        <v>647</v>
      </c>
      <c r="G57" s="372"/>
      <c r="H57" s="372"/>
      <c r="I57" s="372"/>
      <c r="J57" s="372"/>
      <c r="K57" s="371"/>
      <c r="L57" s="371"/>
      <c r="M57" s="371"/>
      <c r="N57" s="371"/>
      <c r="O57" s="371"/>
      <c r="P57" s="371"/>
      <c r="Q57" s="369"/>
    </row>
    <row r="58" spans="1:17" x14ac:dyDescent="0.2">
      <c r="A58" s="377">
        <f t="shared" si="0"/>
        <v>58</v>
      </c>
      <c r="B58" s="379" t="s">
        <v>643</v>
      </c>
      <c r="C58" s="380"/>
      <c r="D58" s="380">
        <f>+N8</f>
        <v>68219.390186311066</v>
      </c>
      <c r="E58" s="371"/>
      <c r="F58" s="379" t="s">
        <v>645</v>
      </c>
      <c r="G58" s="380"/>
      <c r="H58" s="380"/>
      <c r="I58" s="380"/>
      <c r="J58" s="380">
        <f>-D58</f>
        <v>-68219.390186311066</v>
      </c>
      <c r="K58" s="371"/>
      <c r="L58" s="379" t="s">
        <v>649</v>
      </c>
      <c r="M58" s="380"/>
      <c r="N58" s="380"/>
      <c r="O58" s="380"/>
      <c r="P58" s="371"/>
      <c r="Q58" s="369"/>
    </row>
    <row r="59" spans="1:17" x14ac:dyDescent="0.2">
      <c r="A59" s="377">
        <f t="shared" si="0"/>
        <v>59</v>
      </c>
      <c r="B59" s="379" t="s">
        <v>644</v>
      </c>
      <c r="C59" s="380"/>
      <c r="D59" s="380">
        <f>+O8</f>
        <v>-316006.02518313314</v>
      </c>
      <c r="E59" s="371"/>
      <c r="F59" s="379" t="s">
        <v>547</v>
      </c>
      <c r="G59" s="380"/>
      <c r="H59" s="380"/>
      <c r="I59" s="380"/>
      <c r="J59" s="380">
        <f>+D59-J58</f>
        <v>-247786.63499682207</v>
      </c>
      <c r="K59" s="371"/>
      <c r="L59" s="379" t="s">
        <v>648</v>
      </c>
      <c r="M59" s="380"/>
      <c r="N59" s="380"/>
      <c r="O59" s="380"/>
      <c r="P59" s="371"/>
    </row>
    <row r="60" spans="1:17" x14ac:dyDescent="0.2">
      <c r="A60" s="377">
        <f t="shared" si="0"/>
        <v>60</v>
      </c>
      <c r="B60" s="378" t="s">
        <v>32</v>
      </c>
      <c r="C60" s="364"/>
      <c r="D60" s="364">
        <f>SUM(D57:D59)</f>
        <v>431829.30617777427</v>
      </c>
      <c r="E60" s="371"/>
      <c r="F60" s="378" t="s">
        <v>646</v>
      </c>
      <c r="G60" s="364"/>
      <c r="H60" s="364"/>
      <c r="I60" s="364"/>
      <c r="J60" s="364">
        <f>+J58+J59</f>
        <v>-316006.02518313314</v>
      </c>
      <c r="K60" s="371"/>
      <c r="L60" s="371"/>
      <c r="M60" s="371"/>
      <c r="N60" s="371"/>
      <c r="O60" s="371"/>
      <c r="P60" s="371"/>
    </row>
    <row r="61" spans="1:17" x14ac:dyDescent="0.2">
      <c r="A61" s="377">
        <f t="shared" si="0"/>
        <v>61</v>
      </c>
      <c r="B61" s="371"/>
      <c r="C61" s="371"/>
      <c r="D61" s="371"/>
      <c r="E61" s="371"/>
      <c r="F61" s="371"/>
      <c r="G61" s="371"/>
      <c r="H61" s="371"/>
      <c r="I61" s="371"/>
      <c r="J61" s="371"/>
      <c r="K61" s="371"/>
      <c r="L61" s="371"/>
      <c r="M61" s="371"/>
      <c r="N61" s="371"/>
      <c r="O61" s="371"/>
      <c r="P61" s="371"/>
    </row>
    <row r="62" spans="1:17" x14ac:dyDescent="0.2"/>
    <row r="63" spans="1:17" x14ac:dyDescent="0.2"/>
    <row r="69" x14ac:dyDescent="0.2"/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EFC4E-5803-4DCF-AB30-A0695943186D}">
  <dimension ref="A1:P29"/>
  <sheetViews>
    <sheetView workbookViewId="0"/>
  </sheetViews>
  <sheetFormatPr baseColWidth="10" defaultRowHeight="15" x14ac:dyDescent="0.25"/>
  <cols>
    <col min="1" max="1" width="3.7109375" customWidth="1"/>
    <col min="7" max="9" width="14.7109375" customWidth="1"/>
  </cols>
  <sheetData>
    <row r="1" spans="1:16" x14ac:dyDescent="0.25">
      <c r="A1" s="370" t="s">
        <v>660</v>
      </c>
      <c r="B1" s="362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</row>
    <row r="2" spans="1:16" x14ac:dyDescent="0.25">
      <c r="A2" s="369"/>
      <c r="B2" s="384"/>
      <c r="C2" s="384"/>
      <c r="D2" s="384"/>
      <c r="E2" s="384"/>
      <c r="F2" s="384"/>
      <c r="G2" s="385"/>
      <c r="H2" s="385"/>
      <c r="I2" s="385" t="s">
        <v>663</v>
      </c>
      <c r="J2" s="369"/>
      <c r="K2" s="369"/>
      <c r="L2" s="369"/>
      <c r="M2" s="369"/>
      <c r="N2" s="369"/>
      <c r="O2" s="369"/>
      <c r="P2" s="369"/>
    </row>
    <row r="3" spans="1:16" x14ac:dyDescent="0.25">
      <c r="A3" s="369"/>
      <c r="B3" s="384"/>
      <c r="C3" s="384"/>
      <c r="D3" s="384"/>
      <c r="E3" s="384"/>
      <c r="F3" s="384"/>
      <c r="G3" s="385"/>
      <c r="H3" s="385" t="s">
        <v>661</v>
      </c>
      <c r="I3" s="385" t="s">
        <v>664</v>
      </c>
      <c r="J3" s="369"/>
      <c r="K3" s="369"/>
      <c r="L3" s="369"/>
      <c r="M3" s="369"/>
      <c r="N3" s="369"/>
      <c r="O3" s="369"/>
      <c r="P3" s="369"/>
    </row>
    <row r="4" spans="1:16" x14ac:dyDescent="0.25">
      <c r="A4" s="369"/>
      <c r="B4" s="384"/>
      <c r="C4" s="384"/>
      <c r="D4" s="384"/>
      <c r="E4" s="384"/>
      <c r="F4" s="384"/>
      <c r="G4" s="385" t="s">
        <v>666</v>
      </c>
      <c r="H4" s="385" t="s">
        <v>662</v>
      </c>
      <c r="I4" s="385" t="s">
        <v>665</v>
      </c>
      <c r="J4" s="369"/>
      <c r="K4" s="369"/>
      <c r="L4" s="369"/>
      <c r="M4" s="369"/>
      <c r="N4" s="369"/>
      <c r="O4" s="369"/>
      <c r="P4" s="369"/>
    </row>
    <row r="5" spans="1:16" x14ac:dyDescent="0.25">
      <c r="A5" s="369"/>
      <c r="B5" s="384"/>
      <c r="C5" s="384"/>
      <c r="D5" s="384"/>
      <c r="E5" s="384"/>
      <c r="F5" s="384"/>
      <c r="G5" s="385">
        <v>2018</v>
      </c>
      <c r="H5" s="385">
        <v>2018</v>
      </c>
      <c r="I5" s="385">
        <v>2018</v>
      </c>
      <c r="J5" s="369"/>
      <c r="K5" s="369"/>
      <c r="L5" s="369"/>
      <c r="M5" s="369"/>
      <c r="N5" s="369"/>
      <c r="O5" s="369"/>
      <c r="P5" s="369"/>
    </row>
    <row r="6" spans="1:16" x14ac:dyDescent="0.25">
      <c r="A6" s="369"/>
      <c r="B6" s="384"/>
      <c r="C6" s="384"/>
      <c r="D6" s="384"/>
      <c r="E6" s="384"/>
      <c r="F6" s="384"/>
      <c r="G6" s="386" t="s">
        <v>371</v>
      </c>
      <c r="H6" s="386" t="s">
        <v>371</v>
      </c>
      <c r="I6" s="386" t="s">
        <v>535</v>
      </c>
      <c r="J6" s="369"/>
      <c r="K6" s="369"/>
      <c r="L6" s="369"/>
      <c r="M6" s="369"/>
      <c r="N6" s="369"/>
      <c r="O6" s="369"/>
      <c r="P6" s="369"/>
    </row>
    <row r="7" spans="1:16" x14ac:dyDescent="0.25">
      <c r="A7" s="369"/>
      <c r="B7" s="387" t="s">
        <v>74</v>
      </c>
      <c r="C7" s="388"/>
      <c r="D7" s="388"/>
      <c r="E7" s="388"/>
      <c r="F7" s="388"/>
      <c r="G7" s="389"/>
      <c r="H7" s="389"/>
      <c r="I7" s="389"/>
      <c r="J7" s="369"/>
      <c r="K7" s="369"/>
      <c r="L7" s="369"/>
      <c r="M7" s="369"/>
      <c r="N7" s="369"/>
      <c r="O7" s="369"/>
      <c r="P7" s="369"/>
    </row>
    <row r="8" spans="1:16" x14ac:dyDescent="0.25">
      <c r="A8" s="369"/>
      <c r="B8" s="369" t="s">
        <v>667</v>
      </c>
      <c r="C8" s="369"/>
      <c r="D8" s="369"/>
      <c r="E8" s="369"/>
      <c r="F8" s="369"/>
      <c r="G8" s="5">
        <v>2208004</v>
      </c>
      <c r="H8" s="5">
        <v>0</v>
      </c>
      <c r="I8" s="5">
        <v>80000</v>
      </c>
      <c r="J8" s="369"/>
      <c r="K8" s="369"/>
      <c r="L8" s="369"/>
      <c r="M8" s="369"/>
      <c r="N8" s="369"/>
      <c r="O8" s="369"/>
      <c r="P8" s="369"/>
    </row>
    <row r="9" spans="1:16" x14ac:dyDescent="0.25">
      <c r="A9" s="369"/>
      <c r="B9" s="369" t="s">
        <v>668</v>
      </c>
      <c r="C9" s="369"/>
      <c r="D9" s="369"/>
      <c r="E9" s="369"/>
      <c r="F9" s="369"/>
      <c r="G9" s="5">
        <v>4095562</v>
      </c>
      <c r="H9" s="5">
        <v>0</v>
      </c>
      <c r="I9" s="5">
        <v>0</v>
      </c>
      <c r="J9" s="369"/>
      <c r="K9" s="369"/>
      <c r="L9" s="369"/>
      <c r="M9" s="369"/>
      <c r="N9" s="369"/>
      <c r="O9" s="369"/>
      <c r="P9" s="369"/>
    </row>
    <row r="10" spans="1:16" x14ac:dyDescent="0.25">
      <c r="A10" s="369"/>
      <c r="B10" s="369" t="s">
        <v>669</v>
      </c>
      <c r="C10" s="369"/>
      <c r="D10" s="369"/>
      <c r="E10" s="369"/>
      <c r="F10" s="369"/>
      <c r="G10" s="5">
        <v>-3040075</v>
      </c>
      <c r="H10" s="5">
        <v>0</v>
      </c>
      <c r="I10" s="5">
        <v>-80000</v>
      </c>
      <c r="J10" s="369"/>
      <c r="K10" s="369"/>
      <c r="L10" s="369"/>
      <c r="M10" s="369"/>
      <c r="N10" s="369"/>
      <c r="O10" s="369"/>
      <c r="P10" s="369"/>
    </row>
    <row r="11" spans="1:16" x14ac:dyDescent="0.25">
      <c r="A11" s="369"/>
      <c r="B11" s="369" t="s">
        <v>670</v>
      </c>
      <c r="C11" s="369"/>
      <c r="D11" s="369"/>
      <c r="E11" s="369"/>
      <c r="F11" s="369"/>
      <c r="G11" s="5">
        <v>-2546972</v>
      </c>
      <c r="H11" s="5">
        <v>0</v>
      </c>
      <c r="I11" s="5">
        <v>0</v>
      </c>
      <c r="J11" s="369"/>
      <c r="K11" s="369"/>
      <c r="L11" s="369"/>
      <c r="M11" s="369"/>
      <c r="N11" s="369"/>
      <c r="O11" s="369"/>
      <c r="P11" s="369"/>
    </row>
    <row r="12" spans="1:16" x14ac:dyDescent="0.25">
      <c r="A12" s="369"/>
      <c r="B12" s="369" t="s">
        <v>671</v>
      </c>
      <c r="C12" s="369"/>
      <c r="D12" s="369"/>
      <c r="E12" s="369"/>
      <c r="F12" s="369"/>
      <c r="G12" s="5">
        <v>-40989</v>
      </c>
      <c r="H12" s="5">
        <v>0</v>
      </c>
      <c r="I12" s="5">
        <v>0</v>
      </c>
      <c r="J12" s="369"/>
      <c r="K12" s="369"/>
      <c r="L12" s="369"/>
      <c r="M12" s="369"/>
      <c r="N12" s="369"/>
      <c r="O12" s="369"/>
      <c r="P12" s="369"/>
    </row>
    <row r="13" spans="1:16" x14ac:dyDescent="0.25">
      <c r="A13" s="369"/>
      <c r="B13" s="390" t="s">
        <v>465</v>
      </c>
      <c r="C13" s="391"/>
      <c r="D13" s="391"/>
      <c r="E13" s="391"/>
      <c r="F13" s="391"/>
      <c r="G13" s="392">
        <v>-204715</v>
      </c>
      <c r="H13" s="392">
        <v>-190000</v>
      </c>
      <c r="I13" s="393">
        <v>-22860</v>
      </c>
      <c r="J13" s="369"/>
      <c r="K13" s="369"/>
      <c r="L13" s="369"/>
      <c r="M13" s="369"/>
      <c r="N13" s="369"/>
      <c r="O13" s="369"/>
      <c r="P13" s="369"/>
    </row>
    <row r="14" spans="1:16" x14ac:dyDescent="0.25">
      <c r="A14" s="369"/>
      <c r="B14" s="369" t="s">
        <v>464</v>
      </c>
      <c r="C14" s="369"/>
      <c r="D14" s="369"/>
      <c r="E14" s="369"/>
      <c r="F14" s="369"/>
      <c r="G14" s="5">
        <v>-282932</v>
      </c>
      <c r="H14" s="5">
        <v>0</v>
      </c>
      <c r="I14" s="5">
        <v>0</v>
      </c>
      <c r="J14" s="369"/>
      <c r="K14" s="369"/>
      <c r="L14" s="369"/>
      <c r="M14" s="369"/>
      <c r="N14" s="369"/>
      <c r="O14" s="369"/>
      <c r="P14" s="369"/>
    </row>
    <row r="15" spans="1:16" x14ac:dyDescent="0.25">
      <c r="A15" s="369"/>
      <c r="B15" s="369" t="s">
        <v>25</v>
      </c>
      <c r="C15" s="369"/>
      <c r="D15" s="369"/>
      <c r="E15" s="369"/>
      <c r="F15" s="369"/>
      <c r="G15" s="5">
        <v>191</v>
      </c>
      <c r="H15" s="5">
        <v>0</v>
      </c>
      <c r="I15" s="5">
        <v>0</v>
      </c>
      <c r="J15" s="369"/>
      <c r="K15" s="369"/>
      <c r="L15" s="369"/>
      <c r="M15" s="369"/>
      <c r="N15" s="369"/>
      <c r="O15" s="369"/>
      <c r="P15" s="369"/>
    </row>
    <row r="16" spans="1:16" s="2" customFormat="1" x14ac:dyDescent="0.25">
      <c r="A16" s="370"/>
      <c r="B16" s="394"/>
      <c r="C16" s="394"/>
      <c r="D16" s="394"/>
      <c r="E16" s="394"/>
      <c r="F16" s="394"/>
      <c r="G16" s="13">
        <f>SUM(G8:G15)</f>
        <v>188074</v>
      </c>
      <c r="H16" s="13">
        <f t="shared" ref="H16:I16" si="0">SUM(H8:H15)</f>
        <v>-190000</v>
      </c>
      <c r="I16" s="13">
        <f t="shared" si="0"/>
        <v>-22860</v>
      </c>
      <c r="J16" s="370"/>
      <c r="K16" s="370"/>
      <c r="L16" s="370"/>
      <c r="M16" s="370"/>
      <c r="N16" s="370"/>
      <c r="O16" s="370"/>
      <c r="P16" s="370"/>
    </row>
    <row r="17" spans="1:16" x14ac:dyDescent="0.25">
      <c r="A17" s="369"/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</row>
    <row r="18" spans="1:16" x14ac:dyDescent="0.25">
      <c r="A18" s="369"/>
      <c r="B18" s="365" t="s">
        <v>672</v>
      </c>
      <c r="C18" s="365"/>
      <c r="D18" s="365"/>
      <c r="E18" s="365"/>
      <c r="F18" s="365"/>
      <c r="G18" s="395" t="s">
        <v>673</v>
      </c>
      <c r="H18" s="395"/>
      <c r="I18" s="395"/>
      <c r="J18" s="369"/>
      <c r="K18" s="369"/>
      <c r="L18" s="369"/>
      <c r="M18" s="369"/>
      <c r="N18" s="369"/>
      <c r="O18" s="369"/>
      <c r="P18" s="369"/>
    </row>
    <row r="19" spans="1:16" x14ac:dyDescent="0.25">
      <c r="A19" s="369"/>
      <c r="B19" s="369" t="s">
        <v>252</v>
      </c>
      <c r="C19" s="369"/>
      <c r="D19" s="369"/>
      <c r="E19" s="369"/>
      <c r="F19" s="369"/>
      <c r="G19" s="369" t="s">
        <v>135</v>
      </c>
      <c r="H19" s="369"/>
      <c r="I19" s="369"/>
      <c r="J19" s="369"/>
      <c r="K19" s="369"/>
      <c r="L19" s="369"/>
      <c r="M19" s="369"/>
      <c r="N19" s="369"/>
      <c r="O19" s="369"/>
      <c r="P19" s="369"/>
    </row>
    <row r="20" spans="1:16" x14ac:dyDescent="0.25">
      <c r="A20" s="369"/>
      <c r="B20" s="369" t="s">
        <v>9</v>
      </c>
      <c r="C20" s="369"/>
      <c r="D20" s="369"/>
      <c r="E20" s="369"/>
      <c r="F20" s="369"/>
      <c r="G20" s="369" t="s">
        <v>135</v>
      </c>
      <c r="H20" s="369"/>
      <c r="I20" s="369"/>
      <c r="J20" s="369"/>
      <c r="K20" s="369"/>
      <c r="L20" s="369"/>
      <c r="M20" s="369"/>
      <c r="N20" s="369"/>
      <c r="O20" s="369"/>
      <c r="P20" s="369"/>
    </row>
    <row r="21" spans="1:16" x14ac:dyDescent="0.25">
      <c r="A21" s="369"/>
      <c r="B21" s="369" t="s">
        <v>4</v>
      </c>
      <c r="C21" s="369"/>
      <c r="D21" s="369"/>
      <c r="E21" s="369"/>
      <c r="F21" s="369"/>
      <c r="G21" s="369" t="s">
        <v>338</v>
      </c>
      <c r="H21" s="369"/>
      <c r="I21" s="369"/>
      <c r="J21" s="369"/>
      <c r="K21" s="369"/>
      <c r="L21" s="369"/>
      <c r="M21" s="369"/>
      <c r="N21" s="369"/>
      <c r="O21" s="369"/>
      <c r="P21" s="369"/>
    </row>
    <row r="22" spans="1:16" x14ac:dyDescent="0.25">
      <c r="A22" s="369"/>
      <c r="B22" s="369" t="s">
        <v>674</v>
      </c>
      <c r="C22" s="369"/>
      <c r="D22" s="369"/>
      <c r="E22" s="369"/>
      <c r="F22" s="369"/>
      <c r="G22" s="369" t="s">
        <v>338</v>
      </c>
      <c r="H22" s="369"/>
      <c r="I22" s="369"/>
      <c r="J22" s="369"/>
      <c r="K22" s="369"/>
      <c r="L22" s="369"/>
      <c r="M22" s="369"/>
      <c r="N22" s="369"/>
      <c r="O22" s="369"/>
      <c r="P22" s="369"/>
    </row>
    <row r="23" spans="1:16" x14ac:dyDescent="0.25">
      <c r="A23" s="369"/>
      <c r="B23" s="369" t="s">
        <v>10</v>
      </c>
      <c r="C23" s="369"/>
      <c r="D23" s="369"/>
      <c r="E23" s="369"/>
      <c r="F23" s="369"/>
      <c r="G23" s="369" t="s">
        <v>338</v>
      </c>
      <c r="H23" s="369"/>
      <c r="I23" s="369"/>
      <c r="J23" s="369"/>
      <c r="K23" s="369"/>
      <c r="L23" s="369"/>
      <c r="M23" s="369"/>
      <c r="N23" s="369"/>
      <c r="O23" s="369"/>
      <c r="P23" s="369"/>
    </row>
    <row r="24" spans="1:16" x14ac:dyDescent="0.25">
      <c r="A24" s="369"/>
      <c r="B24" s="369" t="s">
        <v>675</v>
      </c>
      <c r="C24" s="369"/>
      <c r="D24" s="369"/>
      <c r="E24" s="369"/>
      <c r="F24" s="369"/>
      <c r="G24" s="369" t="s">
        <v>279</v>
      </c>
      <c r="H24" s="369"/>
      <c r="I24" s="369"/>
      <c r="J24" s="369"/>
      <c r="K24" s="369"/>
      <c r="L24" s="369"/>
      <c r="M24" s="369"/>
      <c r="N24" s="369"/>
      <c r="O24" s="369"/>
      <c r="P24" s="369"/>
    </row>
    <row r="25" spans="1:16" x14ac:dyDescent="0.25">
      <c r="A25" s="369"/>
      <c r="B25" s="369" t="s">
        <v>44</v>
      </c>
      <c r="C25" s="369"/>
      <c r="D25" s="369"/>
      <c r="E25" s="369"/>
      <c r="F25" s="369"/>
      <c r="G25" s="369" t="s">
        <v>279</v>
      </c>
      <c r="H25" s="369"/>
      <c r="I25" s="369"/>
      <c r="J25" s="369"/>
      <c r="K25" s="369"/>
      <c r="L25" s="369"/>
      <c r="M25" s="369"/>
      <c r="N25" s="369"/>
      <c r="O25" s="369"/>
      <c r="P25" s="369"/>
    </row>
    <row r="26" spans="1:16" x14ac:dyDescent="0.25">
      <c r="A26" s="369"/>
      <c r="B26" s="369" t="s">
        <v>353</v>
      </c>
      <c r="C26" s="369"/>
      <c r="D26" s="369"/>
      <c r="E26" s="369"/>
      <c r="F26" s="369"/>
      <c r="G26" s="369" t="s">
        <v>137</v>
      </c>
      <c r="H26" s="369"/>
      <c r="I26" s="369"/>
      <c r="J26" s="369"/>
      <c r="K26" s="369"/>
      <c r="L26" s="369"/>
      <c r="M26" s="369"/>
      <c r="N26" s="369"/>
      <c r="O26" s="369"/>
      <c r="P26" s="369"/>
    </row>
    <row r="27" spans="1:16" x14ac:dyDescent="0.25">
      <c r="A27" s="369"/>
      <c r="B27" s="369" t="s">
        <v>676</v>
      </c>
      <c r="C27" s="369"/>
      <c r="D27" s="369"/>
      <c r="E27" s="369"/>
      <c r="F27" s="369"/>
      <c r="G27" s="369" t="s">
        <v>137</v>
      </c>
      <c r="H27" s="369"/>
      <c r="I27" s="369"/>
      <c r="J27" s="369"/>
      <c r="K27" s="369"/>
      <c r="L27" s="369"/>
      <c r="M27" s="369"/>
      <c r="N27" s="369"/>
      <c r="O27" s="369"/>
      <c r="P27" s="369"/>
    </row>
    <row r="28" spans="1:16" x14ac:dyDescent="0.25">
      <c r="A28" s="369"/>
      <c r="B28" s="369"/>
      <c r="C28" s="369"/>
      <c r="D28" s="369"/>
      <c r="E28" s="369"/>
      <c r="F28" s="369"/>
      <c r="G28" s="369"/>
      <c r="H28" s="369"/>
      <c r="I28" s="369"/>
      <c r="J28" s="369"/>
      <c r="K28" s="369"/>
      <c r="L28" s="369"/>
      <c r="M28" s="369"/>
      <c r="N28" s="369"/>
      <c r="O28" s="369"/>
      <c r="P28" s="369"/>
    </row>
    <row r="29" spans="1:16" x14ac:dyDescent="0.25">
      <c r="A29" s="369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69"/>
    </row>
  </sheetData>
  <pageMargins left="0.7" right="0.7" top="0.75" bottom="0.75" header="0.3" footer="0.3"/>
  <ignoredErrors>
    <ignoredError sqref="G6:H6" numberStoredAsText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4"/>
  <sheetViews>
    <sheetView topLeftCell="B1" zoomScale="40" zoomScaleNormal="40" workbookViewId="0">
      <selection activeCell="W20" sqref="W20"/>
    </sheetView>
  </sheetViews>
  <sheetFormatPr baseColWidth="10" defaultColWidth="0" defaultRowHeight="18.75" customHeight="1" zeroHeight="1" x14ac:dyDescent="0.25"/>
  <cols>
    <col min="1" max="1" width="19.7109375" customWidth="1"/>
    <col min="2" max="2" width="31.28515625" customWidth="1"/>
    <col min="3" max="4" width="10.7109375" customWidth="1"/>
    <col min="5" max="5" width="1.7109375" customWidth="1"/>
    <col min="6" max="6" width="31.28515625" customWidth="1"/>
    <col min="7" max="8" width="10.7109375" customWidth="1"/>
    <col min="9" max="9" width="6.7109375" customWidth="1"/>
    <col min="10" max="10" width="10.7109375" customWidth="1"/>
    <col min="11" max="11" width="18.7109375" customWidth="1"/>
    <col min="12" max="12" width="2.5703125" bestFit="1" customWidth="1"/>
    <col min="13" max="13" width="18.7109375" customWidth="1"/>
    <col min="14" max="14" width="2.5703125" bestFit="1" customWidth="1"/>
    <col min="15" max="15" width="18.7109375" customWidth="1"/>
    <col min="16" max="16" width="2.5703125" bestFit="1" customWidth="1"/>
    <col min="17" max="17" width="18.7109375" customWidth="1"/>
    <col min="18" max="18" width="10.7109375" customWidth="1"/>
    <col min="19" max="19" width="12.28515625" customWidth="1"/>
    <col min="20" max="20" width="12" bestFit="1" customWidth="1"/>
    <col min="21" max="23" width="11.42578125" customWidth="1"/>
    <col min="24" max="24" width="4.28515625" customWidth="1"/>
    <col min="25" max="27" width="11.42578125" customWidth="1"/>
    <col min="28" max="28" width="2.85546875" customWidth="1"/>
    <col min="29" max="29" width="16.7109375" bestFit="1" customWidth="1"/>
    <col min="30" max="30" width="3.42578125" customWidth="1"/>
    <col min="31" max="31" width="3.5703125" customWidth="1"/>
    <col min="32" max="35" width="19.7109375" customWidth="1"/>
    <col min="36" max="37" width="13.7109375" customWidth="1"/>
    <col min="38" max="38" width="2.28515625" customWidth="1"/>
    <col min="39" max="39" width="3.5703125" customWidth="1"/>
    <col min="40" max="40" width="4.28515625" customWidth="1"/>
    <col min="41" max="41" width="11.42578125" hidden="1" customWidth="1"/>
    <col min="42" max="42" width="13.7109375" hidden="1" customWidth="1"/>
    <col min="43" max="43" width="38.7109375" hidden="1" customWidth="1"/>
    <col min="44" max="44" width="25.5703125" hidden="1" customWidth="1"/>
    <col min="45" max="46" width="13.7109375" hidden="1" customWidth="1"/>
    <col min="47" max="53" width="0" hidden="1" customWidth="1"/>
    <col min="54" max="16384" width="11.42578125" hidden="1"/>
  </cols>
  <sheetData>
    <row r="1" spans="1:46" ht="18.75" customHeight="1" x14ac:dyDescent="0.35">
      <c r="A1" s="109" t="s">
        <v>312</v>
      </c>
      <c r="B1" s="110"/>
      <c r="C1" s="110"/>
      <c r="D1" s="110"/>
      <c r="E1" s="111"/>
      <c r="F1" s="110"/>
      <c r="G1" s="110"/>
      <c r="H1" s="110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270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10"/>
      <c r="AG1" s="110"/>
      <c r="AH1" s="111"/>
      <c r="AI1" s="110"/>
      <c r="AJ1" s="110"/>
      <c r="AK1" s="110"/>
      <c r="AL1" s="110"/>
      <c r="AM1" s="108"/>
      <c r="AN1" s="108"/>
    </row>
    <row r="2" spans="1:46" ht="18.75" customHeight="1" x14ac:dyDescent="0.35">
      <c r="A2" s="109" t="s">
        <v>491</v>
      </c>
      <c r="B2" s="110"/>
      <c r="C2" s="110"/>
      <c r="D2" s="110"/>
      <c r="E2" s="111"/>
      <c r="F2" s="110"/>
      <c r="G2" s="110"/>
      <c r="H2" s="110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10"/>
      <c r="AG2" s="110"/>
      <c r="AH2" s="111"/>
      <c r="AI2" s="110"/>
      <c r="AJ2" s="110"/>
      <c r="AK2" s="110"/>
      <c r="AL2" s="110"/>
      <c r="AM2" s="108"/>
      <c r="AN2" s="108"/>
    </row>
    <row r="3" spans="1:46" ht="18.75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6" t="s">
        <v>470</v>
      </c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3"/>
      <c r="AH3" s="9"/>
      <c r="AI3" s="3"/>
      <c r="AJ3" s="3"/>
      <c r="AK3" s="3"/>
      <c r="AL3" s="22"/>
      <c r="AM3" s="20"/>
      <c r="AN3" s="73"/>
    </row>
    <row r="4" spans="1:46" ht="18.75" customHeight="1" x14ac:dyDescent="0.3">
      <c r="A4" s="3"/>
      <c r="B4" s="1523" t="s">
        <v>458</v>
      </c>
      <c r="C4" s="1524"/>
      <c r="D4" s="1524"/>
      <c r="E4" s="1524"/>
      <c r="F4" s="1524"/>
      <c r="G4" s="1524"/>
      <c r="H4" s="1525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78"/>
      <c r="U4" s="1575" t="s">
        <v>323</v>
      </c>
      <c r="V4" s="1575"/>
      <c r="W4" s="1575"/>
      <c r="X4" s="1575"/>
      <c r="Y4" s="1575"/>
      <c r="Z4" s="1575"/>
      <c r="AA4" s="1575"/>
      <c r="AB4" s="1575"/>
      <c r="AC4" s="275"/>
      <c r="AD4" s="20"/>
      <c r="AE4" s="20"/>
      <c r="AF4" s="1566" t="s">
        <v>410</v>
      </c>
      <c r="AG4" s="1567"/>
      <c r="AH4" s="1567"/>
      <c r="AI4" s="1567"/>
      <c r="AJ4" s="1567"/>
      <c r="AK4" s="1567"/>
      <c r="AL4" s="1568"/>
      <c r="AM4" s="20"/>
      <c r="AN4" s="73"/>
    </row>
    <row r="5" spans="1:46" ht="18.75" customHeight="1" x14ac:dyDescent="0.3">
      <c r="A5" s="3"/>
      <c r="B5" s="1508" t="s">
        <v>62</v>
      </c>
      <c r="C5" s="1509"/>
      <c r="D5" s="1509"/>
      <c r="E5" s="1509"/>
      <c r="F5" s="1509"/>
      <c r="G5" s="1509"/>
      <c r="H5" s="151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356" t="s">
        <v>132</v>
      </c>
      <c r="U5" s="114"/>
      <c r="V5" s="115"/>
      <c r="W5" s="115"/>
      <c r="X5" s="115"/>
      <c r="Y5" s="114"/>
      <c r="Z5" s="115"/>
      <c r="AA5" s="115"/>
      <c r="AB5" s="116"/>
      <c r="AC5" s="356" t="s">
        <v>132</v>
      </c>
      <c r="AD5" s="20"/>
      <c r="AE5" s="20"/>
      <c r="AF5" s="1569" t="s">
        <v>411</v>
      </c>
      <c r="AG5" s="1570"/>
      <c r="AH5" s="1570"/>
      <c r="AI5" s="1570"/>
      <c r="AJ5" s="1570"/>
      <c r="AK5" s="1570"/>
      <c r="AL5" s="1571"/>
      <c r="AM5" s="20"/>
      <c r="AN5" s="73"/>
    </row>
    <row r="6" spans="1:46" ht="18.75" customHeight="1" x14ac:dyDescent="0.3">
      <c r="A6" s="3"/>
      <c r="B6" s="1560" t="s">
        <v>625</v>
      </c>
      <c r="C6" s="1561"/>
      <c r="D6" s="1561"/>
      <c r="E6" s="1561"/>
      <c r="F6" s="1561"/>
      <c r="G6" s="1561"/>
      <c r="H6" s="1562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357" t="s">
        <v>132</v>
      </c>
      <c r="U6" s="117"/>
      <c r="V6" s="118"/>
      <c r="W6" s="118"/>
      <c r="X6" s="118"/>
      <c r="Y6" s="117"/>
      <c r="Z6" s="118"/>
      <c r="AA6" s="118"/>
      <c r="AB6" s="119"/>
      <c r="AC6" s="357" t="s">
        <v>132</v>
      </c>
      <c r="AD6" s="20"/>
      <c r="AE6" s="20"/>
      <c r="AF6" s="1572" t="s">
        <v>412</v>
      </c>
      <c r="AG6" s="1573"/>
      <c r="AH6" s="1573"/>
      <c r="AI6" s="1573"/>
      <c r="AJ6" s="1573"/>
      <c r="AK6" s="1573"/>
      <c r="AL6" s="1574"/>
      <c r="AM6" s="20"/>
      <c r="AN6" s="73"/>
    </row>
    <row r="7" spans="1:46" ht="18.75" customHeight="1" x14ac:dyDescent="0.3">
      <c r="A7" s="3"/>
      <c r="B7" s="88"/>
      <c r="C7" s="90">
        <v>2020</v>
      </c>
      <c r="D7" s="90">
        <v>2019</v>
      </c>
      <c r="E7" s="90"/>
      <c r="F7" s="89"/>
      <c r="G7" s="90">
        <v>2020</v>
      </c>
      <c r="H7" s="91">
        <v>2019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357" t="s">
        <v>132</v>
      </c>
      <c r="U7" s="117"/>
      <c r="V7" s="118" t="s">
        <v>236</v>
      </c>
      <c r="W7" s="118"/>
      <c r="X7" s="118"/>
      <c r="Y7" s="117"/>
      <c r="Z7" s="118" t="s">
        <v>469</v>
      </c>
      <c r="AA7" s="118"/>
      <c r="AB7" s="119"/>
      <c r="AC7" s="357" t="s">
        <v>132</v>
      </c>
      <c r="AD7" s="20"/>
      <c r="AE7" s="20"/>
      <c r="AF7" s="244"/>
      <c r="AG7" s="245"/>
      <c r="AH7" s="245"/>
      <c r="AI7" s="246"/>
      <c r="AJ7" s="90">
        <v>2011</v>
      </c>
      <c r="AK7" s="90">
        <v>2010</v>
      </c>
      <c r="AL7" s="91"/>
      <c r="AM7" s="20"/>
      <c r="AN7" s="73"/>
    </row>
    <row r="8" spans="1:46" ht="18.75" customHeight="1" x14ac:dyDescent="0.3">
      <c r="A8" s="3"/>
      <c r="B8" s="94"/>
      <c r="C8" s="35" t="s">
        <v>3</v>
      </c>
      <c r="D8" s="35" t="s">
        <v>3</v>
      </c>
      <c r="E8" s="35"/>
      <c r="F8" s="20"/>
      <c r="G8" s="35" t="s">
        <v>3</v>
      </c>
      <c r="H8" s="93" t="s">
        <v>3</v>
      </c>
      <c r="I8" s="20"/>
      <c r="J8" s="20"/>
      <c r="K8" s="1563">
        <f>C11-D11</f>
        <v>90000</v>
      </c>
      <c r="L8" s="1565" t="s">
        <v>314</v>
      </c>
      <c r="M8" s="113" t="s">
        <v>313</v>
      </c>
      <c r="N8" s="1565" t="s">
        <v>240</v>
      </c>
      <c r="O8" s="112" t="s">
        <v>313</v>
      </c>
      <c r="P8" s="1565" t="s">
        <v>240</v>
      </c>
      <c r="Q8" s="112" t="s">
        <v>313</v>
      </c>
      <c r="R8" s="20"/>
      <c r="S8" s="20"/>
      <c r="T8" s="357" t="s">
        <v>132</v>
      </c>
      <c r="U8" s="117"/>
      <c r="V8" s="118" t="s">
        <v>468</v>
      </c>
      <c r="W8" s="118"/>
      <c r="X8" s="118"/>
      <c r="Y8" s="117"/>
      <c r="Z8" s="118" t="s">
        <v>468</v>
      </c>
      <c r="AA8" s="118"/>
      <c r="AB8" s="119"/>
      <c r="AC8" s="357" t="s">
        <v>132</v>
      </c>
      <c r="AD8" s="20"/>
      <c r="AE8" s="20"/>
      <c r="AF8" s="247"/>
      <c r="AG8" s="87"/>
      <c r="AH8" s="87"/>
      <c r="AI8" s="140"/>
      <c r="AJ8" s="35" t="s">
        <v>413</v>
      </c>
      <c r="AK8" s="35" t="s">
        <v>413</v>
      </c>
      <c r="AL8" s="93"/>
      <c r="AM8" s="20"/>
      <c r="AN8" s="73"/>
    </row>
    <row r="9" spans="1:46" ht="18.75" customHeight="1" x14ac:dyDescent="0.3">
      <c r="A9" s="3"/>
      <c r="B9" s="92" t="s">
        <v>309</v>
      </c>
      <c r="C9" s="35"/>
      <c r="D9" s="35"/>
      <c r="E9" s="35"/>
      <c r="F9" s="26" t="s">
        <v>79</v>
      </c>
      <c r="G9" s="35"/>
      <c r="H9" s="93"/>
      <c r="I9" s="20"/>
      <c r="J9" s="20"/>
      <c r="K9" s="1564"/>
      <c r="L9" s="1565"/>
      <c r="M9" s="113" t="s">
        <v>132</v>
      </c>
      <c r="N9" s="1565"/>
      <c r="O9" s="112" t="s">
        <v>133</v>
      </c>
      <c r="P9" s="1565"/>
      <c r="Q9" s="112" t="s">
        <v>134</v>
      </c>
      <c r="R9" s="20"/>
      <c r="S9" s="20"/>
      <c r="T9" s="357" t="s">
        <v>132</v>
      </c>
      <c r="U9" s="117"/>
      <c r="V9" s="118"/>
      <c r="W9" s="118"/>
      <c r="X9" s="118"/>
      <c r="Y9" s="117"/>
      <c r="Z9" s="118"/>
      <c r="AA9" s="118"/>
      <c r="AB9" s="119"/>
      <c r="AC9" s="357" t="s">
        <v>132</v>
      </c>
      <c r="AD9" s="20"/>
      <c r="AE9" s="20"/>
      <c r="AF9" s="92" t="s">
        <v>51</v>
      </c>
      <c r="AG9" s="35"/>
      <c r="AH9" s="35"/>
      <c r="AI9" s="26"/>
      <c r="AJ9" s="35"/>
      <c r="AK9" s="35"/>
      <c r="AL9" s="93"/>
      <c r="AM9" s="20"/>
      <c r="AN9" s="73"/>
    </row>
    <row r="10" spans="1:46" ht="18.75" customHeight="1" x14ac:dyDescent="0.3">
      <c r="A10" s="3"/>
      <c r="B10" s="92" t="s">
        <v>78</v>
      </c>
      <c r="C10" s="35"/>
      <c r="D10" s="35"/>
      <c r="E10" s="35"/>
      <c r="F10" s="26" t="s">
        <v>77</v>
      </c>
      <c r="G10" s="26"/>
      <c r="H10" s="93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357" t="s">
        <v>132</v>
      </c>
      <c r="U10" s="117"/>
      <c r="V10" s="118"/>
      <c r="W10" s="118"/>
      <c r="X10" s="118"/>
      <c r="Y10" s="120"/>
      <c r="Z10" s="121"/>
      <c r="AA10" s="121"/>
      <c r="AB10" s="122"/>
      <c r="AC10" s="357" t="s">
        <v>132</v>
      </c>
      <c r="AD10" s="20"/>
      <c r="AE10" s="20"/>
      <c r="AF10" s="94" t="s">
        <v>414</v>
      </c>
      <c r="AG10" s="35"/>
      <c r="AH10" s="35"/>
      <c r="AI10" s="26"/>
      <c r="AJ10" s="127">
        <v>1154859</v>
      </c>
      <c r="AK10" s="127">
        <v>784623</v>
      </c>
      <c r="AL10" s="248"/>
      <c r="AM10" s="20"/>
      <c r="AN10" s="73"/>
      <c r="AP10" s="20"/>
      <c r="AQ10" s="16" t="s">
        <v>30</v>
      </c>
      <c r="AR10" s="16"/>
      <c r="AS10" s="126">
        <v>1000000</v>
      </c>
      <c r="AT10" s="20"/>
    </row>
    <row r="11" spans="1:46" ht="18.75" customHeight="1" x14ac:dyDescent="0.3">
      <c r="A11" s="3"/>
      <c r="B11" s="94" t="s">
        <v>1</v>
      </c>
      <c r="C11" s="95">
        <v>340000</v>
      </c>
      <c r="D11" s="95">
        <v>250000</v>
      </c>
      <c r="E11" s="35"/>
      <c r="F11" s="20" t="s">
        <v>5</v>
      </c>
      <c r="G11" s="95">
        <v>30000</v>
      </c>
      <c r="H11" s="96">
        <v>40000</v>
      </c>
      <c r="I11" s="20"/>
      <c r="J11" s="271" t="s">
        <v>316</v>
      </c>
      <c r="K11" s="271"/>
      <c r="L11" s="271"/>
      <c r="M11" s="271"/>
      <c r="N11" s="271"/>
      <c r="O11" s="271"/>
      <c r="P11" s="271"/>
      <c r="Q11" s="271"/>
      <c r="R11" s="271"/>
      <c r="S11" s="20"/>
      <c r="T11" s="357" t="s">
        <v>132</v>
      </c>
      <c r="U11" s="120"/>
      <c r="V11" s="121"/>
      <c r="W11" s="121"/>
      <c r="X11" s="121"/>
      <c r="Y11" s="340"/>
      <c r="Z11" s="341"/>
      <c r="AA11" s="341"/>
      <c r="AB11" s="342"/>
      <c r="AC11" s="360" t="s">
        <v>134</v>
      </c>
      <c r="AD11" s="20"/>
      <c r="AE11" s="20"/>
      <c r="AF11" s="92" t="s">
        <v>415</v>
      </c>
      <c r="AG11" s="99"/>
      <c r="AH11" s="35"/>
      <c r="AI11" s="26"/>
      <c r="AJ11" s="147">
        <v>94046</v>
      </c>
      <c r="AK11" s="147">
        <v>235263</v>
      </c>
      <c r="AL11" s="153"/>
      <c r="AM11" s="20"/>
      <c r="AN11" s="73"/>
      <c r="AP11" s="20"/>
      <c r="AQ11" s="20" t="s">
        <v>324</v>
      </c>
      <c r="AR11" s="20"/>
      <c r="AS11" s="95">
        <v>100000</v>
      </c>
      <c r="AT11" s="20"/>
    </row>
    <row r="12" spans="1:46" ht="18.75" customHeight="1" x14ac:dyDescent="0.3">
      <c r="A12" s="3"/>
      <c r="B12" s="94" t="s">
        <v>290</v>
      </c>
      <c r="C12" s="97">
        <v>100000</v>
      </c>
      <c r="D12" s="97">
        <v>120000</v>
      </c>
      <c r="E12" s="35"/>
      <c r="F12" s="20" t="s">
        <v>292</v>
      </c>
      <c r="G12" s="97">
        <v>90000</v>
      </c>
      <c r="H12" s="98">
        <v>100000</v>
      </c>
      <c r="I12" s="20"/>
      <c r="J12" s="271" t="s">
        <v>315</v>
      </c>
      <c r="K12" s="271"/>
      <c r="L12" s="271"/>
      <c r="M12" s="271"/>
      <c r="N12" s="271"/>
      <c r="O12" s="271"/>
      <c r="P12" s="271"/>
      <c r="Q12" s="271"/>
      <c r="R12" s="271"/>
      <c r="S12" s="20"/>
      <c r="T12" s="358" t="s">
        <v>133</v>
      </c>
      <c r="U12" s="349"/>
      <c r="V12" s="350"/>
      <c r="W12" s="350"/>
      <c r="X12" s="351"/>
      <c r="Y12" s="343"/>
      <c r="Z12" s="108"/>
      <c r="AA12" s="108"/>
      <c r="AB12" s="344"/>
      <c r="AC12" s="360" t="s">
        <v>134</v>
      </c>
      <c r="AD12" s="20"/>
      <c r="AE12" s="20"/>
      <c r="AF12" s="94" t="s">
        <v>416</v>
      </c>
      <c r="AG12" s="95"/>
      <c r="AH12" s="35"/>
      <c r="AI12" s="20"/>
      <c r="AJ12" s="127">
        <v>22585</v>
      </c>
      <c r="AK12" s="127">
        <v>7480</v>
      </c>
      <c r="AL12" s="153"/>
      <c r="AM12" s="20"/>
      <c r="AN12" s="73"/>
      <c r="AP12" s="20"/>
      <c r="AQ12" s="20" t="s">
        <v>325</v>
      </c>
      <c r="AR12" s="20"/>
      <c r="AS12" s="34">
        <v>-145000</v>
      </c>
      <c r="AT12" s="20"/>
    </row>
    <row r="13" spans="1:46" ht="18.75" customHeight="1" x14ac:dyDescent="0.3">
      <c r="A13" s="3"/>
      <c r="B13" s="92" t="s">
        <v>308</v>
      </c>
      <c r="C13" s="99">
        <f>SUM(C11:C12)</f>
        <v>440000</v>
      </c>
      <c r="D13" s="99">
        <f>SUM(D11:D12)</f>
        <v>370000</v>
      </c>
      <c r="E13" s="35"/>
      <c r="F13" s="26" t="s">
        <v>311</v>
      </c>
      <c r="G13" s="99">
        <f>+G11+G12</f>
        <v>120000</v>
      </c>
      <c r="H13" s="100">
        <f>+H11+H12</f>
        <v>140000</v>
      </c>
      <c r="I13" s="20"/>
      <c r="J13" s="271" t="s">
        <v>317</v>
      </c>
      <c r="K13" s="271"/>
      <c r="L13" s="271"/>
      <c r="M13" s="271"/>
      <c r="N13" s="271"/>
      <c r="O13" s="271"/>
      <c r="P13" s="271"/>
      <c r="Q13" s="271"/>
      <c r="R13" s="271"/>
      <c r="S13" s="20"/>
      <c r="T13" s="358" t="s">
        <v>133</v>
      </c>
      <c r="U13" s="349"/>
      <c r="V13" s="352" t="s">
        <v>236</v>
      </c>
      <c r="W13" s="350"/>
      <c r="X13" s="351"/>
      <c r="Y13" s="343"/>
      <c r="Z13" s="108"/>
      <c r="AA13" s="108"/>
      <c r="AB13" s="344"/>
      <c r="AC13" s="360" t="s">
        <v>134</v>
      </c>
      <c r="AD13" s="20"/>
      <c r="AE13" s="20"/>
      <c r="AF13" s="94" t="s">
        <v>255</v>
      </c>
      <c r="AG13" s="95"/>
      <c r="AH13" s="35"/>
      <c r="AI13" s="26"/>
      <c r="AJ13" s="127">
        <v>6717</v>
      </c>
      <c r="AK13" s="127">
        <v>6679</v>
      </c>
      <c r="AL13" s="153"/>
      <c r="AM13" s="20"/>
      <c r="AN13" s="73"/>
      <c r="AP13" s="20"/>
      <c r="AQ13" s="16" t="s">
        <v>32</v>
      </c>
      <c r="AR13" s="16"/>
      <c r="AS13" s="48">
        <f>+AS10+AS11+AS12</f>
        <v>955000</v>
      </c>
      <c r="AT13" s="20"/>
    </row>
    <row r="14" spans="1:46" ht="18.75" customHeight="1" x14ac:dyDescent="0.3">
      <c r="A14" s="3"/>
      <c r="B14" s="92" t="s">
        <v>310</v>
      </c>
      <c r="C14" s="95"/>
      <c r="D14" s="95"/>
      <c r="E14" s="35"/>
      <c r="F14" s="26" t="s">
        <v>80</v>
      </c>
      <c r="G14" s="95"/>
      <c r="H14" s="96"/>
      <c r="I14" s="20"/>
      <c r="J14" s="271" t="s">
        <v>318</v>
      </c>
      <c r="K14" s="271"/>
      <c r="L14" s="271"/>
      <c r="M14" s="271"/>
      <c r="N14" s="271"/>
      <c r="O14" s="271"/>
      <c r="P14" s="271"/>
      <c r="Q14" s="271"/>
      <c r="R14" s="271"/>
      <c r="S14" s="20"/>
      <c r="T14" s="358" t="s">
        <v>133</v>
      </c>
      <c r="U14" s="349"/>
      <c r="V14" s="352" t="s">
        <v>237</v>
      </c>
      <c r="W14" s="350"/>
      <c r="X14" s="351"/>
      <c r="Y14" s="343"/>
      <c r="Z14" s="345" t="s">
        <v>409</v>
      </c>
      <c r="AA14" s="108"/>
      <c r="AB14" s="344"/>
      <c r="AC14" s="360" t="s">
        <v>134</v>
      </c>
      <c r="AD14" s="20"/>
      <c r="AE14" s="20"/>
      <c r="AF14" s="94" t="s">
        <v>417</v>
      </c>
      <c r="AG14" s="95"/>
      <c r="AH14" s="35"/>
      <c r="AI14" s="20"/>
      <c r="AJ14" s="132">
        <v>-669869</v>
      </c>
      <c r="AK14" s="132">
        <v>-441321</v>
      </c>
      <c r="AL14" s="153"/>
      <c r="AM14" s="20"/>
      <c r="AN14" s="73"/>
      <c r="AP14" s="20"/>
      <c r="AQ14" s="20"/>
      <c r="AR14" s="20"/>
      <c r="AS14" s="34"/>
      <c r="AT14" s="20"/>
    </row>
    <row r="15" spans="1:46" ht="18.75" customHeight="1" x14ac:dyDescent="0.3">
      <c r="A15" s="3"/>
      <c r="B15" s="94" t="s">
        <v>306</v>
      </c>
      <c r="C15" s="95">
        <v>500000</v>
      </c>
      <c r="D15" s="95">
        <v>490000</v>
      </c>
      <c r="E15" s="35"/>
      <c r="F15" s="20" t="s">
        <v>7</v>
      </c>
      <c r="G15" s="95">
        <v>500000</v>
      </c>
      <c r="H15" s="96">
        <v>500000</v>
      </c>
      <c r="I15" s="20"/>
      <c r="J15" s="271" t="s">
        <v>319</v>
      </c>
      <c r="K15" s="271"/>
      <c r="L15" s="271"/>
      <c r="M15" s="271"/>
      <c r="N15" s="271"/>
      <c r="O15" s="271"/>
      <c r="P15" s="271"/>
      <c r="Q15" s="271"/>
      <c r="R15" s="271"/>
      <c r="S15" s="20"/>
      <c r="T15" s="358" t="s">
        <v>133</v>
      </c>
      <c r="U15" s="349"/>
      <c r="V15" s="352" t="s">
        <v>238</v>
      </c>
      <c r="W15" s="350"/>
      <c r="X15" s="351"/>
      <c r="Y15" s="343"/>
      <c r="Z15" s="345" t="s">
        <v>240</v>
      </c>
      <c r="AA15" s="108"/>
      <c r="AB15" s="344"/>
      <c r="AC15" s="360" t="s">
        <v>134</v>
      </c>
      <c r="AD15" s="20"/>
      <c r="AE15" s="20"/>
      <c r="AF15" s="94" t="s">
        <v>279</v>
      </c>
      <c r="AG15" s="95"/>
      <c r="AH15" s="35"/>
      <c r="AI15" s="26"/>
      <c r="AJ15" s="132">
        <v>-107749</v>
      </c>
      <c r="AK15" s="132">
        <v>-89565</v>
      </c>
      <c r="AL15" s="153"/>
      <c r="AM15" s="20"/>
      <c r="AN15" s="73"/>
      <c r="AP15" s="20"/>
      <c r="AQ15" s="20" t="s">
        <v>326</v>
      </c>
      <c r="AR15" s="20"/>
      <c r="AS15" s="34"/>
      <c r="AT15" s="20"/>
    </row>
    <row r="16" spans="1:46" ht="18.75" customHeight="1" x14ac:dyDescent="0.3">
      <c r="A16" s="3"/>
      <c r="B16" s="94"/>
      <c r="C16" s="20"/>
      <c r="D16" s="20"/>
      <c r="E16" s="35"/>
      <c r="F16" s="20" t="s">
        <v>8</v>
      </c>
      <c r="G16" s="97">
        <v>320000</v>
      </c>
      <c r="H16" s="98">
        <v>220000</v>
      </c>
      <c r="I16" s="20"/>
      <c r="J16" s="271" t="s">
        <v>320</v>
      </c>
      <c r="K16" s="271"/>
      <c r="L16" s="271"/>
      <c r="M16" s="271"/>
      <c r="N16" s="271"/>
      <c r="O16" s="271"/>
      <c r="P16" s="271"/>
      <c r="Q16" s="271"/>
      <c r="R16" s="271"/>
      <c r="S16" s="20"/>
      <c r="T16" s="358" t="s">
        <v>133</v>
      </c>
      <c r="U16" s="349"/>
      <c r="V16" s="352" t="s">
        <v>239</v>
      </c>
      <c r="W16" s="350"/>
      <c r="X16" s="351"/>
      <c r="Y16" s="343"/>
      <c r="Z16" s="345" t="s">
        <v>235</v>
      </c>
      <c r="AA16" s="108"/>
      <c r="AB16" s="344"/>
      <c r="AC16" s="360" t="s">
        <v>134</v>
      </c>
      <c r="AD16" s="20"/>
      <c r="AE16" s="20"/>
      <c r="AF16" s="94" t="s">
        <v>418</v>
      </c>
      <c r="AG16" s="95"/>
      <c r="AH16" s="35"/>
      <c r="AI16" s="20"/>
      <c r="AJ16" s="132">
        <v>-62611</v>
      </c>
      <c r="AK16" s="132">
        <v>-50732</v>
      </c>
      <c r="AL16" s="153"/>
      <c r="AM16" s="20"/>
      <c r="AN16" s="73"/>
      <c r="AP16" s="20"/>
      <c r="AQ16" s="20" t="s">
        <v>328</v>
      </c>
      <c r="AR16" s="20"/>
      <c r="AS16" s="34">
        <v>100000</v>
      </c>
      <c r="AT16" s="20"/>
    </row>
    <row r="17" spans="1:47" ht="18.75" customHeight="1" x14ac:dyDescent="0.3">
      <c r="A17" s="3"/>
      <c r="B17" s="94"/>
      <c r="C17" s="101"/>
      <c r="D17" s="101"/>
      <c r="E17" s="35"/>
      <c r="F17" s="26" t="s">
        <v>81</v>
      </c>
      <c r="G17" s="102">
        <f>+G15+G16</f>
        <v>820000</v>
      </c>
      <c r="H17" s="103">
        <f>+H15+H16</f>
        <v>720000</v>
      </c>
      <c r="I17" s="20"/>
      <c r="J17" s="271" t="s">
        <v>322</v>
      </c>
      <c r="K17" s="271"/>
      <c r="L17" s="271"/>
      <c r="M17" s="271"/>
      <c r="N17" s="271"/>
      <c r="O17" s="271"/>
      <c r="P17" s="271"/>
      <c r="Q17" s="271"/>
      <c r="R17" s="271"/>
      <c r="S17" s="20"/>
      <c r="T17" s="358" t="s">
        <v>133</v>
      </c>
      <c r="U17" s="349"/>
      <c r="V17" s="350"/>
      <c r="W17" s="350"/>
      <c r="X17" s="351"/>
      <c r="Y17" s="343"/>
      <c r="Z17" s="108"/>
      <c r="AA17" s="108"/>
      <c r="AB17" s="344"/>
      <c r="AC17" s="360" t="s">
        <v>134</v>
      </c>
      <c r="AD17" s="20"/>
      <c r="AE17" s="20"/>
      <c r="AF17" s="94" t="s">
        <v>419</v>
      </c>
      <c r="AG17" s="95"/>
      <c r="AH17" s="35"/>
      <c r="AI17" s="20"/>
      <c r="AJ17" s="132">
        <v>-22695</v>
      </c>
      <c r="AK17" s="132">
        <v>-15132</v>
      </c>
      <c r="AL17" s="153"/>
      <c r="AM17" s="20"/>
      <c r="AN17" s="73"/>
      <c r="AP17" s="20"/>
      <c r="AQ17" s="20" t="s">
        <v>327</v>
      </c>
      <c r="AR17" s="20"/>
      <c r="AS17" s="34">
        <v>45000</v>
      </c>
      <c r="AT17" s="20"/>
    </row>
    <row r="18" spans="1:47" ht="18.75" customHeight="1" x14ac:dyDescent="0.3">
      <c r="A18" s="3"/>
      <c r="B18" s="338" t="s">
        <v>54</v>
      </c>
      <c r="C18" s="104">
        <f>+C13+C15</f>
        <v>940000</v>
      </c>
      <c r="D18" s="104">
        <f>+D13+D15</f>
        <v>860000</v>
      </c>
      <c r="E18" s="339"/>
      <c r="F18" s="315" t="s">
        <v>82</v>
      </c>
      <c r="G18" s="104">
        <f>+G13+G17</f>
        <v>940000</v>
      </c>
      <c r="H18" s="105">
        <f>+H13+H17</f>
        <v>860000</v>
      </c>
      <c r="I18" s="20"/>
      <c r="J18" s="271" t="s">
        <v>321</v>
      </c>
      <c r="K18" s="271"/>
      <c r="L18" s="271"/>
      <c r="M18" s="271"/>
      <c r="N18" s="271"/>
      <c r="O18" s="271"/>
      <c r="P18" s="271"/>
      <c r="Q18" s="271"/>
      <c r="R18" s="271"/>
      <c r="S18" s="20"/>
      <c r="T18" s="358" t="s">
        <v>133</v>
      </c>
      <c r="U18" s="349"/>
      <c r="V18" s="350"/>
      <c r="W18" s="350"/>
      <c r="X18" s="351"/>
      <c r="Y18" s="343"/>
      <c r="Z18" s="108"/>
      <c r="AA18" s="108"/>
      <c r="AB18" s="344"/>
      <c r="AC18" s="360" t="s">
        <v>134</v>
      </c>
      <c r="AD18" s="20"/>
      <c r="AE18" s="20"/>
      <c r="AF18" s="92" t="s">
        <v>420</v>
      </c>
      <c r="AG18" s="99"/>
      <c r="AH18" s="35"/>
      <c r="AI18" s="26"/>
      <c r="AJ18" s="295">
        <v>-658</v>
      </c>
      <c r="AK18" s="295">
        <v>-5972</v>
      </c>
      <c r="AL18" s="153"/>
      <c r="AM18" s="20"/>
      <c r="AN18" s="73"/>
      <c r="AP18" s="20"/>
      <c r="AQ18" s="16" t="s">
        <v>40</v>
      </c>
      <c r="AR18" s="16"/>
      <c r="AS18" s="48">
        <f>+AS16+AS17</f>
        <v>145000</v>
      </c>
      <c r="AT18" s="20"/>
    </row>
    <row r="19" spans="1:47" ht="18.75" customHeigh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359" t="s">
        <v>133</v>
      </c>
      <c r="U19" s="353"/>
      <c r="V19" s="354"/>
      <c r="W19" s="354"/>
      <c r="X19" s="355"/>
      <c r="Y19" s="346"/>
      <c r="Z19" s="347"/>
      <c r="AA19" s="347"/>
      <c r="AB19" s="348"/>
      <c r="AC19" s="361" t="s">
        <v>134</v>
      </c>
      <c r="AD19" s="20"/>
      <c r="AE19" s="20"/>
      <c r="AF19" s="92" t="s">
        <v>421</v>
      </c>
      <c r="AG19" s="95"/>
      <c r="AH19" s="35"/>
      <c r="AI19" s="26"/>
      <c r="AJ19" s="149">
        <f>SUM(AJ10:AJ18)</f>
        <v>414625</v>
      </c>
      <c r="AK19" s="149">
        <f>SUM(AK10:AK18)</f>
        <v>431323</v>
      </c>
      <c r="AL19" s="153"/>
      <c r="AM19" s="20"/>
      <c r="AN19" s="73"/>
      <c r="AP19">
        <v>13</v>
      </c>
      <c r="AQ19">
        <v>38</v>
      </c>
      <c r="AR19">
        <v>24.8</v>
      </c>
      <c r="AS19">
        <v>13</v>
      </c>
      <c r="AT19">
        <v>13</v>
      </c>
      <c r="AU19">
        <f>SUM(AP19:AT19)</f>
        <v>101.8</v>
      </c>
    </row>
    <row r="20" spans="1:47" ht="18.75" customHeight="1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106"/>
      <c r="AG20" s="101"/>
      <c r="AH20" s="97"/>
      <c r="AI20" s="101"/>
      <c r="AJ20" s="101"/>
      <c r="AK20" s="101"/>
      <c r="AL20" s="107"/>
      <c r="AM20" s="20"/>
      <c r="AN20" s="73"/>
      <c r="AU20">
        <v>101.8</v>
      </c>
    </row>
    <row r="21" spans="1:47" ht="18.75" customHeight="1" x14ac:dyDescent="0.3">
      <c r="A21" s="3"/>
      <c r="B21" s="3"/>
      <c r="C21" s="3"/>
      <c r="D21" s="4"/>
      <c r="E21" s="4"/>
      <c r="F21" s="4"/>
      <c r="G21" s="3"/>
      <c r="H21" s="4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71" t="s">
        <v>471</v>
      </c>
      <c r="U21" s="271"/>
      <c r="V21" s="271"/>
      <c r="W21" s="271"/>
      <c r="X21" s="271"/>
      <c r="Y21" s="271"/>
      <c r="Z21" s="271"/>
      <c r="AA21" s="271"/>
      <c r="AB21" s="271"/>
      <c r="AC21" s="271"/>
      <c r="AD21" s="20"/>
      <c r="AE21" s="20"/>
      <c r="AF21" s="3"/>
      <c r="AG21" s="4"/>
      <c r="AH21" s="4"/>
      <c r="AI21" s="4"/>
      <c r="AJ21" s="3"/>
      <c r="AK21" s="3"/>
      <c r="AL21" s="4"/>
      <c r="AM21" s="20"/>
      <c r="AN21" s="73"/>
      <c r="AU21">
        <f>+AU20-AU19</f>
        <v>0</v>
      </c>
    </row>
    <row r="22" spans="1:47" ht="18.75" customHeight="1" x14ac:dyDescent="0.3">
      <c r="A22" s="3"/>
      <c r="B22" s="3"/>
      <c r="C22" s="3"/>
      <c r="D22" s="4"/>
      <c r="E22" s="4"/>
      <c r="F22" s="4"/>
      <c r="G22" s="3"/>
      <c r="H22" s="4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71" t="s">
        <v>472</v>
      </c>
      <c r="U22" s="271"/>
      <c r="V22" s="271"/>
      <c r="W22" s="271"/>
      <c r="X22" s="271"/>
      <c r="Y22" s="271"/>
      <c r="Z22" s="271"/>
      <c r="AA22" s="271"/>
      <c r="AB22" s="271"/>
      <c r="AC22" s="271"/>
      <c r="AD22" s="20"/>
      <c r="AE22" s="20"/>
      <c r="AF22" s="271" t="s">
        <v>477</v>
      </c>
      <c r="AG22" s="271"/>
      <c r="AH22" s="271"/>
      <c r="AI22" s="271"/>
      <c r="AJ22" s="271"/>
      <c r="AK22" s="271"/>
      <c r="AL22" s="271"/>
      <c r="AM22" s="20"/>
      <c r="AN22" s="73"/>
    </row>
    <row r="23" spans="1:47" ht="18.75" customHeight="1" x14ac:dyDescent="0.3">
      <c r="A23" s="3"/>
      <c r="B23" s="3"/>
      <c r="C23" s="3"/>
      <c r="D23" s="4"/>
      <c r="E23" s="4"/>
      <c r="F23" s="4"/>
      <c r="G23" s="3"/>
      <c r="H23" s="4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71" t="s">
        <v>474</v>
      </c>
      <c r="U23" s="271"/>
      <c r="V23" s="271"/>
      <c r="W23" s="271"/>
      <c r="X23" s="271"/>
      <c r="Y23" s="271"/>
      <c r="Z23" s="271"/>
      <c r="AA23" s="271"/>
      <c r="AB23" s="271"/>
      <c r="AC23" s="271"/>
      <c r="AD23" s="20"/>
      <c r="AE23" s="20"/>
      <c r="AF23" s="271" t="s">
        <v>478</v>
      </c>
      <c r="AG23" s="271"/>
      <c r="AH23" s="271"/>
      <c r="AI23" s="271"/>
      <c r="AJ23" s="271"/>
      <c r="AK23" s="271"/>
      <c r="AL23" s="271"/>
      <c r="AM23" s="20"/>
      <c r="AN23" s="73"/>
    </row>
    <row r="24" spans="1:47" ht="18.75" customHeight="1" x14ac:dyDescent="0.3">
      <c r="A24" s="3"/>
      <c r="B24" s="3"/>
      <c r="C24" s="3"/>
      <c r="D24" s="4"/>
      <c r="E24" s="4"/>
      <c r="F24" s="4"/>
      <c r="G24" s="3"/>
      <c r="H24" s="4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71" t="s">
        <v>473</v>
      </c>
      <c r="U24" s="271"/>
      <c r="V24" s="271"/>
      <c r="W24" s="271"/>
      <c r="X24" s="271"/>
      <c r="Y24" s="271"/>
      <c r="Z24" s="271"/>
      <c r="AA24" s="271"/>
      <c r="AB24" s="271"/>
      <c r="AC24" s="271"/>
      <c r="AD24" s="20"/>
      <c r="AE24" s="20"/>
      <c r="AF24" s="271" t="s">
        <v>479</v>
      </c>
      <c r="AG24" s="271"/>
      <c r="AH24" s="271"/>
      <c r="AI24" s="271"/>
      <c r="AJ24" s="271"/>
      <c r="AK24" s="271"/>
      <c r="AL24" s="271"/>
      <c r="AM24" s="20"/>
      <c r="AN24" s="73"/>
    </row>
    <row r="25" spans="1:47" ht="18.75" customHeight="1" x14ac:dyDescent="0.3">
      <c r="A25" s="3"/>
      <c r="B25" s="3"/>
      <c r="C25" s="3"/>
      <c r="D25" s="4"/>
      <c r="E25" s="4"/>
      <c r="F25" s="4"/>
      <c r="G25" s="3"/>
      <c r="H25" s="4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71" t="s">
        <v>475</v>
      </c>
      <c r="U25" s="271"/>
      <c r="V25" s="271"/>
      <c r="W25" s="271"/>
      <c r="X25" s="271"/>
      <c r="Y25" s="271"/>
      <c r="Z25" s="271"/>
      <c r="AA25" s="271"/>
      <c r="AB25" s="271"/>
      <c r="AC25" s="271"/>
      <c r="AD25" s="20"/>
      <c r="AE25" s="20"/>
      <c r="AF25" s="271" t="s">
        <v>480</v>
      </c>
      <c r="AG25" s="271"/>
      <c r="AH25" s="271"/>
      <c r="AI25" s="271"/>
      <c r="AJ25" s="271"/>
      <c r="AK25" s="271"/>
      <c r="AL25" s="271"/>
      <c r="AM25" s="20"/>
      <c r="AN25" s="73"/>
    </row>
    <row r="26" spans="1:47" ht="18.75" customHeight="1" x14ac:dyDescent="0.3">
      <c r="A26" s="3"/>
      <c r="B26" s="3"/>
      <c r="C26" s="3"/>
      <c r="D26" s="4"/>
      <c r="E26" s="4"/>
      <c r="F26" s="4"/>
      <c r="G26" s="3"/>
      <c r="H26" s="4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71" t="s">
        <v>476</v>
      </c>
      <c r="U26" s="271"/>
      <c r="V26" s="271"/>
      <c r="W26" s="271"/>
      <c r="X26" s="271"/>
      <c r="Y26" s="271"/>
      <c r="Z26" s="271"/>
      <c r="AA26" s="271"/>
      <c r="AB26" s="271"/>
      <c r="AC26" s="271"/>
      <c r="AD26" s="20"/>
      <c r="AE26" s="20"/>
      <c r="AF26" s="271" t="s">
        <v>481</v>
      </c>
      <c r="AG26" s="271"/>
      <c r="AH26" s="271"/>
      <c r="AI26" s="271"/>
      <c r="AJ26" s="271"/>
      <c r="AK26" s="271"/>
      <c r="AL26" s="271"/>
      <c r="AM26" s="20"/>
      <c r="AN26" s="73"/>
    </row>
    <row r="27" spans="1:47" ht="18.75" customHeight="1" x14ac:dyDescent="0.3">
      <c r="A27" s="3"/>
      <c r="B27" s="3"/>
      <c r="C27" s="3"/>
      <c r="D27" s="4"/>
      <c r="E27" s="4"/>
      <c r="F27" s="4"/>
      <c r="G27" s="3"/>
      <c r="H27" s="4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71" t="s">
        <v>482</v>
      </c>
      <c r="AG27" s="271"/>
      <c r="AH27" s="271"/>
      <c r="AI27" s="271"/>
      <c r="AJ27" s="271"/>
      <c r="AK27" s="271"/>
      <c r="AL27" s="271"/>
      <c r="AM27" s="20"/>
      <c r="AN27" s="73"/>
    </row>
    <row r="28" spans="1:47" ht="18.75" customHeight="1" x14ac:dyDescent="0.3">
      <c r="A28" s="3"/>
      <c r="B28" s="3"/>
      <c r="C28" s="3"/>
      <c r="D28" s="4"/>
      <c r="E28" s="4"/>
      <c r="F28" s="4"/>
      <c r="G28" s="3"/>
      <c r="H28" s="4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71" t="s">
        <v>483</v>
      </c>
      <c r="AG28" s="271"/>
      <c r="AH28" s="271"/>
      <c r="AI28" s="271"/>
      <c r="AJ28" s="271"/>
      <c r="AK28" s="271"/>
      <c r="AL28" s="271"/>
      <c r="AM28" s="20"/>
      <c r="AN28" s="73"/>
    </row>
    <row r="29" spans="1:47" ht="18.75" customHeight="1" x14ac:dyDescent="0.3">
      <c r="A29" s="3"/>
      <c r="B29" s="3"/>
      <c r="C29" s="3"/>
      <c r="D29" s="4"/>
      <c r="E29" s="4"/>
      <c r="F29" s="4"/>
      <c r="G29" s="3"/>
      <c r="H29" s="4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71" t="s">
        <v>514</v>
      </c>
      <c r="AG29" s="271"/>
      <c r="AH29" s="271"/>
      <c r="AI29" s="271"/>
      <c r="AJ29" s="271"/>
      <c r="AK29" s="271"/>
      <c r="AL29" s="271"/>
      <c r="AM29" s="20"/>
      <c r="AN29" s="73"/>
    </row>
    <row r="30" spans="1:47" ht="18.75" customHeight="1" x14ac:dyDescent="0.3">
      <c r="A30" s="3"/>
      <c r="B30" s="3"/>
      <c r="C30" s="3"/>
      <c r="D30" s="4"/>
      <c r="E30" s="4"/>
      <c r="F30" s="4"/>
      <c r="G30" s="3"/>
      <c r="H30" s="4"/>
      <c r="I30" s="73"/>
      <c r="J30" s="73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71" t="s">
        <v>484</v>
      </c>
      <c r="AG30" s="271"/>
      <c r="AH30" s="271"/>
      <c r="AI30" s="271"/>
      <c r="AJ30" s="271"/>
      <c r="AK30" s="271"/>
      <c r="AL30" s="271"/>
      <c r="AM30" s="20"/>
      <c r="AN30" s="73"/>
    </row>
    <row r="31" spans="1:47" ht="18.75" customHeight="1" x14ac:dyDescent="0.3">
      <c r="A31" s="3"/>
      <c r="B31" s="4">
        <v>30.43</v>
      </c>
      <c r="C31" s="3">
        <v>10</v>
      </c>
      <c r="D31" s="3">
        <v>10</v>
      </c>
      <c r="E31" s="4">
        <v>1</v>
      </c>
      <c r="F31" s="4">
        <v>30.43</v>
      </c>
      <c r="G31" s="3">
        <v>10</v>
      </c>
      <c r="H31" s="3">
        <v>10</v>
      </c>
      <c r="I31" s="272"/>
      <c r="J31" s="272"/>
      <c r="K31" s="73"/>
      <c r="L31" s="73"/>
      <c r="M31" s="73"/>
      <c r="N31" s="73"/>
      <c r="O31" s="73"/>
      <c r="P31" s="73"/>
      <c r="Q31" s="73"/>
      <c r="R31" s="73"/>
      <c r="S31" s="73"/>
      <c r="T31" s="3">
        <v>16</v>
      </c>
      <c r="U31" s="3">
        <v>10.71</v>
      </c>
      <c r="V31" s="3">
        <v>10.71</v>
      </c>
      <c r="W31" s="3">
        <v>10.71</v>
      </c>
      <c r="X31" s="3">
        <v>3.57</v>
      </c>
      <c r="Y31" s="3">
        <v>10.71</v>
      </c>
      <c r="Z31" s="3">
        <v>10.71</v>
      </c>
      <c r="AA31" s="3">
        <v>10.71</v>
      </c>
      <c r="AB31" s="3">
        <v>2.17</v>
      </c>
      <c r="AC31" s="3">
        <v>16</v>
      </c>
      <c r="AD31" s="20"/>
      <c r="AE31" s="20"/>
      <c r="AF31" s="271" t="s">
        <v>485</v>
      </c>
      <c r="AG31" s="271"/>
      <c r="AH31" s="271"/>
      <c r="AI31" s="271"/>
      <c r="AJ31" s="271"/>
      <c r="AK31" s="271"/>
      <c r="AL31" s="271"/>
      <c r="AM31" s="20"/>
      <c r="AN31" s="73"/>
    </row>
    <row r="32" spans="1:47" ht="18.75" customHeight="1" x14ac:dyDescent="0.3">
      <c r="A32" s="73"/>
      <c r="B32" s="73"/>
      <c r="C32" s="73"/>
      <c r="D32" s="73"/>
      <c r="E32" s="73"/>
      <c r="F32" s="73"/>
      <c r="G32" s="73"/>
      <c r="H32" s="73"/>
      <c r="K32" s="272"/>
      <c r="L32" s="272"/>
      <c r="M32" s="272"/>
      <c r="N32" s="272"/>
      <c r="O32" s="272"/>
      <c r="P32" s="272"/>
      <c r="Q32" s="272"/>
      <c r="R32" s="272"/>
      <c r="S32" s="272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20"/>
      <c r="AE32" s="20"/>
      <c r="AF32" s="4">
        <v>19</v>
      </c>
      <c r="AG32" s="4">
        <v>19</v>
      </c>
      <c r="AH32" s="4">
        <v>19</v>
      </c>
      <c r="AI32" s="4">
        <v>19</v>
      </c>
      <c r="AJ32" s="3">
        <v>13</v>
      </c>
      <c r="AK32" s="3">
        <v>13</v>
      </c>
      <c r="AL32" s="4"/>
      <c r="AM32" s="20"/>
      <c r="AN32" s="73"/>
    </row>
    <row r="33" spans="1:40" ht="18.75" customHeight="1" x14ac:dyDescent="0.25">
      <c r="A33" s="272"/>
      <c r="B33" s="272">
        <v>30.57</v>
      </c>
      <c r="C33" s="272">
        <v>10</v>
      </c>
      <c r="D33" s="272">
        <v>10</v>
      </c>
      <c r="E33" s="272">
        <v>0.67</v>
      </c>
      <c r="F33" s="272">
        <v>30.57</v>
      </c>
      <c r="G33" s="272">
        <v>10</v>
      </c>
      <c r="H33" s="272">
        <v>10</v>
      </c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</row>
    <row r="34" spans="1:40" s="272" customFormat="1" ht="18.75" hidden="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F34" s="272">
        <v>30.57</v>
      </c>
      <c r="AG34" s="272">
        <v>10</v>
      </c>
      <c r="AH34" s="272">
        <v>0.67</v>
      </c>
      <c r="AI34" s="272">
        <v>30.57</v>
      </c>
      <c r="AJ34" s="272">
        <v>10</v>
      </c>
      <c r="AL34" s="272">
        <v>10</v>
      </c>
    </row>
  </sheetData>
  <mergeCells count="11">
    <mergeCell ref="AF4:AL4"/>
    <mergeCell ref="AF5:AL5"/>
    <mergeCell ref="AF6:AL6"/>
    <mergeCell ref="N8:N9"/>
    <mergeCell ref="P8:P9"/>
    <mergeCell ref="U4:AB4"/>
    <mergeCell ref="B4:H4"/>
    <mergeCell ref="B5:H5"/>
    <mergeCell ref="B6:H6"/>
    <mergeCell ref="K8:K9"/>
    <mergeCell ref="L8:L9"/>
  </mergeCells>
  <pageMargins left="0.7" right="0.7" top="0.75" bottom="0.75" header="0.3" footer="0.3"/>
  <pageSetup paperSize="9" orientation="portrait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9AE83-B702-403C-B8AC-06CD609322E2}">
  <dimension ref="A1:BS127"/>
  <sheetViews>
    <sheetView showGridLines="0" topLeftCell="BC1" zoomScale="70" zoomScaleNormal="70" workbookViewId="0">
      <selection activeCell="BS16" sqref="BM3:BS16"/>
    </sheetView>
  </sheetViews>
  <sheetFormatPr baseColWidth="10" defaultRowHeight="18.75" x14ac:dyDescent="0.3"/>
  <cols>
    <col min="1" max="1" width="9.85546875" bestFit="1" customWidth="1"/>
    <col min="2" max="2" width="8.5703125" bestFit="1" customWidth="1"/>
    <col min="3" max="3" width="1.42578125" customWidth="1"/>
    <col min="5" max="5" width="7.42578125" bestFit="1" customWidth="1"/>
    <col min="7" max="7" width="15.7109375" customWidth="1"/>
    <col min="9" max="9" width="6.7109375" customWidth="1"/>
    <col min="10" max="10" width="7.42578125" customWidth="1"/>
    <col min="11" max="11" width="32.28515625" customWidth="1"/>
    <col min="12" max="12" width="20.28515625" style="42" customWidth="1"/>
    <col min="13" max="13" width="10.5703125" style="42" customWidth="1"/>
    <col min="14" max="14" width="9.28515625" customWidth="1"/>
    <col min="15" max="18" width="9.85546875" customWidth="1"/>
    <col min="41" max="41" width="13.85546875" customWidth="1"/>
    <col min="42" max="42" width="15.42578125" customWidth="1"/>
    <col min="45" max="45" width="1" customWidth="1"/>
    <col min="49" max="50" width="14.42578125" customWidth="1"/>
    <col min="51" max="51" width="12.85546875" customWidth="1"/>
    <col min="53" max="53" width="9.42578125" customWidth="1"/>
    <col min="61" max="61" width="11.42578125" customWidth="1"/>
    <col min="62" max="62" width="3.42578125" customWidth="1"/>
  </cols>
  <sheetData>
    <row r="1" spans="1:71" s="2" customFormat="1" x14ac:dyDescent="0.3">
      <c r="A1" s="1299" t="s">
        <v>1128</v>
      </c>
      <c r="B1" s="1299" t="s">
        <v>1131</v>
      </c>
      <c r="D1" s="1295" t="s">
        <v>1132</v>
      </c>
      <c r="E1" s="1299" t="s">
        <v>3</v>
      </c>
      <c r="I1" s="16"/>
      <c r="J1" s="16"/>
      <c r="K1" s="16"/>
      <c r="L1" s="19" t="s">
        <v>1142</v>
      </c>
      <c r="M1" s="19" t="s">
        <v>1143</v>
      </c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71" x14ac:dyDescent="0.3">
      <c r="A2" s="1302" t="s">
        <v>1129</v>
      </c>
      <c r="B2" s="1301">
        <v>7684</v>
      </c>
      <c r="D2" t="s">
        <v>1129</v>
      </c>
      <c r="E2" s="1303">
        <f ca="1">SUMIF(A2:B13,D2,B2:B13)</f>
        <v>37240</v>
      </c>
      <c r="F2" s="1307" t="s">
        <v>1133</v>
      </c>
      <c r="I2" s="16"/>
      <c r="J2" s="16"/>
      <c r="K2" s="16"/>
      <c r="L2" s="19" t="s">
        <v>387</v>
      </c>
      <c r="M2" s="19" t="s">
        <v>387</v>
      </c>
      <c r="AO2" s="270" t="s">
        <v>368</v>
      </c>
      <c r="AP2" s="108"/>
      <c r="AQ2" s="108"/>
      <c r="AR2" s="108"/>
      <c r="AS2" s="108"/>
      <c r="AT2" s="108"/>
      <c r="AU2" s="108"/>
      <c r="AV2" s="42"/>
      <c r="AW2" s="270" t="s">
        <v>368</v>
      </c>
      <c r="AX2" s="108"/>
      <c r="AY2" s="108"/>
      <c r="AZ2" s="108"/>
      <c r="BA2" s="108"/>
      <c r="BB2" s="1236">
        <v>2020</v>
      </c>
      <c r="BC2" s="1236">
        <v>2019</v>
      </c>
      <c r="BD2" s="42"/>
    </row>
    <row r="3" spans="1:71" x14ac:dyDescent="0.3">
      <c r="A3" s="1302" t="s">
        <v>1130</v>
      </c>
      <c r="B3" s="1301">
        <v>6396</v>
      </c>
      <c r="D3" t="s">
        <v>1130</v>
      </c>
      <c r="E3" s="1303">
        <f ca="1">SUMIF(A2:B13,D3,B2:B13)</f>
        <v>37325</v>
      </c>
      <c r="F3" s="1307" t="s">
        <v>1134</v>
      </c>
      <c r="I3" s="20" t="s">
        <v>1140</v>
      </c>
      <c r="J3" s="20"/>
      <c r="K3" s="20"/>
      <c r="L3" s="21">
        <v>1000</v>
      </c>
      <c r="M3" s="21">
        <v>1000</v>
      </c>
      <c r="Y3" s="1359" t="s">
        <v>372</v>
      </c>
      <c r="Z3" s="1359"/>
      <c r="AA3" s="1359"/>
      <c r="AB3" s="1357" t="s">
        <v>1215</v>
      </c>
      <c r="AC3" s="1355" t="s">
        <v>1216</v>
      </c>
      <c r="AD3" s="1353" t="s">
        <v>1217</v>
      </c>
      <c r="AO3" s="270" t="s">
        <v>1199</v>
      </c>
      <c r="AP3" s="108"/>
      <c r="AQ3" s="108"/>
      <c r="AR3" s="108"/>
      <c r="AS3" s="108"/>
      <c r="AT3" s="108"/>
      <c r="AU3" s="108"/>
      <c r="AV3" s="42"/>
      <c r="AW3" s="270" t="s">
        <v>1199</v>
      </c>
      <c r="AX3" s="108"/>
      <c r="AY3" s="108"/>
      <c r="AZ3" s="108"/>
      <c r="BA3" s="108"/>
      <c r="BB3" s="1236" t="s">
        <v>387</v>
      </c>
      <c r="BC3" s="1236" t="s">
        <v>387</v>
      </c>
      <c r="BD3" s="42"/>
      <c r="BE3" s="459" t="s">
        <v>16</v>
      </c>
      <c r="BF3" s="459"/>
      <c r="BG3" s="459"/>
      <c r="BH3" s="459"/>
      <c r="BI3" s="459"/>
      <c r="BJ3" s="459"/>
      <c r="BK3" s="1285">
        <f>+'130-145'!CA8</f>
        <v>1859.6155950650564</v>
      </c>
      <c r="BM3" s="459" t="s">
        <v>16</v>
      </c>
      <c r="BN3" s="459"/>
      <c r="BO3" s="459"/>
      <c r="BP3" s="459"/>
      <c r="BQ3" s="459"/>
      <c r="BR3" s="459"/>
      <c r="BS3" s="1285">
        <f>+BK3</f>
        <v>1859.6155950650564</v>
      </c>
    </row>
    <row r="4" spans="1:71" x14ac:dyDescent="0.3">
      <c r="A4" s="1302" t="s">
        <v>1129</v>
      </c>
      <c r="B4" s="1301">
        <v>7467</v>
      </c>
      <c r="D4" s="1304" t="s">
        <v>40</v>
      </c>
      <c r="E4" s="1305">
        <f ca="1">SUM(E2:E3)</f>
        <v>74565</v>
      </c>
      <c r="I4" s="20" t="s">
        <v>1141</v>
      </c>
      <c r="J4" s="20"/>
      <c r="K4" s="20"/>
      <c r="L4" s="21">
        <f>+M4+M5</f>
        <v>17000</v>
      </c>
      <c r="M4" s="21">
        <v>8000</v>
      </c>
      <c r="Y4" s="1359"/>
      <c r="Z4" s="1359"/>
      <c r="AA4" s="1359"/>
      <c r="AB4" s="1358" t="s">
        <v>3</v>
      </c>
      <c r="AC4" s="1356" t="s">
        <v>3</v>
      </c>
      <c r="AD4" s="1354" t="s">
        <v>3</v>
      </c>
      <c r="AO4" s="270" t="s">
        <v>1255</v>
      </c>
      <c r="AP4" s="108"/>
      <c r="AQ4" s="108"/>
      <c r="AR4" s="108"/>
      <c r="AS4" s="108"/>
      <c r="AT4" s="108"/>
      <c r="AU4" s="108"/>
      <c r="AV4" s="42"/>
      <c r="AW4" s="685" t="s">
        <v>51</v>
      </c>
      <c r="AX4" s="633"/>
      <c r="AY4" s="633"/>
      <c r="AZ4" s="633"/>
      <c r="BA4" s="633"/>
      <c r="BB4" s="633"/>
      <c r="BC4" s="633"/>
      <c r="BD4" s="42"/>
      <c r="BE4" s="459" t="s">
        <v>402</v>
      </c>
      <c r="BF4" s="459"/>
      <c r="BG4" s="459"/>
      <c r="BH4" s="459"/>
      <c r="BI4" s="459"/>
      <c r="BJ4" s="459"/>
      <c r="BK4" s="475"/>
      <c r="BM4" s="459" t="s">
        <v>402</v>
      </c>
      <c r="BN4" s="459"/>
      <c r="BO4" s="459"/>
      <c r="BP4" s="459"/>
      <c r="BQ4" s="459"/>
      <c r="BR4" s="459"/>
      <c r="BS4" s="475"/>
    </row>
    <row r="5" spans="1:71" x14ac:dyDescent="0.3">
      <c r="A5" s="1302" t="s">
        <v>1130</v>
      </c>
      <c r="B5" s="1301">
        <v>8393</v>
      </c>
      <c r="I5" s="20" t="s">
        <v>224</v>
      </c>
      <c r="J5" s="20"/>
      <c r="K5" s="20"/>
      <c r="L5" s="21">
        <v>0</v>
      </c>
      <c r="M5" s="21">
        <v>9000</v>
      </c>
      <c r="Y5" s="131" t="s">
        <v>9</v>
      </c>
      <c r="Z5" s="131"/>
      <c r="AA5" s="175"/>
      <c r="AB5" s="132">
        <v>1000</v>
      </c>
      <c r="AC5" s="132">
        <v>2200</v>
      </c>
      <c r="AD5" s="132">
        <v>3400</v>
      </c>
      <c r="AO5" s="1388"/>
      <c r="AP5" s="1388"/>
      <c r="AQ5" s="1388"/>
      <c r="AR5" s="1388"/>
      <c r="AS5" s="1388"/>
      <c r="AT5" s="1389">
        <v>2020</v>
      </c>
      <c r="AU5" s="1389">
        <v>2019</v>
      </c>
      <c r="AV5" s="42"/>
      <c r="AW5" s="633" t="s">
        <v>248</v>
      </c>
      <c r="AX5" s="633"/>
      <c r="AY5" s="633"/>
      <c r="AZ5" s="633"/>
      <c r="BA5" s="633"/>
      <c r="BB5" s="642">
        <v>10000</v>
      </c>
      <c r="BC5" s="642">
        <v>12000</v>
      </c>
      <c r="BD5" s="42"/>
      <c r="BE5" s="1284" t="s">
        <v>92</v>
      </c>
      <c r="BF5" s="1287"/>
      <c r="BG5" s="1287"/>
      <c r="BH5" s="1287"/>
      <c r="BI5" s="1287"/>
      <c r="BJ5" s="1287"/>
      <c r="BK5" s="475">
        <f>+'130-145'!CA12</f>
        <v>150</v>
      </c>
      <c r="BM5" s="1284" t="s">
        <v>92</v>
      </c>
      <c r="BN5" s="1287"/>
      <c r="BO5" s="1287"/>
      <c r="BP5" s="1287"/>
      <c r="BQ5" s="1287"/>
      <c r="BR5" s="1287"/>
      <c r="BS5" s="475">
        <f>+BK5</f>
        <v>150</v>
      </c>
    </row>
    <row r="6" spans="1:71" x14ac:dyDescent="0.3">
      <c r="A6" s="1302" t="s">
        <v>1129</v>
      </c>
      <c r="B6" s="1301">
        <v>6286</v>
      </c>
      <c r="I6" s="1312"/>
      <c r="J6" s="1312"/>
      <c r="K6" s="1312"/>
      <c r="L6" s="1313">
        <f>SUM(L3:L5)</f>
        <v>18000</v>
      </c>
      <c r="M6" s="1313">
        <f>SUM(M3:M5)</f>
        <v>18000</v>
      </c>
      <c r="Y6" s="131" t="s">
        <v>10</v>
      </c>
      <c r="Z6" s="131"/>
      <c r="AA6" s="175"/>
      <c r="AB6" s="132">
        <f>-AB5*0.6</f>
        <v>-600</v>
      </c>
      <c r="AC6" s="132">
        <f t="shared" ref="AC6:AD6" si="0">-AC5*0.6</f>
        <v>-1320</v>
      </c>
      <c r="AD6" s="132">
        <f t="shared" si="0"/>
        <v>-2040</v>
      </c>
      <c r="AO6" s="1388"/>
      <c r="AP6" s="1388"/>
      <c r="AQ6" s="1388"/>
      <c r="AR6" s="1388"/>
      <c r="AS6" s="1388"/>
      <c r="AT6" s="1389" t="s">
        <v>387</v>
      </c>
      <c r="AU6" s="1389" t="s">
        <v>387</v>
      </c>
      <c r="AV6" s="42"/>
      <c r="AW6" s="633" t="s">
        <v>138</v>
      </c>
      <c r="AX6" s="633"/>
      <c r="AY6" s="633"/>
      <c r="AZ6" s="633"/>
      <c r="BA6" s="633"/>
      <c r="BB6" s="642">
        <v>-5000</v>
      </c>
      <c r="BC6" s="642">
        <v>-6000</v>
      </c>
      <c r="BD6" s="42"/>
      <c r="BE6" s="1284" t="s">
        <v>174</v>
      </c>
      <c r="BF6" s="1287"/>
      <c r="BG6" s="1287"/>
      <c r="BH6" s="1287"/>
      <c r="BI6" s="1287"/>
      <c r="BJ6" s="1287"/>
      <c r="BK6" s="475">
        <f>+'130-145'!CA13</f>
        <v>20</v>
      </c>
      <c r="BM6" s="1284" t="s">
        <v>174</v>
      </c>
      <c r="BN6" s="1287"/>
      <c r="BO6" s="1287"/>
      <c r="BP6" s="1287"/>
      <c r="BQ6" s="1287"/>
      <c r="BR6" s="1287"/>
      <c r="BS6" s="475">
        <f t="shared" ref="BS6:BS9" si="1">+BK6</f>
        <v>20</v>
      </c>
    </row>
    <row r="7" spans="1:71" x14ac:dyDescent="0.3">
      <c r="A7" s="1302" t="s">
        <v>1130</v>
      </c>
      <c r="B7" s="1301">
        <v>3642</v>
      </c>
      <c r="Y7" s="1333" t="s">
        <v>13</v>
      </c>
      <c r="Z7" s="1333"/>
      <c r="AA7" s="1335"/>
      <c r="AB7" s="1334">
        <f t="shared" ref="AB7" si="2">+AB5+AB6</f>
        <v>400</v>
      </c>
      <c r="AC7" s="1334">
        <f t="shared" ref="AC7" si="3">+AC5+AC6</f>
        <v>880</v>
      </c>
      <c r="AD7" s="1334">
        <f t="shared" ref="AD7" si="4">+AD5+AD6</f>
        <v>1360</v>
      </c>
      <c r="AO7" s="42" t="s">
        <v>624</v>
      </c>
      <c r="AP7" s="42"/>
      <c r="AQ7" s="42"/>
      <c r="AR7" s="42"/>
      <c r="AS7" s="42"/>
      <c r="AT7" s="1311">
        <v>22000</v>
      </c>
      <c r="AU7" s="1311">
        <v>12000</v>
      </c>
      <c r="AV7" s="42"/>
      <c r="AW7" s="633" t="s">
        <v>1200</v>
      </c>
      <c r="AX7" s="633"/>
      <c r="AY7" s="633"/>
      <c r="AZ7" s="633"/>
      <c r="BA7" s="633"/>
      <c r="BB7" s="642">
        <v>-2000</v>
      </c>
      <c r="BC7" s="642">
        <v>-3000</v>
      </c>
      <c r="BD7" s="42"/>
      <c r="BE7" s="1284" t="s">
        <v>1018</v>
      </c>
      <c r="BF7" s="1286"/>
      <c r="BG7" s="1286"/>
      <c r="BH7" s="1286"/>
      <c r="BI7" s="1286"/>
      <c r="BJ7" s="1286"/>
      <c r="BK7" s="475">
        <f>+'130-145'!CA15</f>
        <v>120</v>
      </c>
      <c r="BM7" s="1284" t="s">
        <v>1018</v>
      </c>
      <c r="BN7" s="1286"/>
      <c r="BO7" s="1286"/>
      <c r="BP7" s="1286"/>
      <c r="BQ7" s="1286"/>
      <c r="BR7" s="1286"/>
      <c r="BS7" s="475">
        <f t="shared" si="1"/>
        <v>120</v>
      </c>
    </row>
    <row r="8" spans="1:71" x14ac:dyDescent="0.3">
      <c r="A8" s="1302" t="s">
        <v>1129</v>
      </c>
      <c r="B8" s="1301">
        <v>2050</v>
      </c>
      <c r="I8" s="16" t="s">
        <v>1144</v>
      </c>
      <c r="J8" s="16"/>
      <c r="K8" s="16"/>
      <c r="L8" s="18"/>
      <c r="M8" s="18"/>
      <c r="Y8" s="131" t="s">
        <v>44</v>
      </c>
      <c r="Z8" s="131"/>
      <c r="AA8" s="175"/>
      <c r="AB8" s="132">
        <v>-40</v>
      </c>
      <c r="AC8" s="132">
        <f>+AB8*2</f>
        <v>-80</v>
      </c>
      <c r="AD8" s="132">
        <f>+AB8*3</f>
        <v>-120</v>
      </c>
      <c r="AO8" t="s">
        <v>635</v>
      </c>
      <c r="AT8" s="1320" t="s">
        <v>635</v>
      </c>
      <c r="AU8" s="1320" t="s">
        <v>635</v>
      </c>
      <c r="AW8" s="633" t="s">
        <v>137</v>
      </c>
      <c r="AX8" s="633"/>
      <c r="AY8" s="633"/>
      <c r="AZ8" s="633"/>
      <c r="BA8" s="633"/>
      <c r="BB8" s="642">
        <v>-1000</v>
      </c>
      <c r="BC8" s="642">
        <v>-900</v>
      </c>
      <c r="BE8" s="1284" t="s">
        <v>1002</v>
      </c>
      <c r="BF8" s="1286"/>
      <c r="BG8" s="1286"/>
      <c r="BH8" s="1286"/>
      <c r="BI8" s="1286"/>
      <c r="BJ8" s="1286"/>
      <c r="BK8" s="475">
        <v>1200</v>
      </c>
      <c r="BM8" s="1284" t="s">
        <v>1002</v>
      </c>
      <c r="BN8" s="1286"/>
      <c r="BO8" s="1286"/>
      <c r="BP8" s="1286"/>
      <c r="BQ8" s="1286"/>
      <c r="BR8" s="1286"/>
      <c r="BS8" s="475">
        <f t="shared" si="1"/>
        <v>1200</v>
      </c>
    </row>
    <row r="9" spans="1:71" x14ac:dyDescent="0.3">
      <c r="A9" s="1302" t="s">
        <v>1130</v>
      </c>
      <c r="B9" s="1301">
        <v>4105</v>
      </c>
      <c r="I9" s="16" t="s">
        <v>62</v>
      </c>
      <c r="J9" s="16"/>
      <c r="K9" s="16"/>
      <c r="L9" s="19">
        <v>2020</v>
      </c>
      <c r="M9" s="19">
        <v>2019</v>
      </c>
      <c r="Y9" s="131" t="s">
        <v>38</v>
      </c>
      <c r="Z9" s="131"/>
      <c r="AA9" s="175"/>
      <c r="AB9" s="132">
        <v>-10</v>
      </c>
      <c r="AC9" s="132">
        <f>+AB9*2</f>
        <v>-20</v>
      </c>
      <c r="AD9" s="132">
        <f>+AB9*3</f>
        <v>-30</v>
      </c>
      <c r="AW9" s="16" t="s">
        <v>1259</v>
      </c>
      <c r="AX9" s="17"/>
      <c r="AY9" s="17"/>
      <c r="AZ9" s="17"/>
      <c r="BA9" s="17"/>
      <c r="BB9" s="17"/>
      <c r="BC9" s="17"/>
      <c r="BE9" s="1284" t="s">
        <v>824</v>
      </c>
      <c r="BF9" s="1286"/>
      <c r="BG9" s="1286"/>
      <c r="BH9" s="1286"/>
      <c r="BI9" s="1286"/>
      <c r="BJ9" s="1286"/>
      <c r="BK9" s="475">
        <f>+'130-145'!CA17</f>
        <v>-51</v>
      </c>
      <c r="BM9" s="1284" t="s">
        <v>824</v>
      </c>
      <c r="BN9" s="1286"/>
      <c r="BO9" s="1286"/>
      <c r="BP9" s="1286"/>
      <c r="BQ9" s="1286"/>
      <c r="BR9" s="1286"/>
      <c r="BS9" s="475">
        <f t="shared" si="1"/>
        <v>-51</v>
      </c>
    </row>
    <row r="10" spans="1:71" x14ac:dyDescent="0.3">
      <c r="A10" s="1302" t="s">
        <v>1130</v>
      </c>
      <c r="B10" s="1301">
        <v>6396</v>
      </c>
      <c r="I10" s="16" t="s">
        <v>625</v>
      </c>
      <c r="J10" s="16"/>
      <c r="K10" s="16"/>
      <c r="L10" s="19" t="s">
        <v>387</v>
      </c>
      <c r="M10" s="19" t="s">
        <v>387</v>
      </c>
      <c r="Y10" s="1333" t="s">
        <v>14</v>
      </c>
      <c r="Z10" s="1333"/>
      <c r="AA10" s="1335"/>
      <c r="AB10" s="1334">
        <f>SUM(AB7:AB9)</f>
        <v>350</v>
      </c>
      <c r="AC10" s="1334">
        <f>SUM(AC7:AC9)</f>
        <v>780</v>
      </c>
      <c r="AD10" s="1334">
        <f>SUM(AD7:AD9)</f>
        <v>1210</v>
      </c>
      <c r="AO10" s="270" t="s">
        <v>368</v>
      </c>
      <c r="AP10" s="108"/>
      <c r="AQ10" s="108"/>
      <c r="AR10" s="108"/>
      <c r="AS10" s="108"/>
      <c r="AT10" s="108"/>
      <c r="AU10" s="108"/>
      <c r="AW10" s="16" t="s">
        <v>1260</v>
      </c>
      <c r="AX10" s="17"/>
      <c r="AY10" s="17"/>
      <c r="AZ10" s="17"/>
      <c r="BA10" s="17"/>
      <c r="BB10" s="48">
        <f>SUM(BB5:BB8)</f>
        <v>2000</v>
      </c>
      <c r="BC10" s="48">
        <f>SUM(BC5:BC8)</f>
        <v>2100</v>
      </c>
      <c r="BE10" s="459" t="s">
        <v>152</v>
      </c>
      <c r="BF10" s="459"/>
      <c r="BG10" s="459"/>
      <c r="BH10" s="459"/>
      <c r="BI10" s="459"/>
      <c r="BJ10" s="459"/>
      <c r="BK10" s="475"/>
      <c r="BM10" s="459" t="s">
        <v>152</v>
      </c>
      <c r="BN10" s="459"/>
      <c r="BO10" s="459"/>
      <c r="BP10" s="459"/>
      <c r="BQ10" s="459"/>
      <c r="BR10" s="459"/>
      <c r="BS10" s="475"/>
    </row>
    <row r="11" spans="1:71" x14ac:dyDescent="0.3">
      <c r="A11" s="1302" t="s">
        <v>1129</v>
      </c>
      <c r="B11" s="1301">
        <v>7467</v>
      </c>
      <c r="I11" s="20" t="s">
        <v>1</v>
      </c>
      <c r="J11" s="20"/>
      <c r="K11" s="20"/>
      <c r="L11" s="21">
        <v>12000</v>
      </c>
      <c r="M11" s="21">
        <v>7000</v>
      </c>
      <c r="Y11" s="131" t="s">
        <v>15</v>
      </c>
      <c r="Z11" s="131"/>
      <c r="AA11" s="175"/>
      <c r="AB11" s="132">
        <f>+-AB10*0.3</f>
        <v>-105</v>
      </c>
      <c r="AC11" s="132">
        <f>+-AC10*0.3</f>
        <v>-234</v>
      </c>
      <c r="AD11" s="132">
        <f>+-AD10*0.3</f>
        <v>-363</v>
      </c>
      <c r="AO11" s="270" t="s">
        <v>1199</v>
      </c>
      <c r="AP11" s="108"/>
      <c r="AQ11" s="108"/>
      <c r="AR11" s="108"/>
      <c r="AS11" s="108"/>
      <c r="AT11" s="108"/>
      <c r="AU11" s="108"/>
      <c r="BE11" s="1284" t="s">
        <v>252</v>
      </c>
      <c r="BF11" s="455"/>
      <c r="BG11" s="455"/>
      <c r="BH11" s="455"/>
      <c r="BI11" s="455"/>
      <c r="BJ11" s="455"/>
      <c r="BK11" s="475">
        <f ca="1">+'130-145'!CA21</f>
        <v>-750</v>
      </c>
      <c r="BM11" s="1284" t="s">
        <v>361</v>
      </c>
      <c r="BN11" s="455"/>
      <c r="BO11" s="455"/>
      <c r="BP11" s="455"/>
      <c r="BQ11" s="455"/>
      <c r="BR11" s="455"/>
      <c r="BS11" s="475">
        <f t="shared" ref="BS11:BS15" ca="1" si="5">+BK11</f>
        <v>-750</v>
      </c>
    </row>
    <row r="12" spans="1:71" x14ac:dyDescent="0.3">
      <c r="A12" s="1302" t="s">
        <v>1130</v>
      </c>
      <c r="B12" s="1301">
        <v>8393</v>
      </c>
      <c r="I12" s="20" t="s">
        <v>1145</v>
      </c>
      <c r="J12" s="20"/>
      <c r="K12" s="20"/>
      <c r="L12" s="21">
        <v>4000</v>
      </c>
      <c r="M12" s="21">
        <v>3000</v>
      </c>
      <c r="Y12" s="1333" t="s">
        <v>16</v>
      </c>
      <c r="Z12" s="1333"/>
      <c r="AA12" s="1335"/>
      <c r="AB12" s="1334">
        <f>+AB10+AB11</f>
        <v>245</v>
      </c>
      <c r="AC12" s="1334">
        <f>+AC10+AC11</f>
        <v>546</v>
      </c>
      <c r="AD12" s="1334">
        <f>+AD10+AD11</f>
        <v>847</v>
      </c>
      <c r="AO12" s="270" t="s">
        <v>1254</v>
      </c>
      <c r="AP12" s="108"/>
      <c r="AQ12" s="108"/>
      <c r="AR12" s="108"/>
      <c r="AS12" s="108"/>
      <c r="AT12" s="108"/>
      <c r="AU12" s="108"/>
      <c r="AW12" s="270" t="s">
        <v>368</v>
      </c>
      <c r="AX12" s="108"/>
      <c r="AY12" s="108"/>
      <c r="AZ12" s="108"/>
      <c r="BA12" s="108"/>
      <c r="BB12" s="1236">
        <v>2020</v>
      </c>
      <c r="BC12" s="1236">
        <v>2019</v>
      </c>
      <c r="BE12" s="1284" t="s">
        <v>674</v>
      </c>
      <c r="BF12" s="455"/>
      <c r="BG12" s="455"/>
      <c r="BH12" s="455"/>
      <c r="BI12" s="455"/>
      <c r="BJ12" s="455"/>
      <c r="BK12" s="475">
        <f ca="1">+'130-145'!CA22</f>
        <v>80</v>
      </c>
      <c r="BM12" s="1284" t="s">
        <v>1262</v>
      </c>
      <c r="BN12" s="455"/>
      <c r="BO12" s="455"/>
      <c r="BP12" s="455"/>
      <c r="BQ12" s="455"/>
      <c r="BR12" s="455"/>
      <c r="BS12" s="475">
        <f t="shared" ca="1" si="5"/>
        <v>80</v>
      </c>
    </row>
    <row r="13" spans="1:71" x14ac:dyDescent="0.3">
      <c r="A13" s="1302" t="s">
        <v>1129</v>
      </c>
      <c r="B13" s="1301">
        <v>6286</v>
      </c>
      <c r="I13" s="20" t="s">
        <v>90</v>
      </c>
      <c r="J13" s="20"/>
      <c r="K13" s="20"/>
      <c r="L13" s="21">
        <v>10500</v>
      </c>
      <c r="M13" s="21">
        <v>8500</v>
      </c>
      <c r="AO13" s="1388"/>
      <c r="AP13" s="1388"/>
      <c r="AQ13" s="1388"/>
      <c r="AR13" s="1388"/>
      <c r="AS13" s="1388"/>
      <c r="AT13" s="1389">
        <v>2020</v>
      </c>
      <c r="AU13" s="1389">
        <v>2019</v>
      </c>
      <c r="AW13" s="270" t="s">
        <v>1199</v>
      </c>
      <c r="AX13" s="108"/>
      <c r="AY13" s="108"/>
      <c r="AZ13" s="108"/>
      <c r="BA13" s="108"/>
      <c r="BB13" s="1236" t="s">
        <v>387</v>
      </c>
      <c r="BC13" s="1236" t="s">
        <v>387</v>
      </c>
      <c r="BE13" s="1284" t="s">
        <v>4</v>
      </c>
      <c r="BF13" s="455"/>
      <c r="BG13" s="455"/>
      <c r="BH13" s="455"/>
      <c r="BI13" s="455"/>
      <c r="BJ13" s="455"/>
      <c r="BK13" s="475">
        <f ca="1">+'130-145'!CA24</f>
        <v>-100</v>
      </c>
      <c r="BM13" s="1284" t="s">
        <v>1263</v>
      </c>
      <c r="BN13" s="455"/>
      <c r="BO13" s="455"/>
      <c r="BP13" s="455"/>
      <c r="BQ13" s="455"/>
      <c r="BR13" s="455"/>
      <c r="BS13" s="475">
        <f t="shared" ca="1" si="5"/>
        <v>-100</v>
      </c>
    </row>
    <row r="14" spans="1:71" ht="19.5" thickBot="1" x14ac:dyDescent="0.35">
      <c r="A14" s="1304" t="s">
        <v>40</v>
      </c>
      <c r="B14" s="1306">
        <f>SUM(B2:B13)</f>
        <v>74565</v>
      </c>
      <c r="I14" s="20" t="s">
        <v>912</v>
      </c>
      <c r="J14" s="20"/>
      <c r="K14" s="20"/>
      <c r="L14" s="23">
        <v>10100</v>
      </c>
      <c r="M14" s="23">
        <v>9500</v>
      </c>
      <c r="AO14" s="1388"/>
      <c r="AP14" s="1388"/>
      <c r="AQ14" s="1388"/>
      <c r="AR14" s="1388"/>
      <c r="AS14" s="1388"/>
      <c r="AT14" s="1389" t="s">
        <v>387</v>
      </c>
      <c r="AU14" s="1389" t="s">
        <v>387</v>
      </c>
      <c r="AW14" s="685" t="s">
        <v>51</v>
      </c>
      <c r="AX14" s="633"/>
      <c r="AY14" s="633"/>
      <c r="AZ14" s="633"/>
      <c r="BA14" s="633"/>
      <c r="BB14" s="633"/>
      <c r="BC14" s="633"/>
      <c r="BE14" s="1284" t="s">
        <v>23</v>
      </c>
      <c r="BF14" s="455"/>
      <c r="BG14" s="455"/>
      <c r="BH14" s="455"/>
      <c r="BI14" s="455"/>
      <c r="BJ14" s="455"/>
      <c r="BK14" s="475">
        <f ca="1">+'130-145'!CA25</f>
        <v>250</v>
      </c>
      <c r="BM14" s="1284" t="s">
        <v>1264</v>
      </c>
      <c r="BN14" s="455"/>
      <c r="BO14" s="455"/>
      <c r="BP14" s="455"/>
      <c r="BQ14" s="455"/>
      <c r="BR14" s="455"/>
      <c r="BS14" s="475">
        <f t="shared" ca="1" si="5"/>
        <v>250</v>
      </c>
    </row>
    <row r="15" spans="1:71" x14ac:dyDescent="0.3">
      <c r="I15" s="16" t="s">
        <v>78</v>
      </c>
      <c r="J15" s="16"/>
      <c r="K15" s="16"/>
      <c r="L15" s="24">
        <f>SUM(L11:L14)</f>
        <v>36600</v>
      </c>
      <c r="M15" s="24">
        <f>SUM(M11:M14)</f>
        <v>28000</v>
      </c>
      <c r="Y15" s="1359" t="s">
        <v>372</v>
      </c>
      <c r="Z15" s="1359"/>
      <c r="AA15" s="1359"/>
      <c r="AB15" s="1357" t="s">
        <v>1215</v>
      </c>
      <c r="AC15" s="1355" t="s">
        <v>1193</v>
      </c>
      <c r="AD15" s="1353" t="s">
        <v>1194</v>
      </c>
      <c r="AE15" s="1363" t="s">
        <v>1217</v>
      </c>
      <c r="AO15" s="42" t="s">
        <v>624</v>
      </c>
      <c r="AP15" s="42"/>
      <c r="AQ15" s="42"/>
      <c r="AR15" s="42"/>
      <c r="AS15" s="42"/>
      <c r="AT15" s="1311">
        <v>22000</v>
      </c>
      <c r="AU15" s="1311">
        <v>12000</v>
      </c>
      <c r="AW15" s="633" t="s">
        <v>248</v>
      </c>
      <c r="AX15" s="633"/>
      <c r="AY15" s="633"/>
      <c r="AZ15" s="633"/>
      <c r="BA15" s="633"/>
      <c r="BB15" s="642">
        <f>+BB5</f>
        <v>10000</v>
      </c>
      <c r="BC15" s="642">
        <v>6000</v>
      </c>
      <c r="BE15" s="1284" t="s">
        <v>27</v>
      </c>
      <c r="BF15" s="455"/>
      <c r="BG15" s="455"/>
      <c r="BH15" s="455"/>
      <c r="BI15" s="455"/>
      <c r="BJ15" s="455"/>
      <c r="BK15" s="475">
        <f ca="1">+'130-145'!CA27</f>
        <v>80</v>
      </c>
      <c r="BM15" s="1284" t="s">
        <v>1265</v>
      </c>
      <c r="BN15" s="455"/>
      <c r="BO15" s="455"/>
      <c r="BP15" s="455"/>
      <c r="BQ15" s="455"/>
      <c r="BR15" s="455"/>
      <c r="BS15" s="475">
        <f t="shared" ca="1" si="5"/>
        <v>80</v>
      </c>
    </row>
    <row r="16" spans="1:71" x14ac:dyDescent="0.3">
      <c r="I16" s="42"/>
      <c r="J16" s="42"/>
      <c r="K16" s="42"/>
      <c r="L16" s="1315"/>
      <c r="M16" s="1315"/>
      <c r="Y16" s="1359"/>
      <c r="Z16" s="1359"/>
      <c r="AA16" s="1359"/>
      <c r="AB16" s="1358" t="s">
        <v>3</v>
      </c>
      <c r="AC16" s="1356" t="s">
        <v>3</v>
      </c>
      <c r="AD16" s="1354" t="s">
        <v>3</v>
      </c>
      <c r="AE16" s="1364" t="s">
        <v>3</v>
      </c>
      <c r="AO16" t="s">
        <v>635</v>
      </c>
      <c r="AT16" s="1320" t="s">
        <v>635</v>
      </c>
      <c r="AU16" s="1320" t="s">
        <v>635</v>
      </c>
      <c r="AW16" s="633" t="s">
        <v>138</v>
      </c>
      <c r="AX16" s="633"/>
      <c r="AY16" s="633"/>
      <c r="AZ16" s="633"/>
      <c r="BA16" s="633"/>
      <c r="BB16" s="642">
        <v>-5000</v>
      </c>
      <c r="BC16" s="642">
        <v>-6000</v>
      </c>
      <c r="BE16" s="16" t="s">
        <v>145</v>
      </c>
      <c r="BF16" s="16"/>
      <c r="BG16" s="16"/>
      <c r="BH16" s="16"/>
      <c r="BI16" s="16"/>
      <c r="BJ16" s="16"/>
      <c r="BK16" s="48">
        <f ca="1">SUM(BK3:BK15)</f>
        <v>2858.6155950650564</v>
      </c>
      <c r="BM16" s="16" t="s">
        <v>145</v>
      </c>
      <c r="BN16" s="16"/>
      <c r="BO16" s="16"/>
      <c r="BP16" s="16"/>
      <c r="BQ16" s="16"/>
      <c r="BR16" s="16"/>
      <c r="BS16" s="48">
        <f ca="1">SUM(BS3:BS15)</f>
        <v>2858.6155950650564</v>
      </c>
    </row>
    <row r="17" spans="9:55" x14ac:dyDescent="0.3">
      <c r="I17" s="16" t="s">
        <v>1144</v>
      </c>
      <c r="J17" s="16"/>
      <c r="K17" s="16"/>
      <c r="L17" s="18"/>
      <c r="M17" s="18"/>
      <c r="Y17" s="131" t="s">
        <v>9</v>
      </c>
      <c r="Z17" s="131"/>
      <c r="AA17" s="175"/>
      <c r="AB17" s="132">
        <v>1000</v>
      </c>
      <c r="AC17" s="132">
        <f>+AC5-AB17</f>
        <v>1200</v>
      </c>
      <c r="AD17" s="132">
        <f>+AD5-AC5</f>
        <v>1200</v>
      </c>
      <c r="AE17" s="1360">
        <f>+AB17+AC17+AD17</f>
        <v>3400</v>
      </c>
      <c r="AW17" s="633" t="s">
        <v>1200</v>
      </c>
      <c r="AX17" s="633"/>
      <c r="AY17" s="633"/>
      <c r="AZ17" s="633"/>
      <c r="BA17" s="633"/>
      <c r="BB17" s="642">
        <v>-2000</v>
      </c>
      <c r="BC17" s="642">
        <v>-3000</v>
      </c>
    </row>
    <row r="18" spans="9:55" x14ac:dyDescent="0.3">
      <c r="I18" s="16" t="s">
        <v>62</v>
      </c>
      <c r="J18" s="16"/>
      <c r="K18" s="16"/>
      <c r="L18" s="19">
        <v>2020</v>
      </c>
      <c r="M18" s="19">
        <v>2019</v>
      </c>
      <c r="Y18" s="131" t="s">
        <v>10</v>
      </c>
      <c r="Z18" s="131"/>
      <c r="AA18" s="175"/>
      <c r="AB18" s="132">
        <f>-AB17*0.6</f>
        <v>-600</v>
      </c>
      <c r="AC18" s="132">
        <f>+AC6-AB18</f>
        <v>-720</v>
      </c>
      <c r="AD18" s="132">
        <f>+AD6-AC6</f>
        <v>-720</v>
      </c>
      <c r="AE18" s="1360">
        <f>+AB18+AC18+AD18</f>
        <v>-2040</v>
      </c>
      <c r="AO18" s="270" t="s">
        <v>368</v>
      </c>
      <c r="AP18" s="108"/>
      <c r="AQ18" s="108"/>
      <c r="AR18" s="108"/>
      <c r="AS18" s="108"/>
      <c r="AT18" s="108"/>
      <c r="AU18" s="108"/>
      <c r="AW18" s="633" t="s">
        <v>137</v>
      </c>
      <c r="AX18" s="633"/>
      <c r="AY18" s="633"/>
      <c r="AZ18" s="633"/>
      <c r="BA18" s="633"/>
      <c r="BB18" s="642">
        <v>-1000</v>
      </c>
      <c r="BC18" s="642">
        <v>-900</v>
      </c>
    </row>
    <row r="19" spans="9:55" x14ac:dyDescent="0.3">
      <c r="I19" s="16" t="s">
        <v>625</v>
      </c>
      <c r="J19" s="16"/>
      <c r="K19" s="16"/>
      <c r="L19" s="19" t="s">
        <v>387</v>
      </c>
      <c r="M19" s="19" t="s">
        <v>387</v>
      </c>
      <c r="Y19" s="1333" t="s">
        <v>13</v>
      </c>
      <c r="Z19" s="1333"/>
      <c r="AA19" s="1335"/>
      <c r="AB19" s="1334">
        <f t="shared" ref="AB19" si="6">+AB17+AB18</f>
        <v>400</v>
      </c>
      <c r="AC19" s="1334">
        <f t="shared" ref="AC19" si="7">+AC17+AC18</f>
        <v>480</v>
      </c>
      <c r="AD19" s="1334">
        <f t="shared" ref="AD19:AE19" si="8">+AD17+AD18</f>
        <v>480</v>
      </c>
      <c r="AE19" s="1361">
        <f t="shared" si="8"/>
        <v>1360</v>
      </c>
      <c r="AO19" s="270" t="s">
        <v>1199</v>
      </c>
      <c r="AP19" s="108"/>
      <c r="AQ19" s="108"/>
      <c r="AR19" s="108"/>
      <c r="AS19" s="108"/>
      <c r="AT19" s="108"/>
      <c r="AU19" s="108"/>
      <c r="AW19" s="16" t="s">
        <v>1259</v>
      </c>
      <c r="AX19" s="17"/>
      <c r="AY19" s="17"/>
      <c r="AZ19" s="17"/>
      <c r="BA19" s="17"/>
      <c r="BB19" s="17"/>
      <c r="BC19" s="17"/>
    </row>
    <row r="20" spans="9:55" x14ac:dyDescent="0.3">
      <c r="I20" s="20" t="s">
        <v>221</v>
      </c>
      <c r="J20" s="20"/>
      <c r="K20" s="20"/>
      <c r="L20" s="21">
        <f>+L11+L12</f>
        <v>16000</v>
      </c>
      <c r="M20" s="21">
        <f>+M11+M12</f>
        <v>10000</v>
      </c>
      <c r="Y20" s="131" t="s">
        <v>44</v>
      </c>
      <c r="Z20" s="131"/>
      <c r="AA20" s="175"/>
      <c r="AB20" s="132">
        <v>-40</v>
      </c>
      <c r="AC20" s="132">
        <f t="shared" ref="AC20:AC23" si="9">+AC8-AB20</f>
        <v>-40</v>
      </c>
      <c r="AD20" s="132">
        <f t="shared" ref="AD20:AD23" si="10">+AD8-AC8</f>
        <v>-40</v>
      </c>
      <c r="AE20" s="1360">
        <f t="shared" ref="AE20:AE23" si="11">+AB20+AC20+AD20</f>
        <v>-120</v>
      </c>
      <c r="AO20" s="270" t="s">
        <v>1257</v>
      </c>
      <c r="AP20" s="108"/>
      <c r="AQ20" s="108"/>
      <c r="AR20" s="108"/>
      <c r="AS20" s="108"/>
      <c r="AT20" s="108"/>
      <c r="AU20" s="108"/>
      <c r="AW20" s="16" t="s">
        <v>1261</v>
      </c>
      <c r="AX20" s="17"/>
      <c r="AY20" s="17"/>
      <c r="AZ20" s="17"/>
      <c r="BA20" s="17"/>
      <c r="BB20" s="48">
        <f>SUM(BB15:BB18)</f>
        <v>2000</v>
      </c>
      <c r="BC20" s="48">
        <f>SUM(BC15:BC18)</f>
        <v>-3900</v>
      </c>
    </row>
    <row r="21" spans="9:55" x14ac:dyDescent="0.3">
      <c r="I21" s="20" t="s">
        <v>90</v>
      </c>
      <c r="J21" s="20"/>
      <c r="K21" s="20"/>
      <c r="L21" s="21">
        <v>10500</v>
      </c>
      <c r="M21" s="21">
        <v>8500</v>
      </c>
      <c r="Y21" s="131" t="s">
        <v>38</v>
      </c>
      <c r="Z21" s="131"/>
      <c r="AA21" s="175"/>
      <c r="AB21" s="132">
        <v>-10</v>
      </c>
      <c r="AC21" s="132">
        <f t="shared" si="9"/>
        <v>-10</v>
      </c>
      <c r="AD21" s="132">
        <f t="shared" si="10"/>
        <v>-10</v>
      </c>
      <c r="AE21" s="1360">
        <f t="shared" si="11"/>
        <v>-30</v>
      </c>
      <c r="AO21" s="1388"/>
      <c r="AP21" s="1388"/>
      <c r="AQ21" s="1576" t="s">
        <v>1258</v>
      </c>
      <c r="AR21" s="1576"/>
      <c r="AS21" s="1389"/>
      <c r="AT21" s="1576" t="s">
        <v>1256</v>
      </c>
      <c r="AU21" s="1576"/>
    </row>
    <row r="22" spans="9:55" x14ac:dyDescent="0.3">
      <c r="I22" s="20" t="s">
        <v>912</v>
      </c>
      <c r="J22" s="20"/>
      <c r="K22" s="20"/>
      <c r="L22" s="23">
        <v>10100</v>
      </c>
      <c r="M22" s="23">
        <v>9500</v>
      </c>
      <c r="N22" s="27"/>
      <c r="Y22" s="1333" t="s">
        <v>14</v>
      </c>
      <c r="Z22" s="1333"/>
      <c r="AA22" s="1335"/>
      <c r="AB22" s="1334">
        <f>SUM(AB19:AB21)</f>
        <v>350</v>
      </c>
      <c r="AC22" s="1334">
        <f>SUM(AC19:AC21)</f>
        <v>430</v>
      </c>
      <c r="AD22" s="1334">
        <f>SUM(AD19:AD21)</f>
        <v>430</v>
      </c>
      <c r="AE22" s="1361">
        <f>SUM(AE19:AE21)</f>
        <v>1210</v>
      </c>
      <c r="AO22" s="1388"/>
      <c r="AP22" s="1388"/>
      <c r="AQ22" s="1389">
        <v>2020</v>
      </c>
      <c r="AR22" s="1389">
        <v>2019</v>
      </c>
      <c r="AS22" s="1389"/>
      <c r="AT22" s="1389">
        <v>2020</v>
      </c>
      <c r="AU22" s="1389">
        <v>2019</v>
      </c>
    </row>
    <row r="23" spans="9:55" x14ac:dyDescent="0.3">
      <c r="I23" s="16" t="s">
        <v>78</v>
      </c>
      <c r="J23" s="16"/>
      <c r="K23" s="16"/>
      <c r="L23" s="24">
        <f>SUM(L20:L22)</f>
        <v>36600</v>
      </c>
      <c r="M23" s="24">
        <f>SUM(M20:M22)</f>
        <v>28000</v>
      </c>
      <c r="Y23" s="131" t="s">
        <v>15</v>
      </c>
      <c r="Z23" s="131"/>
      <c r="AA23" s="175"/>
      <c r="AB23" s="132">
        <f>+-AB22*0.3</f>
        <v>-105</v>
      </c>
      <c r="AC23" s="132">
        <f t="shared" si="9"/>
        <v>-129</v>
      </c>
      <c r="AD23" s="132">
        <f t="shared" si="10"/>
        <v>-129</v>
      </c>
      <c r="AE23" s="1360">
        <f t="shared" si="11"/>
        <v>-363</v>
      </c>
      <c r="AO23" s="1388"/>
      <c r="AP23" s="1388"/>
      <c r="AQ23" s="1389" t="s">
        <v>387</v>
      </c>
      <c r="AR23" s="1389" t="s">
        <v>387</v>
      </c>
      <c r="AS23" s="1389"/>
      <c r="AT23" s="1389" t="s">
        <v>387</v>
      </c>
      <c r="AU23" s="1389" t="s">
        <v>387</v>
      </c>
    </row>
    <row r="24" spans="9:55" ht="19.5" thickBot="1" x14ac:dyDescent="0.35">
      <c r="Y24" s="1333" t="s">
        <v>16</v>
      </c>
      <c r="Z24" s="1333"/>
      <c r="AA24" s="1335"/>
      <c r="AB24" s="1334">
        <f>+AB22+AB23</f>
        <v>245</v>
      </c>
      <c r="AC24" s="1334">
        <f>+AC22+AC23</f>
        <v>301</v>
      </c>
      <c r="AD24" s="1334">
        <f>+AD22+AD23</f>
        <v>301</v>
      </c>
      <c r="AE24" s="1362">
        <f>+AE22+AE23</f>
        <v>847</v>
      </c>
      <c r="AO24" s="42" t="s">
        <v>624</v>
      </c>
      <c r="AP24" s="42"/>
      <c r="AQ24" s="1311">
        <v>10000</v>
      </c>
      <c r="AR24" s="1311">
        <v>12000</v>
      </c>
      <c r="AS24" s="1311"/>
      <c r="AT24" s="1311">
        <v>22000</v>
      </c>
      <c r="AU24" s="1311">
        <v>22000</v>
      </c>
    </row>
    <row r="25" spans="9:55" x14ac:dyDescent="0.3">
      <c r="AO25" t="s">
        <v>635</v>
      </c>
      <c r="AT25" s="1320" t="s">
        <v>635</v>
      </c>
      <c r="AU25" s="1320" t="s">
        <v>635</v>
      </c>
    </row>
    <row r="26" spans="9:55" x14ac:dyDescent="0.3">
      <c r="I26" s="118" t="s">
        <v>1144</v>
      </c>
      <c r="J26" s="118"/>
      <c r="K26" s="118"/>
      <c r="L26" s="279"/>
      <c r="M26" s="279"/>
      <c r="N26" s="263"/>
      <c r="O26" s="263"/>
      <c r="P26" s="263"/>
      <c r="Q26" s="263" t="s">
        <v>1146</v>
      </c>
    </row>
    <row r="27" spans="9:55" x14ac:dyDescent="0.3">
      <c r="I27" s="118" t="s">
        <v>62</v>
      </c>
      <c r="J27" s="118"/>
      <c r="K27" s="118"/>
      <c r="L27" s="263">
        <v>2020</v>
      </c>
      <c r="M27" s="263">
        <v>2019</v>
      </c>
      <c r="N27" s="263" t="s">
        <v>1146</v>
      </c>
      <c r="O27" s="263" t="s">
        <v>156</v>
      </c>
      <c r="P27" s="263" t="s">
        <v>233</v>
      </c>
      <c r="Q27" s="263" t="s">
        <v>1147</v>
      </c>
      <c r="Y27" s="1359" t="s">
        <v>0</v>
      </c>
      <c r="Z27" s="1359"/>
      <c r="AA27" s="1359"/>
      <c r="AB27" s="1357" t="s">
        <v>1215</v>
      </c>
      <c r="AC27" s="1355" t="s">
        <v>1216</v>
      </c>
      <c r="AD27" s="1353" t="s">
        <v>1217</v>
      </c>
    </row>
    <row r="28" spans="9:55" x14ac:dyDescent="0.3">
      <c r="I28" s="118"/>
      <c r="J28" s="118"/>
      <c r="K28" s="118"/>
      <c r="L28" s="263" t="s">
        <v>387</v>
      </c>
      <c r="M28" s="263" t="s">
        <v>387</v>
      </c>
      <c r="N28" s="263" t="s">
        <v>387</v>
      </c>
      <c r="O28" s="263" t="s">
        <v>387</v>
      </c>
      <c r="P28" s="263" t="s">
        <v>387</v>
      </c>
      <c r="Q28" s="263" t="s">
        <v>387</v>
      </c>
      <c r="Y28" s="1359"/>
      <c r="Z28" s="1359"/>
      <c r="AA28" s="1359"/>
      <c r="AB28" s="1358" t="s">
        <v>3</v>
      </c>
      <c r="AC28" s="1356" t="s">
        <v>3</v>
      </c>
      <c r="AD28" s="1354" t="s">
        <v>3</v>
      </c>
    </row>
    <row r="29" spans="9:55" x14ac:dyDescent="0.3">
      <c r="I29" s="17"/>
      <c r="J29" s="17"/>
      <c r="K29" s="17"/>
      <c r="L29" s="1316"/>
      <c r="M29" s="1316"/>
      <c r="N29" s="1316"/>
      <c r="O29" s="1316"/>
      <c r="P29" s="1316"/>
      <c r="Q29" s="1316"/>
      <c r="Y29" s="131" t="s">
        <v>1218</v>
      </c>
      <c r="Z29" s="131"/>
      <c r="AA29" s="175"/>
      <c r="AB29" s="132">
        <v>1100</v>
      </c>
      <c r="AC29" s="132">
        <v>2500</v>
      </c>
      <c r="AD29" s="132">
        <v>3900</v>
      </c>
    </row>
    <row r="30" spans="9:55" x14ac:dyDescent="0.3">
      <c r="I30" s="16" t="s">
        <v>432</v>
      </c>
      <c r="J30" s="16"/>
      <c r="K30" s="16"/>
      <c r="L30" s="24">
        <v>130000</v>
      </c>
      <c r="M30" s="24">
        <v>100000</v>
      </c>
      <c r="N30" s="24">
        <f>+M30-L30</f>
        <v>-30000</v>
      </c>
      <c r="O30" s="24"/>
      <c r="P30" s="24"/>
      <c r="Q30" s="24">
        <f>+N30+P30-O30</f>
        <v>-30000</v>
      </c>
      <c r="Y30" s="131" t="s">
        <v>338</v>
      </c>
      <c r="Z30" s="131"/>
      <c r="AA30" s="175"/>
      <c r="AB30" s="132">
        <f>-AB29*0.65</f>
        <v>-715</v>
      </c>
      <c r="AC30" s="132">
        <f t="shared" ref="AC30:AD30" si="12">-AC29*0.65</f>
        <v>-1625</v>
      </c>
      <c r="AD30" s="132">
        <f t="shared" si="12"/>
        <v>-2535</v>
      </c>
    </row>
    <row r="31" spans="9:55" x14ac:dyDescent="0.3">
      <c r="I31" s="16" t="s">
        <v>36</v>
      </c>
      <c r="J31" s="16"/>
      <c r="K31" s="16"/>
      <c r="L31" s="24">
        <v>-40000</v>
      </c>
      <c r="M31" s="24">
        <v>-25000</v>
      </c>
      <c r="N31" s="24">
        <f>+M31-L31</f>
        <v>15000</v>
      </c>
      <c r="O31" s="24">
        <f>+P33</f>
        <v>15000</v>
      </c>
      <c r="P31" s="24"/>
      <c r="Q31" s="24">
        <f>+N31+P31-O31</f>
        <v>0</v>
      </c>
      <c r="Y31" s="1333" t="s">
        <v>1219</v>
      </c>
      <c r="Z31" s="1333"/>
      <c r="AA31" s="1335"/>
      <c r="AB31" s="1365">
        <f t="shared" ref="AB31" si="13">+AB29+AB30</f>
        <v>385</v>
      </c>
      <c r="AC31" s="1365">
        <f t="shared" ref="AC31" si="14">+AC29+AC30</f>
        <v>875</v>
      </c>
      <c r="AD31" s="1365">
        <f t="shared" ref="AD31" si="15">+AD29+AD30</f>
        <v>1365</v>
      </c>
    </row>
    <row r="32" spans="9:55" x14ac:dyDescent="0.3">
      <c r="I32" s="16"/>
      <c r="J32" s="16"/>
      <c r="K32" s="16"/>
      <c r="L32" s="24"/>
      <c r="M32" s="24"/>
      <c r="N32" s="24"/>
      <c r="O32" s="24"/>
      <c r="P32" s="24"/>
      <c r="Q32" s="24"/>
      <c r="Y32" s="131" t="s">
        <v>1220</v>
      </c>
      <c r="Z32" s="131"/>
      <c r="AA32" s="175"/>
      <c r="AB32" s="132">
        <v>-90</v>
      </c>
      <c r="AC32" s="132">
        <v>-120</v>
      </c>
      <c r="AD32" s="132">
        <v>-260</v>
      </c>
    </row>
    <row r="33" spans="9:31" x14ac:dyDescent="0.3">
      <c r="I33" s="16" t="s">
        <v>69</v>
      </c>
      <c r="J33" s="16"/>
      <c r="K33" s="16"/>
      <c r="L33" s="24">
        <v>15000</v>
      </c>
      <c r="M33" s="24"/>
      <c r="N33" s="24">
        <f>+M33-L33</f>
        <v>-15000</v>
      </c>
      <c r="O33" s="24"/>
      <c r="P33" s="24">
        <v>15000</v>
      </c>
      <c r="Q33" s="24">
        <f>+N33+P33-O33</f>
        <v>0</v>
      </c>
      <c r="Y33" s="1333" t="s">
        <v>1221</v>
      </c>
      <c r="Z33" s="1333"/>
      <c r="AA33" s="1335"/>
      <c r="AB33" s="1365">
        <f>+AB32</f>
        <v>-90</v>
      </c>
      <c r="AC33" s="1365">
        <f t="shared" ref="AC33:AD33" si="16">+AC32</f>
        <v>-120</v>
      </c>
      <c r="AD33" s="1365">
        <f t="shared" si="16"/>
        <v>-260</v>
      </c>
    </row>
    <row r="34" spans="9:31" x14ac:dyDescent="0.3">
      <c r="Y34" s="131" t="s">
        <v>140</v>
      </c>
      <c r="Z34" s="131"/>
      <c r="AA34" s="175"/>
      <c r="AB34" s="132">
        <v>-60</v>
      </c>
      <c r="AC34" s="132">
        <v>-180</v>
      </c>
      <c r="AD34" s="132">
        <v>-240</v>
      </c>
    </row>
    <row r="35" spans="9:31" x14ac:dyDescent="0.3">
      <c r="Y35" s="131" t="s">
        <v>269</v>
      </c>
      <c r="Z35" s="131"/>
      <c r="AA35" s="175"/>
      <c r="AB35" s="132">
        <v>-23</v>
      </c>
      <c r="AC35" s="132">
        <v>-41</v>
      </c>
      <c r="AD35" s="132">
        <v>-51</v>
      </c>
    </row>
    <row r="36" spans="9:31" x14ac:dyDescent="0.3">
      <c r="I36" s="118"/>
      <c r="J36" s="118"/>
      <c r="K36" s="118"/>
      <c r="L36" s="263">
        <v>2020</v>
      </c>
      <c r="M36" s="263">
        <v>2020</v>
      </c>
      <c r="N36" s="263"/>
      <c r="Y36" s="1333" t="s">
        <v>1222</v>
      </c>
      <c r="Z36" s="1333"/>
      <c r="AA36" s="1335"/>
      <c r="AB36" s="1365">
        <f t="shared" ref="AB36:AC36" si="17">SUM(AB34:AB35)</f>
        <v>-83</v>
      </c>
      <c r="AC36" s="1365">
        <f t="shared" si="17"/>
        <v>-221</v>
      </c>
      <c r="AD36" s="1365">
        <f>SUM(AD34:AD35)</f>
        <v>-291</v>
      </c>
    </row>
    <row r="37" spans="9:31" x14ac:dyDescent="0.3">
      <c r="I37" s="118" t="s">
        <v>95</v>
      </c>
      <c r="J37" s="118"/>
      <c r="K37" s="118"/>
      <c r="L37" s="263" t="s">
        <v>535</v>
      </c>
      <c r="M37" s="263" t="s">
        <v>387</v>
      </c>
      <c r="N37" s="263" t="s">
        <v>1149</v>
      </c>
      <c r="Y37" s="1333" t="s">
        <v>1223</v>
      </c>
      <c r="Z37" s="1333"/>
      <c r="AA37" s="1335"/>
      <c r="AB37" s="1365">
        <f>+AB31+AB33+AB36</f>
        <v>212</v>
      </c>
      <c r="AC37" s="1365">
        <f t="shared" ref="AC37:AD37" si="18">+AC31+AC33+AC36</f>
        <v>534</v>
      </c>
      <c r="AD37" s="1365">
        <f t="shared" si="18"/>
        <v>814</v>
      </c>
    </row>
    <row r="38" spans="9:31" ht="19.5" thickBot="1" x14ac:dyDescent="0.35">
      <c r="I38" s="165" t="s">
        <v>1148</v>
      </c>
      <c r="J38" s="165"/>
      <c r="K38" s="165"/>
      <c r="L38" s="1317">
        <v>10000</v>
      </c>
      <c r="M38" s="1317">
        <f>+L38*N38</f>
        <v>30000</v>
      </c>
      <c r="N38" s="1318">
        <v>3</v>
      </c>
    </row>
    <row r="39" spans="9:31" x14ac:dyDescent="0.3">
      <c r="I39" s="20" t="s">
        <v>1151</v>
      </c>
      <c r="J39" s="20"/>
      <c r="K39" s="20"/>
      <c r="L39" s="21">
        <v>4000</v>
      </c>
      <c r="M39" s="1314">
        <f>+L39*N39</f>
        <v>12400</v>
      </c>
      <c r="N39" s="1318">
        <v>3.1</v>
      </c>
      <c r="Y39" s="1359" t="s">
        <v>0</v>
      </c>
      <c r="Z39" s="1359"/>
      <c r="AA39" s="1359"/>
      <c r="AB39" s="1357" t="s">
        <v>1215</v>
      </c>
      <c r="AC39" s="1355" t="s">
        <v>1193</v>
      </c>
      <c r="AD39" s="1353" t="s">
        <v>1194</v>
      </c>
      <c r="AE39" s="1363" t="s">
        <v>1217</v>
      </c>
    </row>
    <row r="40" spans="9:31" x14ac:dyDescent="0.3">
      <c r="I40" s="20" t="s">
        <v>1150</v>
      </c>
      <c r="J40" s="20"/>
      <c r="K40" s="20"/>
      <c r="L40" s="21">
        <v>-7500</v>
      </c>
      <c r="M40" s="1314">
        <f>+L40*N40</f>
        <v>-23550</v>
      </c>
      <c r="N40" s="1318">
        <v>3.14</v>
      </c>
      <c r="Y40" s="1359"/>
      <c r="Z40" s="1359"/>
      <c r="AA40" s="1359"/>
      <c r="AB40" s="1358" t="s">
        <v>3</v>
      </c>
      <c r="AC40" s="1356" t="s">
        <v>3</v>
      </c>
      <c r="AD40" s="1354" t="s">
        <v>3</v>
      </c>
      <c r="AE40" s="1364" t="s">
        <v>3</v>
      </c>
    </row>
    <row r="41" spans="9:31" x14ac:dyDescent="0.3">
      <c r="I41" s="20" t="s">
        <v>1152</v>
      </c>
      <c r="J41" s="20"/>
      <c r="K41" s="20"/>
      <c r="L41" s="23"/>
      <c r="M41" s="1319">
        <v>2080</v>
      </c>
      <c r="N41" s="1318"/>
      <c r="Y41" s="131" t="s">
        <v>1218</v>
      </c>
      <c r="Z41" s="131"/>
      <c r="AA41" s="175"/>
      <c r="AB41" s="132">
        <v>1100</v>
      </c>
      <c r="AC41" s="132">
        <f>+AC29-AB29</f>
        <v>1400</v>
      </c>
      <c r="AD41" s="132">
        <f>+AD29-AC29</f>
        <v>1400</v>
      </c>
      <c r="AE41" s="1360">
        <f>+AB41+AC41+AD41</f>
        <v>3900</v>
      </c>
    </row>
    <row r="42" spans="9:31" x14ac:dyDescent="0.3">
      <c r="I42" s="165" t="s">
        <v>32</v>
      </c>
      <c r="J42" s="165"/>
      <c r="K42" s="165"/>
      <c r="L42" s="1317">
        <f>SUM(L38:L41)</f>
        <v>6500</v>
      </c>
      <c r="M42" s="1317">
        <f>+L42*N42</f>
        <v>20930</v>
      </c>
      <c r="N42" s="1318">
        <v>3.22</v>
      </c>
      <c r="Y42" s="131" t="s">
        <v>338</v>
      </c>
      <c r="Z42" s="131"/>
      <c r="AA42" s="175"/>
      <c r="AB42" s="132">
        <f>-AB41*0.65</f>
        <v>-715</v>
      </c>
      <c r="AC42" s="132">
        <f>+AC30-AB30</f>
        <v>-910</v>
      </c>
      <c r="AD42" s="132">
        <f>+AD30-AC30</f>
        <v>-910</v>
      </c>
      <c r="AE42" s="1360">
        <f>+AB42+AC42+AD42</f>
        <v>-2535</v>
      </c>
    </row>
    <row r="43" spans="9:31" x14ac:dyDescent="0.3">
      <c r="M43" s="1311">
        <f>SUM(M38:M41)-M42</f>
        <v>0</v>
      </c>
      <c r="Y43" s="1333" t="s">
        <v>1219</v>
      </c>
      <c r="Z43" s="1333"/>
      <c r="AA43" s="1335"/>
      <c r="AB43" s="1365">
        <f t="shared" ref="AB43" si="19">+AB41+AB42</f>
        <v>385</v>
      </c>
      <c r="AC43" s="1365">
        <f t="shared" ref="AC43" si="20">+AC41+AC42</f>
        <v>490</v>
      </c>
      <c r="AD43" s="1365">
        <f t="shared" ref="AD43:AE43" si="21">+AD41+AD42</f>
        <v>490</v>
      </c>
      <c r="AE43" s="1366">
        <f t="shared" si="21"/>
        <v>1365</v>
      </c>
    </row>
    <row r="44" spans="9:31" x14ac:dyDescent="0.3">
      <c r="I44" s="118" t="s">
        <v>1144</v>
      </c>
      <c r="J44" s="118"/>
      <c r="K44" s="118"/>
      <c r="L44" s="279"/>
      <c r="M44" s="279"/>
      <c r="N44" s="263"/>
      <c r="O44" s="1544" t="s">
        <v>757</v>
      </c>
      <c r="P44" s="1544"/>
      <c r="Q44" s="263" t="s">
        <v>1146</v>
      </c>
      <c r="R44" s="263" t="s">
        <v>380</v>
      </c>
      <c r="S44" s="263" t="s">
        <v>22</v>
      </c>
      <c r="Y44" s="131" t="s">
        <v>1220</v>
      </c>
      <c r="Z44" s="131"/>
      <c r="AA44" s="175"/>
      <c r="AB44" s="132">
        <v>-90</v>
      </c>
      <c r="AC44" s="132">
        <f>+AC32-AB32</f>
        <v>-30</v>
      </c>
      <c r="AD44" s="132">
        <f>+AD32-AC32</f>
        <v>-140</v>
      </c>
      <c r="AE44" s="1360">
        <f>+AB44+AC44+AD44</f>
        <v>-260</v>
      </c>
    </row>
    <row r="45" spans="9:31" x14ac:dyDescent="0.3">
      <c r="I45" s="118" t="s">
        <v>62</v>
      </c>
      <c r="J45" s="118"/>
      <c r="K45" s="118"/>
      <c r="L45" s="263">
        <v>2020</v>
      </c>
      <c r="M45" s="263">
        <v>2019</v>
      </c>
      <c r="N45" s="263" t="s">
        <v>1146</v>
      </c>
      <c r="O45" s="263" t="s">
        <v>156</v>
      </c>
      <c r="P45" s="263" t="s">
        <v>233</v>
      </c>
      <c r="Q45" s="263" t="s">
        <v>1147</v>
      </c>
      <c r="R45" s="263" t="s">
        <v>1153</v>
      </c>
      <c r="S45" s="263" t="s">
        <v>1153</v>
      </c>
      <c r="Y45" s="1333" t="s">
        <v>1221</v>
      </c>
      <c r="Z45" s="1333"/>
      <c r="AA45" s="1335"/>
      <c r="AB45" s="1365">
        <f>+AB44</f>
        <v>-90</v>
      </c>
      <c r="AC45" s="1365">
        <f t="shared" ref="AC45" si="22">+AC44</f>
        <v>-30</v>
      </c>
      <c r="AD45" s="1365">
        <f t="shared" ref="AD45:AE45" si="23">+AD44</f>
        <v>-140</v>
      </c>
      <c r="AE45" s="1366">
        <f t="shared" si="23"/>
        <v>-260</v>
      </c>
    </row>
    <row r="46" spans="9:31" x14ac:dyDescent="0.3">
      <c r="I46" s="118"/>
      <c r="J46" s="118"/>
      <c r="K46" s="118"/>
      <c r="L46" s="263" t="s">
        <v>387</v>
      </c>
      <c r="M46" s="263" t="s">
        <v>387</v>
      </c>
      <c r="N46" s="263" t="s">
        <v>387</v>
      </c>
      <c r="O46" s="263" t="s">
        <v>387</v>
      </c>
      <c r="P46" s="263" t="s">
        <v>387</v>
      </c>
      <c r="Q46" s="263" t="s">
        <v>387</v>
      </c>
      <c r="R46" s="263" t="s">
        <v>387</v>
      </c>
      <c r="S46" s="263" t="s">
        <v>387</v>
      </c>
      <c r="Y46" s="131" t="s">
        <v>140</v>
      </c>
      <c r="Z46" s="131"/>
      <c r="AA46" s="175"/>
      <c r="AB46" s="132">
        <v>-60</v>
      </c>
      <c r="AC46" s="132">
        <f>+AC34-AB34</f>
        <v>-120</v>
      </c>
      <c r="AD46" s="132">
        <f>+AD34-AC34</f>
        <v>-60</v>
      </c>
      <c r="AE46" s="1360">
        <f>+AB46+AC46+AD46</f>
        <v>-240</v>
      </c>
    </row>
    <row r="47" spans="9:31" x14ac:dyDescent="0.3">
      <c r="I47" s="17"/>
      <c r="J47" s="17"/>
      <c r="K47" s="17"/>
      <c r="L47" s="1316"/>
      <c r="M47" s="1316"/>
      <c r="N47" s="1316"/>
      <c r="O47" s="1316"/>
      <c r="P47" s="1316"/>
      <c r="Q47" s="1316"/>
      <c r="R47" s="1316"/>
      <c r="S47" s="1316"/>
      <c r="Y47" s="131" t="s">
        <v>269</v>
      </c>
      <c r="Z47" s="131"/>
      <c r="AA47" s="175"/>
      <c r="AB47" s="132">
        <v>-23</v>
      </c>
      <c r="AC47" s="132">
        <f>+AC35-AB35</f>
        <v>-18</v>
      </c>
      <c r="AD47" s="132">
        <f>+AD35-AC35</f>
        <v>-10</v>
      </c>
      <c r="AE47" s="1360">
        <f>+AB47+AC47+AD47</f>
        <v>-51</v>
      </c>
    </row>
    <row r="48" spans="9:31" x14ac:dyDescent="0.3">
      <c r="I48" s="16" t="s">
        <v>95</v>
      </c>
      <c r="J48" s="16"/>
      <c r="K48" s="16"/>
      <c r="L48" s="24">
        <f>-M42</f>
        <v>-20930</v>
      </c>
      <c r="M48" s="24">
        <f>-M38</f>
        <v>-30000</v>
      </c>
      <c r="N48" s="24">
        <f>+M48-L48</f>
        <v>-9070</v>
      </c>
      <c r="O48" s="24">
        <f>+P50</f>
        <v>2080</v>
      </c>
      <c r="P48" s="24"/>
      <c r="Q48" s="24">
        <f>+N48+P48-O48</f>
        <v>-11150</v>
      </c>
      <c r="R48" s="24">
        <f>+M39</f>
        <v>12400</v>
      </c>
      <c r="S48" s="24">
        <f>+M40</f>
        <v>-23550</v>
      </c>
      <c r="Y48" s="1333" t="s">
        <v>1222</v>
      </c>
      <c r="Z48" s="1333"/>
      <c r="AA48" s="1335"/>
      <c r="AB48" s="1365">
        <f t="shared" ref="AB48" si="24">SUM(AB46:AB47)</f>
        <v>-83</v>
      </c>
      <c r="AC48" s="1365">
        <f t="shared" ref="AC48" si="25">SUM(AC46:AC47)</f>
        <v>-138</v>
      </c>
      <c r="AD48" s="1365">
        <f>SUM(AD46:AD47)</f>
        <v>-70</v>
      </c>
      <c r="AE48" s="1366">
        <f>SUM(AE46:AE47)</f>
        <v>-291</v>
      </c>
    </row>
    <row r="49" spans="9:31" ht="19.5" thickBot="1" x14ac:dyDescent="0.35">
      <c r="I49" s="16"/>
      <c r="J49" s="16"/>
      <c r="K49" s="16"/>
      <c r="L49" s="24"/>
      <c r="M49" s="24"/>
      <c r="N49" s="24"/>
      <c r="O49" s="24"/>
      <c r="P49" s="24"/>
      <c r="Q49" s="24"/>
      <c r="R49" s="24"/>
      <c r="S49" s="24"/>
      <c r="Y49" s="1333" t="s">
        <v>1223</v>
      </c>
      <c r="Z49" s="1333"/>
      <c r="AA49" s="1335"/>
      <c r="AB49" s="1365">
        <f>+AB43+AB45+AB48</f>
        <v>212</v>
      </c>
      <c r="AC49" s="1365">
        <f t="shared" ref="AC49" si="26">+AC43+AC45+AC48</f>
        <v>322</v>
      </c>
      <c r="AD49" s="1365">
        <f t="shared" ref="AD49:AE49" si="27">+AD43+AD45+AD48</f>
        <v>280</v>
      </c>
      <c r="AE49" s="1367">
        <f t="shared" si="27"/>
        <v>814</v>
      </c>
    </row>
    <row r="50" spans="9:31" x14ac:dyDescent="0.3">
      <c r="I50" s="16" t="s">
        <v>532</v>
      </c>
      <c r="J50" s="16"/>
      <c r="K50" s="16"/>
      <c r="L50" s="24">
        <f>+M41</f>
        <v>2080</v>
      </c>
      <c r="M50" s="24"/>
      <c r="N50" s="24">
        <f>+M50-L50</f>
        <v>-2080</v>
      </c>
      <c r="O50" s="24"/>
      <c r="P50" s="24">
        <f>-N50</f>
        <v>2080</v>
      </c>
      <c r="Q50" s="24">
        <f>+N50+P50-O50</f>
        <v>0</v>
      </c>
      <c r="R50" s="24"/>
      <c r="S50" s="24"/>
    </row>
    <row r="53" spans="9:31" x14ac:dyDescent="0.3">
      <c r="I53" s="118"/>
      <c r="J53" s="118"/>
      <c r="K53" s="118"/>
      <c r="L53" s="263"/>
      <c r="M53" s="263"/>
      <c r="N53" s="263"/>
      <c r="O53" s="263" t="s">
        <v>259</v>
      </c>
      <c r="P53" s="263" t="s">
        <v>260</v>
      </c>
      <c r="Q53" s="263" t="s">
        <v>261</v>
      </c>
      <c r="R53" s="263" t="s">
        <v>1159</v>
      </c>
    </row>
    <row r="54" spans="9:31" x14ac:dyDescent="0.3">
      <c r="I54" s="118"/>
      <c r="J54" s="118"/>
      <c r="K54" s="118"/>
      <c r="L54" s="263">
        <v>2020</v>
      </c>
      <c r="M54" s="263">
        <v>2020</v>
      </c>
      <c r="N54" s="263"/>
      <c r="O54" s="263" t="s">
        <v>214</v>
      </c>
      <c r="P54" s="263" t="s">
        <v>18</v>
      </c>
      <c r="Q54" s="263" t="s">
        <v>18</v>
      </c>
      <c r="R54" s="263"/>
    </row>
    <row r="55" spans="9:31" x14ac:dyDescent="0.3">
      <c r="I55" s="118"/>
      <c r="J55" s="118"/>
      <c r="K55" s="118"/>
      <c r="L55" s="263"/>
      <c r="M55" s="263"/>
      <c r="N55" s="263"/>
      <c r="O55" s="263" t="s">
        <v>1160</v>
      </c>
      <c r="P55" s="263" t="s">
        <v>182</v>
      </c>
      <c r="Q55" s="263" t="s">
        <v>182</v>
      </c>
      <c r="R55" s="263"/>
    </row>
    <row r="56" spans="9:31" x14ac:dyDescent="0.3">
      <c r="I56" s="118"/>
      <c r="J56" s="118"/>
      <c r="K56" s="118"/>
      <c r="L56" s="263"/>
      <c r="M56" s="263"/>
      <c r="N56" s="263"/>
      <c r="O56" s="263" t="s">
        <v>1161</v>
      </c>
      <c r="P56" s="263" t="s">
        <v>729</v>
      </c>
      <c r="Q56" s="263" t="s">
        <v>1162</v>
      </c>
      <c r="R56" s="263"/>
    </row>
    <row r="57" spans="9:31" x14ac:dyDescent="0.3">
      <c r="I57" s="118" t="s">
        <v>1154</v>
      </c>
      <c r="J57" s="118"/>
      <c r="K57" s="118"/>
      <c r="L57" s="263" t="s">
        <v>534</v>
      </c>
      <c r="M57" s="263" t="s">
        <v>3</v>
      </c>
      <c r="N57" s="263" t="s">
        <v>1149</v>
      </c>
      <c r="O57" s="263" t="s">
        <v>3</v>
      </c>
      <c r="P57" s="263" t="s">
        <v>3</v>
      </c>
      <c r="Q57" s="263" t="s">
        <v>3</v>
      </c>
      <c r="R57" s="263" t="s">
        <v>3</v>
      </c>
    </row>
    <row r="58" spans="9:31" x14ac:dyDescent="0.3">
      <c r="I58" s="165" t="s">
        <v>1148</v>
      </c>
      <c r="J58" s="165"/>
      <c r="K58" s="165"/>
      <c r="L58" s="1317">
        <v>20000</v>
      </c>
      <c r="M58" s="1317">
        <f>+L58*N58</f>
        <v>60000</v>
      </c>
      <c r="N58" s="1318">
        <v>3</v>
      </c>
      <c r="O58" s="42"/>
      <c r="P58" s="42"/>
      <c r="Q58" s="42"/>
      <c r="R58" s="42"/>
    </row>
    <row r="59" spans="9:31" x14ac:dyDescent="0.3">
      <c r="I59" s="20" t="s">
        <v>1155</v>
      </c>
      <c r="J59" s="20"/>
      <c r="K59" s="20"/>
      <c r="L59" s="21">
        <v>5000</v>
      </c>
      <c r="M59" s="1314">
        <f>+L59*N59</f>
        <v>15500</v>
      </c>
      <c r="N59" s="1318">
        <v>3.1</v>
      </c>
      <c r="O59" s="1311">
        <f>+M59</f>
        <v>15500</v>
      </c>
      <c r="P59" s="42"/>
      <c r="Q59" s="42"/>
      <c r="R59" s="42"/>
    </row>
    <row r="60" spans="9:31" x14ac:dyDescent="0.3">
      <c r="I60" s="20" t="s">
        <v>1157</v>
      </c>
      <c r="J60" s="20"/>
      <c r="K60" s="20"/>
      <c r="L60" s="21">
        <v>-2000</v>
      </c>
      <c r="M60" s="1314">
        <f>+L60*N60</f>
        <v>-6240</v>
      </c>
      <c r="N60" s="1318">
        <v>3.12</v>
      </c>
      <c r="O60" s="42"/>
      <c r="P60" s="1311">
        <f>+M60</f>
        <v>-6240</v>
      </c>
      <c r="Q60" s="42"/>
      <c r="R60" s="42"/>
    </row>
    <row r="61" spans="9:31" x14ac:dyDescent="0.3">
      <c r="I61" s="20" t="s">
        <v>1156</v>
      </c>
      <c r="J61" s="20"/>
      <c r="K61" s="20"/>
      <c r="L61" s="21">
        <v>6000</v>
      </c>
      <c r="M61" s="1314">
        <f>+L61*N61</f>
        <v>18900</v>
      </c>
      <c r="N61" s="1318">
        <v>3.15</v>
      </c>
      <c r="O61" s="1311">
        <f>+M61</f>
        <v>18900</v>
      </c>
      <c r="P61" s="42"/>
      <c r="Q61" s="42"/>
      <c r="R61" s="42"/>
    </row>
    <row r="62" spans="9:31" x14ac:dyDescent="0.3">
      <c r="I62" s="20" t="s">
        <v>1158</v>
      </c>
      <c r="J62" s="20"/>
      <c r="K62" s="20"/>
      <c r="L62" s="21">
        <v>-3000</v>
      </c>
      <c r="M62" s="1314">
        <f>+L62*N62</f>
        <v>-9540</v>
      </c>
      <c r="N62" s="1318">
        <v>3.18</v>
      </c>
      <c r="O62" s="42"/>
      <c r="P62" s="42"/>
      <c r="Q62" s="1311">
        <f>+M62</f>
        <v>-9540</v>
      </c>
      <c r="R62" s="42"/>
    </row>
    <row r="63" spans="9:31" x14ac:dyDescent="0.3">
      <c r="I63" s="20" t="s">
        <v>1152</v>
      </c>
      <c r="J63" s="20"/>
      <c r="K63" s="20"/>
      <c r="L63" s="23"/>
      <c r="M63" s="1319">
        <f>SUM(M58:M62)-M64</f>
        <v>-4580</v>
      </c>
      <c r="N63" s="1318"/>
      <c r="O63" s="42"/>
      <c r="P63" s="42"/>
      <c r="Q63" s="42"/>
      <c r="R63" s="1311">
        <f>+M63</f>
        <v>-4580</v>
      </c>
    </row>
    <row r="64" spans="9:31" x14ac:dyDescent="0.3">
      <c r="I64" s="165" t="s">
        <v>32</v>
      </c>
      <c r="J64" s="165"/>
      <c r="K64" s="165"/>
      <c r="L64" s="1317">
        <f>SUM(L58:L63)</f>
        <v>26000</v>
      </c>
      <c r="M64" s="1317">
        <f>+L64*N64</f>
        <v>83200</v>
      </c>
      <c r="N64" s="1318">
        <v>3.2</v>
      </c>
      <c r="O64" s="1317">
        <f>SUM(O58:O63)</f>
        <v>34400</v>
      </c>
      <c r="P64" s="1317">
        <f t="shared" ref="P64:R64" si="28">SUM(P58:P63)</f>
        <v>-6240</v>
      </c>
      <c r="Q64" s="1317">
        <f t="shared" si="28"/>
        <v>-9540</v>
      </c>
      <c r="R64" s="1317">
        <f t="shared" si="28"/>
        <v>-4580</v>
      </c>
    </row>
    <row r="65" spans="9:18" x14ac:dyDescent="0.3">
      <c r="I65" s="42"/>
      <c r="J65" s="42"/>
      <c r="K65" s="42"/>
      <c r="N65" s="42"/>
      <c r="O65" s="42"/>
      <c r="P65" s="42"/>
      <c r="Q65" s="42"/>
      <c r="R65" s="42"/>
    </row>
    <row r="66" spans="9:18" x14ac:dyDescent="0.3">
      <c r="I66" s="164"/>
      <c r="J66" s="164"/>
      <c r="K66" s="164"/>
      <c r="L66" s="164"/>
      <c r="M66" s="1326" t="s">
        <v>3</v>
      </c>
      <c r="N66" s="42"/>
      <c r="O66" s="42"/>
      <c r="P66" s="42"/>
      <c r="Q66" s="42"/>
      <c r="R66" s="42"/>
    </row>
    <row r="67" spans="9:18" x14ac:dyDescent="0.3">
      <c r="I67" s="1327" t="s">
        <v>1164</v>
      </c>
      <c r="J67" s="42"/>
      <c r="K67" s="42"/>
      <c r="N67" s="42"/>
      <c r="O67" s="42"/>
      <c r="P67" s="42"/>
      <c r="Q67" s="42"/>
      <c r="R67" s="42"/>
    </row>
    <row r="68" spans="9:18" x14ac:dyDescent="0.3">
      <c r="I68" s="42" t="s">
        <v>135</v>
      </c>
      <c r="J68" s="42"/>
      <c r="K68" s="42"/>
      <c r="M68" s="1311">
        <f>+O64</f>
        <v>34400</v>
      </c>
      <c r="N68" s="242" t="s">
        <v>64</v>
      </c>
      <c r="O68" s="42"/>
      <c r="P68" s="42"/>
      <c r="Q68" s="42"/>
      <c r="R68" s="42"/>
    </row>
    <row r="69" spans="9:18" x14ac:dyDescent="0.3">
      <c r="I69" s="1327" t="s">
        <v>1165</v>
      </c>
      <c r="J69" s="42"/>
      <c r="K69" s="42"/>
      <c r="M69" s="1311"/>
      <c r="N69" s="42"/>
      <c r="O69" s="42"/>
      <c r="P69" s="42"/>
      <c r="Q69" s="42"/>
      <c r="R69" s="42"/>
    </row>
    <row r="70" spans="9:18" x14ac:dyDescent="0.3">
      <c r="I70" s="42" t="s">
        <v>1163</v>
      </c>
      <c r="J70" s="42"/>
      <c r="K70" s="42"/>
      <c r="M70" s="1311">
        <f>+P64</f>
        <v>-6240</v>
      </c>
      <c r="N70" s="242" t="s">
        <v>65</v>
      </c>
      <c r="O70" s="42"/>
      <c r="P70" s="42"/>
      <c r="Q70" s="42"/>
      <c r="R70" s="42"/>
    </row>
    <row r="71" spans="9:18" x14ac:dyDescent="0.3">
      <c r="I71" s="1327" t="s">
        <v>1166</v>
      </c>
      <c r="J71" s="42"/>
      <c r="K71" s="42"/>
      <c r="M71" s="1311"/>
      <c r="N71" s="42"/>
      <c r="O71" s="42"/>
      <c r="P71" s="42"/>
      <c r="Q71" s="42"/>
      <c r="R71" s="42"/>
    </row>
    <row r="72" spans="9:18" x14ac:dyDescent="0.3">
      <c r="I72" s="42" t="s">
        <v>140</v>
      </c>
      <c r="J72" s="42"/>
      <c r="K72" s="42"/>
      <c r="M72" s="1311">
        <f>+Q64</f>
        <v>-9540</v>
      </c>
      <c r="N72" s="242" t="s">
        <v>66</v>
      </c>
      <c r="O72" s="42"/>
      <c r="P72" s="42"/>
      <c r="Q72" s="42"/>
      <c r="R72" s="42"/>
    </row>
    <row r="73" spans="9:18" x14ac:dyDescent="0.3">
      <c r="I73" s="1327" t="s">
        <v>1167</v>
      </c>
      <c r="J73" s="42"/>
      <c r="K73" s="42"/>
      <c r="M73" s="1311">
        <f>+R64</f>
        <v>-4580</v>
      </c>
      <c r="N73" s="242" t="s">
        <v>67</v>
      </c>
      <c r="O73" s="42"/>
      <c r="P73" s="42"/>
      <c r="Q73" s="42"/>
      <c r="R73" s="42"/>
    </row>
    <row r="74" spans="9:18" x14ac:dyDescent="0.3">
      <c r="I74" s="17" t="s">
        <v>1168</v>
      </c>
      <c r="J74" s="17"/>
      <c r="K74" s="17"/>
      <c r="L74" s="17"/>
      <c r="M74" s="565">
        <f>SUM(M67:M73)</f>
        <v>14040</v>
      </c>
      <c r="N74" s="242" t="s">
        <v>1169</v>
      </c>
      <c r="O74" s="42"/>
      <c r="P74" s="42"/>
      <c r="Q74" s="42"/>
      <c r="R74" s="42"/>
    </row>
    <row r="75" spans="9:18" x14ac:dyDescent="0.3">
      <c r="I75" s="1321" t="s">
        <v>47</v>
      </c>
      <c r="J75" s="1321"/>
      <c r="K75" s="1321"/>
      <c r="L75" s="1321"/>
      <c r="M75" s="1323">
        <f>+M58</f>
        <v>60000</v>
      </c>
      <c r="N75" s="42"/>
      <c r="O75" s="42"/>
      <c r="P75" s="42"/>
      <c r="Q75" s="42"/>
      <c r="R75" s="42"/>
    </row>
    <row r="76" spans="9:18" x14ac:dyDescent="0.3">
      <c r="I76" s="1324" t="s">
        <v>49</v>
      </c>
      <c r="J76" s="1324"/>
      <c r="K76" s="1324"/>
      <c r="L76" s="1324"/>
      <c r="M76" s="1325">
        <f>+M74+M75</f>
        <v>74040</v>
      </c>
      <c r="N76" s="42"/>
      <c r="O76" s="42"/>
      <c r="P76" s="42"/>
      <c r="Q76" s="42"/>
      <c r="R76" s="42"/>
    </row>
    <row r="79" spans="9:18" x14ac:dyDescent="0.3">
      <c r="I79" s="16" t="s">
        <v>1144</v>
      </c>
      <c r="J79" s="16"/>
      <c r="K79" s="16"/>
      <c r="L79" s="18"/>
      <c r="M79" s="18"/>
    </row>
    <row r="80" spans="9:18" x14ac:dyDescent="0.3">
      <c r="I80" s="16" t="s">
        <v>62</v>
      </c>
      <c r="J80" s="16"/>
      <c r="K80" s="16"/>
      <c r="L80" s="19">
        <v>2020</v>
      </c>
      <c r="M80" s="19">
        <v>2019</v>
      </c>
    </row>
    <row r="81" spans="9:13" x14ac:dyDescent="0.3">
      <c r="I81" s="16" t="s">
        <v>625</v>
      </c>
      <c r="J81" s="16"/>
      <c r="K81" s="16"/>
      <c r="L81" s="19" t="s">
        <v>3</v>
      </c>
      <c r="M81" s="19" t="s">
        <v>3</v>
      </c>
    </row>
    <row r="82" spans="9:13" x14ac:dyDescent="0.3">
      <c r="I82" s="26" t="s">
        <v>56</v>
      </c>
      <c r="J82" s="3"/>
      <c r="K82" s="3"/>
      <c r="L82" s="20"/>
      <c r="M82" s="20"/>
    </row>
    <row r="83" spans="9:13" x14ac:dyDescent="0.3">
      <c r="I83" s="20" t="s">
        <v>1</v>
      </c>
      <c r="J83" s="20"/>
      <c r="K83" s="20"/>
      <c r="L83" s="21">
        <v>12000</v>
      </c>
      <c r="M83" s="21">
        <v>7000</v>
      </c>
    </row>
    <row r="84" spans="9:13" x14ac:dyDescent="0.3">
      <c r="I84" s="20" t="s">
        <v>90</v>
      </c>
      <c r="J84" s="20"/>
      <c r="K84" s="20"/>
      <c r="L84" s="21">
        <v>10500</v>
      </c>
      <c r="M84" s="21">
        <v>8500</v>
      </c>
    </row>
    <row r="85" spans="9:13" x14ac:dyDescent="0.3">
      <c r="I85" s="16" t="s">
        <v>78</v>
      </c>
      <c r="J85" s="16"/>
      <c r="K85" s="16"/>
      <c r="L85" s="24">
        <f>SUM(L83:L84)</f>
        <v>22500</v>
      </c>
      <c r="M85" s="24">
        <f>SUM(M83:M84)</f>
        <v>15500</v>
      </c>
    </row>
    <row r="86" spans="9:13" x14ac:dyDescent="0.3">
      <c r="I86" s="20" t="s">
        <v>1170</v>
      </c>
      <c r="J86" s="20"/>
      <c r="K86" s="20"/>
      <c r="L86" s="21">
        <v>90000</v>
      </c>
      <c r="M86" s="21">
        <v>80000</v>
      </c>
    </row>
    <row r="87" spans="9:13" x14ac:dyDescent="0.3">
      <c r="I87" s="16" t="s">
        <v>54</v>
      </c>
      <c r="J87" s="16"/>
      <c r="K87" s="16"/>
      <c r="L87" s="24">
        <f>+L85+L86</f>
        <v>112500</v>
      </c>
      <c r="M87" s="24">
        <f>+M85+M86</f>
        <v>95500</v>
      </c>
    </row>
    <row r="88" spans="9:13" x14ac:dyDescent="0.3">
      <c r="I88" s="26" t="s">
        <v>1173</v>
      </c>
      <c r="J88" s="3"/>
      <c r="K88" s="3"/>
      <c r="L88" s="20"/>
      <c r="M88" s="20"/>
    </row>
    <row r="89" spans="9:13" x14ac:dyDescent="0.3">
      <c r="I89" s="20" t="s">
        <v>1171</v>
      </c>
      <c r="J89" s="20"/>
      <c r="K89" s="20"/>
      <c r="L89" s="21">
        <v>1000</v>
      </c>
      <c r="M89" s="21">
        <v>2000</v>
      </c>
    </row>
    <row r="90" spans="9:13" x14ac:dyDescent="0.3">
      <c r="I90" s="20" t="s">
        <v>4</v>
      </c>
      <c r="J90" s="20"/>
      <c r="K90" s="20"/>
      <c r="L90" s="21">
        <v>3000</v>
      </c>
      <c r="M90" s="21">
        <v>4500</v>
      </c>
    </row>
    <row r="91" spans="9:13" x14ac:dyDescent="0.3">
      <c r="I91" s="20" t="s">
        <v>27</v>
      </c>
      <c r="J91" s="20"/>
      <c r="K91" s="20"/>
      <c r="L91" s="21">
        <v>7000</v>
      </c>
      <c r="M91" s="21">
        <v>8000</v>
      </c>
    </row>
    <row r="92" spans="9:13" x14ac:dyDescent="0.3">
      <c r="I92" s="20" t="s">
        <v>292</v>
      </c>
      <c r="J92" s="20"/>
      <c r="K92" s="20"/>
      <c r="L92" s="21">
        <v>2600</v>
      </c>
      <c r="M92" s="21">
        <v>2900</v>
      </c>
    </row>
    <row r="93" spans="9:13" x14ac:dyDescent="0.3">
      <c r="I93" s="16" t="s">
        <v>55</v>
      </c>
      <c r="J93" s="16"/>
      <c r="K93" s="16"/>
      <c r="L93" s="24">
        <f>SUM(L89:L92)</f>
        <v>13600</v>
      </c>
      <c r="M93" s="24">
        <f>SUM(M89:M92)</f>
        <v>17400</v>
      </c>
    </row>
    <row r="94" spans="9:13" x14ac:dyDescent="0.3">
      <c r="I94" s="20" t="s">
        <v>96</v>
      </c>
      <c r="J94" s="20"/>
      <c r="K94" s="20"/>
      <c r="L94" s="21">
        <v>40000</v>
      </c>
      <c r="M94" s="21">
        <v>40000</v>
      </c>
    </row>
    <row r="95" spans="9:13" x14ac:dyDescent="0.3">
      <c r="I95" s="20" t="s">
        <v>8</v>
      </c>
      <c r="J95" s="20"/>
      <c r="K95" s="20"/>
      <c r="L95" s="21">
        <v>45300</v>
      </c>
      <c r="M95" s="21">
        <v>20700</v>
      </c>
    </row>
    <row r="96" spans="9:13" x14ac:dyDescent="0.3">
      <c r="I96" s="16" t="s">
        <v>81</v>
      </c>
      <c r="J96" s="16"/>
      <c r="K96" s="16"/>
      <c r="L96" s="24">
        <f>+L93+L94+L95</f>
        <v>98900</v>
      </c>
      <c r="M96" s="24">
        <f>+M93+M94+M95</f>
        <v>78100</v>
      </c>
    </row>
    <row r="97" spans="9:13" x14ac:dyDescent="0.3">
      <c r="I97" s="16" t="s">
        <v>1172</v>
      </c>
      <c r="J97" s="16"/>
      <c r="K97" s="16"/>
      <c r="L97" s="24">
        <f>+L93+L96</f>
        <v>112500</v>
      </c>
      <c r="M97" s="24">
        <f>+M93+M96</f>
        <v>95500</v>
      </c>
    </row>
    <row r="98" spans="9:13" x14ac:dyDescent="0.3">
      <c r="L98" s="1311">
        <f>+L87-L97</f>
        <v>0</v>
      </c>
      <c r="M98" s="1311">
        <f>+M87-M97</f>
        <v>0</v>
      </c>
    </row>
    <row r="100" spans="9:13" x14ac:dyDescent="0.3">
      <c r="I100" s="16"/>
      <c r="J100" s="16"/>
      <c r="K100" s="16"/>
      <c r="L100" s="19">
        <v>2020</v>
      </c>
      <c r="M100" s="19">
        <v>2019</v>
      </c>
    </row>
    <row r="101" spans="9:13" x14ac:dyDescent="0.3">
      <c r="I101" s="16" t="s">
        <v>221</v>
      </c>
      <c r="J101" s="16"/>
      <c r="K101" s="16"/>
      <c r="L101" s="19" t="s">
        <v>3</v>
      </c>
      <c r="M101" s="19" t="s">
        <v>3</v>
      </c>
    </row>
    <row r="102" spans="9:13" x14ac:dyDescent="0.3">
      <c r="I102" s="20" t="s">
        <v>1140</v>
      </c>
      <c r="J102" s="20"/>
      <c r="K102" s="20"/>
      <c r="L102" s="21">
        <v>3000</v>
      </c>
      <c r="M102" s="21">
        <v>2500</v>
      </c>
    </row>
    <row r="103" spans="9:13" x14ac:dyDescent="0.3">
      <c r="I103" s="20" t="s">
        <v>223</v>
      </c>
      <c r="J103" s="20"/>
      <c r="K103" s="20"/>
      <c r="L103" s="21">
        <v>9000</v>
      </c>
      <c r="M103" s="21">
        <v>4500</v>
      </c>
    </row>
    <row r="104" spans="9:13" x14ac:dyDescent="0.3">
      <c r="I104" s="17" t="s">
        <v>1176</v>
      </c>
      <c r="J104" s="17"/>
      <c r="K104" s="17"/>
      <c r="L104" s="1316">
        <f>SUM(L102:L103)</f>
        <v>12000</v>
      </c>
      <c r="M104" s="1316">
        <f>SUM(M102:M103)</f>
        <v>7000</v>
      </c>
    </row>
    <row r="105" spans="9:13" x14ac:dyDescent="0.3">
      <c r="I105" s="20" t="s">
        <v>1174</v>
      </c>
      <c r="J105" s="20"/>
      <c r="K105" s="20"/>
      <c r="L105" s="21">
        <f>-L89</f>
        <v>-1000</v>
      </c>
      <c r="M105" s="21">
        <f>-M89</f>
        <v>-2000</v>
      </c>
    </row>
    <row r="106" spans="9:13" x14ac:dyDescent="0.3">
      <c r="I106" s="17" t="s">
        <v>1175</v>
      </c>
      <c r="J106" s="17"/>
      <c r="K106" s="17"/>
      <c r="L106" s="1316">
        <f>+L104+L105</f>
        <v>11000</v>
      </c>
      <c r="M106" s="1316">
        <f>+M104+M105</f>
        <v>5000</v>
      </c>
    </row>
    <row r="108" spans="9:13" x14ac:dyDescent="0.3">
      <c r="I108" s="16"/>
      <c r="J108" s="16"/>
      <c r="K108" s="16"/>
      <c r="L108" s="19"/>
      <c r="M108" s="19">
        <v>2020</v>
      </c>
    </row>
    <row r="109" spans="9:13" x14ac:dyDescent="0.3">
      <c r="I109" s="16" t="s">
        <v>1177</v>
      </c>
      <c r="J109" s="16"/>
      <c r="K109" s="16"/>
      <c r="L109" s="19"/>
      <c r="M109" s="19" t="s">
        <v>3</v>
      </c>
    </row>
    <row r="110" spans="9:13" x14ac:dyDescent="0.3">
      <c r="I110" s="20">
        <v>101</v>
      </c>
      <c r="J110" s="20" t="s">
        <v>1140</v>
      </c>
      <c r="K110" s="20"/>
      <c r="L110" s="21"/>
      <c r="M110" s="21">
        <v>100</v>
      </c>
    </row>
    <row r="111" spans="9:13" x14ac:dyDescent="0.3">
      <c r="I111" s="20">
        <v>102</v>
      </c>
      <c r="J111" s="20" t="s">
        <v>1178</v>
      </c>
      <c r="K111" s="20"/>
      <c r="L111" s="21"/>
      <c r="M111" s="21">
        <v>400</v>
      </c>
    </row>
    <row r="112" spans="9:13" x14ac:dyDescent="0.3">
      <c r="I112" s="20">
        <v>103</v>
      </c>
      <c r="J112" s="20" t="s">
        <v>1179</v>
      </c>
      <c r="K112" s="20"/>
      <c r="L112" s="21"/>
      <c r="M112" s="21"/>
    </row>
    <row r="113" spans="9:63" x14ac:dyDescent="0.3">
      <c r="I113" s="20"/>
      <c r="J113" s="20">
        <v>1031</v>
      </c>
      <c r="K113" s="20" t="s">
        <v>1180</v>
      </c>
      <c r="L113" s="21"/>
      <c r="M113" s="21">
        <v>1500</v>
      </c>
    </row>
    <row r="114" spans="9:63" x14ac:dyDescent="0.3">
      <c r="I114" s="20"/>
      <c r="J114" s="20">
        <v>1032</v>
      </c>
      <c r="K114" s="20" t="s">
        <v>1181</v>
      </c>
      <c r="L114" s="21"/>
      <c r="M114" s="21">
        <v>1000</v>
      </c>
    </row>
    <row r="115" spans="9:63" x14ac:dyDescent="0.3">
      <c r="I115" s="20">
        <v>104</v>
      </c>
      <c r="J115" s="20" t="s">
        <v>1191</v>
      </c>
      <c r="K115" s="20"/>
      <c r="L115" s="21"/>
      <c r="M115" s="21"/>
    </row>
    <row r="116" spans="9:63" x14ac:dyDescent="0.3">
      <c r="I116" s="20"/>
      <c r="J116" s="20">
        <v>1041</v>
      </c>
      <c r="K116" s="20" t="s">
        <v>1182</v>
      </c>
      <c r="L116" s="21"/>
      <c r="M116" s="21">
        <v>140000</v>
      </c>
    </row>
    <row r="117" spans="9:63" x14ac:dyDescent="0.3">
      <c r="I117" s="20"/>
      <c r="J117" s="20">
        <v>1042</v>
      </c>
      <c r="K117" s="20" t="s">
        <v>1183</v>
      </c>
      <c r="L117" s="21"/>
      <c r="M117" s="21">
        <v>130000</v>
      </c>
    </row>
    <row r="118" spans="9:63" x14ac:dyDescent="0.3">
      <c r="I118" s="20">
        <v>105</v>
      </c>
      <c r="J118" s="20" t="s">
        <v>1184</v>
      </c>
      <c r="K118" s="20"/>
      <c r="L118" s="21"/>
      <c r="M118" s="21"/>
    </row>
    <row r="119" spans="9:63" x14ac:dyDescent="0.3">
      <c r="I119" s="20"/>
      <c r="J119" s="20">
        <v>1051</v>
      </c>
      <c r="K119" s="20" t="s">
        <v>1184</v>
      </c>
      <c r="L119" s="21"/>
      <c r="M119" s="21">
        <v>45000</v>
      </c>
    </row>
    <row r="120" spans="9:63" x14ac:dyDescent="0.3">
      <c r="I120" s="20">
        <v>106</v>
      </c>
      <c r="J120" s="20" t="s">
        <v>1185</v>
      </c>
      <c r="K120" s="20"/>
      <c r="L120" s="21"/>
      <c r="M120" s="21"/>
    </row>
    <row r="121" spans="9:63" x14ac:dyDescent="0.3">
      <c r="I121" s="20"/>
      <c r="J121" s="20">
        <v>1061</v>
      </c>
      <c r="K121" s="20" t="s">
        <v>1186</v>
      </c>
      <c r="L121" s="21"/>
      <c r="M121" s="21">
        <v>65000</v>
      </c>
    </row>
    <row r="122" spans="9:63" x14ac:dyDescent="0.3">
      <c r="I122" s="20"/>
      <c r="J122" s="20">
        <v>1062</v>
      </c>
      <c r="K122" s="20" t="s">
        <v>224</v>
      </c>
      <c r="L122" s="21"/>
      <c r="M122" s="21">
        <v>78000</v>
      </c>
      <c r="Y122" s="2"/>
      <c r="Z122" s="2"/>
      <c r="AA122" s="2"/>
      <c r="AB122" s="2"/>
      <c r="AC122" s="2"/>
      <c r="AD122" s="2"/>
    </row>
    <row r="123" spans="9:63" x14ac:dyDescent="0.3">
      <c r="I123" s="20">
        <v>107</v>
      </c>
      <c r="J123" s="20" t="s">
        <v>1187</v>
      </c>
      <c r="K123" s="20"/>
      <c r="L123" s="21"/>
      <c r="M123" s="21"/>
    </row>
    <row r="124" spans="9:63" x14ac:dyDescent="0.3">
      <c r="I124" s="20"/>
      <c r="J124" s="20">
        <v>1071</v>
      </c>
      <c r="K124" s="20" t="s">
        <v>1188</v>
      </c>
      <c r="L124" s="21"/>
      <c r="M124" s="21">
        <v>2400</v>
      </c>
    </row>
    <row r="125" spans="9:63" x14ac:dyDescent="0.3">
      <c r="I125" s="20"/>
      <c r="J125" s="20">
        <v>1072</v>
      </c>
      <c r="K125" s="20" t="s">
        <v>1189</v>
      </c>
      <c r="L125" s="20"/>
      <c r="M125" s="20">
        <v>3200</v>
      </c>
    </row>
    <row r="126" spans="9:63" x14ac:dyDescent="0.3">
      <c r="I126" s="20"/>
      <c r="J126" s="20">
        <v>1073</v>
      </c>
      <c r="K126" s="20" t="s">
        <v>1190</v>
      </c>
      <c r="L126" s="20"/>
      <c r="M126" s="20">
        <v>1200</v>
      </c>
    </row>
    <row r="127" spans="9:63" s="2" customFormat="1" x14ac:dyDescent="0.3">
      <c r="I127" s="1304"/>
      <c r="J127" s="1304"/>
      <c r="K127" s="1304"/>
      <c r="L127" s="16"/>
      <c r="M127" s="566">
        <f>SUM(M110:M126)</f>
        <v>467800</v>
      </c>
      <c r="Y127"/>
      <c r="Z127"/>
      <c r="AA127"/>
      <c r="AB127"/>
      <c r="AC127"/>
      <c r="AD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</row>
  </sheetData>
  <mergeCells count="3">
    <mergeCell ref="O44:P44"/>
    <mergeCell ref="AT21:AU21"/>
    <mergeCell ref="AQ21:AR21"/>
  </mergeCells>
  <pageMargins left="0.7" right="0.7" top="0.75" bottom="0.75" header="0.3" footer="0.3"/>
  <ignoredErrors>
    <ignoredError sqref="M63 AC19:AE22 AE43:AE45 AC43:AD43 AC45:AD45" formula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A5D9-5662-49FC-83AA-07E402E96ACE}">
  <dimension ref="B1:AB24"/>
  <sheetViews>
    <sheetView showGridLines="0" zoomScale="85" zoomScaleNormal="85" workbookViewId="0">
      <selection activeCell="AA11" sqref="AA11"/>
    </sheetView>
  </sheetViews>
  <sheetFormatPr baseColWidth="10" defaultRowHeight="15" x14ac:dyDescent="0.25"/>
  <cols>
    <col min="1" max="1" width="4.85546875" customWidth="1"/>
    <col min="4" max="6" width="0" hidden="1" customWidth="1"/>
    <col min="11" max="16" width="0" hidden="1" customWidth="1"/>
    <col min="17" max="17" width="4.5703125" customWidth="1"/>
    <col min="20" max="20" width="2.5703125" customWidth="1"/>
    <col min="21" max="21" width="12.42578125" bestFit="1" customWidth="1"/>
    <col min="23" max="23" width="2" customWidth="1"/>
    <col min="24" max="24" width="11.28515625" customWidth="1"/>
    <col min="25" max="25" width="15.85546875" customWidth="1"/>
    <col min="26" max="26" width="12.7109375" customWidth="1"/>
    <col min="28" max="28" width="1.28515625" customWidth="1"/>
  </cols>
  <sheetData>
    <row r="1" spans="2:28" x14ac:dyDescent="0.25">
      <c r="G1" s="759" t="s">
        <v>103</v>
      </c>
    </row>
    <row r="2" spans="2:28" x14ac:dyDescent="0.25">
      <c r="B2" s="759" t="s">
        <v>1268</v>
      </c>
      <c r="C2" s="759" t="s">
        <v>1267</v>
      </c>
      <c r="D2" s="759" t="s">
        <v>103</v>
      </c>
      <c r="E2" s="1578" t="s">
        <v>757</v>
      </c>
      <c r="F2" s="1578"/>
      <c r="G2" s="759" t="s">
        <v>104</v>
      </c>
      <c r="H2" s="1579" t="s">
        <v>1278</v>
      </c>
      <c r="I2" s="1579"/>
      <c r="J2" s="1579"/>
      <c r="K2" s="1580" t="s">
        <v>1279</v>
      </c>
      <c r="L2" s="1580"/>
      <c r="M2" s="1580"/>
      <c r="N2" s="1581" t="s">
        <v>1280</v>
      </c>
      <c r="O2" s="1581"/>
      <c r="P2" s="1581"/>
      <c r="R2" s="1582" t="s">
        <v>1278</v>
      </c>
      <c r="S2" s="1582"/>
      <c r="T2" s="1582"/>
      <c r="U2" s="1582"/>
      <c r="W2" s="1577" t="s">
        <v>1287</v>
      </c>
      <c r="X2" s="1577"/>
      <c r="Y2" s="1577"/>
      <c r="Z2" s="1577"/>
      <c r="AA2" s="1577"/>
      <c r="AB2" s="1407"/>
    </row>
    <row r="3" spans="2:28" ht="15.75" thickBot="1" x14ac:dyDescent="0.3">
      <c r="B3" s="759" t="s">
        <v>105</v>
      </c>
      <c r="C3" s="759" t="s">
        <v>106</v>
      </c>
      <c r="D3" s="759" t="s">
        <v>107</v>
      </c>
      <c r="E3" s="1395" t="s">
        <v>156</v>
      </c>
      <c r="F3" s="1395" t="s">
        <v>233</v>
      </c>
      <c r="G3" s="759" t="s">
        <v>1281</v>
      </c>
      <c r="H3" s="759" t="s">
        <v>1269</v>
      </c>
      <c r="I3" s="759" t="s">
        <v>1270</v>
      </c>
      <c r="J3" s="759" t="s">
        <v>1271</v>
      </c>
      <c r="K3" s="759" t="s">
        <v>1272</v>
      </c>
      <c r="L3" s="759" t="s">
        <v>1273</v>
      </c>
      <c r="M3" s="759" t="s">
        <v>1274</v>
      </c>
      <c r="N3" s="759" t="s">
        <v>1275</v>
      </c>
      <c r="O3" s="759" t="s">
        <v>1276</v>
      </c>
      <c r="P3" s="759" t="s">
        <v>1277</v>
      </c>
      <c r="R3" s="1298" t="s">
        <v>1269</v>
      </c>
      <c r="S3" s="1298"/>
      <c r="T3" s="1404" t="str">
        <f>+H24</f>
        <v>AO1</v>
      </c>
      <c r="U3" s="1297" t="s">
        <v>1282</v>
      </c>
      <c r="W3" s="1298"/>
      <c r="X3" s="1298"/>
      <c r="Y3" s="1298"/>
      <c r="Z3" s="1404"/>
      <c r="AA3" s="1297"/>
      <c r="AB3" s="1297"/>
    </row>
    <row r="4" spans="2:28" x14ac:dyDescent="0.25">
      <c r="B4" s="1390" t="s">
        <v>1</v>
      </c>
      <c r="C4" s="1391" t="s">
        <v>1</v>
      </c>
      <c r="D4" s="1394" t="s">
        <v>1</v>
      </c>
      <c r="E4" s="1368"/>
      <c r="F4" s="1368"/>
      <c r="G4" s="1406" t="s">
        <v>1</v>
      </c>
      <c r="H4" s="1312"/>
      <c r="I4" s="1312"/>
      <c r="J4" s="1312"/>
      <c r="K4" s="1171"/>
      <c r="L4" s="1171"/>
      <c r="M4" s="1171"/>
      <c r="N4" s="1322"/>
      <c r="O4" s="1322"/>
      <c r="P4" s="1322"/>
      <c r="R4" s="1298" t="s">
        <v>1270</v>
      </c>
      <c r="S4" s="1298"/>
      <c r="T4" s="1404" t="str">
        <f>+I24</f>
        <v>AO2</v>
      </c>
      <c r="U4" s="1297" t="s">
        <v>1282</v>
      </c>
      <c r="W4" s="1298"/>
      <c r="X4" s="1298" t="s">
        <v>1288</v>
      </c>
      <c r="Y4" s="1298"/>
      <c r="Z4" s="1404"/>
      <c r="AA4" s="1408"/>
      <c r="AB4" s="1297"/>
    </row>
    <row r="5" spans="2:28" ht="15.75" thickBot="1" x14ac:dyDescent="0.3">
      <c r="B5" s="1390" t="s">
        <v>56</v>
      </c>
      <c r="C5" s="1391" t="s">
        <v>56</v>
      </c>
      <c r="D5" s="1394"/>
      <c r="E5" s="1368"/>
      <c r="F5" s="1368"/>
      <c r="G5" s="1402" t="s">
        <v>56</v>
      </c>
      <c r="H5" s="1312"/>
      <c r="I5" s="1312"/>
      <c r="J5" s="1312"/>
      <c r="K5" s="1171"/>
      <c r="L5" s="1171"/>
      <c r="M5" s="1171"/>
      <c r="N5" s="1322"/>
      <c r="O5" s="1322"/>
      <c r="P5" s="1322"/>
      <c r="R5" s="1298" t="s">
        <v>1271</v>
      </c>
      <c r="S5" s="1298"/>
      <c r="T5" s="1404" t="str">
        <f>+J24</f>
        <v>AO3</v>
      </c>
      <c r="U5" s="1297" t="s">
        <v>1282</v>
      </c>
      <c r="W5" s="1298"/>
      <c r="X5" s="1298"/>
      <c r="Y5" s="1298"/>
      <c r="Z5" s="1404"/>
      <c r="AA5" s="1409" t="s">
        <v>1291</v>
      </c>
      <c r="AB5" s="1297"/>
    </row>
    <row r="6" spans="2:28" ht="15.75" thickBot="1" x14ac:dyDescent="0.3">
      <c r="B6" s="1390"/>
      <c r="C6" s="1391"/>
      <c r="D6" s="1394"/>
      <c r="E6" s="1368"/>
      <c r="F6" s="1368"/>
      <c r="G6" s="1402" t="s">
        <v>463</v>
      </c>
      <c r="H6" s="1312"/>
      <c r="I6" s="1312"/>
      <c r="J6" s="1312"/>
      <c r="K6" s="1171"/>
      <c r="L6" s="1171"/>
      <c r="M6" s="1171"/>
      <c r="N6" s="1322"/>
      <c r="O6" s="1322"/>
      <c r="P6" s="1322"/>
      <c r="R6" s="1298"/>
      <c r="S6" s="1298"/>
      <c r="T6" s="1404"/>
      <c r="U6" s="1405" t="s">
        <v>259</v>
      </c>
      <c r="W6" s="1298"/>
      <c r="X6" s="1298" t="s">
        <v>1289</v>
      </c>
      <c r="Y6" s="1298"/>
      <c r="Z6" s="1404"/>
      <c r="AA6" s="1410"/>
      <c r="AB6" s="1297"/>
    </row>
    <row r="7" spans="2:28" ht="15.75" thickBot="1" x14ac:dyDescent="0.3">
      <c r="B7" s="1390"/>
      <c r="C7" s="1391"/>
      <c r="D7" s="1394"/>
      <c r="E7" s="1368"/>
      <c r="F7" s="1368"/>
      <c r="G7" s="1402"/>
      <c r="H7" s="1312"/>
      <c r="I7" s="1312"/>
      <c r="J7" s="1312"/>
      <c r="K7" s="1171"/>
      <c r="L7" s="1171"/>
      <c r="M7" s="1171"/>
      <c r="N7" s="1322"/>
      <c r="O7" s="1322"/>
      <c r="P7" s="1322"/>
      <c r="R7" s="1583" t="s">
        <v>1279</v>
      </c>
      <c r="S7" s="1583"/>
      <c r="T7" s="1583"/>
      <c r="U7" s="1583"/>
      <c r="W7" s="1298"/>
      <c r="X7" s="1298"/>
      <c r="Y7" s="1298"/>
      <c r="Z7" s="1404"/>
      <c r="AA7" s="1297"/>
      <c r="AB7" s="1297"/>
    </row>
    <row r="8" spans="2:28" ht="15.75" thickBot="1" x14ac:dyDescent="0.3">
      <c r="B8" s="1399"/>
      <c r="C8" s="1400"/>
      <c r="D8" s="1394"/>
      <c r="E8" s="1368"/>
      <c r="F8" s="1368"/>
      <c r="G8" s="1406"/>
      <c r="H8" s="1312"/>
      <c r="I8" s="1312"/>
      <c r="J8" s="1312"/>
      <c r="K8" s="1171"/>
      <c r="L8" s="1171"/>
      <c r="M8" s="1171"/>
      <c r="N8" s="1322"/>
      <c r="O8" s="1322"/>
      <c r="P8" s="1322"/>
      <c r="R8" s="1298" t="s">
        <v>1272</v>
      </c>
      <c r="S8" s="1298"/>
      <c r="T8" s="1404" t="str">
        <f>+K24</f>
        <v>AI1</v>
      </c>
      <c r="U8" s="1297" t="s">
        <v>1282</v>
      </c>
      <c r="W8" s="1298"/>
      <c r="X8" s="1298" t="s">
        <v>1290</v>
      </c>
      <c r="Y8" s="1298"/>
      <c r="Z8" s="1404"/>
      <c r="AA8" s="1411" t="s">
        <v>1292</v>
      </c>
      <c r="AB8" s="1297"/>
    </row>
    <row r="9" spans="2:28" x14ac:dyDescent="0.25">
      <c r="B9" s="1392" t="s">
        <v>1173</v>
      </c>
      <c r="C9" s="1393" t="s">
        <v>1173</v>
      </c>
      <c r="D9" s="1394"/>
      <c r="E9" s="1368"/>
      <c r="F9" s="1368"/>
      <c r="G9" s="1402" t="s">
        <v>1173</v>
      </c>
      <c r="H9" s="1312"/>
      <c r="I9" s="1312"/>
      <c r="J9" s="1312"/>
      <c r="K9" s="1171"/>
      <c r="L9" s="1171"/>
      <c r="M9" s="1171"/>
      <c r="N9" s="1322"/>
      <c r="O9" s="1322"/>
      <c r="P9" s="1322"/>
      <c r="R9" s="1298" t="s">
        <v>1273</v>
      </c>
      <c r="S9" s="1298"/>
      <c r="T9" s="1404" t="str">
        <f>+L24</f>
        <v>AI2</v>
      </c>
      <c r="U9" s="1297" t="s">
        <v>1282</v>
      </c>
      <c r="W9" s="1298"/>
      <c r="X9" s="1298"/>
      <c r="Y9" s="1298"/>
      <c r="Z9" s="1404"/>
      <c r="AA9" s="1297"/>
      <c r="AB9" s="1297"/>
    </row>
    <row r="10" spans="2:28" ht="15.75" thickBot="1" x14ac:dyDescent="0.3">
      <c r="B10" s="1392"/>
      <c r="C10" s="1393"/>
      <c r="D10" s="1394"/>
      <c r="E10" s="1368"/>
      <c r="F10" s="1368"/>
      <c r="G10" s="1402" t="s">
        <v>463</v>
      </c>
      <c r="H10" s="1312"/>
      <c r="I10" s="1312"/>
      <c r="J10" s="1312"/>
      <c r="K10" s="1171"/>
      <c r="L10" s="1171"/>
      <c r="M10" s="1171"/>
      <c r="N10" s="1322"/>
      <c r="O10" s="1322"/>
      <c r="P10" s="1322"/>
      <c r="R10" s="1298" t="s">
        <v>1274</v>
      </c>
      <c r="S10" s="1298"/>
      <c r="T10" s="1404" t="str">
        <f>+M24</f>
        <v>AI3</v>
      </c>
      <c r="U10" s="1297" t="s">
        <v>1282</v>
      </c>
      <c r="W10" s="1298"/>
      <c r="X10" s="1298"/>
      <c r="Y10" s="1298"/>
      <c r="Z10" s="1404"/>
      <c r="AA10" s="1297"/>
      <c r="AB10" s="1297"/>
    </row>
    <row r="11" spans="2:28" ht="15.75" thickBot="1" x14ac:dyDescent="0.3">
      <c r="B11" s="1397"/>
      <c r="C11" s="1398"/>
      <c r="D11" s="1394"/>
      <c r="E11" s="1368"/>
      <c r="F11" s="1368"/>
      <c r="G11" s="1406"/>
      <c r="H11" s="1312"/>
      <c r="I11" s="1312"/>
      <c r="J11" s="1312"/>
      <c r="K11" s="1171"/>
      <c r="L11" s="1171"/>
      <c r="M11" s="1171"/>
      <c r="N11" s="1322"/>
      <c r="O11" s="1322"/>
      <c r="P11" s="1322"/>
      <c r="R11" s="1298"/>
      <c r="S11" s="1298"/>
      <c r="T11" s="1404"/>
      <c r="U11" s="1405" t="s">
        <v>260</v>
      </c>
      <c r="W11" s="1298"/>
      <c r="X11" s="1298" t="s">
        <v>1293</v>
      </c>
      <c r="Y11" s="1298"/>
      <c r="Z11" s="1404"/>
      <c r="AA11" s="1405" t="s">
        <v>1294</v>
      </c>
      <c r="AB11" s="1297"/>
    </row>
    <row r="12" spans="2:28" x14ac:dyDescent="0.25">
      <c r="B12" s="1392" t="s">
        <v>80</v>
      </c>
      <c r="C12" s="1393" t="s">
        <v>80</v>
      </c>
      <c r="D12" s="1394"/>
      <c r="E12" s="1368"/>
      <c r="F12" s="1368"/>
      <c r="G12" s="1402"/>
      <c r="H12" s="1312"/>
      <c r="I12" s="1312"/>
      <c r="J12" s="1312"/>
      <c r="K12" s="1171"/>
      <c r="L12" s="1171"/>
      <c r="M12" s="1171"/>
      <c r="N12" s="1322"/>
      <c r="O12" s="1322"/>
      <c r="P12" s="1322"/>
      <c r="R12" s="1577" t="s">
        <v>1280</v>
      </c>
      <c r="S12" s="1577"/>
      <c r="T12" s="1577"/>
      <c r="U12" s="1577"/>
      <c r="W12" s="1298"/>
      <c r="X12" s="1298"/>
      <c r="Y12" s="1298"/>
      <c r="Z12" s="1404"/>
      <c r="AA12" s="1297"/>
      <c r="AB12" s="1297"/>
    </row>
    <row r="13" spans="2:28" x14ac:dyDescent="0.25">
      <c r="B13" s="1397"/>
      <c r="C13" s="1398"/>
      <c r="D13" s="1394"/>
      <c r="E13" s="1368"/>
      <c r="F13" s="1368"/>
      <c r="G13" s="1406"/>
      <c r="H13" s="1312"/>
      <c r="I13" s="1312"/>
      <c r="J13" s="1312"/>
      <c r="K13" s="1171"/>
      <c r="L13" s="1171"/>
      <c r="M13" s="1171"/>
      <c r="N13" s="1322"/>
      <c r="O13" s="1322"/>
      <c r="P13" s="1322"/>
      <c r="R13" s="1293" t="s">
        <v>1275</v>
      </c>
      <c r="S13" s="1293"/>
      <c r="T13" s="1403" t="str">
        <f>+N24</f>
        <v>AF1</v>
      </c>
      <c r="U13" s="1297" t="s">
        <v>1282</v>
      </c>
    </row>
    <row r="14" spans="2:28" x14ac:dyDescent="0.25">
      <c r="B14" s="1392" t="s">
        <v>1266</v>
      </c>
      <c r="C14" s="532"/>
      <c r="D14" s="1394"/>
      <c r="E14" s="1368"/>
      <c r="F14" s="1368"/>
      <c r="G14" s="1402" t="s">
        <v>1286</v>
      </c>
      <c r="H14" s="1312"/>
      <c r="I14" s="1312"/>
      <c r="J14" s="1312"/>
      <c r="K14" s="1171"/>
      <c r="L14" s="1171"/>
      <c r="M14" s="1171"/>
      <c r="N14" s="1322"/>
      <c r="O14" s="1322"/>
      <c r="P14" s="1322"/>
      <c r="R14" s="1293" t="s">
        <v>1276</v>
      </c>
      <c r="S14" s="1293"/>
      <c r="T14" s="1403" t="str">
        <f>+O24</f>
        <v>AF2</v>
      </c>
      <c r="U14" s="1297" t="s">
        <v>1282</v>
      </c>
    </row>
    <row r="15" spans="2:28" ht="15.75" thickBot="1" x14ac:dyDescent="0.3">
      <c r="B15" s="1392"/>
      <c r="C15" s="532"/>
      <c r="D15" s="1394"/>
      <c r="E15" s="1368"/>
      <c r="F15" s="1368"/>
      <c r="G15" s="1402"/>
      <c r="H15" s="1312"/>
      <c r="I15" s="1312"/>
      <c r="J15" s="1312"/>
      <c r="K15" s="1171"/>
      <c r="L15" s="1171"/>
      <c r="M15" s="1171"/>
      <c r="N15" s="1322"/>
      <c r="O15" s="1322"/>
      <c r="P15" s="1322"/>
      <c r="R15" s="1293" t="s">
        <v>1277</v>
      </c>
      <c r="S15" s="1293"/>
      <c r="T15" s="1403" t="str">
        <f>+P24</f>
        <v>AF3</v>
      </c>
      <c r="U15" s="1297" t="s">
        <v>1282</v>
      </c>
    </row>
    <row r="16" spans="2:28" ht="15.75" thickBot="1" x14ac:dyDescent="0.3">
      <c r="B16" s="1392"/>
      <c r="C16" s="532"/>
      <c r="D16" s="1394"/>
      <c r="E16" s="1368"/>
      <c r="F16" s="1368"/>
      <c r="G16" s="1402"/>
      <c r="H16" s="1312"/>
      <c r="I16" s="1312"/>
      <c r="J16" s="1312"/>
      <c r="K16" s="1171"/>
      <c r="L16" s="1171"/>
      <c r="M16" s="1171"/>
      <c r="N16" s="1322"/>
      <c r="O16" s="1322"/>
      <c r="P16" s="1322"/>
      <c r="R16" s="1298"/>
      <c r="S16" s="1298"/>
      <c r="T16" s="1404"/>
      <c r="U16" s="1405" t="s">
        <v>261</v>
      </c>
    </row>
    <row r="17" spans="2:21" ht="15.75" thickBot="1" x14ac:dyDescent="0.3">
      <c r="B17" s="1392"/>
      <c r="C17" s="532"/>
      <c r="D17" s="1394"/>
      <c r="E17" s="1368"/>
      <c r="F17" s="1368"/>
      <c r="G17" s="1402"/>
      <c r="H17" s="1312"/>
      <c r="I17" s="1312"/>
      <c r="J17" s="1312"/>
      <c r="K17" s="1171"/>
      <c r="L17" s="1171"/>
      <c r="M17" s="1171"/>
      <c r="N17" s="1322"/>
      <c r="O17" s="1322"/>
      <c r="P17" s="1322"/>
      <c r="R17" s="1293" t="s">
        <v>1283</v>
      </c>
      <c r="S17" s="1293"/>
      <c r="T17" s="1403">
        <f>+O27</f>
        <v>0</v>
      </c>
      <c r="U17" s="1405" t="s">
        <v>1284</v>
      </c>
    </row>
    <row r="18" spans="2:21" ht="15.75" thickBot="1" x14ac:dyDescent="0.3">
      <c r="B18" s="1397"/>
      <c r="C18" s="532"/>
      <c r="D18" s="1394"/>
      <c r="E18" s="1368"/>
      <c r="F18" s="1368"/>
      <c r="G18" s="1406"/>
      <c r="H18" s="1312"/>
      <c r="I18" s="1312"/>
      <c r="J18" s="1312"/>
      <c r="K18" s="1171"/>
      <c r="L18" s="1171"/>
      <c r="M18" s="1171"/>
      <c r="N18" s="1322"/>
      <c r="O18" s="1322"/>
      <c r="P18" s="1322"/>
      <c r="R18" s="1293" t="s">
        <v>47</v>
      </c>
      <c r="S18" s="1293"/>
      <c r="T18" s="1403">
        <f>+O28</f>
        <v>0</v>
      </c>
      <c r="U18" s="1405" t="s">
        <v>620</v>
      </c>
    </row>
    <row r="19" spans="2:21" ht="15.75" thickBot="1" x14ac:dyDescent="0.3">
      <c r="B19" s="1390" t="s">
        <v>461</v>
      </c>
      <c r="C19" s="532"/>
      <c r="D19" s="1394"/>
      <c r="E19" s="1368"/>
      <c r="F19" s="1368"/>
      <c r="G19" s="1402" t="s">
        <v>461</v>
      </c>
      <c r="H19" s="1312"/>
      <c r="I19" s="1312"/>
      <c r="J19" s="1312"/>
      <c r="K19" s="1171"/>
      <c r="L19" s="1171"/>
      <c r="M19" s="1171"/>
      <c r="N19" s="1322"/>
      <c r="O19" s="1322"/>
      <c r="P19" s="1322"/>
      <c r="R19" s="1293" t="s">
        <v>49</v>
      </c>
      <c r="S19" s="1293"/>
      <c r="T19" s="1403">
        <f>+O29</f>
        <v>0</v>
      </c>
      <c r="U19" s="1405" t="s">
        <v>1285</v>
      </c>
    </row>
    <row r="20" spans="2:21" x14ac:dyDescent="0.25">
      <c r="B20" s="1390"/>
      <c r="C20" s="532"/>
      <c r="D20" s="1394"/>
      <c r="E20" s="1368"/>
      <c r="F20" s="1368"/>
      <c r="G20" s="1402"/>
      <c r="H20" s="1312"/>
      <c r="I20" s="1312"/>
      <c r="J20" s="1312"/>
      <c r="K20" s="1171"/>
      <c r="L20" s="1171"/>
      <c r="M20" s="1171"/>
      <c r="N20" s="1322"/>
      <c r="O20" s="1322"/>
      <c r="P20" s="1322"/>
    </row>
    <row r="21" spans="2:21" x14ac:dyDescent="0.25">
      <c r="B21" s="1390"/>
      <c r="C21" s="532"/>
      <c r="D21" s="1394"/>
      <c r="E21" s="1368"/>
      <c r="F21" s="1368"/>
      <c r="G21" s="1402"/>
      <c r="H21" s="1312"/>
      <c r="I21" s="1312"/>
      <c r="J21" s="1312"/>
      <c r="K21" s="1171"/>
      <c r="L21" s="1171"/>
      <c r="M21" s="1171"/>
      <c r="N21" s="1322"/>
      <c r="O21" s="1322"/>
      <c r="P21" s="1322"/>
    </row>
    <row r="22" spans="2:21" x14ac:dyDescent="0.25">
      <c r="B22" s="1390"/>
      <c r="C22" s="532"/>
      <c r="D22" s="1394"/>
      <c r="E22" s="1368"/>
      <c r="F22" s="1368"/>
      <c r="G22" s="1402"/>
      <c r="H22" s="1312"/>
      <c r="I22" s="1312"/>
      <c r="J22" s="1312"/>
      <c r="K22" s="1171"/>
      <c r="L22" s="1171"/>
      <c r="M22" s="1171"/>
      <c r="N22" s="1322"/>
      <c r="O22" s="1322"/>
      <c r="P22" s="1322"/>
    </row>
    <row r="23" spans="2:21" x14ac:dyDescent="0.25">
      <c r="B23" s="1399"/>
      <c r="C23" s="532"/>
      <c r="D23" s="1394"/>
      <c r="E23" s="1368"/>
      <c r="F23" s="1368"/>
      <c r="G23" s="1402"/>
      <c r="H23" s="1312"/>
      <c r="I23" s="1312"/>
      <c r="J23" s="1312"/>
      <c r="K23" s="1171"/>
      <c r="L23" s="1171"/>
      <c r="M23" s="1171"/>
      <c r="N23" s="1322"/>
      <c r="O23" s="1322"/>
      <c r="P23" s="1322"/>
    </row>
    <row r="24" spans="2:21" x14ac:dyDescent="0.25">
      <c r="B24" s="1401">
        <v>0</v>
      </c>
      <c r="C24" s="1401">
        <v>0</v>
      </c>
      <c r="D24" s="1401">
        <v>0</v>
      </c>
      <c r="E24" s="1401" t="s">
        <v>304</v>
      </c>
      <c r="F24" s="1401" t="s">
        <v>304</v>
      </c>
      <c r="G24" s="1401">
        <v>0</v>
      </c>
      <c r="H24" s="1396" t="s">
        <v>1269</v>
      </c>
      <c r="I24" s="1396" t="s">
        <v>1270</v>
      </c>
      <c r="J24" s="1396" t="s">
        <v>1271</v>
      </c>
      <c r="K24" s="1396" t="s">
        <v>1272</v>
      </c>
      <c r="L24" s="1396" t="s">
        <v>1273</v>
      </c>
      <c r="M24" s="1396" t="s">
        <v>1274</v>
      </c>
      <c r="N24" s="1396" t="s">
        <v>1275</v>
      </c>
      <c r="O24" s="1396" t="s">
        <v>1276</v>
      </c>
      <c r="P24" s="1396" t="s">
        <v>1277</v>
      </c>
    </row>
  </sheetData>
  <mergeCells count="8">
    <mergeCell ref="R12:U12"/>
    <mergeCell ref="W2:AA2"/>
    <mergeCell ref="E2:F2"/>
    <mergeCell ref="H2:J2"/>
    <mergeCell ref="K2:M2"/>
    <mergeCell ref="N2:P2"/>
    <mergeCell ref="R2:U2"/>
    <mergeCell ref="R7:U7"/>
  </mergeCells>
  <phoneticPr fontId="34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A178"/>
  <sheetViews>
    <sheetView topLeftCell="O1" zoomScale="35" zoomScaleNormal="35" workbookViewId="0">
      <selection activeCell="BB2" sqref="BB2"/>
    </sheetView>
  </sheetViews>
  <sheetFormatPr baseColWidth="10" defaultColWidth="0" defaultRowHeight="18.75" customHeight="1" zeroHeight="1" x14ac:dyDescent="0.3"/>
  <cols>
    <col min="1" max="1" width="11.42578125" customWidth="1"/>
    <col min="2" max="2" width="18.7109375" customWidth="1"/>
    <col min="3" max="3" width="46.7109375" customWidth="1"/>
    <col min="4" max="5" width="10.7109375" customWidth="1"/>
    <col min="6" max="6" width="18.7109375" customWidth="1"/>
    <col min="7" max="9" width="6.7109375" customWidth="1"/>
    <col min="10" max="11" width="15.7109375" style="42" customWidth="1"/>
    <col min="12" max="12" width="12.7109375" style="42" customWidth="1"/>
    <col min="13" max="16" width="15.7109375" style="42" customWidth="1"/>
    <col min="17" max="19" width="6.7109375" customWidth="1"/>
    <col min="20" max="22" width="15.7109375" customWidth="1"/>
    <col min="23" max="23" width="12.7109375" customWidth="1"/>
    <col min="24" max="26" width="15.7109375" customWidth="1"/>
    <col min="27" max="29" width="6.7109375" customWidth="1"/>
    <col min="30" max="30" width="12.7109375" customWidth="1"/>
    <col min="31" max="33" width="13.7109375" style="42" customWidth="1"/>
    <col min="34" max="34" width="14.42578125" style="42" customWidth="1"/>
    <col min="35" max="35" width="15.140625" style="42" customWidth="1"/>
    <col min="36" max="36" width="15.42578125" style="42" customWidth="1"/>
    <col min="37" max="37" width="12.7109375" style="42" customWidth="1"/>
    <col min="38" max="38" width="10.28515625" bestFit="1" customWidth="1"/>
    <col min="39" max="39" width="14.85546875" bestFit="1" customWidth="1"/>
    <col min="40" max="41" width="6.7109375" customWidth="1"/>
    <col min="42" max="42" width="7.7109375" customWidth="1"/>
    <col min="43" max="43" width="49.7109375" customWidth="1"/>
    <col min="44" max="46" width="13.7109375" customWidth="1"/>
    <col min="47" max="51" width="6.7109375" customWidth="1"/>
    <col min="52" max="52" width="14.7109375" customWidth="1"/>
    <col min="53" max="53" width="50.7109375" style="42" customWidth="1"/>
    <col min="54" max="54" width="5.7109375" style="42" customWidth="1"/>
    <col min="55" max="56" width="10.7109375" style="42" customWidth="1"/>
    <col min="57" max="57" width="14.7109375" customWidth="1"/>
    <col min="58" max="60" width="6.7109375" customWidth="1"/>
    <col min="61" max="61" width="4.28515625" customWidth="1"/>
    <col min="62" max="62" width="4.7109375" customWidth="1"/>
    <col min="63" max="63" width="50.7109375" customWidth="1"/>
    <col min="64" max="67" width="11.7109375" customWidth="1"/>
    <col min="68" max="68" width="4.7109375" customWidth="1"/>
    <col min="69" max="71" width="6.7109375" customWidth="1"/>
    <col min="72" max="72" width="6.28515625" customWidth="1"/>
    <col min="73" max="73" width="46.42578125" customWidth="1"/>
    <col min="74" max="74" width="11.85546875" bestFit="1" customWidth="1"/>
    <col min="75" max="75" width="12" customWidth="1"/>
    <col min="76" max="78" width="13.7109375" customWidth="1"/>
    <col min="79" max="79" width="10.85546875" bestFit="1" customWidth="1"/>
    <col min="80" max="80" width="10.85546875" customWidth="1"/>
    <col min="81" max="83" width="13.7109375" customWidth="1"/>
    <col min="84" max="84" width="12.28515625" bestFit="1" customWidth="1"/>
    <col min="85" max="85" width="13.7109375" customWidth="1"/>
    <col min="86" max="86" width="1" customWidth="1"/>
    <col min="87" max="89" width="6.7109375" customWidth="1"/>
    <col min="90" max="90" width="13.7109375" customWidth="1"/>
    <col min="91" max="101" width="14.7109375" customWidth="1"/>
    <col min="102" max="102" width="13.7109375" customWidth="1"/>
    <col min="103" max="103" width="12.7109375" customWidth="1"/>
    <col min="104" max="106" width="6.7109375" customWidth="1"/>
    <col min="107" max="157" width="0" hidden="1" customWidth="1"/>
    <col min="158" max="16384" width="11.42578125" hidden="1"/>
  </cols>
  <sheetData>
    <row r="1" spans="1:115" ht="18.75" customHeight="1" x14ac:dyDescent="0.35">
      <c r="A1" s="109" t="s">
        <v>551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10"/>
      <c r="AJ1" s="110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10"/>
      <c r="DK1" s="110"/>
    </row>
    <row r="2" spans="1:115" ht="18.75" customHeight="1" x14ac:dyDescent="0.35">
      <c r="A2" s="109" t="s">
        <v>531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10"/>
      <c r="AJ2" s="110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10"/>
      <c r="DK2" s="110"/>
    </row>
    <row r="3" spans="1:115" x14ac:dyDescent="0.3">
      <c r="A3" s="3"/>
      <c r="B3" s="3"/>
      <c r="C3" s="3"/>
      <c r="D3" s="3"/>
      <c r="E3" s="3"/>
      <c r="F3" s="3"/>
      <c r="G3" s="286"/>
      <c r="H3" s="3"/>
      <c r="I3" s="286"/>
      <c r="J3" s="20"/>
      <c r="K3" s="20"/>
      <c r="L3" s="20"/>
      <c r="M3" s="20"/>
      <c r="N3" s="20"/>
      <c r="O3" s="20"/>
      <c r="P3" s="20"/>
      <c r="Q3" s="286"/>
      <c r="R3" s="3"/>
      <c r="S3" s="286"/>
      <c r="T3" s="3"/>
      <c r="U3" s="3"/>
      <c r="V3" s="3"/>
      <c r="W3" s="3"/>
      <c r="X3" s="3"/>
      <c r="Y3" s="3"/>
      <c r="Z3" s="3"/>
      <c r="AA3" s="286"/>
      <c r="AB3" s="3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3"/>
      <c r="AO3" s="286"/>
      <c r="AP3" s="3"/>
      <c r="AQ3" s="3"/>
      <c r="AR3" s="3"/>
      <c r="AS3" s="3"/>
      <c r="AT3" s="3"/>
      <c r="AU3" s="3"/>
      <c r="AV3" s="3"/>
      <c r="AW3" s="286"/>
      <c r="AX3" s="3"/>
      <c r="AY3" s="286"/>
      <c r="AZ3" s="3"/>
      <c r="BA3" s="20"/>
      <c r="BB3" s="20"/>
      <c r="BC3" s="20"/>
      <c r="BD3" s="20"/>
      <c r="BE3" s="3"/>
      <c r="BF3" s="286"/>
      <c r="BG3" s="3"/>
      <c r="BH3" s="286"/>
      <c r="BI3" s="3"/>
      <c r="BJ3" s="3"/>
      <c r="BK3" s="3"/>
      <c r="BL3" s="3"/>
      <c r="BM3" s="3"/>
      <c r="BN3" s="3"/>
      <c r="BO3" s="3"/>
      <c r="BP3" s="3"/>
      <c r="BQ3" s="286"/>
      <c r="BR3" s="3"/>
      <c r="BS3" s="286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286"/>
      <c r="CJ3" s="3"/>
      <c r="CK3" s="286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286"/>
      <c r="DA3" s="3"/>
      <c r="DB3" s="286"/>
    </row>
    <row r="4" spans="1:115" x14ac:dyDescent="0.3">
      <c r="A4" s="3"/>
      <c r="B4" s="3"/>
      <c r="C4" s="1"/>
      <c r="D4" s="1"/>
      <c r="E4" s="283" t="s">
        <v>498</v>
      </c>
      <c r="F4" s="3"/>
      <c r="G4" s="286"/>
      <c r="H4" s="73"/>
      <c r="I4" s="286"/>
      <c r="J4" s="1"/>
      <c r="K4" s="1"/>
      <c r="L4" s="283"/>
      <c r="M4" s="283"/>
      <c r="N4" s="283"/>
      <c r="O4" s="283"/>
      <c r="P4" s="283" t="s">
        <v>499</v>
      </c>
      <c r="Q4" s="286"/>
      <c r="R4" s="73"/>
      <c r="S4" s="286"/>
      <c r="T4" s="1"/>
      <c r="U4" s="1"/>
      <c r="V4" s="283"/>
      <c r="W4" s="283"/>
      <c r="X4" s="283"/>
      <c r="Y4" s="283"/>
      <c r="Z4" s="283" t="s">
        <v>500</v>
      </c>
      <c r="AA4" s="286"/>
      <c r="AB4" s="73"/>
      <c r="AC4" s="286"/>
      <c r="AD4" s="283"/>
      <c r="AE4" s="283"/>
      <c r="AF4" s="283"/>
      <c r="AG4" s="283"/>
      <c r="AH4" s="283"/>
      <c r="AI4" s="283"/>
      <c r="AJ4" s="283"/>
      <c r="AK4" s="283" t="s">
        <v>507</v>
      </c>
      <c r="AL4" s="34"/>
      <c r="AM4" s="286"/>
      <c r="AN4" s="73"/>
      <c r="AO4" s="286"/>
      <c r="AP4" s="283"/>
      <c r="AQ4" s="283"/>
      <c r="AR4" s="283"/>
      <c r="AS4" s="283"/>
      <c r="AT4" s="283"/>
      <c r="AU4" s="283" t="s">
        <v>501</v>
      </c>
      <c r="AV4" s="3"/>
      <c r="AW4" s="286"/>
      <c r="AX4" s="73"/>
      <c r="AY4" s="286"/>
      <c r="AZ4" s="283"/>
      <c r="BA4" s="283"/>
      <c r="BB4" s="283"/>
      <c r="BC4" s="283"/>
      <c r="BD4" s="283"/>
      <c r="BE4" s="283" t="s">
        <v>502</v>
      </c>
      <c r="BF4" s="286"/>
      <c r="BG4" s="73"/>
      <c r="BH4" s="286"/>
      <c r="BI4" s="3"/>
      <c r="BJ4" s="283"/>
      <c r="BK4" s="283"/>
      <c r="BL4" s="283"/>
      <c r="BM4" s="283"/>
      <c r="BN4" s="283"/>
      <c r="BO4" s="283" t="s">
        <v>509</v>
      </c>
      <c r="BQ4" s="286"/>
      <c r="BR4" s="73"/>
      <c r="BS4" s="286"/>
      <c r="BT4" s="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 t="s">
        <v>510</v>
      </c>
      <c r="CH4" s="3"/>
      <c r="CI4" s="286"/>
      <c r="CJ4" s="73"/>
      <c r="CK4" s="286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 t="s">
        <v>511</v>
      </c>
      <c r="CY4" s="3"/>
      <c r="CZ4" s="286"/>
      <c r="DA4" s="73"/>
      <c r="DB4" s="286"/>
    </row>
    <row r="5" spans="1:115" s="42" customFormat="1" x14ac:dyDescent="0.3">
      <c r="A5" s="34"/>
      <c r="B5" s="34"/>
      <c r="C5" s="16" t="s">
        <v>295</v>
      </c>
      <c r="D5" s="18"/>
      <c r="E5" s="18"/>
      <c r="F5" s="34"/>
      <c r="G5" s="286"/>
      <c r="H5" s="284"/>
      <c r="I5" s="286"/>
      <c r="J5" s="16" t="s">
        <v>295</v>
      </c>
      <c r="K5" s="46"/>
      <c r="L5" s="46"/>
      <c r="M5" s="46"/>
      <c r="N5" s="46"/>
      <c r="O5" s="46"/>
      <c r="P5" s="46"/>
      <c r="Q5" s="286"/>
      <c r="R5" s="284"/>
      <c r="S5" s="286"/>
      <c r="T5" s="28"/>
      <c r="U5" s="28"/>
      <c r="V5" s="28"/>
      <c r="W5" s="28"/>
      <c r="X5" s="28"/>
      <c r="Y5" s="28"/>
      <c r="Z5" s="28"/>
      <c r="AA5" s="286"/>
      <c r="AB5" s="284"/>
      <c r="AC5" s="286"/>
      <c r="AD5" s="20"/>
      <c r="AE5" s="16" t="s">
        <v>95</v>
      </c>
      <c r="AF5" s="16"/>
      <c r="AG5" s="46"/>
      <c r="AH5" s="46"/>
      <c r="AI5" s="19">
        <v>2016</v>
      </c>
      <c r="AJ5" s="19">
        <v>2015</v>
      </c>
      <c r="AK5" s="34"/>
      <c r="AL5" s="34"/>
      <c r="AM5" s="286"/>
      <c r="AN5" s="284"/>
      <c r="AO5" s="286"/>
      <c r="AP5" s="34"/>
      <c r="AQ5" s="34"/>
      <c r="AR5" s="34"/>
      <c r="AS5" s="34"/>
      <c r="AT5" s="34"/>
      <c r="AU5" s="34"/>
      <c r="AV5" s="34"/>
      <c r="AW5" s="286"/>
      <c r="AX5" s="284"/>
      <c r="AY5" s="286"/>
      <c r="AZ5" s="34"/>
      <c r="BA5" s="16" t="s">
        <v>109</v>
      </c>
      <c r="BB5" s="16"/>
      <c r="BC5" s="19" t="s">
        <v>110</v>
      </c>
      <c r="BD5" s="19" t="s">
        <v>111</v>
      </c>
      <c r="BE5" s="34"/>
      <c r="BF5" s="286"/>
      <c r="BG5" s="284"/>
      <c r="BH5" s="286"/>
      <c r="BI5" s="34"/>
      <c r="BJ5" s="34"/>
      <c r="BK5" s="34"/>
      <c r="BL5" s="34"/>
      <c r="BM5" s="34"/>
      <c r="BN5" s="34"/>
      <c r="BO5" s="34"/>
      <c r="BP5" s="34"/>
      <c r="BQ5" s="286"/>
      <c r="BR5" s="284"/>
      <c r="BS5" s="286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286"/>
      <c r="CJ5" s="284"/>
      <c r="CK5" s="286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286"/>
      <c r="DA5" s="284"/>
      <c r="DB5" s="286"/>
    </row>
    <row r="6" spans="1:115" s="42" customFormat="1" x14ac:dyDescent="0.3">
      <c r="A6" s="20"/>
      <c r="B6" s="20"/>
      <c r="C6" s="16" t="s">
        <v>62</v>
      </c>
      <c r="D6" s="18"/>
      <c r="E6" s="18"/>
      <c r="F6" s="34"/>
      <c r="G6" s="286"/>
      <c r="H6" s="284"/>
      <c r="I6" s="286"/>
      <c r="J6" s="16" t="s">
        <v>449</v>
      </c>
      <c r="K6" s="46"/>
      <c r="L6" s="46"/>
      <c r="M6" s="46"/>
      <c r="N6" s="46"/>
      <c r="O6" s="46"/>
      <c r="P6" s="46"/>
      <c r="Q6" s="286"/>
      <c r="R6" s="284"/>
      <c r="S6" s="286"/>
      <c r="T6" s="16" t="s">
        <v>390</v>
      </c>
      <c r="U6" s="19"/>
      <c r="V6" s="19"/>
      <c r="W6" s="19"/>
      <c r="X6" s="19" t="s">
        <v>299</v>
      </c>
      <c r="Y6" s="19" t="s">
        <v>301</v>
      </c>
      <c r="Z6" s="19" t="s">
        <v>301</v>
      </c>
      <c r="AA6" s="286"/>
      <c r="AB6" s="284"/>
      <c r="AC6" s="286"/>
      <c r="AD6" s="20"/>
      <c r="AE6" s="46"/>
      <c r="AF6" s="46"/>
      <c r="AG6" s="46"/>
      <c r="AH6" s="46"/>
      <c r="AI6" s="19" t="s">
        <v>387</v>
      </c>
      <c r="AJ6" s="19" t="s">
        <v>387</v>
      </c>
      <c r="AK6" s="34"/>
      <c r="AL6" s="34"/>
      <c r="AM6" s="286"/>
      <c r="AN6" s="284"/>
      <c r="AO6" s="286"/>
      <c r="AP6" s="34"/>
      <c r="AQ6" s="51" t="s">
        <v>108</v>
      </c>
      <c r="AR6" s="157" t="s">
        <v>105</v>
      </c>
      <c r="AS6" s="157" t="s">
        <v>106</v>
      </c>
      <c r="AT6" s="58" t="s">
        <v>107</v>
      </c>
      <c r="AU6" s="34"/>
      <c r="AV6" s="34"/>
      <c r="AW6" s="286"/>
      <c r="AX6" s="284"/>
      <c r="AY6" s="286"/>
      <c r="AZ6" s="34"/>
      <c r="BA6" s="16"/>
      <c r="BB6" s="16"/>
      <c r="BC6" s="19" t="s">
        <v>387</v>
      </c>
      <c r="BD6" s="19" t="s">
        <v>387</v>
      </c>
      <c r="BE6" s="34"/>
      <c r="BF6" s="286"/>
      <c r="BG6" s="284"/>
      <c r="BH6" s="286"/>
      <c r="BI6" s="34"/>
      <c r="BJ6" s="34"/>
      <c r="BK6" s="51" t="s">
        <v>108</v>
      </c>
      <c r="BL6" s="58" t="s">
        <v>107</v>
      </c>
      <c r="BM6" s="1490" t="s">
        <v>109</v>
      </c>
      <c r="BN6" s="1490"/>
      <c r="BO6" s="58" t="s">
        <v>103</v>
      </c>
      <c r="BP6" s="34"/>
      <c r="BQ6" s="286"/>
      <c r="BR6" s="284"/>
      <c r="BS6" s="286"/>
      <c r="BT6" s="34"/>
      <c r="BU6" s="34" t="s">
        <v>207</v>
      </c>
      <c r="BV6" s="34"/>
      <c r="BW6" s="1552" t="s">
        <v>131</v>
      </c>
      <c r="BX6" s="1553"/>
      <c r="BY6" s="1553"/>
      <c r="BZ6" s="1553"/>
      <c r="CA6" s="1553"/>
      <c r="CB6" s="1553"/>
      <c r="CC6" s="1553"/>
      <c r="CD6" s="1553"/>
      <c r="CE6" s="1553"/>
      <c r="CF6" s="1553"/>
      <c r="CG6" s="1554"/>
      <c r="CH6" s="34"/>
      <c r="CI6" s="286"/>
      <c r="CJ6" s="284"/>
      <c r="CK6" s="286"/>
      <c r="CL6" s="34"/>
      <c r="CM6" s="1552" t="s">
        <v>131</v>
      </c>
      <c r="CN6" s="1553"/>
      <c r="CO6" s="1553"/>
      <c r="CP6" s="1553"/>
      <c r="CQ6" s="1553"/>
      <c r="CR6" s="1553"/>
      <c r="CS6" s="1553"/>
      <c r="CT6" s="1553"/>
      <c r="CU6" s="1553"/>
      <c r="CV6" s="1553"/>
      <c r="CW6" s="1554"/>
      <c r="CX6" s="34"/>
      <c r="CY6" s="34"/>
      <c r="CZ6" s="286"/>
      <c r="DA6" s="284"/>
      <c r="DB6" s="286"/>
    </row>
    <row r="7" spans="1:115" s="42" customFormat="1" x14ac:dyDescent="0.3">
      <c r="A7" s="20"/>
      <c r="B7" s="20"/>
      <c r="C7" s="16" t="s">
        <v>307</v>
      </c>
      <c r="D7" s="18"/>
      <c r="E7" s="18"/>
      <c r="F7" s="34"/>
      <c r="G7" s="286"/>
      <c r="H7" s="284"/>
      <c r="I7" s="286"/>
      <c r="J7" s="296" t="s">
        <v>102</v>
      </c>
      <c r="K7" s="46"/>
      <c r="L7" s="46"/>
      <c r="M7" s="46"/>
      <c r="N7" s="46"/>
      <c r="O7" s="46"/>
      <c r="P7" s="46"/>
      <c r="Q7" s="286"/>
      <c r="R7" s="284"/>
      <c r="S7" s="286"/>
      <c r="T7" s="16"/>
      <c r="U7" s="19"/>
      <c r="V7" s="19"/>
      <c r="W7" s="19"/>
      <c r="X7" s="19" t="s">
        <v>300</v>
      </c>
      <c r="Y7" s="19" t="s">
        <v>300</v>
      </c>
      <c r="Z7" s="19" t="s">
        <v>302</v>
      </c>
      <c r="AA7" s="286"/>
      <c r="AB7" s="284"/>
      <c r="AC7" s="286"/>
      <c r="AD7" s="20"/>
      <c r="AE7" s="44" t="s">
        <v>197</v>
      </c>
      <c r="AF7" s="44"/>
      <c r="AG7" s="34"/>
      <c r="AH7" s="34"/>
      <c r="AI7" s="34">
        <f>ROUND(AI52/1000,0)</f>
        <v>4318</v>
      </c>
      <c r="AJ7" s="34">
        <v>6000</v>
      </c>
      <c r="AK7" s="34"/>
      <c r="AL7" s="34"/>
      <c r="AM7" s="286"/>
      <c r="AN7" s="284"/>
      <c r="AO7" s="286"/>
      <c r="AP7" s="34"/>
      <c r="AQ7" s="52"/>
      <c r="AR7" s="297">
        <v>2016</v>
      </c>
      <c r="AS7" s="297">
        <v>2015</v>
      </c>
      <c r="AT7" s="59" t="s">
        <v>103</v>
      </c>
      <c r="AU7" s="34"/>
      <c r="AV7" s="34"/>
      <c r="AW7" s="286"/>
      <c r="AX7" s="284"/>
      <c r="AY7" s="286"/>
      <c r="AZ7" s="34"/>
      <c r="BA7" s="26" t="s">
        <v>117</v>
      </c>
      <c r="BB7" s="26"/>
      <c r="BC7" s="35"/>
      <c r="BD7" s="35"/>
      <c r="BE7" s="34"/>
      <c r="BF7" s="286"/>
      <c r="BG7" s="284"/>
      <c r="BH7" s="286"/>
      <c r="BI7" s="34"/>
      <c r="BJ7" s="34"/>
      <c r="BK7" s="52"/>
      <c r="BL7" s="59" t="s">
        <v>103</v>
      </c>
      <c r="BM7" s="58" t="s">
        <v>110</v>
      </c>
      <c r="BN7" s="58" t="s">
        <v>111</v>
      </c>
      <c r="BO7" s="59" t="s">
        <v>104</v>
      </c>
      <c r="BP7" s="34"/>
      <c r="BQ7" s="286"/>
      <c r="BR7" s="284"/>
      <c r="BS7" s="286"/>
      <c r="BT7" s="34"/>
      <c r="BU7" s="51" t="s">
        <v>108</v>
      </c>
      <c r="BV7" s="58" t="s">
        <v>103</v>
      </c>
      <c r="BW7" s="1547" t="s">
        <v>132</v>
      </c>
      <c r="BX7" s="1545"/>
      <c r="BY7" s="1545"/>
      <c r="BZ7" s="1545"/>
      <c r="CA7" s="1545"/>
      <c r="CB7" s="300"/>
      <c r="CC7" s="299" t="s">
        <v>133</v>
      </c>
      <c r="CD7" s="1547" t="s">
        <v>134</v>
      </c>
      <c r="CE7" s="1545"/>
      <c r="CF7" s="1545"/>
      <c r="CG7" s="1546"/>
      <c r="CH7" s="34"/>
      <c r="CI7" s="286"/>
      <c r="CJ7" s="284"/>
      <c r="CK7" s="286"/>
      <c r="CL7" s="34"/>
      <c r="CM7" s="1547" t="s">
        <v>132</v>
      </c>
      <c r="CN7" s="1545"/>
      <c r="CO7" s="1545"/>
      <c r="CP7" s="1545"/>
      <c r="CQ7" s="1545"/>
      <c r="CR7" s="300"/>
      <c r="CS7" s="299" t="s">
        <v>133</v>
      </c>
      <c r="CT7" s="1547" t="s">
        <v>134</v>
      </c>
      <c r="CU7" s="1545"/>
      <c r="CV7" s="1545"/>
      <c r="CW7" s="1546"/>
      <c r="CX7" s="34"/>
      <c r="CY7" s="34"/>
      <c r="CZ7" s="286"/>
      <c r="DA7" s="284"/>
      <c r="DB7" s="286"/>
    </row>
    <row r="8" spans="1:115" s="42" customFormat="1" x14ac:dyDescent="0.3">
      <c r="A8" s="20"/>
      <c r="B8" s="20"/>
      <c r="C8" s="16"/>
      <c r="D8" s="19">
        <v>2016</v>
      </c>
      <c r="E8" s="19">
        <v>2015</v>
      </c>
      <c r="F8" s="34"/>
      <c r="G8" s="286"/>
      <c r="H8" s="284"/>
      <c r="I8" s="286"/>
      <c r="J8" s="296"/>
      <c r="K8" s="46"/>
      <c r="L8" s="46"/>
      <c r="M8" s="46"/>
      <c r="N8" s="19" t="s">
        <v>181</v>
      </c>
      <c r="O8" s="46"/>
      <c r="P8" s="46"/>
      <c r="Q8" s="286"/>
      <c r="R8" s="284"/>
      <c r="S8" s="286"/>
      <c r="T8" s="28"/>
      <c r="U8" s="34"/>
      <c r="V8" s="34"/>
      <c r="W8" s="34"/>
      <c r="X8" s="35" t="s">
        <v>387</v>
      </c>
      <c r="Y8" s="35" t="s">
        <v>387</v>
      </c>
      <c r="Z8" s="35" t="s">
        <v>387</v>
      </c>
      <c r="AA8" s="286"/>
      <c r="AB8" s="284"/>
      <c r="AC8" s="286"/>
      <c r="AD8" s="20"/>
      <c r="AE8" s="44" t="s">
        <v>198</v>
      </c>
      <c r="AF8" s="44"/>
      <c r="AG8" s="34"/>
      <c r="AH8" s="34"/>
      <c r="AI8" s="32">
        <f>ROUND(AI51/1000,0)</f>
        <v>5172</v>
      </c>
      <c r="AJ8" s="32">
        <v>5000</v>
      </c>
      <c r="AK8" s="34"/>
      <c r="AL8" s="34"/>
      <c r="AM8" s="286"/>
      <c r="AN8" s="284"/>
      <c r="AO8" s="286"/>
      <c r="AP8" s="34"/>
      <c r="AQ8" s="61"/>
      <c r="AR8" s="159" t="s">
        <v>387</v>
      </c>
      <c r="AS8" s="159" t="s">
        <v>387</v>
      </c>
      <c r="AT8" s="62" t="s">
        <v>387</v>
      </c>
      <c r="AU8" s="34"/>
      <c r="AV8" s="34"/>
      <c r="AW8" s="286"/>
      <c r="AX8" s="284"/>
      <c r="AY8" s="286"/>
      <c r="AZ8" s="34"/>
      <c r="BA8" s="20" t="s">
        <v>90</v>
      </c>
      <c r="BB8" s="26" t="s">
        <v>112</v>
      </c>
      <c r="BC8" s="34">
        <f>X30</f>
        <v>211</v>
      </c>
      <c r="BD8" s="34"/>
      <c r="BE8" s="34"/>
      <c r="BF8" s="286"/>
      <c r="BG8" s="284"/>
      <c r="BH8" s="286"/>
      <c r="BI8" s="34"/>
      <c r="BJ8" s="34"/>
      <c r="BK8" s="61"/>
      <c r="BL8" s="62" t="s">
        <v>387</v>
      </c>
      <c r="BM8" s="62" t="s">
        <v>387</v>
      </c>
      <c r="BN8" s="62" t="s">
        <v>387</v>
      </c>
      <c r="BO8" s="62" t="s">
        <v>387</v>
      </c>
      <c r="BP8" s="34"/>
      <c r="BQ8" s="286"/>
      <c r="BR8" s="284"/>
      <c r="BS8" s="286"/>
      <c r="BT8" s="34"/>
      <c r="BU8" s="52"/>
      <c r="BV8" s="59" t="s">
        <v>104</v>
      </c>
      <c r="BW8" s="58" t="s">
        <v>17</v>
      </c>
      <c r="BX8" s="157" t="s">
        <v>21</v>
      </c>
      <c r="BY8" s="157" t="s">
        <v>22</v>
      </c>
      <c r="BZ8" s="157" t="s">
        <v>21</v>
      </c>
      <c r="CA8" s="157" t="s">
        <v>25</v>
      </c>
      <c r="CB8" s="157" t="s">
        <v>533</v>
      </c>
      <c r="CC8" s="58" t="s">
        <v>128</v>
      </c>
      <c r="CD8" s="157" t="s">
        <v>22</v>
      </c>
      <c r="CE8" s="157" t="s">
        <v>22</v>
      </c>
      <c r="CF8" s="156" t="s">
        <v>24</v>
      </c>
      <c r="CG8" s="58" t="s">
        <v>22</v>
      </c>
      <c r="CH8" s="34"/>
      <c r="CI8" s="286"/>
      <c r="CJ8" s="284"/>
      <c r="CK8" s="286"/>
      <c r="CL8" s="34"/>
      <c r="CM8" s="58" t="s">
        <v>17</v>
      </c>
      <c r="CN8" s="157" t="s">
        <v>21</v>
      </c>
      <c r="CO8" s="157" t="s">
        <v>22</v>
      </c>
      <c r="CP8" s="157" t="s">
        <v>21</v>
      </c>
      <c r="CQ8" s="157" t="s">
        <v>25</v>
      </c>
      <c r="CR8" s="157" t="s">
        <v>533</v>
      </c>
      <c r="CS8" s="58" t="s">
        <v>128</v>
      </c>
      <c r="CT8" s="157" t="s">
        <v>22</v>
      </c>
      <c r="CU8" s="157" t="s">
        <v>22</v>
      </c>
      <c r="CV8" s="156" t="s">
        <v>24</v>
      </c>
      <c r="CW8" s="58" t="s">
        <v>22</v>
      </c>
      <c r="CX8" s="35" t="s">
        <v>456</v>
      </c>
      <c r="CY8" s="34"/>
      <c r="CZ8" s="286"/>
      <c r="DA8" s="284"/>
      <c r="DB8" s="286"/>
    </row>
    <row r="9" spans="1:115" s="42" customFormat="1" x14ac:dyDescent="0.3">
      <c r="A9" s="20"/>
      <c r="B9" s="20"/>
      <c r="C9" s="16"/>
      <c r="D9" s="19" t="s">
        <v>387</v>
      </c>
      <c r="E9" s="19" t="s">
        <v>387</v>
      </c>
      <c r="F9" s="34"/>
      <c r="G9" s="286"/>
      <c r="H9" s="284"/>
      <c r="I9" s="286"/>
      <c r="J9" s="16"/>
      <c r="K9" s="46"/>
      <c r="L9" s="46"/>
      <c r="M9" s="19" t="s">
        <v>96</v>
      </c>
      <c r="N9" s="19" t="s">
        <v>182</v>
      </c>
      <c r="O9" s="19" t="s">
        <v>98</v>
      </c>
      <c r="P9" s="46"/>
      <c r="Q9" s="286"/>
      <c r="R9" s="284"/>
      <c r="S9" s="286"/>
      <c r="T9" s="28" t="s">
        <v>303</v>
      </c>
      <c r="U9" s="34"/>
      <c r="V9" s="34"/>
      <c r="W9" s="34"/>
      <c r="X9" s="34">
        <v>17100</v>
      </c>
      <c r="Y9" s="34">
        <v>0</v>
      </c>
      <c r="Z9" s="34">
        <v>0</v>
      </c>
      <c r="AA9" s="286"/>
      <c r="AB9" s="284"/>
      <c r="AC9" s="286"/>
      <c r="AD9" s="20"/>
      <c r="AE9" s="20"/>
      <c r="AF9" s="20"/>
      <c r="AG9" s="34"/>
      <c r="AH9" s="34"/>
      <c r="AI9" s="32">
        <f>+AI7+AI8</f>
        <v>9490</v>
      </c>
      <c r="AJ9" s="32">
        <f>+AJ7+AJ8</f>
        <v>11000</v>
      </c>
      <c r="AK9" s="34"/>
      <c r="AL9" s="34">
        <f>+E20+E23-AJ9</f>
        <v>22000</v>
      </c>
      <c r="AM9" s="286"/>
      <c r="AN9" s="284"/>
      <c r="AO9" s="286"/>
      <c r="AP9" s="34"/>
      <c r="AQ9" s="53" t="s">
        <v>1</v>
      </c>
      <c r="AR9" s="54">
        <f>+D10</f>
        <v>15490</v>
      </c>
      <c r="AS9" s="54">
        <f>+E10</f>
        <v>14400</v>
      </c>
      <c r="AT9" s="60">
        <f>+AS9-AR9</f>
        <v>-1090</v>
      </c>
      <c r="AU9" s="34"/>
      <c r="AV9" s="34"/>
      <c r="AW9" s="286"/>
      <c r="AX9" s="284"/>
      <c r="AY9" s="286"/>
      <c r="AZ9" s="34"/>
      <c r="BA9" s="20" t="s">
        <v>85</v>
      </c>
      <c r="BB9" s="26" t="s">
        <v>113</v>
      </c>
      <c r="BC9" s="34"/>
      <c r="BD9" s="34">
        <f>+BC8</f>
        <v>211</v>
      </c>
      <c r="BE9" s="34"/>
      <c r="BF9" s="286"/>
      <c r="BG9" s="284"/>
      <c r="BH9" s="286"/>
      <c r="BI9" s="34"/>
      <c r="BJ9" s="34"/>
      <c r="BK9" s="53" t="s">
        <v>1</v>
      </c>
      <c r="BL9" s="60">
        <f t="shared" ref="BL9:BL11" si="0">+AT9</f>
        <v>-1090</v>
      </c>
      <c r="BM9" s="60">
        <f ca="1">SUMIF($BA$7:$BD$33,BK9,$BC$7:$BC$33)</f>
        <v>0</v>
      </c>
      <c r="BN9" s="60">
        <f ca="1">SUMIF($BA$7:$BD$33,BK9,$BD$7:$BD$33)</f>
        <v>0</v>
      </c>
      <c r="BO9" s="55">
        <f ca="1">BL9+BN9-BM9</f>
        <v>-1090</v>
      </c>
      <c r="BP9" s="34"/>
      <c r="BQ9" s="286"/>
      <c r="BR9" s="284"/>
      <c r="BS9" s="286"/>
      <c r="BT9" s="34"/>
      <c r="BU9" s="61"/>
      <c r="BV9" s="62" t="s">
        <v>387</v>
      </c>
      <c r="BW9" s="62" t="s">
        <v>121</v>
      </c>
      <c r="BX9" s="159" t="s">
        <v>122</v>
      </c>
      <c r="BY9" s="159" t="s">
        <v>123</v>
      </c>
      <c r="BZ9" s="159" t="s">
        <v>347</v>
      </c>
      <c r="CA9" s="159" t="s">
        <v>215</v>
      </c>
      <c r="CB9" s="159" t="s">
        <v>541</v>
      </c>
      <c r="CC9" s="62" t="s">
        <v>129</v>
      </c>
      <c r="CD9" s="159" t="s">
        <v>125</v>
      </c>
      <c r="CE9" s="298" t="s">
        <v>258</v>
      </c>
      <c r="CF9" s="158" t="s">
        <v>126</v>
      </c>
      <c r="CG9" s="62" t="s">
        <v>127</v>
      </c>
      <c r="CH9" s="34"/>
      <c r="CI9" s="286"/>
      <c r="CJ9" s="284"/>
      <c r="CK9" s="286"/>
      <c r="CL9" s="34"/>
      <c r="CM9" s="62" t="s">
        <v>121</v>
      </c>
      <c r="CN9" s="159" t="s">
        <v>122</v>
      </c>
      <c r="CO9" s="159" t="s">
        <v>123</v>
      </c>
      <c r="CP9" s="159" t="s">
        <v>347</v>
      </c>
      <c r="CQ9" s="159" t="s">
        <v>215</v>
      </c>
      <c r="CR9" s="159" t="s">
        <v>541</v>
      </c>
      <c r="CS9" s="62" t="s">
        <v>129</v>
      </c>
      <c r="CT9" s="159" t="s">
        <v>125</v>
      </c>
      <c r="CU9" s="298" t="s">
        <v>258</v>
      </c>
      <c r="CV9" s="158" t="s">
        <v>126</v>
      </c>
      <c r="CW9" s="62" t="s">
        <v>127</v>
      </c>
      <c r="CX9" s="35" t="s">
        <v>457</v>
      </c>
      <c r="CY9" s="34"/>
      <c r="CZ9" s="286"/>
      <c r="DA9" s="284"/>
      <c r="DB9" s="286"/>
    </row>
    <row r="10" spans="1:115" s="42" customFormat="1" x14ac:dyDescent="0.3">
      <c r="A10" s="20"/>
      <c r="B10" s="20"/>
      <c r="C10" s="20" t="s">
        <v>1</v>
      </c>
      <c r="D10" s="21">
        <v>15490</v>
      </c>
      <c r="E10" s="21">
        <v>14400</v>
      </c>
      <c r="F10" s="34"/>
      <c r="G10" s="286"/>
      <c r="H10" s="284"/>
      <c r="I10" s="286"/>
      <c r="J10" s="296"/>
      <c r="K10" s="46"/>
      <c r="L10" s="46"/>
      <c r="M10" s="19" t="s">
        <v>97</v>
      </c>
      <c r="N10" s="19" t="s">
        <v>183</v>
      </c>
      <c r="O10" s="19" t="s">
        <v>99</v>
      </c>
      <c r="P10" s="19" t="s">
        <v>40</v>
      </c>
      <c r="Q10" s="286"/>
      <c r="R10" s="284"/>
      <c r="S10" s="286"/>
      <c r="T10" s="28" t="s">
        <v>11</v>
      </c>
      <c r="U10" s="34"/>
      <c r="V10" s="34"/>
      <c r="W10" s="34"/>
      <c r="X10" s="34">
        <v>30000</v>
      </c>
      <c r="Y10" s="34">
        <v>2600</v>
      </c>
      <c r="Z10" s="34">
        <v>12000</v>
      </c>
      <c r="AA10" s="286"/>
      <c r="AB10" s="284"/>
      <c r="AC10" s="286"/>
      <c r="AD10" s="20"/>
      <c r="AE10" s="20"/>
      <c r="AF10" s="20"/>
      <c r="AG10" s="34"/>
      <c r="AH10" s="34"/>
      <c r="AI10" s="34"/>
      <c r="AJ10" s="34"/>
      <c r="AK10" s="34"/>
      <c r="AL10" s="34"/>
      <c r="AM10" s="286"/>
      <c r="AN10" s="284"/>
      <c r="AO10" s="286"/>
      <c r="AP10" s="34"/>
      <c r="AQ10" s="53" t="s">
        <v>90</v>
      </c>
      <c r="AR10" s="54">
        <f>D11</f>
        <v>10500</v>
      </c>
      <c r="AS10" s="54">
        <f>+E11</f>
        <v>10511</v>
      </c>
      <c r="AT10" s="60">
        <f t="shared" ref="AT10:AT15" si="1">+AS10-AR10</f>
        <v>11</v>
      </c>
      <c r="AU10" s="34"/>
      <c r="AV10" s="34"/>
      <c r="AW10" s="286"/>
      <c r="AX10" s="284"/>
      <c r="AY10" s="286"/>
      <c r="AZ10" s="34"/>
      <c r="BA10" s="26" t="s">
        <v>118</v>
      </c>
      <c r="BB10" s="26"/>
      <c r="BC10" s="35"/>
      <c r="BD10" s="35"/>
      <c r="BE10" s="34"/>
      <c r="BF10" s="286"/>
      <c r="BG10" s="284"/>
      <c r="BH10" s="286"/>
      <c r="BI10" s="34"/>
      <c r="BJ10" s="34"/>
      <c r="BK10" s="53" t="s">
        <v>90</v>
      </c>
      <c r="BL10" s="60">
        <f t="shared" si="0"/>
        <v>11</v>
      </c>
      <c r="BM10" s="60">
        <f ca="1">SUMIF($BA$7:$BD$63,BK10,$BC$7:$BC$63)</f>
        <v>211</v>
      </c>
      <c r="BN10" s="60">
        <f ca="1">SUMIF($BA$7:$BD$63,BK10,$BD$7:$BD$63)</f>
        <v>0</v>
      </c>
      <c r="BO10" s="55">
        <f t="shared" ref="BO10:BO27" ca="1" si="2">BL10+BN10-BM10</f>
        <v>-200</v>
      </c>
      <c r="BP10" s="34"/>
      <c r="BQ10" s="286"/>
      <c r="BR10" s="284"/>
      <c r="BS10" s="286"/>
      <c r="BT10" s="34"/>
      <c r="BU10" s="220" t="s">
        <v>1</v>
      </c>
      <c r="BV10" s="55">
        <f t="shared" ref="BV10:BV12" ca="1" si="3">+BO9</f>
        <v>-1090</v>
      </c>
      <c r="BW10" s="60"/>
      <c r="BX10" s="55"/>
      <c r="BY10" s="55"/>
      <c r="BZ10" s="55"/>
      <c r="CA10" s="55"/>
      <c r="CB10" s="55"/>
      <c r="CC10" s="60"/>
      <c r="CD10" s="55"/>
      <c r="CE10" s="34"/>
      <c r="CF10" s="63"/>
      <c r="CG10" s="60"/>
      <c r="CH10" s="34"/>
      <c r="CI10" s="286"/>
      <c r="CJ10" s="284"/>
      <c r="CK10" s="286"/>
      <c r="CL10" s="34"/>
      <c r="CM10" s="66">
        <f t="shared" ref="CM10:CW10" ca="1" si="4">+BW29</f>
        <v>117384.64</v>
      </c>
      <c r="CN10" s="66">
        <f t="shared" si="4"/>
        <v>-44600</v>
      </c>
      <c r="CO10" s="66">
        <f t="shared" ca="1" si="4"/>
        <v>-4600</v>
      </c>
      <c r="CP10" s="66">
        <f t="shared" ca="1" si="4"/>
        <v>-16789</v>
      </c>
      <c r="CQ10" s="66">
        <f t="shared" ca="1" si="4"/>
        <v>-28956.639999999999</v>
      </c>
      <c r="CR10" s="66">
        <f t="shared" ca="1" si="4"/>
        <v>-174</v>
      </c>
      <c r="CS10" s="66">
        <f t="shared" ca="1" si="4"/>
        <v>-7400</v>
      </c>
      <c r="CT10" s="66">
        <f t="shared" ca="1" si="4"/>
        <v>-4547</v>
      </c>
      <c r="CU10" s="66">
        <f t="shared" ca="1" si="4"/>
        <v>-848</v>
      </c>
      <c r="CV10" s="66">
        <f t="shared" ca="1" si="4"/>
        <v>1500</v>
      </c>
      <c r="CW10" s="66">
        <f t="shared" ca="1" si="4"/>
        <v>-9880</v>
      </c>
      <c r="CX10" s="66">
        <f ca="1">SUM(CM10:CW10)</f>
        <v>1090</v>
      </c>
      <c r="CY10" s="34"/>
      <c r="CZ10" s="286"/>
      <c r="DA10" s="284"/>
      <c r="DB10" s="286"/>
    </row>
    <row r="11" spans="1:115" s="42" customFormat="1" x14ac:dyDescent="0.3">
      <c r="A11" s="20"/>
      <c r="B11" s="20"/>
      <c r="C11" s="20" t="s">
        <v>90</v>
      </c>
      <c r="D11" s="21">
        <v>10500</v>
      </c>
      <c r="E11" s="21">
        <v>10511</v>
      </c>
      <c r="F11" s="34"/>
      <c r="G11" s="286"/>
      <c r="H11" s="284"/>
      <c r="I11" s="286"/>
      <c r="J11" s="46"/>
      <c r="K11" s="46"/>
      <c r="L11" s="46"/>
      <c r="M11" s="19" t="s">
        <v>387</v>
      </c>
      <c r="N11" s="19" t="s">
        <v>387</v>
      </c>
      <c r="O11" s="19" t="s">
        <v>387</v>
      </c>
      <c r="P11" s="19" t="s">
        <v>387</v>
      </c>
      <c r="Q11" s="286"/>
      <c r="R11" s="284"/>
      <c r="S11" s="286"/>
      <c r="T11" s="28" t="s">
        <v>87</v>
      </c>
      <c r="U11" s="34"/>
      <c r="V11" s="34"/>
      <c r="W11" s="34"/>
      <c r="X11" s="34">
        <v>0</v>
      </c>
      <c r="Y11" s="34">
        <v>4500</v>
      </c>
      <c r="Z11" s="34">
        <v>0</v>
      </c>
      <c r="AA11" s="286"/>
      <c r="AB11" s="284"/>
      <c r="AC11" s="286"/>
      <c r="AD11" s="283"/>
      <c r="AE11" s="283"/>
      <c r="AF11" s="283"/>
      <c r="AG11" s="283"/>
      <c r="AH11" s="283"/>
      <c r="AI11" s="283"/>
      <c r="AJ11" s="283"/>
      <c r="AK11" s="283" t="s">
        <v>508</v>
      </c>
      <c r="AL11" s="34"/>
      <c r="AM11" s="286"/>
      <c r="AN11" s="284"/>
      <c r="AO11" s="286"/>
      <c r="AP11" s="34"/>
      <c r="AQ11" s="53" t="s">
        <v>169</v>
      </c>
      <c r="AR11" s="54">
        <f>D12</f>
        <v>10100</v>
      </c>
      <c r="AS11" s="54">
        <f>+E12</f>
        <v>9500</v>
      </c>
      <c r="AT11" s="60">
        <f t="shared" si="1"/>
        <v>-600</v>
      </c>
      <c r="AU11" s="34"/>
      <c r="AV11" s="34"/>
      <c r="AW11" s="286"/>
      <c r="AX11" s="284"/>
      <c r="AY11" s="286"/>
      <c r="AZ11" s="34"/>
      <c r="BA11" s="20" t="s">
        <v>169</v>
      </c>
      <c r="BB11" s="26" t="s">
        <v>112</v>
      </c>
      <c r="BC11" s="34">
        <f>+X18</f>
        <v>900</v>
      </c>
      <c r="BD11" s="34"/>
      <c r="BE11" s="34"/>
      <c r="BF11" s="286"/>
      <c r="BG11" s="284"/>
      <c r="BH11" s="286"/>
      <c r="BI11" s="34"/>
      <c r="BJ11" s="34"/>
      <c r="BK11" s="53" t="s">
        <v>169</v>
      </c>
      <c r="BL11" s="60">
        <f t="shared" si="0"/>
        <v>-600</v>
      </c>
      <c r="BM11" s="60">
        <f t="shared" ref="BM11:BM27" ca="1" si="5">SUMIF($BA$7:$BD$63,BK11,$BC$7:$BC$63)</f>
        <v>900</v>
      </c>
      <c r="BN11" s="60">
        <f t="shared" ref="BN11:BN27" ca="1" si="6">SUMIF($BA$7:$BD$63,BK11,$BD$7:$BD$63)</f>
        <v>0</v>
      </c>
      <c r="BO11" s="55">
        <f t="shared" ca="1" si="2"/>
        <v>-1500</v>
      </c>
      <c r="BP11" s="34"/>
      <c r="BQ11" s="286"/>
      <c r="BR11" s="284"/>
      <c r="BS11" s="286"/>
      <c r="BT11" s="34"/>
      <c r="BU11" s="220" t="s">
        <v>90</v>
      </c>
      <c r="BV11" s="55">
        <f t="shared" ca="1" si="3"/>
        <v>-200</v>
      </c>
      <c r="BW11" s="60">
        <f ca="1">+BV11</f>
        <v>-200</v>
      </c>
      <c r="BX11" s="55"/>
      <c r="BY11" s="55"/>
      <c r="BZ11" s="55"/>
      <c r="CA11" s="55"/>
      <c r="CB11" s="55"/>
      <c r="CC11" s="60"/>
      <c r="CD11" s="55"/>
      <c r="CE11" s="34"/>
      <c r="CF11" s="63"/>
      <c r="CG11" s="60"/>
      <c r="CH11" s="34"/>
      <c r="CI11" s="286"/>
      <c r="CJ11" s="284"/>
      <c r="CK11" s="286"/>
      <c r="CL11" s="34"/>
      <c r="CM11" s="35" t="s">
        <v>392</v>
      </c>
      <c r="CN11" s="35" t="s">
        <v>393</v>
      </c>
      <c r="CO11" s="35" t="s">
        <v>394</v>
      </c>
      <c r="CP11" s="35" t="s">
        <v>395</v>
      </c>
      <c r="CQ11" s="35" t="s">
        <v>396</v>
      </c>
      <c r="CR11" s="35"/>
      <c r="CS11" s="35" t="s">
        <v>397</v>
      </c>
      <c r="CT11" s="35" t="s">
        <v>398</v>
      </c>
      <c r="CU11" s="35" t="s">
        <v>399</v>
      </c>
      <c r="CV11" s="35" t="s">
        <v>400</v>
      </c>
      <c r="CW11" s="35" t="s">
        <v>455</v>
      </c>
      <c r="CX11" s="34"/>
      <c r="CY11" s="34"/>
      <c r="CZ11" s="286"/>
      <c r="DA11" s="284"/>
      <c r="DB11" s="286"/>
    </row>
    <row r="12" spans="1:115" s="42" customFormat="1" x14ac:dyDescent="0.3">
      <c r="A12" s="20"/>
      <c r="B12" s="20"/>
      <c r="C12" s="20" t="s">
        <v>169</v>
      </c>
      <c r="D12" s="23">
        <v>10100</v>
      </c>
      <c r="E12" s="23">
        <v>9500</v>
      </c>
      <c r="F12" s="34"/>
      <c r="G12" s="286"/>
      <c r="H12" s="284"/>
      <c r="I12" s="286"/>
      <c r="J12" s="26" t="s">
        <v>30</v>
      </c>
      <c r="K12" s="34"/>
      <c r="L12" s="34"/>
      <c r="M12" s="37">
        <v>10000</v>
      </c>
      <c r="N12" s="37">
        <v>0</v>
      </c>
      <c r="O12" s="37">
        <v>5311</v>
      </c>
      <c r="P12" s="37">
        <f t="shared" ref="P12:P18" si="7">SUM(M12:O12)</f>
        <v>15311</v>
      </c>
      <c r="Q12" s="286"/>
      <c r="R12" s="284"/>
      <c r="S12" s="286"/>
      <c r="T12" s="28" t="s">
        <v>177</v>
      </c>
      <c r="U12" s="34"/>
      <c r="V12" s="34"/>
      <c r="W12" s="34"/>
      <c r="X12" s="34">
        <v>0</v>
      </c>
      <c r="Y12" s="34">
        <v>100</v>
      </c>
      <c r="Z12" s="34">
        <v>0</v>
      </c>
      <c r="AA12" s="286"/>
      <c r="AB12" s="284"/>
      <c r="AC12" s="286"/>
      <c r="AD12" s="50" t="s">
        <v>450</v>
      </c>
      <c r="AE12" s="34"/>
      <c r="AF12" s="20"/>
      <c r="AG12" s="20"/>
      <c r="AH12" s="34"/>
      <c r="AI12" s="34"/>
      <c r="AJ12" s="34"/>
      <c r="AK12" s="34"/>
      <c r="AL12" s="34"/>
      <c r="AM12" s="286"/>
      <c r="AN12" s="284"/>
      <c r="AO12" s="286"/>
      <c r="AP12" s="34"/>
      <c r="AQ12" s="53" t="s">
        <v>171</v>
      </c>
      <c r="AR12" s="54">
        <f t="shared" ref="AR12:AS14" si="8">+D14</f>
        <v>800</v>
      </c>
      <c r="AS12" s="54">
        <f t="shared" si="8"/>
        <v>1000</v>
      </c>
      <c r="AT12" s="60">
        <f t="shared" si="1"/>
        <v>200</v>
      </c>
      <c r="AU12" s="34"/>
      <c r="AV12" s="34"/>
      <c r="AW12" s="286"/>
      <c r="AX12" s="284"/>
      <c r="AY12" s="286"/>
      <c r="AZ12" s="34"/>
      <c r="BA12" s="20" t="s">
        <v>10</v>
      </c>
      <c r="BB12" s="26" t="s">
        <v>113</v>
      </c>
      <c r="BC12" s="34"/>
      <c r="BD12" s="34">
        <f>+BC11</f>
        <v>900</v>
      </c>
      <c r="BE12" s="34"/>
      <c r="BF12" s="286"/>
      <c r="BG12" s="284"/>
      <c r="BH12" s="286"/>
      <c r="BI12" s="34"/>
      <c r="BJ12" s="34"/>
      <c r="BK12" s="53" t="s">
        <v>171</v>
      </c>
      <c r="BL12" s="60">
        <f t="shared" ref="BL12:BL27" si="9">+AT12</f>
        <v>200</v>
      </c>
      <c r="BM12" s="60">
        <f t="shared" ca="1" si="5"/>
        <v>200</v>
      </c>
      <c r="BN12" s="60">
        <f t="shared" ca="1" si="6"/>
        <v>0</v>
      </c>
      <c r="BO12" s="55">
        <f t="shared" ca="1" si="2"/>
        <v>0</v>
      </c>
      <c r="BP12" s="34"/>
      <c r="BQ12" s="286"/>
      <c r="BR12" s="284"/>
      <c r="BS12" s="286"/>
      <c r="BT12" s="34"/>
      <c r="BU12" s="220" t="s">
        <v>169</v>
      </c>
      <c r="BV12" s="55">
        <f t="shared" ca="1" si="3"/>
        <v>-1500</v>
      </c>
      <c r="BW12" s="60"/>
      <c r="BX12" s="55"/>
      <c r="BY12" s="55"/>
      <c r="BZ12" s="55">
        <f ca="1">+BV12</f>
        <v>-1500</v>
      </c>
      <c r="CA12" s="55"/>
      <c r="CB12" s="55"/>
      <c r="CC12" s="60"/>
      <c r="CD12" s="55"/>
      <c r="CE12" s="34"/>
      <c r="CF12" s="63"/>
      <c r="CG12" s="60"/>
      <c r="CH12" s="34"/>
      <c r="CI12" s="286"/>
      <c r="CJ12" s="284"/>
      <c r="CK12" s="286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286"/>
      <c r="DA12" s="284"/>
      <c r="DB12" s="286"/>
    </row>
    <row r="13" spans="1:115" s="42" customFormat="1" x14ac:dyDescent="0.3">
      <c r="A13" s="20"/>
      <c r="B13" s="20"/>
      <c r="C13" s="16" t="s">
        <v>78</v>
      </c>
      <c r="D13" s="24">
        <f>SUM(D10:D12)</f>
        <v>36090</v>
      </c>
      <c r="E13" s="24">
        <f>SUM(E10:E12)</f>
        <v>34411</v>
      </c>
      <c r="F13" s="34"/>
      <c r="G13" s="286"/>
      <c r="H13" s="284"/>
      <c r="I13" s="286"/>
      <c r="J13" s="20" t="s">
        <v>16</v>
      </c>
      <c r="K13" s="34"/>
      <c r="L13" s="34"/>
      <c r="M13" s="34">
        <v>0</v>
      </c>
      <c r="N13" s="34">
        <v>0</v>
      </c>
      <c r="O13" s="34">
        <f>+E46</f>
        <v>18169</v>
      </c>
      <c r="P13" s="34">
        <f t="shared" si="7"/>
        <v>18169</v>
      </c>
      <c r="Q13" s="286"/>
      <c r="R13" s="284"/>
      <c r="S13" s="286"/>
      <c r="T13" s="28" t="s">
        <v>38</v>
      </c>
      <c r="U13" s="34"/>
      <c r="V13" s="34"/>
      <c r="W13" s="34"/>
      <c r="X13" s="34">
        <v>1500</v>
      </c>
      <c r="Y13" s="34">
        <v>200</v>
      </c>
      <c r="Z13" s="34">
        <v>300</v>
      </c>
      <c r="AA13" s="286"/>
      <c r="AB13" s="284"/>
      <c r="AC13" s="286"/>
      <c r="AD13" s="50" t="s">
        <v>519</v>
      </c>
      <c r="AE13" s="34"/>
      <c r="AF13" s="39"/>
      <c r="AG13" s="39"/>
      <c r="AH13" s="34"/>
      <c r="AI13" s="177">
        <f>+AG25</f>
        <v>6000000</v>
      </c>
      <c r="AJ13" s="34"/>
      <c r="AK13" s="34"/>
      <c r="AL13" s="34"/>
      <c r="AM13" s="286"/>
      <c r="AN13" s="284"/>
      <c r="AO13" s="286"/>
      <c r="AP13" s="34"/>
      <c r="AQ13" s="53" t="s">
        <v>170</v>
      </c>
      <c r="AR13" s="54">
        <f t="shared" si="8"/>
        <v>30000</v>
      </c>
      <c r="AS13" s="54">
        <f t="shared" si="8"/>
        <v>20000</v>
      </c>
      <c r="AT13" s="60">
        <f t="shared" si="1"/>
        <v>-10000</v>
      </c>
      <c r="AU13" s="34"/>
      <c r="AV13" s="34"/>
      <c r="AW13" s="286"/>
      <c r="AX13" s="284"/>
      <c r="AY13" s="286"/>
      <c r="AZ13" s="34"/>
      <c r="BA13" s="26" t="s">
        <v>119</v>
      </c>
      <c r="BB13" s="26"/>
      <c r="BC13" s="34"/>
      <c r="BD13" s="34"/>
      <c r="BE13" s="34"/>
      <c r="BF13" s="286"/>
      <c r="BG13" s="284"/>
      <c r="BH13" s="286"/>
      <c r="BI13" s="34"/>
      <c r="BJ13" s="34"/>
      <c r="BK13" s="53" t="s">
        <v>170</v>
      </c>
      <c r="BL13" s="60">
        <f t="shared" si="9"/>
        <v>-10000</v>
      </c>
      <c r="BM13" s="60">
        <f t="shared" ca="1" si="5"/>
        <v>2000</v>
      </c>
      <c r="BN13" s="60">
        <f t="shared" ca="1" si="6"/>
        <v>4600</v>
      </c>
      <c r="BO13" s="55">
        <f t="shared" ca="1" si="2"/>
        <v>-7400</v>
      </c>
      <c r="BP13" s="34"/>
      <c r="BQ13" s="286"/>
      <c r="BR13" s="284"/>
      <c r="BS13" s="286"/>
      <c r="BT13" s="34"/>
      <c r="BU13" s="220" t="s">
        <v>171</v>
      </c>
      <c r="BV13" s="55">
        <f t="shared" ref="BV13:BV28" ca="1" si="10">+BO12</f>
        <v>0</v>
      </c>
      <c r="BW13" s="60"/>
      <c r="BX13" s="55"/>
      <c r="BY13" s="55"/>
      <c r="BZ13" s="55"/>
      <c r="CA13" s="55"/>
      <c r="CB13" s="55"/>
      <c r="CC13" s="60"/>
      <c r="CD13" s="55"/>
      <c r="CE13" s="34"/>
      <c r="CF13" s="63"/>
      <c r="CG13" s="60"/>
      <c r="CH13" s="34"/>
      <c r="CI13" s="286"/>
      <c r="CJ13" s="284"/>
      <c r="CK13" s="286"/>
      <c r="CL13" s="34"/>
      <c r="CM13" s="34"/>
      <c r="CN13" s="34"/>
      <c r="CO13" s="16" t="s">
        <v>0</v>
      </c>
      <c r="CP13" s="16"/>
      <c r="CQ13" s="16"/>
      <c r="CR13" s="16"/>
      <c r="CS13" s="18"/>
      <c r="CT13" s="18"/>
      <c r="CU13" s="34"/>
      <c r="CV13" s="34"/>
      <c r="CW13" s="34"/>
      <c r="CX13" s="34"/>
      <c r="CY13" s="34"/>
      <c r="CZ13" s="286"/>
      <c r="DA13" s="284"/>
      <c r="DB13" s="286"/>
    </row>
    <row r="14" spans="1:115" s="42" customFormat="1" x14ac:dyDescent="0.3">
      <c r="A14" s="20"/>
      <c r="B14" s="20"/>
      <c r="C14" s="20" t="s">
        <v>171</v>
      </c>
      <c r="D14" s="21">
        <v>800</v>
      </c>
      <c r="E14" s="21">
        <v>1000</v>
      </c>
      <c r="F14" s="34"/>
      <c r="G14" s="286"/>
      <c r="H14" s="284"/>
      <c r="I14" s="286"/>
      <c r="J14" s="20" t="s">
        <v>116</v>
      </c>
      <c r="K14" s="34"/>
      <c r="L14" s="34"/>
      <c r="M14" s="34">
        <v>900</v>
      </c>
      <c r="N14" s="34">
        <v>0</v>
      </c>
      <c r="O14" s="34">
        <f>-M14</f>
        <v>-900</v>
      </c>
      <c r="P14" s="34">
        <f t="shared" si="7"/>
        <v>0</v>
      </c>
      <c r="Q14" s="286"/>
      <c r="R14" s="284"/>
      <c r="S14" s="286"/>
      <c r="T14" s="28" t="s">
        <v>178</v>
      </c>
      <c r="U14" s="34"/>
      <c r="V14" s="34"/>
      <c r="W14" s="34"/>
      <c r="X14" s="34">
        <v>0</v>
      </c>
      <c r="Y14" s="34">
        <v>0</v>
      </c>
      <c r="Z14" s="34">
        <v>200</v>
      </c>
      <c r="AA14" s="286"/>
      <c r="AB14" s="284"/>
      <c r="AC14" s="286"/>
      <c r="AD14" s="20" t="s">
        <v>199</v>
      </c>
      <c r="AE14" s="34">
        <v>6000000</v>
      </c>
      <c r="AF14" s="20"/>
      <c r="AG14" s="20"/>
      <c r="AH14" s="34"/>
      <c r="AI14" s="34"/>
      <c r="AJ14" s="34"/>
      <c r="AK14" s="34"/>
      <c r="AL14" s="34"/>
      <c r="AM14" s="286"/>
      <c r="AN14" s="284"/>
      <c r="AO14" s="286"/>
      <c r="AP14" s="34"/>
      <c r="AQ14" s="53" t="s">
        <v>114</v>
      </c>
      <c r="AR14" s="54">
        <f t="shared" si="8"/>
        <v>1600</v>
      </c>
      <c r="AS14" s="54">
        <f t="shared" si="8"/>
        <v>1200</v>
      </c>
      <c r="AT14" s="60">
        <f t="shared" si="1"/>
        <v>-400</v>
      </c>
      <c r="AU14" s="34"/>
      <c r="AV14" s="34"/>
      <c r="AW14" s="286"/>
      <c r="AX14" s="284"/>
      <c r="AY14" s="286"/>
      <c r="AZ14" s="34"/>
      <c r="BA14" s="20" t="s">
        <v>171</v>
      </c>
      <c r="BB14" s="26" t="s">
        <v>112</v>
      </c>
      <c r="BC14" s="75">
        <f>-Y52</f>
        <v>200</v>
      </c>
      <c r="BE14" s="34"/>
      <c r="BF14" s="286"/>
      <c r="BG14" s="284"/>
      <c r="BH14" s="286"/>
      <c r="BI14" s="34"/>
      <c r="BJ14" s="34"/>
      <c r="BK14" s="53" t="s">
        <v>114</v>
      </c>
      <c r="BL14" s="60">
        <f t="shared" si="9"/>
        <v>-400</v>
      </c>
      <c r="BM14" s="60">
        <f t="shared" ca="1" si="5"/>
        <v>0</v>
      </c>
      <c r="BN14" s="60">
        <f t="shared" ca="1" si="6"/>
        <v>400</v>
      </c>
      <c r="BO14" s="55">
        <f t="shared" ca="1" si="2"/>
        <v>0</v>
      </c>
      <c r="BP14" s="34"/>
      <c r="BQ14" s="286"/>
      <c r="BR14" s="284"/>
      <c r="BS14" s="286"/>
      <c r="BT14" s="34"/>
      <c r="BU14" s="220" t="s">
        <v>170</v>
      </c>
      <c r="BV14" s="55">
        <f t="shared" ca="1" si="10"/>
        <v>-7400</v>
      </c>
      <c r="BW14" s="60"/>
      <c r="BX14" s="55"/>
      <c r="BY14" s="55"/>
      <c r="BZ14" s="55"/>
      <c r="CA14" s="55"/>
      <c r="CB14" s="55"/>
      <c r="CC14" s="60">
        <f ca="1">+BV14</f>
        <v>-7400</v>
      </c>
      <c r="CD14" s="55"/>
      <c r="CE14" s="34"/>
      <c r="CF14" s="63"/>
      <c r="CG14" s="60"/>
      <c r="CH14" s="34"/>
      <c r="CI14" s="286"/>
      <c r="CJ14" s="284"/>
      <c r="CK14" s="286"/>
      <c r="CL14" s="34"/>
      <c r="CM14" s="34"/>
      <c r="CN14" s="34"/>
      <c r="CO14" s="16" t="s">
        <v>102</v>
      </c>
      <c r="CP14" s="16"/>
      <c r="CQ14" s="16"/>
      <c r="CR14" s="16"/>
      <c r="CS14" s="18"/>
      <c r="CT14" s="18"/>
      <c r="CU14" s="34"/>
      <c r="CV14" s="34"/>
      <c r="CW14" s="34"/>
      <c r="CX14" s="34"/>
      <c r="CY14" s="34"/>
      <c r="CZ14" s="286"/>
      <c r="DA14" s="284"/>
      <c r="DB14" s="286"/>
    </row>
    <row r="15" spans="1:115" s="42" customFormat="1" x14ac:dyDescent="0.3">
      <c r="A15" s="20"/>
      <c r="B15" s="20"/>
      <c r="C15" s="20" t="s">
        <v>170</v>
      </c>
      <c r="D15" s="21">
        <v>30000</v>
      </c>
      <c r="E15" s="21">
        <v>20000</v>
      </c>
      <c r="F15" s="34"/>
      <c r="G15" s="286"/>
      <c r="H15" s="284"/>
      <c r="I15" s="286"/>
      <c r="J15" s="20" t="s">
        <v>179</v>
      </c>
      <c r="K15" s="34"/>
      <c r="L15" s="34"/>
      <c r="M15" s="34">
        <v>1600</v>
      </c>
      <c r="N15" s="34">
        <v>0</v>
      </c>
      <c r="O15" s="34">
        <v>0</v>
      </c>
      <c r="P15" s="34">
        <f t="shared" si="7"/>
        <v>1600</v>
      </c>
      <c r="Q15" s="286"/>
      <c r="R15" s="284"/>
      <c r="S15" s="286"/>
      <c r="T15" s="28" t="s">
        <v>37</v>
      </c>
      <c r="U15" s="34"/>
      <c r="V15" s="34"/>
      <c r="W15" s="34"/>
      <c r="X15" s="34">
        <v>1900</v>
      </c>
      <c r="Y15" s="34">
        <v>0</v>
      </c>
      <c r="Z15" s="34">
        <v>1000</v>
      </c>
      <c r="AA15" s="286"/>
      <c r="AB15" s="284"/>
      <c r="AC15" s="286"/>
      <c r="AD15" s="20" t="s">
        <v>200</v>
      </c>
      <c r="AE15" s="40">
        <v>7.512900541341519E-2</v>
      </c>
      <c r="AF15" s="20"/>
      <c r="AG15" s="20"/>
      <c r="AH15" s="34"/>
      <c r="AI15" s="34"/>
      <c r="AJ15" s="34"/>
      <c r="AK15" s="34"/>
      <c r="AL15" s="34"/>
      <c r="AM15" s="286"/>
      <c r="AN15" s="284"/>
      <c r="AO15" s="286"/>
      <c r="AP15" s="34"/>
      <c r="AQ15" s="53" t="s">
        <v>4</v>
      </c>
      <c r="AR15" s="55">
        <f>-D19</f>
        <v>-10111</v>
      </c>
      <c r="AS15" s="55">
        <f>-E19</f>
        <v>-8300</v>
      </c>
      <c r="AT15" s="60">
        <f t="shared" si="1"/>
        <v>1811</v>
      </c>
      <c r="AU15" s="34"/>
      <c r="AV15" s="34"/>
      <c r="AW15" s="286"/>
      <c r="AX15" s="284"/>
      <c r="AY15" s="286"/>
      <c r="AZ15" s="34"/>
      <c r="BA15" s="20" t="s">
        <v>85</v>
      </c>
      <c r="BB15" s="26" t="s">
        <v>113</v>
      </c>
      <c r="BC15" s="26"/>
      <c r="BD15" s="34">
        <f>+BC14</f>
        <v>200</v>
      </c>
      <c r="BE15" s="34"/>
      <c r="BF15" s="286"/>
      <c r="BG15" s="284"/>
      <c r="BH15" s="286"/>
      <c r="BI15" s="34"/>
      <c r="BJ15" s="34"/>
      <c r="BK15" s="53" t="s">
        <v>4</v>
      </c>
      <c r="BL15" s="60">
        <f t="shared" si="9"/>
        <v>1811</v>
      </c>
      <c r="BM15" s="60">
        <f t="shared" ca="1" si="5"/>
        <v>0</v>
      </c>
      <c r="BN15" s="60">
        <f t="shared" ca="1" si="6"/>
        <v>0</v>
      </c>
      <c r="BO15" s="55">
        <f t="shared" ca="1" si="2"/>
        <v>1811</v>
      </c>
      <c r="BP15" s="34"/>
      <c r="BQ15" s="286"/>
      <c r="BR15" s="284"/>
      <c r="BS15" s="286"/>
      <c r="BT15" s="34"/>
      <c r="BU15" s="220" t="s">
        <v>114</v>
      </c>
      <c r="BV15" s="55">
        <f t="shared" ca="1" si="10"/>
        <v>0</v>
      </c>
      <c r="BW15" s="60"/>
      <c r="BX15" s="55"/>
      <c r="BY15" s="55"/>
      <c r="BZ15" s="55"/>
      <c r="CA15" s="55"/>
      <c r="CB15" s="55"/>
      <c r="CC15" s="60"/>
      <c r="CD15" s="55"/>
      <c r="CE15" s="34"/>
      <c r="CF15" s="63"/>
      <c r="CG15" s="60"/>
      <c r="CH15" s="34"/>
      <c r="CI15" s="286"/>
      <c r="CJ15" s="284"/>
      <c r="CK15" s="286"/>
      <c r="CL15" s="34"/>
      <c r="CM15" s="34"/>
      <c r="CN15" s="34"/>
      <c r="CO15" s="16"/>
      <c r="CP15" s="16"/>
      <c r="CQ15" s="16"/>
      <c r="CR15" s="16"/>
      <c r="CS15" s="19"/>
      <c r="CT15" s="19" t="s">
        <v>387</v>
      </c>
      <c r="CU15" s="34"/>
      <c r="CV15" s="34"/>
      <c r="CW15" s="34"/>
      <c r="CX15" s="34"/>
      <c r="CY15" s="34"/>
      <c r="CZ15" s="286"/>
      <c r="DA15" s="284"/>
      <c r="DB15" s="286"/>
    </row>
    <row r="16" spans="1:115" s="42" customFormat="1" x14ac:dyDescent="0.3">
      <c r="A16" s="20"/>
      <c r="B16" s="20"/>
      <c r="C16" s="20" t="s">
        <v>114</v>
      </c>
      <c r="D16" s="21">
        <v>1600</v>
      </c>
      <c r="E16" s="21">
        <v>1200</v>
      </c>
      <c r="F16" s="34"/>
      <c r="G16" s="286"/>
      <c r="H16" s="284"/>
      <c r="I16" s="286"/>
      <c r="J16" s="20" t="s">
        <v>180</v>
      </c>
      <c r="K16" s="34"/>
      <c r="L16" s="34"/>
      <c r="M16" s="34">
        <v>1500</v>
      </c>
      <c r="N16" s="34">
        <v>0</v>
      </c>
      <c r="O16" s="34">
        <v>0</v>
      </c>
      <c r="P16" s="34">
        <f t="shared" si="7"/>
        <v>1500</v>
      </c>
      <c r="Q16" s="286"/>
      <c r="R16" s="284"/>
      <c r="S16" s="286"/>
      <c r="T16" s="28" t="s">
        <v>175</v>
      </c>
      <c r="U16" s="34"/>
      <c r="V16" s="34"/>
      <c r="W16" s="34"/>
      <c r="X16" s="34">
        <v>3000</v>
      </c>
      <c r="Y16" s="34">
        <v>0</v>
      </c>
      <c r="Z16" s="34">
        <v>520</v>
      </c>
      <c r="AA16" s="286"/>
      <c r="AB16" s="284"/>
      <c r="AC16" s="286"/>
      <c r="AD16" s="20" t="s">
        <v>201</v>
      </c>
      <c r="AE16" s="34">
        <v>6</v>
      </c>
      <c r="AF16" s="20"/>
      <c r="AG16" s="20"/>
      <c r="AH16" s="34"/>
      <c r="AJ16" s="34"/>
      <c r="AK16" s="34"/>
      <c r="AL16" s="34"/>
      <c r="AM16" s="286"/>
      <c r="AN16" s="284"/>
      <c r="AO16" s="286"/>
      <c r="AP16" s="34"/>
      <c r="AQ16" s="53" t="s">
        <v>6</v>
      </c>
      <c r="AR16" s="55">
        <f>-D20-D23</f>
        <v>-28679</v>
      </c>
      <c r="AS16" s="55">
        <f>-E20-E23</f>
        <v>-33000</v>
      </c>
      <c r="AT16" s="60">
        <f t="shared" ref="AT16:AT27" si="11">+AS16-AR16</f>
        <v>-4321</v>
      </c>
      <c r="AU16" s="34"/>
      <c r="AV16" s="34"/>
      <c r="AW16" s="286"/>
      <c r="AX16" s="284"/>
      <c r="AY16" s="286"/>
      <c r="AZ16" s="34"/>
      <c r="BA16" s="26" t="s">
        <v>120</v>
      </c>
      <c r="BB16" s="26"/>
      <c r="BC16" s="26"/>
      <c r="BD16" s="34"/>
      <c r="BE16" s="34"/>
      <c r="BF16" s="286"/>
      <c r="BG16" s="284"/>
      <c r="BH16" s="286"/>
      <c r="BI16" s="34"/>
      <c r="BJ16" s="34"/>
      <c r="BK16" s="53" t="s">
        <v>6</v>
      </c>
      <c r="BL16" s="60">
        <f t="shared" si="9"/>
        <v>-4321</v>
      </c>
      <c r="BM16" s="60">
        <f t="shared" ca="1" si="5"/>
        <v>226</v>
      </c>
      <c r="BN16" s="60">
        <f t="shared" ca="1" si="6"/>
        <v>0</v>
      </c>
      <c r="BO16" s="55">
        <f t="shared" ca="1" si="2"/>
        <v>-4547</v>
      </c>
      <c r="BP16" s="34"/>
      <c r="BQ16" s="286"/>
      <c r="BR16" s="284"/>
      <c r="BS16" s="286"/>
      <c r="BT16" s="34"/>
      <c r="BU16" s="220" t="s">
        <v>4</v>
      </c>
      <c r="BV16" s="55">
        <f t="shared" ca="1" si="10"/>
        <v>1811</v>
      </c>
      <c r="BW16" s="60"/>
      <c r="BX16" s="55"/>
      <c r="BY16" s="55"/>
      <c r="BZ16" s="55">
        <f ca="1">+BV16</f>
        <v>1811</v>
      </c>
      <c r="CA16" s="55"/>
      <c r="CB16" s="55"/>
      <c r="CC16" s="60"/>
      <c r="CD16" s="55"/>
      <c r="CE16" s="34"/>
      <c r="CF16" s="63"/>
      <c r="CG16" s="60"/>
      <c r="CH16" s="34"/>
      <c r="CI16" s="286"/>
      <c r="CJ16" s="284"/>
      <c r="CK16" s="286"/>
      <c r="CL16" s="34"/>
      <c r="CM16" s="34"/>
      <c r="CN16" s="34"/>
      <c r="CO16" s="26" t="s">
        <v>51</v>
      </c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286"/>
      <c r="DA16" s="284"/>
      <c r="DB16" s="286"/>
    </row>
    <row r="17" spans="1:106" s="42" customFormat="1" x14ac:dyDescent="0.3">
      <c r="A17" s="20"/>
      <c r="B17" s="20"/>
      <c r="C17" s="16" t="s">
        <v>75</v>
      </c>
      <c r="D17" s="25">
        <f>SUM(D13:D16)</f>
        <v>68490</v>
      </c>
      <c r="E17" s="25">
        <f>SUM(E13:E16)</f>
        <v>56611</v>
      </c>
      <c r="F17" s="34"/>
      <c r="G17" s="286"/>
      <c r="H17" s="284"/>
      <c r="I17" s="286"/>
      <c r="J17" s="20" t="s">
        <v>184</v>
      </c>
      <c r="K17" s="34"/>
      <c r="L17" s="34"/>
      <c r="M17" s="34">
        <v>0</v>
      </c>
      <c r="N17" s="34">
        <v>2100</v>
      </c>
      <c r="O17" s="34">
        <v>0</v>
      </c>
      <c r="P17" s="34">
        <f t="shared" si="7"/>
        <v>2100</v>
      </c>
      <c r="Q17" s="286"/>
      <c r="R17" s="284"/>
      <c r="S17" s="286"/>
      <c r="T17" s="28" t="s">
        <v>92</v>
      </c>
      <c r="U17" s="34"/>
      <c r="V17" s="34"/>
      <c r="W17" s="34"/>
      <c r="X17" s="34">
        <v>0</v>
      </c>
      <c r="Y17" s="34">
        <v>0</v>
      </c>
      <c r="Z17" s="34">
        <f>+X30</f>
        <v>211</v>
      </c>
      <c r="AA17" s="286"/>
      <c r="AB17" s="284"/>
      <c r="AC17" s="286"/>
      <c r="AD17" s="20"/>
      <c r="AE17" s="20"/>
      <c r="AF17" s="34"/>
      <c r="AG17" s="35" t="s">
        <v>202</v>
      </c>
      <c r="AH17" s="35" t="s">
        <v>203</v>
      </c>
      <c r="AI17" s="35" t="s">
        <v>40</v>
      </c>
      <c r="AJ17" s="34"/>
      <c r="AK17" s="34"/>
      <c r="AL17" s="34"/>
      <c r="AM17" s="286"/>
      <c r="AN17" s="284"/>
      <c r="AO17" s="286"/>
      <c r="AP17" s="34"/>
      <c r="AQ17" s="53" t="s">
        <v>186</v>
      </c>
      <c r="AR17" s="55">
        <f>-D22</f>
        <v>-900</v>
      </c>
      <c r="AS17" s="55">
        <f>-E22</f>
        <v>0</v>
      </c>
      <c r="AT17" s="60">
        <f t="shared" si="11"/>
        <v>900</v>
      </c>
      <c r="AU17" s="34"/>
      <c r="AV17" s="34"/>
      <c r="AW17" s="286"/>
      <c r="AX17" s="284"/>
      <c r="AY17" s="286"/>
      <c r="AZ17" s="34"/>
      <c r="BA17" s="20" t="s">
        <v>170</v>
      </c>
      <c r="BB17" s="26" t="s">
        <v>112</v>
      </c>
      <c r="BC17" s="75">
        <f>SUM(BD18:BD20)</f>
        <v>2000</v>
      </c>
      <c r="BE17" s="34"/>
      <c r="BF17" s="286"/>
      <c r="BG17" s="284"/>
      <c r="BH17" s="286"/>
      <c r="BI17" s="34"/>
      <c r="BJ17" s="34"/>
      <c r="BK17" s="53" t="s">
        <v>186</v>
      </c>
      <c r="BL17" s="60">
        <f t="shared" si="9"/>
        <v>900</v>
      </c>
      <c r="BM17" s="60">
        <f t="shared" ca="1" si="5"/>
        <v>900</v>
      </c>
      <c r="BN17" s="60">
        <f t="shared" ca="1" si="6"/>
        <v>0</v>
      </c>
      <c r="BO17" s="55">
        <f t="shared" ca="1" si="2"/>
        <v>0</v>
      </c>
      <c r="BP17" s="34"/>
      <c r="BQ17" s="286"/>
      <c r="BR17" s="284"/>
      <c r="BS17" s="286"/>
      <c r="BT17" s="34"/>
      <c r="BU17" s="220" t="s">
        <v>6</v>
      </c>
      <c r="BV17" s="55">
        <f t="shared" ca="1" si="10"/>
        <v>-4547</v>
      </c>
      <c r="BW17" s="64"/>
      <c r="BX17" s="54"/>
      <c r="BY17" s="54"/>
      <c r="BZ17" s="54"/>
      <c r="CA17" s="54"/>
      <c r="CB17" s="54"/>
      <c r="CC17" s="64"/>
      <c r="CD17" s="55">
        <f ca="1">+BV17</f>
        <v>-4547</v>
      </c>
      <c r="CE17" s="34"/>
      <c r="CF17" s="65"/>
      <c r="CG17" s="64"/>
      <c r="CH17" s="34"/>
      <c r="CI17" s="286"/>
      <c r="CJ17" s="284"/>
      <c r="CK17" s="286"/>
      <c r="CL17" s="34"/>
      <c r="CM17" s="34"/>
      <c r="CN17" s="34"/>
      <c r="CO17" s="20" t="s">
        <v>135</v>
      </c>
      <c r="CP17" s="34"/>
      <c r="CQ17" s="34"/>
      <c r="CR17" s="34"/>
      <c r="CS17" s="34"/>
      <c r="CT17" s="34">
        <f ca="1">+CM10</f>
        <v>117384.64</v>
      </c>
      <c r="CU17" s="35" t="s">
        <v>158</v>
      </c>
      <c r="CV17" s="34"/>
      <c r="CW17" s="34"/>
      <c r="CX17" s="34"/>
      <c r="CY17" s="34"/>
      <c r="CZ17" s="286"/>
      <c r="DA17" s="284"/>
      <c r="DB17" s="286"/>
    </row>
    <row r="18" spans="1:106" s="42" customFormat="1" x14ac:dyDescent="0.3">
      <c r="A18" s="20"/>
      <c r="B18" s="20"/>
      <c r="C18" s="26" t="s">
        <v>79</v>
      </c>
      <c r="D18" s="27"/>
      <c r="E18" s="27"/>
      <c r="F18" s="34"/>
      <c r="G18" s="286"/>
      <c r="H18" s="284"/>
      <c r="I18" s="286"/>
      <c r="J18" s="20" t="s">
        <v>100</v>
      </c>
      <c r="K18" s="34"/>
      <c r="L18" s="34"/>
      <c r="M18" s="32">
        <v>0</v>
      </c>
      <c r="N18" s="32">
        <f>+K18+M18</f>
        <v>0</v>
      </c>
      <c r="O18" s="32">
        <v>-9880</v>
      </c>
      <c r="P18" s="32">
        <f t="shared" si="7"/>
        <v>-9880</v>
      </c>
      <c r="Q18" s="286"/>
      <c r="R18" s="284"/>
      <c r="S18" s="286"/>
      <c r="T18" s="28" t="s">
        <v>174</v>
      </c>
      <c r="U18" s="34"/>
      <c r="V18" s="34"/>
      <c r="W18" s="34"/>
      <c r="X18" s="34">
        <f>+X42</f>
        <v>900</v>
      </c>
      <c r="Y18" s="34">
        <v>0</v>
      </c>
      <c r="Z18" s="34">
        <v>0</v>
      </c>
      <c r="AA18" s="286"/>
      <c r="AB18" s="284"/>
      <c r="AC18" s="286"/>
      <c r="AD18" s="20"/>
      <c r="AE18" s="20"/>
      <c r="AF18" s="34"/>
      <c r="AG18" s="35" t="s">
        <v>534</v>
      </c>
      <c r="AH18" s="35" t="s">
        <v>534</v>
      </c>
      <c r="AI18" s="35" t="s">
        <v>534</v>
      </c>
      <c r="AJ18" s="34"/>
      <c r="AK18" s="34"/>
      <c r="AL18" s="34"/>
      <c r="AM18" s="303" t="s">
        <v>3</v>
      </c>
      <c r="AN18" s="284"/>
      <c r="AO18" s="286"/>
      <c r="AP18" s="34"/>
      <c r="AQ18" s="53" t="s">
        <v>7</v>
      </c>
      <c r="AR18" s="55">
        <f>-D26</f>
        <v>-14000</v>
      </c>
      <c r="AS18" s="55">
        <f>-E26</f>
        <v>-10000</v>
      </c>
      <c r="AT18" s="60">
        <f t="shared" si="11"/>
        <v>4000</v>
      </c>
      <c r="AU18" s="34"/>
      <c r="AV18" s="34"/>
      <c r="AW18" s="286"/>
      <c r="AX18" s="284"/>
      <c r="AY18" s="286"/>
      <c r="AZ18" s="34"/>
      <c r="BA18" s="20" t="s">
        <v>10</v>
      </c>
      <c r="BB18" s="26" t="s">
        <v>113</v>
      </c>
      <c r="BC18" s="26"/>
      <c r="BD18" s="75">
        <f>+X13</f>
        <v>1500</v>
      </c>
      <c r="BE18" s="34"/>
      <c r="BF18" s="286"/>
      <c r="BG18" s="284"/>
      <c r="BH18" s="286"/>
      <c r="BI18" s="34"/>
      <c r="BJ18" s="34"/>
      <c r="BK18" s="53" t="s">
        <v>7</v>
      </c>
      <c r="BL18" s="60">
        <f t="shared" si="9"/>
        <v>4000</v>
      </c>
      <c r="BM18" s="60">
        <f t="shared" ca="1" si="5"/>
        <v>2500</v>
      </c>
      <c r="BN18" s="60">
        <f t="shared" ca="1" si="6"/>
        <v>0</v>
      </c>
      <c r="BO18" s="55">
        <f t="shared" ca="1" si="2"/>
        <v>1500</v>
      </c>
      <c r="BP18" s="34"/>
      <c r="BQ18" s="286"/>
      <c r="BR18" s="284"/>
      <c r="BS18" s="286"/>
      <c r="BT18" s="34"/>
      <c r="BU18" s="220" t="s">
        <v>186</v>
      </c>
      <c r="BV18" s="55">
        <f t="shared" ca="1" si="10"/>
        <v>0</v>
      </c>
      <c r="BW18" s="64"/>
      <c r="BX18" s="54"/>
      <c r="BY18" s="54"/>
      <c r="BZ18" s="54"/>
      <c r="CA18" s="54"/>
      <c r="CB18" s="54"/>
      <c r="CC18" s="64"/>
      <c r="CD18" s="54"/>
      <c r="CE18" s="21"/>
      <c r="CF18" s="65"/>
      <c r="CG18" s="64"/>
      <c r="CH18" s="34"/>
      <c r="CI18" s="286"/>
      <c r="CJ18" s="284"/>
      <c r="CK18" s="286"/>
      <c r="CL18" s="34"/>
      <c r="CM18" s="34"/>
      <c r="CN18" s="34"/>
      <c r="CO18" s="20" t="s">
        <v>136</v>
      </c>
      <c r="CP18" s="34"/>
      <c r="CQ18" s="34"/>
      <c r="CR18" s="34"/>
      <c r="CS18" s="34"/>
      <c r="CT18" s="34">
        <f>+CN10</f>
        <v>-44600</v>
      </c>
      <c r="CU18" s="35" t="s">
        <v>160</v>
      </c>
      <c r="CV18" s="34"/>
      <c r="CW18" s="34"/>
      <c r="CX18" s="34"/>
      <c r="CY18" s="34"/>
      <c r="CZ18" s="286"/>
      <c r="DA18" s="284"/>
      <c r="DB18" s="286"/>
    </row>
    <row r="19" spans="1:106" s="42" customFormat="1" x14ac:dyDescent="0.3">
      <c r="A19" s="20"/>
      <c r="B19" s="20"/>
      <c r="C19" s="20" t="s">
        <v>4</v>
      </c>
      <c r="D19" s="21">
        <v>10111</v>
      </c>
      <c r="E19" s="21">
        <v>8300</v>
      </c>
      <c r="F19" s="34"/>
      <c r="G19" s="286"/>
      <c r="H19" s="284"/>
      <c r="I19" s="286"/>
      <c r="J19" s="26" t="s">
        <v>32</v>
      </c>
      <c r="K19" s="34"/>
      <c r="L19" s="34"/>
      <c r="M19" s="47">
        <f>SUM(M12:M18)</f>
        <v>14000</v>
      </c>
      <c r="N19" s="47">
        <f>SUM(N12:N18)</f>
        <v>2100</v>
      </c>
      <c r="O19" s="38">
        <f>SUM(O12:O18)</f>
        <v>12700</v>
      </c>
      <c r="P19" s="47">
        <f>SUM(P12:P18)</f>
        <v>28800</v>
      </c>
      <c r="Q19" s="286"/>
      <c r="R19" s="284"/>
      <c r="S19" s="286"/>
      <c r="T19" s="16"/>
      <c r="U19" s="16"/>
      <c r="V19" s="16"/>
      <c r="W19" s="16"/>
      <c r="X19" s="25">
        <f>SUM(X9:X18)</f>
        <v>54400</v>
      </c>
      <c r="Y19" s="25">
        <f>SUM(Y9:Y18)</f>
        <v>7400</v>
      </c>
      <c r="Z19" s="25">
        <f>SUM(Z9:Z18)</f>
        <v>14231</v>
      </c>
      <c r="AA19" s="286"/>
      <c r="AB19" s="284"/>
      <c r="AC19" s="286"/>
      <c r="AD19" s="20"/>
      <c r="AE19" s="20"/>
      <c r="AF19" s="34">
        <v>1</v>
      </c>
      <c r="AG19" s="34">
        <f t="shared" ref="AG19:AG24" si="12">-PPMT($AE$15,AF19,$AE$31,$AE$14,0,0)</f>
        <v>827999.99986050697</v>
      </c>
      <c r="AH19" s="34">
        <f t="shared" ref="AH19:AH24" si="13">-IPMT($AE$15,AF19,$AE$31,$AE$14,0,0)</f>
        <v>450774.03248049115</v>
      </c>
      <c r="AI19" s="34">
        <f t="shared" ref="AI19:AI24" si="14">+AG19+AH19</f>
        <v>1278774.0323409981</v>
      </c>
      <c r="AJ19" s="268" t="s">
        <v>452</v>
      </c>
      <c r="AK19" s="34"/>
      <c r="AL19" s="34"/>
      <c r="AM19" s="34">
        <f>+AG19*$AF$56</f>
        <v>2483999.9995815209</v>
      </c>
      <c r="AN19" s="284"/>
      <c r="AO19" s="286"/>
      <c r="AP19" s="34"/>
      <c r="AQ19" s="53" t="s">
        <v>185</v>
      </c>
      <c r="AR19" s="55">
        <f>-D27</f>
        <v>-2100</v>
      </c>
      <c r="AS19" s="55">
        <f>-E27</f>
        <v>0</v>
      </c>
      <c r="AT19" s="60">
        <f t="shared" si="11"/>
        <v>2100</v>
      </c>
      <c r="AU19" s="34"/>
      <c r="AV19" s="34"/>
      <c r="AW19" s="286"/>
      <c r="AX19" s="284"/>
      <c r="AY19" s="286"/>
      <c r="AZ19" s="34"/>
      <c r="BA19" s="20" t="s">
        <v>86</v>
      </c>
      <c r="BB19" s="26" t="s">
        <v>113</v>
      </c>
      <c r="BC19" s="26"/>
      <c r="BD19" s="75">
        <f>+Y13</f>
        <v>200</v>
      </c>
      <c r="BE19" s="34"/>
      <c r="BF19" s="286"/>
      <c r="BG19" s="284"/>
      <c r="BH19" s="286"/>
      <c r="BI19" s="34"/>
      <c r="BJ19" s="34"/>
      <c r="BK19" s="53" t="s">
        <v>185</v>
      </c>
      <c r="BL19" s="60">
        <f t="shared" si="9"/>
        <v>2100</v>
      </c>
      <c r="BM19" s="60">
        <f t="shared" ca="1" si="5"/>
        <v>2100</v>
      </c>
      <c r="BN19" s="60">
        <f t="shared" ca="1" si="6"/>
        <v>0</v>
      </c>
      <c r="BO19" s="55">
        <f t="shared" ca="1" si="2"/>
        <v>0</v>
      </c>
      <c r="BP19" s="34"/>
      <c r="BQ19" s="286"/>
      <c r="BR19" s="284"/>
      <c r="BS19" s="286"/>
      <c r="BT19" s="34"/>
      <c r="BU19" s="220" t="s">
        <v>7</v>
      </c>
      <c r="BV19" s="55">
        <f t="shared" ca="1" si="10"/>
        <v>1500</v>
      </c>
      <c r="BW19" s="64"/>
      <c r="BX19" s="54"/>
      <c r="BY19" s="54"/>
      <c r="BZ19" s="54"/>
      <c r="CA19" s="54"/>
      <c r="CB19" s="54"/>
      <c r="CC19" s="64"/>
      <c r="CD19" s="54"/>
      <c r="CE19" s="21"/>
      <c r="CF19" s="65">
        <f ca="1">+BV19</f>
        <v>1500</v>
      </c>
      <c r="CG19" s="64"/>
      <c r="CH19" s="34"/>
      <c r="CI19" s="286"/>
      <c r="CJ19" s="284"/>
      <c r="CK19" s="286"/>
      <c r="CL19" s="34"/>
      <c r="CM19" s="34"/>
      <c r="CN19" s="34"/>
      <c r="CO19" s="20" t="s">
        <v>137</v>
      </c>
      <c r="CP19" s="34"/>
      <c r="CQ19" s="34"/>
      <c r="CR19" s="34"/>
      <c r="CS19" s="34"/>
      <c r="CT19" s="34">
        <f ca="1">+CO10</f>
        <v>-4600</v>
      </c>
      <c r="CU19" s="35" t="s">
        <v>159</v>
      </c>
      <c r="CV19" s="34"/>
      <c r="CW19" s="34"/>
      <c r="CX19" s="34"/>
      <c r="CY19" s="34"/>
      <c r="CZ19" s="286"/>
      <c r="DA19" s="284"/>
      <c r="DB19" s="286"/>
    </row>
    <row r="20" spans="1:106" s="42" customFormat="1" x14ac:dyDescent="0.3">
      <c r="A20" s="20"/>
      <c r="B20" s="20"/>
      <c r="C20" s="20" t="s">
        <v>6</v>
      </c>
      <c r="D20" s="23">
        <f>+ROUND(AG54/1000,0)</f>
        <v>4916</v>
      </c>
      <c r="E20" s="23">
        <f>ROUND(AM43/1000,0)</f>
        <v>4530</v>
      </c>
      <c r="F20" s="34"/>
      <c r="G20" s="286"/>
      <c r="H20" s="284"/>
      <c r="I20" s="286"/>
      <c r="J20" s="34"/>
      <c r="K20" s="34"/>
      <c r="L20" s="34"/>
      <c r="M20" s="34"/>
      <c r="N20" s="34"/>
      <c r="O20" s="34"/>
      <c r="P20" s="34"/>
      <c r="Q20" s="286"/>
      <c r="R20" s="284"/>
      <c r="S20" s="286"/>
      <c r="T20" s="20"/>
      <c r="U20" s="21"/>
      <c r="V20" s="21"/>
      <c r="W20" s="21"/>
      <c r="X20" s="21"/>
      <c r="Y20" s="21"/>
      <c r="Z20" s="21"/>
      <c r="AA20" s="286"/>
      <c r="AB20" s="284"/>
      <c r="AC20" s="286"/>
      <c r="AD20" s="20"/>
      <c r="AE20" s="20"/>
      <c r="AF20" s="34">
        <f>+AF19+1</f>
        <v>2</v>
      </c>
      <c r="AG20" s="34">
        <f t="shared" si="12"/>
        <v>890206.81633233454</v>
      </c>
      <c r="AH20" s="34">
        <f t="shared" si="13"/>
        <v>388567.21600866329</v>
      </c>
      <c r="AI20" s="34">
        <f t="shared" si="14"/>
        <v>1278774.0323409978</v>
      </c>
      <c r="AJ20" s="34"/>
      <c r="AK20" s="34"/>
      <c r="AL20" s="34"/>
      <c r="AM20" s="34">
        <f t="shared" ref="AM20:AM24" si="15">+AG20*$AF$56</f>
        <v>2670620.4489970035</v>
      </c>
      <c r="AN20" s="284"/>
      <c r="AO20" s="286"/>
      <c r="AP20" s="34"/>
      <c r="AQ20" s="53" t="s">
        <v>8</v>
      </c>
      <c r="AR20" s="55">
        <f>-D28+E46</f>
        <v>5469</v>
      </c>
      <c r="AS20" s="55">
        <f>-E28</f>
        <v>-5311</v>
      </c>
      <c r="AT20" s="60">
        <f t="shared" si="11"/>
        <v>-10780</v>
      </c>
      <c r="AU20" s="34"/>
      <c r="AV20" s="34"/>
      <c r="AW20" s="286"/>
      <c r="AX20" s="284"/>
      <c r="AY20" s="286"/>
      <c r="AZ20" s="34"/>
      <c r="BA20" s="20" t="s">
        <v>85</v>
      </c>
      <c r="BB20" s="26" t="s">
        <v>113</v>
      </c>
      <c r="BC20" s="26"/>
      <c r="BD20" s="75">
        <f>+Z13</f>
        <v>300</v>
      </c>
      <c r="BE20" s="34"/>
      <c r="BF20" s="286"/>
      <c r="BG20" s="284"/>
      <c r="BH20" s="286"/>
      <c r="BI20" s="34"/>
      <c r="BJ20" s="34"/>
      <c r="BK20" s="53" t="s">
        <v>8</v>
      </c>
      <c r="BL20" s="60">
        <f t="shared" si="9"/>
        <v>-10780</v>
      </c>
      <c r="BM20" s="60">
        <f t="shared" ca="1" si="5"/>
        <v>0</v>
      </c>
      <c r="BN20" s="60">
        <f t="shared" ca="1" si="6"/>
        <v>900</v>
      </c>
      <c r="BO20" s="55">
        <f t="shared" ca="1" si="2"/>
        <v>-9880</v>
      </c>
      <c r="BP20" s="34"/>
      <c r="BQ20" s="286"/>
      <c r="BR20" s="284"/>
      <c r="BS20" s="286"/>
      <c r="BT20" s="34"/>
      <c r="BU20" s="220" t="s">
        <v>185</v>
      </c>
      <c r="BV20" s="55">
        <f t="shared" ca="1" si="10"/>
        <v>0</v>
      </c>
      <c r="BW20" s="64"/>
      <c r="BX20" s="54"/>
      <c r="BY20" s="54"/>
      <c r="BZ20" s="54"/>
      <c r="CA20" s="54"/>
      <c r="CB20" s="54"/>
      <c r="CC20" s="64"/>
      <c r="CD20" s="54"/>
      <c r="CE20" s="21"/>
      <c r="CF20" s="65"/>
      <c r="CG20" s="60"/>
      <c r="CH20" s="34"/>
      <c r="CI20" s="286"/>
      <c r="CJ20" s="284"/>
      <c r="CK20" s="286"/>
      <c r="CL20" s="34"/>
      <c r="CM20" s="34"/>
      <c r="CN20" s="34"/>
      <c r="CO20" s="20" t="s">
        <v>138</v>
      </c>
      <c r="CP20" s="34"/>
      <c r="CQ20" s="34"/>
      <c r="CR20" s="34"/>
      <c r="CS20" s="34"/>
      <c r="CT20" s="34">
        <f ca="1">+CP10</f>
        <v>-16789</v>
      </c>
      <c r="CU20" s="35" t="s">
        <v>156</v>
      </c>
      <c r="CV20" s="34"/>
      <c r="CW20" s="34"/>
      <c r="CX20" s="34"/>
      <c r="CY20" s="34"/>
      <c r="CZ20" s="286"/>
      <c r="DA20" s="284"/>
      <c r="DB20" s="286"/>
    </row>
    <row r="21" spans="1:106" s="42" customFormat="1" x14ac:dyDescent="0.3">
      <c r="A21" s="20"/>
      <c r="B21" s="20"/>
      <c r="C21" s="16" t="s">
        <v>77</v>
      </c>
      <c r="D21" s="24">
        <f>SUM(D19:D20)</f>
        <v>15027</v>
      </c>
      <c r="E21" s="24">
        <f>SUM(E19:E20)</f>
        <v>12830</v>
      </c>
      <c r="F21" s="34"/>
      <c r="G21" s="286"/>
      <c r="H21" s="284"/>
      <c r="I21" s="286"/>
      <c r="J21" s="34"/>
      <c r="K21" s="34"/>
      <c r="L21" s="34"/>
      <c r="M21" s="34">
        <f>+M19-D26</f>
        <v>0</v>
      </c>
      <c r="N21" s="34">
        <f>+D27-N19</f>
        <v>0</v>
      </c>
      <c r="O21" s="34">
        <f>+O19-D28</f>
        <v>0</v>
      </c>
      <c r="P21" s="34">
        <f>+P19-D29</f>
        <v>0</v>
      </c>
      <c r="Q21" s="286"/>
      <c r="R21" s="284"/>
      <c r="S21" s="286"/>
      <c r="T21" s="287" t="s">
        <v>90</v>
      </c>
      <c r="U21" s="16"/>
      <c r="V21" s="16"/>
      <c r="W21" s="46"/>
      <c r="X21" s="19">
        <v>2016</v>
      </c>
      <c r="Y21" s="19">
        <v>2015</v>
      </c>
      <c r="Z21" s="46"/>
      <c r="AA21" s="34"/>
      <c r="AB21" s="284"/>
      <c r="AC21" s="286"/>
      <c r="AD21" s="20"/>
      <c r="AE21" s="20"/>
      <c r="AF21" s="34">
        <f>+AF20+1</f>
        <v>3</v>
      </c>
      <c r="AG21" s="34">
        <f t="shared" si="12"/>
        <v>957087.16905562568</v>
      </c>
      <c r="AH21" s="34">
        <f t="shared" si="13"/>
        <v>321686.86328537215</v>
      </c>
      <c r="AI21" s="34">
        <f t="shared" si="14"/>
        <v>1278774.0323409978</v>
      </c>
      <c r="AJ21" s="34"/>
      <c r="AK21" s="34"/>
      <c r="AL21" s="34"/>
      <c r="AM21" s="34">
        <f t="shared" si="15"/>
        <v>2871261.5071668769</v>
      </c>
      <c r="AN21" s="284"/>
      <c r="AO21" s="286"/>
      <c r="AP21" s="34"/>
      <c r="AQ21" s="53" t="s">
        <v>9</v>
      </c>
      <c r="AR21" s="55">
        <f>-E36</f>
        <v>-99648</v>
      </c>
      <c r="AS21" s="55"/>
      <c r="AT21" s="60">
        <f t="shared" si="11"/>
        <v>99648</v>
      </c>
      <c r="AU21" s="34"/>
      <c r="AV21" s="34"/>
      <c r="AW21" s="286"/>
      <c r="AX21" s="284"/>
      <c r="AY21" s="286"/>
      <c r="AZ21" s="34"/>
      <c r="BA21" s="26" t="s">
        <v>208</v>
      </c>
      <c r="BB21" s="26"/>
      <c r="BC21" s="35"/>
      <c r="BD21" s="35"/>
      <c r="BE21" s="34"/>
      <c r="BF21" s="286"/>
      <c r="BG21" s="284"/>
      <c r="BH21" s="286"/>
      <c r="BI21" s="34"/>
      <c r="BJ21" s="34"/>
      <c r="BK21" s="53" t="s">
        <v>9</v>
      </c>
      <c r="BL21" s="60">
        <f t="shared" si="9"/>
        <v>99648</v>
      </c>
      <c r="BM21" s="60">
        <f t="shared" ca="1" si="5"/>
        <v>0</v>
      </c>
      <c r="BN21" s="60">
        <f t="shared" ca="1" si="6"/>
        <v>0</v>
      </c>
      <c r="BO21" s="55">
        <f t="shared" ca="1" si="2"/>
        <v>99648</v>
      </c>
      <c r="BP21" s="34"/>
      <c r="BQ21" s="286"/>
      <c r="BR21" s="284"/>
      <c r="BS21" s="286"/>
      <c r="BT21" s="34"/>
      <c r="BU21" s="220" t="s">
        <v>8</v>
      </c>
      <c r="BV21" s="55">
        <f t="shared" ca="1" si="10"/>
        <v>-9880</v>
      </c>
      <c r="BW21" s="64"/>
      <c r="BX21" s="54"/>
      <c r="BY21" s="54"/>
      <c r="BZ21" s="54"/>
      <c r="CA21" s="54"/>
      <c r="CB21" s="54"/>
      <c r="CC21" s="64"/>
      <c r="CD21" s="54"/>
      <c r="CE21" s="21"/>
      <c r="CF21" s="65"/>
      <c r="CG21" s="60">
        <f ca="1">+BV21</f>
        <v>-9880</v>
      </c>
      <c r="CH21" s="34"/>
      <c r="CI21" s="286"/>
      <c r="CJ21" s="284"/>
      <c r="CK21" s="286"/>
      <c r="CL21" s="34"/>
      <c r="CM21" s="34"/>
      <c r="CN21" s="34"/>
      <c r="CO21" s="20" t="s">
        <v>218</v>
      </c>
      <c r="CP21" s="34"/>
      <c r="CQ21" s="34"/>
      <c r="CR21" s="34"/>
      <c r="CS21" s="34"/>
      <c r="CT21" s="34">
        <f ca="1">+CQ10</f>
        <v>-28956.639999999999</v>
      </c>
      <c r="CU21" s="35" t="s">
        <v>161</v>
      </c>
      <c r="CV21" s="34"/>
      <c r="CW21" s="34"/>
      <c r="CX21" s="34"/>
      <c r="CY21" s="34"/>
      <c r="CZ21" s="286"/>
      <c r="DA21" s="284"/>
      <c r="DB21" s="286"/>
    </row>
    <row r="22" spans="1:106" s="42" customFormat="1" x14ac:dyDescent="0.3">
      <c r="A22" s="20"/>
      <c r="B22" s="20"/>
      <c r="C22" s="20" t="s">
        <v>186</v>
      </c>
      <c r="D22" s="29">
        <f>3000*30%</f>
        <v>900</v>
      </c>
      <c r="E22" s="30">
        <v>0</v>
      </c>
      <c r="F22" s="34"/>
      <c r="G22" s="286"/>
      <c r="H22" s="284"/>
      <c r="I22" s="286"/>
      <c r="J22" s="34"/>
      <c r="K22" s="34"/>
      <c r="L22" s="34"/>
      <c r="M22" s="34"/>
      <c r="N22" s="34"/>
      <c r="O22" s="34"/>
      <c r="P22" s="34"/>
      <c r="Q22" s="34"/>
      <c r="R22" s="284"/>
      <c r="S22" s="286"/>
      <c r="T22" s="288"/>
      <c r="U22" s="46"/>
      <c r="V22" s="46"/>
      <c r="W22" s="46"/>
      <c r="X22" s="19" t="s">
        <v>387</v>
      </c>
      <c r="Y22" s="19" t="s">
        <v>387</v>
      </c>
      <c r="Z22" s="46"/>
      <c r="AA22" s="34"/>
      <c r="AB22" s="284"/>
      <c r="AC22" s="286"/>
      <c r="AD22" s="20"/>
      <c r="AE22" s="20"/>
      <c r="AF22" s="34">
        <f>+AF21+1</f>
        <v>4</v>
      </c>
      <c r="AG22" s="34">
        <f t="shared" si="12"/>
        <v>1028992.176160716</v>
      </c>
      <c r="AH22" s="34">
        <f t="shared" si="13"/>
        <v>249781.8561802819</v>
      </c>
      <c r="AI22" s="34">
        <f t="shared" si="14"/>
        <v>1278774.0323409978</v>
      </c>
      <c r="AJ22" s="34"/>
      <c r="AK22" s="34"/>
      <c r="AL22" s="34"/>
      <c r="AM22" s="34">
        <f t="shared" si="15"/>
        <v>3086976.528482148</v>
      </c>
      <c r="AN22" s="284"/>
      <c r="AO22" s="286"/>
      <c r="AP22" s="34"/>
      <c r="AQ22" s="53" t="s">
        <v>10</v>
      </c>
      <c r="AR22" s="55">
        <f>-E37</f>
        <v>54400</v>
      </c>
      <c r="AS22" s="55"/>
      <c r="AT22" s="60">
        <f t="shared" si="11"/>
        <v>-54400</v>
      </c>
      <c r="AU22" s="34"/>
      <c r="AV22" s="34"/>
      <c r="AW22" s="286"/>
      <c r="AX22" s="284"/>
      <c r="AY22" s="286"/>
      <c r="AZ22" s="34"/>
      <c r="BA22" s="20" t="s">
        <v>15</v>
      </c>
      <c r="BB22" s="26" t="s">
        <v>113</v>
      </c>
      <c r="BC22" s="34">
        <f>+BD23</f>
        <v>400</v>
      </c>
      <c r="BD22" s="34"/>
      <c r="BE22" s="34"/>
      <c r="BF22" s="286"/>
      <c r="BG22" s="284"/>
      <c r="BH22" s="286"/>
      <c r="BI22" s="34"/>
      <c r="BJ22" s="34"/>
      <c r="BK22" s="53" t="s">
        <v>10</v>
      </c>
      <c r="BL22" s="60">
        <f t="shared" si="9"/>
        <v>-54400</v>
      </c>
      <c r="BM22" s="60">
        <f t="shared" ca="1" si="5"/>
        <v>0</v>
      </c>
      <c r="BN22" s="60">
        <f t="shared" ca="1" si="6"/>
        <v>2400</v>
      </c>
      <c r="BO22" s="55">
        <f t="shared" ca="1" si="2"/>
        <v>-52000</v>
      </c>
      <c r="BP22" s="34"/>
      <c r="BQ22" s="286"/>
      <c r="BR22" s="284"/>
      <c r="BS22" s="286"/>
      <c r="BT22" s="34"/>
      <c r="BU22" s="304" t="s">
        <v>9</v>
      </c>
      <c r="BV22" s="305">
        <f t="shared" ca="1" si="10"/>
        <v>99648</v>
      </c>
      <c r="BW22" s="306">
        <f ca="1">+BV22*(1+18%)</f>
        <v>117584.64</v>
      </c>
      <c r="BX22" s="307"/>
      <c r="BY22" s="307"/>
      <c r="BZ22" s="307"/>
      <c r="CA22" s="305">
        <f ca="1">+-BV22*18%</f>
        <v>-17936.64</v>
      </c>
      <c r="CB22" s="307"/>
      <c r="CC22" s="306"/>
      <c r="CD22" s="307"/>
      <c r="CE22" s="308"/>
      <c r="CF22" s="309"/>
      <c r="CG22" s="306"/>
      <c r="CH22" s="34"/>
      <c r="CI22" s="286"/>
      <c r="CJ22" s="284"/>
      <c r="CK22" s="286"/>
      <c r="CL22" s="34"/>
      <c r="CM22" s="34"/>
      <c r="CN22" s="34"/>
      <c r="CO22" s="16" t="s">
        <v>145</v>
      </c>
      <c r="CP22" s="16"/>
      <c r="CQ22" s="16"/>
      <c r="CR22" s="16"/>
      <c r="CS22" s="48"/>
      <c r="CT22" s="48">
        <f ca="1">SUM(CT17:CT21)</f>
        <v>22439</v>
      </c>
      <c r="CU22" s="34"/>
      <c r="CV22" s="34"/>
      <c r="CW22" s="34"/>
      <c r="CX22" s="34"/>
      <c r="CY22" s="34"/>
      <c r="CZ22" s="286"/>
      <c r="DA22" s="284"/>
      <c r="DB22" s="286"/>
    </row>
    <row r="23" spans="1:106" s="42" customFormat="1" x14ac:dyDescent="0.3">
      <c r="A23" s="20"/>
      <c r="B23" s="20"/>
      <c r="C23" s="20" t="s">
        <v>6</v>
      </c>
      <c r="D23" s="23">
        <f>+ROUND(AH54/1000,0)</f>
        <v>23763</v>
      </c>
      <c r="E23" s="23">
        <f>ROUND(AM44/1000,0)</f>
        <v>28470</v>
      </c>
      <c r="F23" s="34"/>
      <c r="G23" s="286"/>
      <c r="H23" s="284"/>
      <c r="I23" s="286"/>
      <c r="J23" s="34"/>
      <c r="K23" s="34"/>
      <c r="L23" s="34"/>
      <c r="M23" s="34"/>
      <c r="N23" s="34"/>
      <c r="O23" s="34"/>
      <c r="P23" s="34"/>
      <c r="Q23" s="34"/>
      <c r="R23" s="284"/>
      <c r="S23" s="286"/>
      <c r="T23" s="289" t="s">
        <v>91</v>
      </c>
      <c r="U23" s="20"/>
      <c r="V23" s="20"/>
      <c r="W23" s="34"/>
      <c r="X23" s="34">
        <v>13200</v>
      </c>
      <c r="Y23" s="34">
        <v>13000</v>
      </c>
      <c r="Z23" s="34"/>
      <c r="AA23" s="34"/>
      <c r="AB23" s="284"/>
      <c r="AC23" s="286"/>
      <c r="AD23" s="20"/>
      <c r="AE23" s="20"/>
      <c r="AF23" s="34">
        <f>+AF22+1</f>
        <v>5</v>
      </c>
      <c r="AG23" s="34">
        <f t="shared" si="12"/>
        <v>1106299.3349338565</v>
      </c>
      <c r="AH23" s="34">
        <f t="shared" si="13"/>
        <v>172474.69740714156</v>
      </c>
      <c r="AI23" s="34">
        <f t="shared" si="14"/>
        <v>1278774.0323409981</v>
      </c>
      <c r="AJ23" s="34"/>
      <c r="AK23" s="34"/>
      <c r="AL23" s="34"/>
      <c r="AM23" s="34">
        <f t="shared" si="15"/>
        <v>3318898.0048015695</v>
      </c>
      <c r="AN23" s="284"/>
      <c r="AO23" s="286"/>
      <c r="AP23" s="34"/>
      <c r="AQ23" s="53" t="s">
        <v>86</v>
      </c>
      <c r="AR23" s="55">
        <f>-E39</f>
        <v>7400</v>
      </c>
      <c r="AS23" s="54"/>
      <c r="AT23" s="60">
        <f t="shared" si="11"/>
        <v>-7400</v>
      </c>
      <c r="AU23" s="34"/>
      <c r="AV23" s="34"/>
      <c r="AW23" s="286"/>
      <c r="AX23" s="284"/>
      <c r="AY23" s="286"/>
      <c r="AZ23" s="34"/>
      <c r="BA23" s="20" t="s">
        <v>114</v>
      </c>
      <c r="BB23" s="26" t="s">
        <v>112</v>
      </c>
      <c r="BC23" s="34"/>
      <c r="BD23" s="34">
        <f>+D16-E16</f>
        <v>400</v>
      </c>
      <c r="BE23" s="34"/>
      <c r="BF23" s="286"/>
      <c r="BG23" s="284"/>
      <c r="BH23" s="286"/>
      <c r="BI23" s="34"/>
      <c r="BJ23" s="34"/>
      <c r="BK23" s="53" t="s">
        <v>86</v>
      </c>
      <c r="BL23" s="60">
        <f t="shared" si="9"/>
        <v>-7400</v>
      </c>
      <c r="BM23" s="60">
        <f t="shared" ca="1" si="5"/>
        <v>0</v>
      </c>
      <c r="BN23" s="60">
        <f t="shared" ca="1" si="6"/>
        <v>200</v>
      </c>
      <c r="BO23" s="55">
        <f t="shared" ca="1" si="2"/>
        <v>-7200</v>
      </c>
      <c r="BP23" s="34"/>
      <c r="BQ23" s="286"/>
      <c r="BR23" s="284"/>
      <c r="BS23" s="286"/>
      <c r="BT23" s="34"/>
      <c r="BU23" s="220" t="s">
        <v>10</v>
      </c>
      <c r="BV23" s="55">
        <f t="shared" ca="1" si="10"/>
        <v>-52000</v>
      </c>
      <c r="BW23" s="64"/>
      <c r="BX23" s="55">
        <f>-X10</f>
        <v>-30000</v>
      </c>
      <c r="BY23" s="54"/>
      <c r="BZ23" s="55">
        <f>-X9</f>
        <v>-17100</v>
      </c>
      <c r="CA23" s="55">
        <f>-X15-X16</f>
        <v>-4900</v>
      </c>
      <c r="CB23" s="55"/>
      <c r="CC23" s="64"/>
      <c r="CD23" s="54"/>
      <c r="CE23" s="21"/>
      <c r="CF23" s="65"/>
      <c r="CG23" s="64"/>
      <c r="CH23" s="34"/>
      <c r="CI23" s="286"/>
      <c r="CJ23" s="284"/>
      <c r="CK23" s="286"/>
      <c r="CL23" s="34"/>
      <c r="CM23" s="34"/>
      <c r="CN23" s="34"/>
      <c r="CO23" s="26" t="s">
        <v>52</v>
      </c>
      <c r="CP23" s="34"/>
      <c r="CQ23" s="34"/>
      <c r="CR23" s="34"/>
      <c r="CS23" s="37"/>
      <c r="CT23" s="37"/>
      <c r="CU23" s="34"/>
      <c r="CV23" s="34"/>
      <c r="CW23" s="34"/>
      <c r="CX23" s="34"/>
      <c r="CY23" s="34"/>
      <c r="CZ23" s="286"/>
      <c r="DA23" s="284"/>
      <c r="DB23" s="286"/>
    </row>
    <row r="24" spans="1:106" s="42" customFormat="1" x14ac:dyDescent="0.3">
      <c r="A24" s="20"/>
      <c r="B24" s="20"/>
      <c r="C24" s="16" t="s">
        <v>76</v>
      </c>
      <c r="D24" s="25">
        <f>SUM(D21:D23)</f>
        <v>39690</v>
      </c>
      <c r="E24" s="25">
        <f>SUM(E21:E23)</f>
        <v>41300</v>
      </c>
      <c r="F24" s="34"/>
      <c r="G24" s="286"/>
      <c r="H24" s="284"/>
      <c r="I24" s="286"/>
      <c r="J24" s="34"/>
      <c r="K24" s="34"/>
      <c r="L24" s="34"/>
      <c r="M24" s="34"/>
      <c r="N24" s="34"/>
      <c r="O24" s="34"/>
      <c r="P24" s="34"/>
      <c r="Q24" s="34"/>
      <c r="R24" s="284"/>
      <c r="S24" s="286"/>
      <c r="T24" s="289" t="s">
        <v>92</v>
      </c>
      <c r="U24" s="20"/>
      <c r="V24" s="20"/>
      <c r="W24" s="34"/>
      <c r="X24" s="32">
        <f>+X25-X23</f>
        <v>-2700</v>
      </c>
      <c r="Y24" s="32">
        <f>+Y25-Y23</f>
        <v>-2489</v>
      </c>
      <c r="Z24" s="34"/>
      <c r="AA24" s="34">
        <f>+E11-Y25</f>
        <v>0</v>
      </c>
      <c r="AB24" s="284"/>
      <c r="AC24" s="286"/>
      <c r="AD24" s="20"/>
      <c r="AE24" s="20"/>
      <c r="AF24" s="34">
        <f>+AF23+1</f>
        <v>6</v>
      </c>
      <c r="AG24" s="34">
        <f t="shared" si="12"/>
        <v>1189414.5036569596</v>
      </c>
      <c r="AH24" s="34">
        <f t="shared" si="13"/>
        <v>89359.528684038261</v>
      </c>
      <c r="AI24" s="34">
        <f t="shared" si="14"/>
        <v>1278774.0323409978</v>
      </c>
      <c r="AJ24" s="34"/>
      <c r="AK24" s="34"/>
      <c r="AL24" s="34"/>
      <c r="AM24" s="34">
        <f t="shared" si="15"/>
        <v>3568243.5109708789</v>
      </c>
      <c r="AN24" s="284"/>
      <c r="AO24" s="286"/>
      <c r="AP24" s="34"/>
      <c r="AQ24" s="53" t="s">
        <v>85</v>
      </c>
      <c r="AR24" s="55">
        <f>-E40</f>
        <v>14231</v>
      </c>
      <c r="AS24" s="54"/>
      <c r="AT24" s="60">
        <f t="shared" si="11"/>
        <v>-14231</v>
      </c>
      <c r="AU24" s="34"/>
      <c r="AV24" s="34"/>
      <c r="AW24" s="286"/>
      <c r="AX24" s="284"/>
      <c r="AY24" s="286"/>
      <c r="AZ24" s="34"/>
      <c r="BA24" s="26" t="s">
        <v>209</v>
      </c>
      <c r="BB24" s="26"/>
      <c r="BC24" s="35"/>
      <c r="BD24" s="35"/>
      <c r="BE24" s="34"/>
      <c r="BF24" s="286"/>
      <c r="BG24" s="284"/>
      <c r="BH24" s="286"/>
      <c r="BI24" s="34"/>
      <c r="BJ24" s="34"/>
      <c r="BK24" s="53" t="s">
        <v>85</v>
      </c>
      <c r="BL24" s="60">
        <f t="shared" si="9"/>
        <v>-14231</v>
      </c>
      <c r="BM24" s="60">
        <f t="shared" ca="1" si="5"/>
        <v>0</v>
      </c>
      <c r="BN24" s="60">
        <f t="shared" ca="1" si="6"/>
        <v>711</v>
      </c>
      <c r="BO24" s="55">
        <f t="shared" ca="1" si="2"/>
        <v>-13520</v>
      </c>
      <c r="BP24" s="34"/>
      <c r="BQ24" s="286"/>
      <c r="BR24" s="284"/>
      <c r="BS24" s="286"/>
      <c r="BT24" s="34"/>
      <c r="BU24" s="220" t="s">
        <v>86</v>
      </c>
      <c r="BV24" s="55">
        <f t="shared" ca="1" si="10"/>
        <v>-7200</v>
      </c>
      <c r="BW24" s="60"/>
      <c r="BX24" s="55">
        <f>-Y10</f>
        <v>-2600</v>
      </c>
      <c r="BY24" s="55"/>
      <c r="BZ24" s="55"/>
      <c r="CA24" s="55">
        <f ca="1">+BV24-BX24</f>
        <v>-4600</v>
      </c>
      <c r="CB24" s="55"/>
      <c r="CC24" s="60"/>
      <c r="CD24" s="55"/>
      <c r="CE24" s="34"/>
      <c r="CF24" s="63"/>
      <c r="CG24" s="60"/>
      <c r="CH24" s="34"/>
      <c r="CI24" s="286"/>
      <c r="CJ24" s="284"/>
      <c r="CK24" s="286"/>
      <c r="CL24" s="34"/>
      <c r="CM24" s="34"/>
      <c r="CN24" s="34"/>
      <c r="CO24" s="20" t="s">
        <v>139</v>
      </c>
      <c r="CP24" s="34"/>
      <c r="CQ24" s="34"/>
      <c r="CR24" s="34"/>
      <c r="CS24" s="34"/>
      <c r="CT24" s="34">
        <f ca="1">+CS10</f>
        <v>-7400</v>
      </c>
      <c r="CU24" s="35" t="s">
        <v>162</v>
      </c>
      <c r="CV24" s="34"/>
      <c r="CW24" s="34"/>
      <c r="CX24" s="34"/>
      <c r="CY24" s="34"/>
      <c r="CZ24" s="286"/>
      <c r="DA24" s="284"/>
      <c r="DB24" s="286"/>
    </row>
    <row r="25" spans="1:106" s="42" customFormat="1" x14ac:dyDescent="0.3">
      <c r="A25" s="20"/>
      <c r="B25" s="20"/>
      <c r="C25" s="26" t="s">
        <v>80</v>
      </c>
      <c r="D25" s="21"/>
      <c r="E25" s="21"/>
      <c r="F25" s="34"/>
      <c r="G25" s="286"/>
      <c r="H25" s="284"/>
      <c r="I25" s="286"/>
      <c r="J25" s="34"/>
      <c r="K25" s="34"/>
      <c r="L25" s="34"/>
      <c r="M25" s="34"/>
      <c r="N25" s="34"/>
      <c r="O25" s="34"/>
      <c r="P25" s="34"/>
      <c r="Q25" s="34"/>
      <c r="R25" s="284"/>
      <c r="S25" s="286"/>
      <c r="T25" s="290"/>
      <c r="U25" s="34"/>
      <c r="V25" s="34"/>
      <c r="W25" s="34"/>
      <c r="X25" s="36">
        <f>+D11</f>
        <v>10500</v>
      </c>
      <c r="Y25" s="36">
        <f>+E11</f>
        <v>10511</v>
      </c>
      <c r="Z25" s="34"/>
      <c r="AA25" s="34">
        <f>+D11-X25</f>
        <v>0</v>
      </c>
      <c r="AB25" s="284"/>
      <c r="AC25" s="286"/>
      <c r="AD25" s="20"/>
      <c r="AE25" s="20"/>
      <c r="AF25" s="34"/>
      <c r="AG25" s="46">
        <f>SUM(AG19:AG24)</f>
        <v>6000000</v>
      </c>
      <c r="AH25" s="46">
        <f>SUM(AH19:AH24)</f>
        <v>1672644.1940459881</v>
      </c>
      <c r="AI25" s="46">
        <f>SUM(AI19:AI24)</f>
        <v>7672644.194045987</v>
      </c>
      <c r="AJ25" s="34"/>
      <c r="AK25" s="34"/>
      <c r="AL25" s="34"/>
      <c r="AM25" s="286"/>
      <c r="AN25" s="284"/>
      <c r="AO25" s="286"/>
      <c r="AP25" s="34"/>
      <c r="AQ25" s="53" t="s">
        <v>45</v>
      </c>
      <c r="AR25" s="55">
        <f>-E42</f>
        <v>848</v>
      </c>
      <c r="AS25" s="54"/>
      <c r="AT25" s="60">
        <f t="shared" si="11"/>
        <v>-848</v>
      </c>
      <c r="AU25" s="34"/>
      <c r="AV25" s="34"/>
      <c r="AW25" s="286"/>
      <c r="AX25" s="284"/>
      <c r="AY25" s="286"/>
      <c r="AZ25" s="34"/>
      <c r="BA25" s="20" t="s">
        <v>186</v>
      </c>
      <c r="BB25" s="26" t="s">
        <v>112</v>
      </c>
      <c r="BC25" s="76">
        <f>+D22</f>
        <v>900</v>
      </c>
      <c r="BD25" s="35"/>
      <c r="BE25" s="34"/>
      <c r="BF25" s="286"/>
      <c r="BG25" s="284"/>
      <c r="BH25" s="286"/>
      <c r="BI25" s="34"/>
      <c r="BJ25" s="34"/>
      <c r="BK25" s="53" t="s">
        <v>45</v>
      </c>
      <c r="BL25" s="60">
        <f t="shared" si="9"/>
        <v>-848</v>
      </c>
      <c r="BM25" s="60">
        <f t="shared" ca="1" si="5"/>
        <v>0</v>
      </c>
      <c r="BN25" s="60">
        <f t="shared" ca="1" si="6"/>
        <v>0</v>
      </c>
      <c r="BO25" s="55">
        <f t="shared" ca="1" si="2"/>
        <v>-848</v>
      </c>
      <c r="BP25" s="34"/>
      <c r="BQ25" s="286"/>
      <c r="BR25" s="284"/>
      <c r="BS25" s="286"/>
      <c r="BT25" s="34"/>
      <c r="BU25" s="220" t="s">
        <v>85</v>
      </c>
      <c r="BV25" s="55">
        <f t="shared" ca="1" si="10"/>
        <v>-13520</v>
      </c>
      <c r="BW25" s="60"/>
      <c r="BX25" s="55">
        <f>-Z10</f>
        <v>-12000</v>
      </c>
      <c r="BY25" s="55"/>
      <c r="BZ25" s="55"/>
      <c r="CA25" s="55">
        <f>-Z15-Z16</f>
        <v>-1520</v>
      </c>
      <c r="CB25" s="55"/>
      <c r="CC25" s="60"/>
      <c r="CD25" s="55"/>
      <c r="CE25" s="34"/>
      <c r="CF25" s="63"/>
      <c r="CG25" s="60"/>
      <c r="CH25" s="34"/>
      <c r="CI25" s="286"/>
      <c r="CJ25" s="284"/>
      <c r="CK25" s="286"/>
      <c r="CL25" s="34"/>
      <c r="CM25" s="34"/>
      <c r="CN25" s="34"/>
      <c r="CO25" s="16" t="s">
        <v>146</v>
      </c>
      <c r="CP25" s="16"/>
      <c r="CQ25" s="16"/>
      <c r="CR25" s="16"/>
      <c r="CS25" s="48"/>
      <c r="CT25" s="48">
        <f ca="1">+CT24</f>
        <v>-7400</v>
      </c>
      <c r="CU25" s="34"/>
      <c r="CV25" s="34"/>
      <c r="CW25" s="34"/>
      <c r="CX25" s="34"/>
      <c r="CY25" s="34"/>
      <c r="CZ25" s="286"/>
      <c r="DA25" s="284"/>
      <c r="DB25" s="286"/>
    </row>
    <row r="26" spans="1:106" s="42" customFormat="1" x14ac:dyDescent="0.3">
      <c r="A26" s="20"/>
      <c r="B26" s="20"/>
      <c r="C26" s="20" t="s">
        <v>7</v>
      </c>
      <c r="D26" s="21">
        <v>14000</v>
      </c>
      <c r="E26" s="21">
        <f>+M12</f>
        <v>10000</v>
      </c>
      <c r="F26" s="34"/>
      <c r="G26" s="286"/>
      <c r="H26" s="284"/>
      <c r="I26" s="286"/>
      <c r="J26" s="34"/>
      <c r="K26" s="34"/>
      <c r="L26" s="34"/>
      <c r="M26" s="34"/>
      <c r="N26" s="34"/>
      <c r="O26" s="34"/>
      <c r="P26" s="34"/>
      <c r="Q26" s="34"/>
      <c r="R26" s="284"/>
      <c r="S26" s="286"/>
      <c r="T26" s="290"/>
      <c r="U26" s="34"/>
      <c r="V26" s="34"/>
      <c r="W26" s="34"/>
      <c r="X26" s="34"/>
      <c r="Y26" s="34"/>
      <c r="Z26" s="34"/>
      <c r="AA26" s="34"/>
      <c r="AB26" s="284"/>
      <c r="AC26" s="286"/>
      <c r="AD26" s="20"/>
      <c r="AE26" s="20"/>
      <c r="AF26" s="20"/>
      <c r="AG26" s="20"/>
      <c r="AH26" s="20"/>
      <c r="AI26" s="20"/>
      <c r="AJ26" s="20"/>
      <c r="AK26" s="34"/>
      <c r="AL26" s="34"/>
      <c r="AM26" s="286"/>
      <c r="AN26" s="284"/>
      <c r="AO26" s="286"/>
      <c r="AP26" s="34"/>
      <c r="AQ26" s="53" t="s">
        <v>532</v>
      </c>
      <c r="AR26" s="55">
        <f>-E43</f>
        <v>400</v>
      </c>
      <c r="AS26" s="54"/>
      <c r="AT26" s="60">
        <f t="shared" si="11"/>
        <v>-400</v>
      </c>
      <c r="AU26" s="34"/>
      <c r="AV26" s="34"/>
      <c r="AW26" s="286"/>
      <c r="AX26" s="284"/>
      <c r="AY26" s="286"/>
      <c r="AZ26" s="34"/>
      <c r="BA26" s="20" t="s">
        <v>185</v>
      </c>
      <c r="BB26" s="26" t="s">
        <v>112</v>
      </c>
      <c r="BC26" s="75">
        <f>+D27</f>
        <v>2100</v>
      </c>
      <c r="BD26" s="26"/>
      <c r="BE26" s="34"/>
      <c r="BF26" s="286"/>
      <c r="BG26" s="284"/>
      <c r="BH26" s="286"/>
      <c r="BI26" s="34"/>
      <c r="BJ26" s="34"/>
      <c r="BK26" s="53" t="s">
        <v>532</v>
      </c>
      <c r="BL26" s="60">
        <f t="shared" si="9"/>
        <v>-400</v>
      </c>
      <c r="BM26" s="60">
        <f t="shared" ca="1" si="5"/>
        <v>0</v>
      </c>
      <c r="BN26" s="60">
        <f t="shared" ca="1" si="6"/>
        <v>226</v>
      </c>
      <c r="BO26" s="55">
        <f t="shared" ref="BO26" ca="1" si="16">BL26+BN26-BM26</f>
        <v>-174</v>
      </c>
      <c r="BP26" s="34"/>
      <c r="BQ26" s="286"/>
      <c r="BR26" s="284"/>
      <c r="BS26" s="286"/>
      <c r="BT26" s="34"/>
      <c r="BU26" s="220" t="s">
        <v>45</v>
      </c>
      <c r="BV26" s="55">
        <f t="shared" ca="1" si="10"/>
        <v>-848</v>
      </c>
      <c r="BW26" s="60"/>
      <c r="BX26" s="55"/>
      <c r="BY26" s="55"/>
      <c r="BZ26" s="55"/>
      <c r="CA26" s="55"/>
      <c r="CB26" s="55"/>
      <c r="CC26" s="60"/>
      <c r="CD26" s="55"/>
      <c r="CE26" s="34">
        <f ca="1">+BV26</f>
        <v>-848</v>
      </c>
      <c r="CF26" s="63"/>
      <c r="CG26" s="60"/>
      <c r="CH26" s="34"/>
      <c r="CI26" s="286"/>
      <c r="CJ26" s="284"/>
      <c r="CK26" s="286"/>
      <c r="CL26" s="34"/>
      <c r="CM26" s="34"/>
      <c r="CN26" s="34"/>
      <c r="CO26" s="26" t="s">
        <v>74</v>
      </c>
      <c r="CP26" s="34"/>
      <c r="CQ26" s="34"/>
      <c r="CR26" s="34"/>
      <c r="CS26" s="37"/>
      <c r="CT26" s="37"/>
      <c r="CU26" s="34"/>
      <c r="CV26" s="34"/>
      <c r="CW26" s="34"/>
      <c r="CX26" s="34"/>
      <c r="CY26" s="34"/>
      <c r="CZ26" s="286"/>
      <c r="DA26" s="284"/>
      <c r="DB26" s="286"/>
    </row>
    <row r="27" spans="1:106" s="42" customFormat="1" x14ac:dyDescent="0.3">
      <c r="A27" s="20"/>
      <c r="B27" s="20"/>
      <c r="C27" s="20" t="s">
        <v>185</v>
      </c>
      <c r="D27" s="29">
        <f>3000*70%</f>
        <v>2100</v>
      </c>
      <c r="E27" s="31">
        <f>+N12</f>
        <v>0</v>
      </c>
      <c r="F27" s="34"/>
      <c r="G27" s="286"/>
      <c r="H27" s="284"/>
      <c r="I27" s="286"/>
      <c r="J27" s="34"/>
      <c r="K27" s="34"/>
      <c r="L27" s="34"/>
      <c r="M27" s="34"/>
      <c r="N27" s="34"/>
      <c r="O27" s="34"/>
      <c r="P27" s="34"/>
      <c r="Q27" s="34"/>
      <c r="R27" s="284"/>
      <c r="S27" s="286"/>
      <c r="T27" s="287" t="s">
        <v>92</v>
      </c>
      <c r="U27" s="16"/>
      <c r="V27" s="16"/>
      <c r="W27" s="46"/>
      <c r="X27" s="19">
        <v>2016</v>
      </c>
      <c r="Y27" s="19">
        <v>2015</v>
      </c>
      <c r="Z27" s="46"/>
      <c r="AA27" s="34"/>
      <c r="AB27" s="284"/>
      <c r="AC27" s="286"/>
      <c r="AD27" s="50" t="s">
        <v>451</v>
      </c>
      <c r="AE27" s="26"/>
      <c r="AF27" s="20"/>
      <c r="AG27" s="20"/>
      <c r="AH27" s="34"/>
      <c r="AI27" s="34"/>
      <c r="AK27" s="34"/>
      <c r="AL27" s="34"/>
      <c r="AM27" s="286"/>
      <c r="AN27" s="284"/>
      <c r="AO27" s="286"/>
      <c r="AP27" s="34"/>
      <c r="AQ27" s="53" t="s">
        <v>15</v>
      </c>
      <c r="AR27" s="55">
        <f>-E45</f>
        <v>4200</v>
      </c>
      <c r="AS27" s="54"/>
      <c r="AT27" s="60">
        <f t="shared" si="11"/>
        <v>-4200</v>
      </c>
      <c r="AU27" s="34"/>
      <c r="AV27" s="34"/>
      <c r="AW27" s="286"/>
      <c r="AX27" s="284"/>
      <c r="AY27" s="286"/>
      <c r="AZ27" s="34"/>
      <c r="BA27" s="20" t="s">
        <v>170</v>
      </c>
      <c r="BB27" s="26" t="s">
        <v>112</v>
      </c>
      <c r="BC27" s="75"/>
      <c r="BD27" s="75">
        <f>+BC25+BC26</f>
        <v>3000</v>
      </c>
      <c r="BE27" s="34"/>
      <c r="BF27" s="286"/>
      <c r="BG27" s="284"/>
      <c r="BH27" s="286"/>
      <c r="BI27" s="34"/>
      <c r="BJ27" s="34"/>
      <c r="BK27" s="53" t="s">
        <v>15</v>
      </c>
      <c r="BL27" s="60">
        <f t="shared" si="9"/>
        <v>-4200</v>
      </c>
      <c r="BM27" s="60">
        <f t="shared" ca="1" si="5"/>
        <v>400</v>
      </c>
      <c r="BN27" s="60">
        <f t="shared" ca="1" si="6"/>
        <v>0</v>
      </c>
      <c r="BO27" s="55">
        <f t="shared" ca="1" si="2"/>
        <v>-4600</v>
      </c>
      <c r="BP27" s="34"/>
      <c r="BQ27" s="286"/>
      <c r="BR27" s="284"/>
      <c r="BS27" s="286"/>
      <c r="BT27" s="34"/>
      <c r="BU27" s="53" t="s">
        <v>532</v>
      </c>
      <c r="BV27" s="55">
        <f t="shared" ca="1" si="10"/>
        <v>-174</v>
      </c>
      <c r="BW27" s="60"/>
      <c r="BX27" s="55"/>
      <c r="BY27" s="55"/>
      <c r="BZ27" s="55"/>
      <c r="CA27" s="55"/>
      <c r="CB27" s="55">
        <f ca="1">+BV27</f>
        <v>-174</v>
      </c>
      <c r="CC27" s="60"/>
      <c r="CD27" s="55"/>
      <c r="CE27" s="34"/>
      <c r="CF27" s="63"/>
      <c r="CG27" s="60"/>
      <c r="CH27" s="34"/>
      <c r="CI27" s="286"/>
      <c r="CJ27" s="284"/>
      <c r="CK27" s="286"/>
      <c r="CL27" s="34"/>
      <c r="CM27" s="34"/>
      <c r="CN27" s="34"/>
      <c r="CO27" s="20" t="s">
        <v>140</v>
      </c>
      <c r="CP27" s="34"/>
      <c r="CQ27" s="34"/>
      <c r="CR27" s="34"/>
      <c r="CS27" s="34"/>
      <c r="CT27" s="34">
        <f ca="1">+CT10</f>
        <v>-4547</v>
      </c>
      <c r="CU27" s="35" t="s">
        <v>233</v>
      </c>
      <c r="CV27" s="34"/>
      <c r="CW27" s="34"/>
      <c r="CX27" s="34"/>
      <c r="CY27" s="34"/>
      <c r="CZ27" s="286"/>
      <c r="DA27" s="284"/>
      <c r="DB27" s="286"/>
    </row>
    <row r="28" spans="1:106" s="42" customFormat="1" x14ac:dyDescent="0.3">
      <c r="A28" s="20"/>
      <c r="B28" s="20"/>
      <c r="C28" s="20" t="s">
        <v>8</v>
      </c>
      <c r="D28" s="32">
        <f>+O19</f>
        <v>12700</v>
      </c>
      <c r="E28" s="32">
        <f>+O12</f>
        <v>5311</v>
      </c>
      <c r="F28" s="34"/>
      <c r="G28" s="286"/>
      <c r="H28" s="284"/>
      <c r="I28" s="286"/>
      <c r="J28" s="34"/>
      <c r="K28" s="34"/>
      <c r="L28" s="34"/>
      <c r="M28" s="34"/>
      <c r="N28" s="34"/>
      <c r="O28" s="34"/>
      <c r="P28" s="34"/>
      <c r="Q28" s="34"/>
      <c r="R28" s="284"/>
      <c r="S28" s="286"/>
      <c r="T28" s="288"/>
      <c r="U28" s="46"/>
      <c r="V28" s="46"/>
      <c r="W28" s="46"/>
      <c r="X28" s="19" t="s">
        <v>387</v>
      </c>
      <c r="Y28" s="19" t="s">
        <v>387</v>
      </c>
      <c r="Z28" s="46"/>
      <c r="AA28" s="34"/>
      <c r="AB28" s="284"/>
      <c r="AC28" s="286"/>
      <c r="AD28" s="219" t="s">
        <v>519</v>
      </c>
      <c r="AE28" s="45"/>
      <c r="AF28" s="20"/>
      <c r="AG28" s="20"/>
      <c r="AH28" s="34"/>
      <c r="AI28" s="177">
        <f>+AG40</f>
        <v>4999999.9999999991</v>
      </c>
      <c r="AJ28" s="34"/>
      <c r="AK28" s="34"/>
      <c r="AL28" s="34"/>
      <c r="AM28" s="286"/>
      <c r="AN28" s="284"/>
      <c r="AO28" s="286"/>
      <c r="AP28" s="34"/>
      <c r="AQ28" s="57"/>
      <c r="AR28" s="57">
        <f>SUM(AR9:AR27)</f>
        <v>0</v>
      </c>
      <c r="AS28" s="57">
        <f>SUM(AS9:AS27)</f>
        <v>0</v>
      </c>
      <c r="AT28" s="57">
        <f>SUM(AT9:AT27)</f>
        <v>0</v>
      </c>
      <c r="AU28" s="34"/>
      <c r="AV28" s="34"/>
      <c r="AW28" s="286"/>
      <c r="AX28" s="284"/>
      <c r="AY28" s="286"/>
      <c r="AZ28" s="34"/>
      <c r="BA28" s="26" t="s">
        <v>210</v>
      </c>
      <c r="BB28" s="26"/>
      <c r="BC28" s="75"/>
      <c r="BD28" s="75"/>
      <c r="BE28" s="34"/>
      <c r="BF28" s="286"/>
      <c r="BG28" s="284"/>
      <c r="BH28" s="286"/>
      <c r="BI28" s="34"/>
      <c r="BJ28" s="34"/>
      <c r="BK28" s="57"/>
      <c r="BL28" s="57">
        <f>SUM(BL9:BL27)</f>
        <v>0</v>
      </c>
      <c r="BM28" s="57">
        <f ca="1">SUM(BM9:BM27)</f>
        <v>9437</v>
      </c>
      <c r="BN28" s="57">
        <f ca="1">SUM(BN9:BN27)</f>
        <v>9437</v>
      </c>
      <c r="BO28" s="57">
        <f ca="1">SUM(BO9:BO27)</f>
        <v>0</v>
      </c>
      <c r="BP28" s="34"/>
      <c r="BQ28" s="286"/>
      <c r="BR28" s="284"/>
      <c r="BS28" s="286"/>
      <c r="BT28" s="34"/>
      <c r="BU28" s="220" t="s">
        <v>15</v>
      </c>
      <c r="BV28" s="55">
        <f t="shared" ca="1" si="10"/>
        <v>-4600</v>
      </c>
      <c r="BW28" s="60"/>
      <c r="BX28" s="55"/>
      <c r="BY28" s="55">
        <f ca="1">+BV28</f>
        <v>-4600</v>
      </c>
      <c r="BZ28" s="55"/>
      <c r="CA28" s="55"/>
      <c r="CB28" s="55"/>
      <c r="CC28" s="60"/>
      <c r="CD28" s="55"/>
      <c r="CE28" s="34"/>
      <c r="CF28" s="63"/>
      <c r="CG28" s="60"/>
      <c r="CH28" s="34"/>
      <c r="CI28" s="286"/>
      <c r="CJ28" s="284"/>
      <c r="CK28" s="286"/>
      <c r="CL28" s="34"/>
      <c r="CM28" s="34"/>
      <c r="CN28" s="34"/>
      <c r="CO28" s="20" t="s">
        <v>269</v>
      </c>
      <c r="CP28" s="34"/>
      <c r="CQ28" s="34"/>
      <c r="CR28" s="34"/>
      <c r="CS28" s="34"/>
      <c r="CT28" s="34">
        <f ca="1">+CU10</f>
        <v>-848</v>
      </c>
      <c r="CU28" s="35" t="s">
        <v>234</v>
      </c>
      <c r="CV28" s="34"/>
      <c r="CW28" s="34"/>
      <c r="CX28" s="34"/>
      <c r="CY28" s="34"/>
      <c r="CZ28" s="286"/>
      <c r="DA28" s="284"/>
      <c r="DB28" s="286"/>
    </row>
    <row r="29" spans="1:106" s="42" customFormat="1" x14ac:dyDescent="0.3">
      <c r="A29" s="20"/>
      <c r="B29" s="20"/>
      <c r="C29" s="16" t="s">
        <v>81</v>
      </c>
      <c r="D29" s="33">
        <f>SUM(D26:D28)</f>
        <v>28800</v>
      </c>
      <c r="E29" s="33">
        <f>SUM(E26:E28)</f>
        <v>15311</v>
      </c>
      <c r="F29" s="34"/>
      <c r="G29" s="286"/>
      <c r="H29" s="284"/>
      <c r="I29" s="286"/>
      <c r="J29" s="34"/>
      <c r="K29" s="34"/>
      <c r="L29" s="34"/>
      <c r="M29" s="34"/>
      <c r="N29" s="34"/>
      <c r="O29" s="34"/>
      <c r="P29" s="34"/>
      <c r="Q29" s="34"/>
      <c r="R29" s="284"/>
      <c r="S29" s="286"/>
      <c r="T29" s="291" t="s">
        <v>30</v>
      </c>
      <c r="U29" s="26"/>
      <c r="V29" s="26"/>
      <c r="W29" s="34"/>
      <c r="X29" s="34">
        <f>+Y31</f>
        <v>2489</v>
      </c>
      <c r="Y29" s="34">
        <v>1800</v>
      </c>
      <c r="Z29" s="34"/>
      <c r="AA29" s="34"/>
      <c r="AB29" s="284"/>
      <c r="AC29" s="286"/>
      <c r="AD29" s="140" t="s">
        <v>199</v>
      </c>
      <c r="AE29" s="34">
        <v>5000000</v>
      </c>
      <c r="AF29" s="20"/>
      <c r="AG29" s="20"/>
      <c r="AH29" s="34"/>
      <c r="AI29" s="34"/>
      <c r="AJ29" s="34"/>
      <c r="AK29" s="34"/>
      <c r="AL29" s="34"/>
      <c r="AM29" s="286"/>
      <c r="AN29" s="284"/>
      <c r="AO29" s="286"/>
      <c r="AP29" s="34"/>
      <c r="AQ29" s="34"/>
      <c r="AR29" s="34"/>
      <c r="AS29" s="34"/>
      <c r="AT29" s="34"/>
      <c r="AU29" s="34"/>
      <c r="AV29" s="34"/>
      <c r="AW29" s="286"/>
      <c r="AX29" s="284"/>
      <c r="AY29" s="286"/>
      <c r="AZ29" s="34"/>
      <c r="BA29" s="20" t="s">
        <v>7</v>
      </c>
      <c r="BB29" s="26" t="s">
        <v>112</v>
      </c>
      <c r="BC29" s="75">
        <f>M15</f>
        <v>1600</v>
      </c>
      <c r="BD29" s="75"/>
      <c r="BE29" s="34"/>
      <c r="BF29" s="286"/>
      <c r="BG29" s="284"/>
      <c r="BH29" s="286"/>
      <c r="BI29" s="34"/>
      <c r="BJ29" s="34"/>
      <c r="BK29" s="34"/>
      <c r="BL29" s="34"/>
      <c r="BM29" s="34"/>
      <c r="BN29" s="34"/>
      <c r="BO29" s="34"/>
      <c r="BP29" s="34"/>
      <c r="BQ29" s="286"/>
      <c r="BR29" s="284"/>
      <c r="BS29" s="286"/>
      <c r="BT29" s="34"/>
      <c r="BU29" s="57"/>
      <c r="BV29" s="57">
        <f t="shared" ref="BV29:CG29" ca="1" si="17">SUM(BV10:BV28)</f>
        <v>0</v>
      </c>
      <c r="BW29" s="66">
        <f t="shared" ca="1" si="17"/>
        <v>117384.64</v>
      </c>
      <c r="BX29" s="67">
        <f t="shared" si="17"/>
        <v>-44600</v>
      </c>
      <c r="BY29" s="67">
        <f t="shared" ca="1" si="17"/>
        <v>-4600</v>
      </c>
      <c r="BZ29" s="67">
        <f t="shared" ca="1" si="17"/>
        <v>-16789</v>
      </c>
      <c r="CA29" s="67">
        <f t="shared" ca="1" si="17"/>
        <v>-28956.639999999999</v>
      </c>
      <c r="CB29" s="67">
        <f t="shared" ca="1" si="17"/>
        <v>-174</v>
      </c>
      <c r="CC29" s="66">
        <f t="shared" ca="1" si="17"/>
        <v>-7400</v>
      </c>
      <c r="CD29" s="67">
        <f t="shared" ca="1" si="17"/>
        <v>-4547</v>
      </c>
      <c r="CE29" s="67">
        <f t="shared" ca="1" si="17"/>
        <v>-848</v>
      </c>
      <c r="CF29" s="68">
        <f t="shared" ca="1" si="17"/>
        <v>1500</v>
      </c>
      <c r="CG29" s="66">
        <f t="shared" ca="1" si="17"/>
        <v>-9880</v>
      </c>
      <c r="CH29" s="34"/>
      <c r="CI29" s="286"/>
      <c r="CJ29" s="284"/>
      <c r="CK29" s="286"/>
      <c r="CL29" s="34"/>
      <c r="CM29" s="34"/>
      <c r="CN29" s="34"/>
      <c r="CO29" s="20" t="s">
        <v>530</v>
      </c>
      <c r="CP29" s="34"/>
      <c r="CQ29" s="34"/>
      <c r="CR29" s="34"/>
      <c r="CS29" s="34"/>
      <c r="CT29" s="34">
        <f ca="1">+CV10</f>
        <v>1500</v>
      </c>
      <c r="CU29" s="35" t="s">
        <v>275</v>
      </c>
      <c r="CV29" s="34"/>
      <c r="CW29" s="34"/>
      <c r="CX29" s="34"/>
      <c r="CY29" s="34"/>
      <c r="CZ29" s="286"/>
      <c r="DA29" s="284"/>
      <c r="DB29" s="286"/>
    </row>
    <row r="30" spans="1:106" s="42" customFormat="1" x14ac:dyDescent="0.3">
      <c r="A30" s="20"/>
      <c r="B30" s="20"/>
      <c r="C30" s="16" t="s">
        <v>82</v>
      </c>
      <c r="D30" s="25">
        <f>+D24+D29</f>
        <v>68490</v>
      </c>
      <c r="E30" s="25">
        <f>+E24+E29</f>
        <v>56611</v>
      </c>
      <c r="F30" s="34"/>
      <c r="G30" s="286"/>
      <c r="H30" s="284"/>
      <c r="I30" s="286"/>
      <c r="J30" s="34"/>
      <c r="K30" s="34"/>
      <c r="L30" s="34"/>
      <c r="M30" s="34"/>
      <c r="N30" s="34"/>
      <c r="O30" s="34"/>
      <c r="P30" s="34"/>
      <c r="Q30" s="34"/>
      <c r="R30" s="284"/>
      <c r="S30" s="286"/>
      <c r="T30" s="289" t="s">
        <v>93</v>
      </c>
      <c r="U30" s="20"/>
      <c r="V30" s="20"/>
      <c r="W30" s="34"/>
      <c r="X30" s="34">
        <v>211</v>
      </c>
      <c r="Y30" s="34">
        <v>689</v>
      </c>
      <c r="Z30" s="34"/>
      <c r="AA30" s="34">
        <f>+X24+X31</f>
        <v>0</v>
      </c>
      <c r="AB30" s="284"/>
      <c r="AC30" s="286"/>
      <c r="AD30" s="140" t="s">
        <v>200</v>
      </c>
      <c r="AE30" s="40">
        <v>7.9753942856867849E-2</v>
      </c>
      <c r="AF30" s="20"/>
      <c r="AG30" s="20"/>
      <c r="AH30" s="34"/>
      <c r="AI30" s="34"/>
      <c r="AJ30" s="34"/>
      <c r="AK30" s="34"/>
      <c r="AL30" s="34"/>
      <c r="AM30" s="286"/>
      <c r="AN30" s="284"/>
      <c r="AO30" s="286"/>
      <c r="AP30" s="34"/>
      <c r="AQ30" s="34"/>
      <c r="AR30" s="34"/>
      <c r="AS30" s="34"/>
      <c r="AT30" s="34"/>
      <c r="AU30" s="34"/>
      <c r="AV30" s="34"/>
      <c r="AW30" s="286"/>
      <c r="AX30" s="284"/>
      <c r="AY30" s="286"/>
      <c r="AZ30" s="34"/>
      <c r="BA30" s="20" t="s">
        <v>170</v>
      </c>
      <c r="BB30" s="26" t="s">
        <v>112</v>
      </c>
      <c r="BC30" s="75"/>
      <c r="BD30" s="75">
        <f>+BC29</f>
        <v>1600</v>
      </c>
      <c r="BE30" s="34"/>
      <c r="BF30" s="286"/>
      <c r="BG30" s="284"/>
      <c r="BH30" s="286"/>
      <c r="BI30" s="34"/>
      <c r="BJ30" s="34"/>
      <c r="BK30" s="34"/>
      <c r="BL30" s="34"/>
      <c r="BM30" s="34"/>
      <c r="BN30" s="34"/>
      <c r="BO30" s="34"/>
      <c r="BP30" s="34"/>
      <c r="BQ30" s="286"/>
      <c r="BR30" s="284"/>
      <c r="BS30" s="286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286"/>
      <c r="CJ30" s="284"/>
      <c r="CK30" s="286"/>
      <c r="CL30" s="34"/>
      <c r="CM30" s="34"/>
      <c r="CN30" s="34"/>
      <c r="CO30" s="20" t="s">
        <v>142</v>
      </c>
      <c r="CP30" s="34"/>
      <c r="CQ30" s="34"/>
      <c r="CR30" s="34"/>
      <c r="CS30" s="34"/>
      <c r="CT30" s="34">
        <f ca="1">+CW10</f>
        <v>-9880</v>
      </c>
      <c r="CU30" s="35" t="s">
        <v>276</v>
      </c>
      <c r="CV30" s="34"/>
      <c r="CW30" s="34"/>
      <c r="CX30" s="34"/>
      <c r="CY30" s="34"/>
      <c r="CZ30" s="286"/>
      <c r="DA30" s="284"/>
      <c r="DB30" s="286"/>
    </row>
    <row r="31" spans="1:106" s="42" customFormat="1" x14ac:dyDescent="0.3">
      <c r="A31" s="20"/>
      <c r="B31" s="20"/>
      <c r="C31" s="20"/>
      <c r="D31" s="218">
        <f>+D17-D30</f>
        <v>0</v>
      </c>
      <c r="E31" s="218">
        <f>+E17-E30</f>
        <v>0</v>
      </c>
      <c r="F31" s="34"/>
      <c r="G31" s="286"/>
      <c r="H31" s="284"/>
      <c r="I31" s="286"/>
      <c r="J31" s="34"/>
      <c r="K31" s="34"/>
      <c r="L31" s="34"/>
      <c r="M31" s="34"/>
      <c r="N31" s="34"/>
      <c r="O31" s="34"/>
      <c r="P31" s="34"/>
      <c r="Q31" s="34"/>
      <c r="R31" s="284"/>
      <c r="S31" s="286"/>
      <c r="T31" s="291" t="s">
        <v>32</v>
      </c>
      <c r="U31" s="26"/>
      <c r="V31" s="26"/>
      <c r="W31" s="34"/>
      <c r="X31" s="36">
        <f>+X29+X30</f>
        <v>2700</v>
      </c>
      <c r="Y31" s="36">
        <f>+Y29+Y30</f>
        <v>2489</v>
      </c>
      <c r="Z31" s="34"/>
      <c r="AA31" s="34">
        <f>+Y24+Y31</f>
        <v>0</v>
      </c>
      <c r="AB31" s="284"/>
      <c r="AC31" s="286"/>
      <c r="AD31" s="140" t="s">
        <v>201</v>
      </c>
      <c r="AE31" s="34">
        <v>6</v>
      </c>
      <c r="AF31" s="20"/>
      <c r="AG31" s="20"/>
      <c r="AH31" s="34"/>
      <c r="AI31" s="34"/>
      <c r="AJ31" s="34"/>
      <c r="AK31" s="34"/>
      <c r="AL31" s="34"/>
      <c r="AM31" s="286"/>
      <c r="AN31" s="284"/>
      <c r="AO31" s="286"/>
      <c r="AP31" s="34"/>
      <c r="AQ31" s="34"/>
      <c r="AR31" s="34"/>
      <c r="AS31" s="34"/>
      <c r="AT31" s="34"/>
      <c r="AU31" s="34"/>
      <c r="AV31" s="34"/>
      <c r="AW31" s="286"/>
      <c r="AX31" s="284"/>
      <c r="AY31" s="286"/>
      <c r="AZ31" s="34"/>
      <c r="BA31" s="26" t="s">
        <v>211</v>
      </c>
      <c r="BB31" s="26"/>
      <c r="BC31" s="75"/>
      <c r="BD31" s="75"/>
      <c r="BE31" s="34"/>
      <c r="BF31" s="286"/>
      <c r="BG31" s="284"/>
      <c r="BH31" s="286"/>
      <c r="BI31" s="34"/>
      <c r="BJ31" s="34"/>
      <c r="BK31" s="34"/>
      <c r="BL31" s="34"/>
      <c r="BM31" s="34"/>
      <c r="BN31" s="34"/>
      <c r="BO31" s="34"/>
      <c r="BP31" s="34"/>
      <c r="BQ31" s="286"/>
      <c r="BR31" s="284"/>
      <c r="BS31" s="286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286"/>
      <c r="CJ31" s="284"/>
      <c r="CK31" s="286"/>
      <c r="CL31" s="34"/>
      <c r="CM31" s="34"/>
      <c r="CN31" s="34"/>
      <c r="CO31" s="16" t="s">
        <v>147</v>
      </c>
      <c r="CP31" s="16"/>
      <c r="CQ31" s="16"/>
      <c r="CR31" s="16"/>
      <c r="CS31" s="48"/>
      <c r="CT31" s="48">
        <f ca="1">SUM(CT27:CT30)</f>
        <v>-13775</v>
      </c>
      <c r="CU31" s="34"/>
      <c r="CV31" s="34"/>
      <c r="CW31" s="34"/>
      <c r="CX31" s="34"/>
      <c r="CY31" s="34"/>
      <c r="CZ31" s="286"/>
      <c r="DA31" s="284"/>
      <c r="DB31" s="286"/>
    </row>
    <row r="32" spans="1:106" s="42" customFormat="1" x14ac:dyDescent="0.3">
      <c r="A32" s="20"/>
      <c r="B32" s="20"/>
      <c r="C32" s="20"/>
      <c r="D32" s="26"/>
      <c r="E32" s="26"/>
      <c r="F32" s="34"/>
      <c r="G32" s="286"/>
      <c r="H32" s="284"/>
      <c r="I32" s="286"/>
      <c r="J32" s="34"/>
      <c r="K32" s="34"/>
      <c r="L32" s="34"/>
      <c r="M32" s="34"/>
      <c r="N32" s="34"/>
      <c r="O32" s="34"/>
      <c r="P32" s="34"/>
      <c r="Q32" s="34"/>
      <c r="R32" s="284"/>
      <c r="S32" s="286"/>
      <c r="T32" s="28"/>
      <c r="U32" s="28"/>
      <c r="V32" s="28"/>
      <c r="W32" s="28"/>
      <c r="X32" s="28"/>
      <c r="Y32" s="28"/>
      <c r="Z32" s="28"/>
      <c r="AB32" s="284"/>
      <c r="AC32" s="286"/>
      <c r="AD32" s="20"/>
      <c r="AE32" s="20"/>
      <c r="AF32" s="34"/>
      <c r="AG32" s="35" t="s">
        <v>202</v>
      </c>
      <c r="AH32" s="35" t="s">
        <v>203</v>
      </c>
      <c r="AI32" s="35" t="s">
        <v>40</v>
      </c>
      <c r="AJ32" s="34"/>
      <c r="AK32" s="34"/>
      <c r="AL32" s="34"/>
      <c r="AM32" s="286"/>
      <c r="AN32" s="284"/>
      <c r="AO32" s="286"/>
      <c r="AP32" s="34"/>
      <c r="AQ32" s="34"/>
      <c r="AR32" s="34"/>
      <c r="AS32" s="34"/>
      <c r="AT32" s="34"/>
      <c r="AU32" s="34"/>
      <c r="AV32" s="34"/>
      <c r="AW32" s="286"/>
      <c r="AX32" s="284"/>
      <c r="AY32" s="286"/>
      <c r="AZ32" s="34"/>
      <c r="BA32" s="20" t="s">
        <v>7</v>
      </c>
      <c r="BB32" s="26" t="s">
        <v>112</v>
      </c>
      <c r="BC32" s="75">
        <f>M14</f>
        <v>900</v>
      </c>
      <c r="BD32" s="75"/>
      <c r="BE32" s="34"/>
      <c r="BF32" s="286"/>
      <c r="BG32" s="284"/>
      <c r="BH32" s="286"/>
      <c r="BI32" s="34"/>
      <c r="BJ32" s="34"/>
      <c r="BK32" s="34"/>
      <c r="BL32" s="34"/>
      <c r="BM32" s="34"/>
      <c r="BN32" s="34"/>
      <c r="BO32" s="34"/>
      <c r="BP32" s="34"/>
      <c r="BQ32" s="286"/>
      <c r="BR32" s="284"/>
      <c r="BS32" s="286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286"/>
      <c r="CJ32" s="284"/>
      <c r="CK32" s="286"/>
      <c r="CL32" s="34"/>
      <c r="CM32" s="34"/>
      <c r="CN32" s="34"/>
      <c r="CO32" s="16" t="s">
        <v>532</v>
      </c>
      <c r="CP32" s="16"/>
      <c r="CQ32" s="16"/>
      <c r="CR32" s="16"/>
      <c r="CS32" s="48"/>
      <c r="CT32" s="48">
        <f ca="1">++CR10</f>
        <v>-174</v>
      </c>
      <c r="CU32" s="34"/>
      <c r="CV32" s="34"/>
      <c r="CW32" s="34"/>
      <c r="CX32" s="34"/>
      <c r="CY32" s="34"/>
      <c r="CZ32" s="286"/>
      <c r="DA32" s="284"/>
      <c r="DB32" s="286"/>
    </row>
    <row r="33" spans="1:106" s="42" customFormat="1" x14ac:dyDescent="0.3">
      <c r="A33" s="20"/>
      <c r="B33" s="20"/>
      <c r="C33" s="16" t="s">
        <v>101</v>
      </c>
      <c r="D33" s="18"/>
      <c r="E33" s="18"/>
      <c r="F33" s="34"/>
      <c r="G33" s="286"/>
      <c r="H33" s="284"/>
      <c r="I33" s="286"/>
      <c r="J33" s="34"/>
      <c r="K33" s="34"/>
      <c r="L33" s="34"/>
      <c r="M33" s="34"/>
      <c r="N33" s="34"/>
      <c r="O33" s="34"/>
      <c r="P33" s="34"/>
      <c r="Q33" s="34"/>
      <c r="R33" s="284"/>
      <c r="S33" s="34"/>
      <c r="T33" s="16" t="s">
        <v>169</v>
      </c>
      <c r="U33" s="16"/>
      <c r="V33" s="46"/>
      <c r="W33" s="46"/>
      <c r="X33" s="19">
        <v>2016</v>
      </c>
      <c r="Y33" s="19">
        <v>2015</v>
      </c>
      <c r="Z33" s="19"/>
      <c r="AA33" s="3"/>
      <c r="AB33" s="284"/>
      <c r="AC33" s="286"/>
      <c r="AD33" s="20"/>
      <c r="AE33" s="20"/>
      <c r="AF33" s="34"/>
      <c r="AG33" s="35" t="s">
        <v>534</v>
      </c>
      <c r="AH33" s="35" t="s">
        <v>534</v>
      </c>
      <c r="AI33" s="35" t="s">
        <v>534</v>
      </c>
      <c r="AJ33" s="34"/>
      <c r="AK33" s="34"/>
      <c r="AL33" s="34"/>
      <c r="AM33" s="303" t="s">
        <v>3</v>
      </c>
      <c r="AN33" s="284"/>
      <c r="AO33" s="286"/>
      <c r="AP33" s="34"/>
      <c r="AQ33" s="34"/>
      <c r="AR33" s="34"/>
      <c r="AS33" s="34"/>
      <c r="AT33" s="34"/>
      <c r="AU33" s="34"/>
      <c r="AV33" s="34"/>
      <c r="AW33" s="286"/>
      <c r="AX33" s="284"/>
      <c r="AY33" s="286"/>
      <c r="AZ33" s="34"/>
      <c r="BA33" s="20" t="s">
        <v>8</v>
      </c>
      <c r="BB33" s="26" t="s">
        <v>112</v>
      </c>
      <c r="BC33" s="75"/>
      <c r="BD33" s="75">
        <f>+BC32</f>
        <v>900</v>
      </c>
      <c r="BE33" s="34"/>
      <c r="BF33" s="286"/>
      <c r="BG33" s="284"/>
      <c r="BH33" s="286"/>
      <c r="BI33" s="34"/>
      <c r="BJ33" s="34"/>
      <c r="BK33" s="34"/>
      <c r="BL33" s="34"/>
      <c r="BM33" s="34"/>
      <c r="BN33" s="34"/>
      <c r="BO33" s="34"/>
      <c r="BP33" s="34"/>
      <c r="BQ33" s="286"/>
      <c r="BR33" s="284"/>
      <c r="BS33" s="286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286"/>
      <c r="CJ33" s="284"/>
      <c r="CK33" s="286"/>
      <c r="CL33" s="34"/>
      <c r="CM33" s="34"/>
      <c r="CN33" s="34"/>
      <c r="CO33" s="16" t="s">
        <v>148</v>
      </c>
      <c r="CP33" s="16"/>
      <c r="CQ33" s="16"/>
      <c r="CR33" s="16"/>
      <c r="CS33" s="48"/>
      <c r="CT33" s="48">
        <f ca="1">+CT22+CT25+CT31</f>
        <v>1264</v>
      </c>
      <c r="CU33" s="34"/>
      <c r="CV33" s="34"/>
      <c r="CW33" s="34"/>
      <c r="CX33" s="34"/>
      <c r="CY33" s="34"/>
      <c r="CZ33" s="286"/>
      <c r="DA33" s="284"/>
      <c r="DB33" s="286"/>
    </row>
    <row r="34" spans="1:106" s="42" customFormat="1" x14ac:dyDescent="0.3">
      <c r="A34" s="20"/>
      <c r="B34" s="20"/>
      <c r="C34" s="16" t="s">
        <v>102</v>
      </c>
      <c r="D34" s="18"/>
      <c r="E34" s="18"/>
      <c r="F34" s="34"/>
      <c r="G34" s="286"/>
      <c r="H34" s="284"/>
      <c r="I34" s="286"/>
      <c r="J34" s="34"/>
      <c r="K34" s="34"/>
      <c r="L34" s="34"/>
      <c r="M34" s="34"/>
      <c r="N34" s="34"/>
      <c r="O34" s="34"/>
      <c r="P34" s="34"/>
      <c r="Q34" s="34"/>
      <c r="R34" s="284"/>
      <c r="S34" s="34"/>
      <c r="T34" s="46"/>
      <c r="U34" s="46"/>
      <c r="V34" s="46"/>
      <c r="W34" s="46"/>
      <c r="X34" s="19" t="s">
        <v>387</v>
      </c>
      <c r="Y34" s="19" t="s">
        <v>387</v>
      </c>
      <c r="Z34" s="19"/>
      <c r="AA34" s="34"/>
      <c r="AB34" s="284"/>
      <c r="AC34" s="286"/>
      <c r="AD34" s="20"/>
      <c r="AE34" s="20"/>
      <c r="AF34" s="34">
        <v>1</v>
      </c>
      <c r="AG34" s="34">
        <f t="shared" ref="AG34:AG39" si="18">-PPMT($AE$30,AF34,$AE$31,$AE$29,0,0)</f>
        <v>681999.99980256439</v>
      </c>
      <c r="AH34" s="34">
        <f t="shared" ref="AH34:AH39" si="19">-IPMT($AE$30,AF34,$AE$31,$AE$29,0,0)</f>
        <v>398769.71428433922</v>
      </c>
      <c r="AI34" s="34">
        <f t="shared" ref="AI34:AI39" si="20">+AG34+AH34</f>
        <v>1080769.7140869037</v>
      </c>
      <c r="AJ34" s="268" t="s">
        <v>452</v>
      </c>
      <c r="AK34" s="34"/>
      <c r="AL34" s="34"/>
      <c r="AM34" s="34">
        <f>+AG34*$AF$56</f>
        <v>2045999.9994076933</v>
      </c>
      <c r="AN34" s="284"/>
      <c r="AO34" s="286"/>
      <c r="AP34" s="34"/>
      <c r="AQ34" s="34"/>
      <c r="AR34" s="34"/>
      <c r="AS34" s="34"/>
      <c r="AT34" s="34"/>
      <c r="AU34" s="34"/>
      <c r="AV34" s="34"/>
      <c r="AW34" s="286"/>
      <c r="AX34" s="284"/>
      <c r="BA34" s="26" t="s">
        <v>212</v>
      </c>
      <c r="BB34" s="26"/>
      <c r="BC34" s="75"/>
      <c r="BD34" s="75"/>
      <c r="BG34" s="284"/>
      <c r="BH34" s="286"/>
      <c r="BI34" s="34"/>
      <c r="BJ34" s="34"/>
      <c r="BK34" s="34"/>
      <c r="BL34" s="34"/>
      <c r="BM34" s="34"/>
      <c r="BN34" s="34"/>
      <c r="BO34" s="34"/>
      <c r="BP34" s="34"/>
      <c r="BQ34" s="286"/>
      <c r="BR34" s="284"/>
      <c r="BS34" s="286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286"/>
      <c r="CJ34" s="284"/>
      <c r="CK34" s="286"/>
      <c r="CL34" s="34"/>
      <c r="CM34" s="34"/>
      <c r="CN34" s="34"/>
      <c r="CO34" s="118" t="s">
        <v>47</v>
      </c>
      <c r="CP34" s="118"/>
      <c r="CQ34" s="118"/>
      <c r="CR34" s="118"/>
      <c r="CS34" s="221"/>
      <c r="CT34" s="221">
        <f>+AS9</f>
        <v>14400</v>
      </c>
      <c r="CU34" s="34"/>
      <c r="CV34" s="34"/>
      <c r="CW34" s="34"/>
      <c r="CX34" s="34"/>
      <c r="CY34" s="34"/>
      <c r="CZ34" s="286"/>
      <c r="DA34" s="284"/>
      <c r="DB34" s="286"/>
    </row>
    <row r="35" spans="1:106" s="42" customFormat="1" x14ac:dyDescent="0.3">
      <c r="A35" s="26"/>
      <c r="B35" s="26"/>
      <c r="C35" s="20"/>
      <c r="D35" s="22"/>
      <c r="E35" s="35" t="s">
        <v>387</v>
      </c>
      <c r="F35" s="35"/>
      <c r="G35" s="35"/>
      <c r="H35" s="284"/>
      <c r="I35" s="286"/>
      <c r="J35" s="34"/>
      <c r="K35" s="34"/>
      <c r="L35" s="34"/>
      <c r="M35" s="34"/>
      <c r="N35" s="34"/>
      <c r="O35" s="34"/>
      <c r="P35" s="34"/>
      <c r="Q35" s="34"/>
      <c r="R35" s="284"/>
      <c r="S35" s="34"/>
      <c r="T35" s="20" t="s">
        <v>187</v>
      </c>
      <c r="U35" s="20"/>
      <c r="V35" s="34"/>
      <c r="W35" s="34"/>
      <c r="X35" s="34">
        <v>14500</v>
      </c>
      <c r="Y35" s="34">
        <v>13000</v>
      </c>
      <c r="Z35" s="34"/>
      <c r="AA35" s="34"/>
      <c r="AB35" s="284"/>
      <c r="AC35" s="286"/>
      <c r="AD35" s="20"/>
      <c r="AE35" s="20"/>
      <c r="AF35" s="34">
        <f>+AF34+1</f>
        <v>2</v>
      </c>
      <c r="AG35" s="34">
        <f t="shared" si="18"/>
        <v>736392.18881520198</v>
      </c>
      <c r="AH35" s="34">
        <f t="shared" si="19"/>
        <v>344377.52527170157</v>
      </c>
      <c r="AI35" s="34">
        <f t="shared" si="20"/>
        <v>1080769.7140869035</v>
      </c>
      <c r="AJ35" s="34"/>
      <c r="AK35" s="34"/>
      <c r="AL35" s="34"/>
      <c r="AM35" s="34">
        <f t="shared" ref="AM35:AM39" si="21">+AG35*$AF$56</f>
        <v>2209176.5664456058</v>
      </c>
      <c r="AN35" s="284"/>
      <c r="AO35" s="286"/>
      <c r="AP35" s="34"/>
      <c r="AQ35" s="34"/>
      <c r="AR35" s="34"/>
      <c r="AS35" s="34"/>
      <c r="AT35" s="34"/>
      <c r="AU35" s="34"/>
      <c r="AV35" s="34"/>
      <c r="AW35" s="286"/>
      <c r="AX35" s="284"/>
      <c r="AY35" s="286"/>
      <c r="AZ35" s="34"/>
      <c r="BA35" s="310" t="s">
        <v>6</v>
      </c>
      <c r="BB35" s="311" t="s">
        <v>112</v>
      </c>
      <c r="BC35" s="312">
        <f>+AJ69</f>
        <v>226</v>
      </c>
      <c r="BD35" s="312"/>
      <c r="BE35" s="34"/>
      <c r="BF35" s="286"/>
      <c r="BG35" s="284"/>
      <c r="BH35" s="286"/>
      <c r="BI35" s="34"/>
      <c r="BJ35" s="34"/>
      <c r="BK35" s="34"/>
      <c r="BL35" s="34"/>
      <c r="BM35" s="34"/>
      <c r="BN35" s="34"/>
      <c r="BO35" s="34"/>
      <c r="BP35" s="34"/>
      <c r="BQ35" s="286"/>
      <c r="BR35" s="284"/>
      <c r="BS35" s="286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286"/>
      <c r="CJ35" s="284"/>
      <c r="CK35" s="286"/>
      <c r="CL35" s="34"/>
      <c r="CM35" s="34"/>
      <c r="CN35" s="34"/>
      <c r="CO35" s="118" t="s">
        <v>49</v>
      </c>
      <c r="CP35" s="118"/>
      <c r="CQ35" s="118"/>
      <c r="CR35" s="118"/>
      <c r="CS35" s="221"/>
      <c r="CT35" s="221">
        <f ca="1">+CT33+CT34+CT32</f>
        <v>15490</v>
      </c>
      <c r="CU35" s="34">
        <f ca="1">+CT35-D10</f>
        <v>0</v>
      </c>
      <c r="CV35" s="34"/>
      <c r="CW35" s="34"/>
      <c r="CX35" s="34"/>
      <c r="CY35" s="34"/>
      <c r="CZ35" s="286"/>
      <c r="DA35" s="284"/>
      <c r="DB35" s="286"/>
    </row>
    <row r="36" spans="1:106" s="42" customFormat="1" x14ac:dyDescent="0.3">
      <c r="A36" s="26"/>
      <c r="B36" s="26"/>
      <c r="C36" s="140" t="s">
        <v>9</v>
      </c>
      <c r="D36" s="20"/>
      <c r="E36" s="21">
        <v>99648</v>
      </c>
      <c r="F36" s="35"/>
      <c r="G36" s="35"/>
      <c r="H36" s="284"/>
      <c r="I36" s="286"/>
      <c r="J36" s="34"/>
      <c r="K36" s="34"/>
      <c r="L36" s="34"/>
      <c r="M36" s="34"/>
      <c r="N36" s="34"/>
      <c r="O36" s="34"/>
      <c r="P36" s="34"/>
      <c r="Q36" s="34"/>
      <c r="R36" s="284"/>
      <c r="S36" s="34"/>
      <c r="T36" s="20" t="s">
        <v>174</v>
      </c>
      <c r="U36" s="20"/>
      <c r="V36" s="34"/>
      <c r="W36" s="34"/>
      <c r="X36" s="32">
        <v>-4400</v>
      </c>
      <c r="Y36" s="32">
        <v>-3500</v>
      </c>
      <c r="Z36" s="34"/>
      <c r="AA36" s="34"/>
      <c r="AB36" s="284"/>
      <c r="AC36" s="286"/>
      <c r="AD36" s="20"/>
      <c r="AE36" s="20"/>
      <c r="AF36" s="34">
        <f>+AF35+1</f>
        <v>3</v>
      </c>
      <c r="AG36" s="34">
        <f t="shared" si="18"/>
        <v>795122.36936221365</v>
      </c>
      <c r="AH36" s="34">
        <f t="shared" si="19"/>
        <v>285647.34472469013</v>
      </c>
      <c r="AI36" s="34">
        <f t="shared" si="20"/>
        <v>1080769.7140869037</v>
      </c>
      <c r="AJ36" s="34"/>
      <c r="AK36" s="34"/>
      <c r="AL36" s="34"/>
      <c r="AM36" s="34">
        <f t="shared" si="21"/>
        <v>2385367.1080866409</v>
      </c>
      <c r="AN36" s="284"/>
      <c r="AO36" s="286"/>
      <c r="AP36" s="34"/>
      <c r="AQ36" s="34"/>
      <c r="AR36" s="34"/>
      <c r="AS36" s="34"/>
      <c r="AT36" s="34"/>
      <c r="AU36" s="34"/>
      <c r="AV36" s="34"/>
      <c r="AW36" s="286"/>
      <c r="AX36" s="284"/>
      <c r="AY36" s="286"/>
      <c r="AZ36" s="34"/>
      <c r="BA36" s="313" t="s">
        <v>532</v>
      </c>
      <c r="BB36" s="311" t="s">
        <v>112</v>
      </c>
      <c r="BC36" s="312"/>
      <c r="BD36" s="312">
        <f>+BC35</f>
        <v>226</v>
      </c>
      <c r="BE36" s="34"/>
      <c r="BF36" s="286"/>
      <c r="BG36" s="284"/>
      <c r="BH36" s="286"/>
      <c r="BI36" s="34"/>
      <c r="BJ36" s="34"/>
      <c r="BK36" s="34"/>
      <c r="BL36" s="34"/>
      <c r="BM36" s="34"/>
      <c r="BN36" s="34"/>
      <c r="BO36" s="34"/>
      <c r="BP36" s="34"/>
      <c r="BQ36" s="286"/>
      <c r="BR36" s="284"/>
      <c r="BS36" s="286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286"/>
      <c r="CJ36" s="284"/>
      <c r="CK36" s="286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286"/>
      <c r="DA36" s="284"/>
      <c r="DB36" s="286"/>
    </row>
    <row r="37" spans="1:106" s="42" customFormat="1" x14ac:dyDescent="0.3">
      <c r="A37" s="26"/>
      <c r="B37" s="26"/>
      <c r="C37" s="140" t="s">
        <v>10</v>
      </c>
      <c r="D37" s="20"/>
      <c r="E37" s="32">
        <f>-X19</f>
        <v>-54400</v>
      </c>
      <c r="F37" s="35"/>
      <c r="G37" s="35"/>
      <c r="H37" s="284"/>
      <c r="I37" s="286"/>
      <c r="J37" s="34"/>
      <c r="K37" s="34"/>
      <c r="L37" s="34"/>
      <c r="M37" s="34"/>
      <c r="N37" s="34"/>
      <c r="O37" s="34"/>
      <c r="P37" s="34"/>
      <c r="Q37" s="34"/>
      <c r="R37" s="284"/>
      <c r="S37" s="34"/>
      <c r="T37" s="34"/>
      <c r="U37" s="34"/>
      <c r="V37" s="34"/>
      <c r="W37" s="34"/>
      <c r="X37" s="36">
        <f>+X35+X36</f>
        <v>10100</v>
      </c>
      <c r="Y37" s="36">
        <f>+Y35+Y36</f>
        <v>9500</v>
      </c>
      <c r="Z37" s="34"/>
      <c r="AA37" s="34"/>
      <c r="AB37" s="284"/>
      <c r="AC37" s="286"/>
      <c r="AD37" s="20"/>
      <c r="AE37" s="26"/>
      <c r="AF37" s="34">
        <f>+AF36+1</f>
        <v>4</v>
      </c>
      <c r="AG37" s="34">
        <f t="shared" si="18"/>
        <v>858536.5133725449</v>
      </c>
      <c r="AH37" s="34">
        <f t="shared" si="19"/>
        <v>222233.20071435883</v>
      </c>
      <c r="AI37" s="34">
        <f t="shared" si="20"/>
        <v>1080769.7140869037</v>
      </c>
      <c r="AJ37" s="34"/>
      <c r="AK37" s="34"/>
      <c r="AL37" s="34"/>
      <c r="AM37" s="34">
        <f t="shared" si="21"/>
        <v>2575609.5401176345</v>
      </c>
      <c r="AN37" s="284"/>
      <c r="AO37" s="286"/>
      <c r="AP37" s="34"/>
      <c r="AQ37" s="34"/>
      <c r="AR37" s="34"/>
      <c r="AS37" s="34"/>
      <c r="AT37" s="34"/>
      <c r="AU37" s="34"/>
      <c r="AV37" s="34"/>
      <c r="AW37" s="286"/>
      <c r="AX37" s="284"/>
      <c r="AY37" s="286"/>
      <c r="AZ37" s="34"/>
      <c r="BA37" s="34"/>
      <c r="BB37" s="34"/>
      <c r="BC37" s="34"/>
      <c r="BD37" s="34"/>
      <c r="BE37" s="34"/>
      <c r="BF37" s="286"/>
      <c r="BG37" s="284"/>
      <c r="BH37" s="286"/>
      <c r="BI37" s="34"/>
      <c r="BJ37" s="34"/>
      <c r="BK37" s="34"/>
      <c r="BL37" s="34"/>
      <c r="BM37" s="34"/>
      <c r="BN37" s="34"/>
      <c r="BO37" s="34"/>
      <c r="BP37" s="34"/>
      <c r="BQ37" s="286"/>
      <c r="BR37" s="284"/>
      <c r="BS37" s="286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286"/>
      <c r="CJ37" s="284"/>
      <c r="CK37" s="286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286"/>
      <c r="DA37" s="284"/>
      <c r="DB37" s="286"/>
    </row>
    <row r="38" spans="1:106" s="42" customFormat="1" x14ac:dyDescent="0.3">
      <c r="A38" s="26"/>
      <c r="B38" s="26"/>
      <c r="C38" s="240" t="s">
        <v>13</v>
      </c>
      <c r="D38" s="16"/>
      <c r="E38" s="24">
        <f>SUM(E36:E37)</f>
        <v>45248</v>
      </c>
      <c r="F38" s="35"/>
      <c r="G38" s="35"/>
      <c r="H38" s="284"/>
      <c r="I38" s="286"/>
      <c r="J38" s="34"/>
      <c r="K38" s="34"/>
      <c r="L38" s="34"/>
      <c r="M38" s="34"/>
      <c r="N38" s="34"/>
      <c r="O38" s="34"/>
      <c r="P38" s="34"/>
      <c r="Q38" s="34"/>
      <c r="R38" s="284"/>
      <c r="S38" s="34"/>
      <c r="T38" s="34"/>
      <c r="U38" s="34"/>
      <c r="V38" s="34"/>
      <c r="W38" s="34"/>
      <c r="X38" s="34"/>
      <c r="Y38" s="34"/>
      <c r="Z38" s="34"/>
      <c r="AA38" s="34">
        <f>+X37-D12</f>
        <v>0</v>
      </c>
      <c r="AB38" s="284"/>
      <c r="AC38" s="286"/>
      <c r="AD38" s="20"/>
      <c r="AE38" s="20"/>
      <c r="AF38" s="34">
        <f>+AF37+1</f>
        <v>5</v>
      </c>
      <c r="AG38" s="34">
        <f t="shared" si="18"/>
        <v>927008.18540059333</v>
      </c>
      <c r="AH38" s="34">
        <f t="shared" si="19"/>
        <v>153761.52868631028</v>
      </c>
      <c r="AI38" s="34">
        <f t="shared" si="20"/>
        <v>1080769.7140869037</v>
      </c>
      <c r="AJ38" s="34"/>
      <c r="AK38" s="34"/>
      <c r="AL38" s="34"/>
      <c r="AM38" s="34">
        <f t="shared" si="21"/>
        <v>2781024.5562017802</v>
      </c>
      <c r="AN38" s="284"/>
      <c r="AO38" s="286"/>
      <c r="AP38" s="34"/>
      <c r="AQ38" s="34"/>
      <c r="AR38" s="34"/>
      <c r="AS38" s="34"/>
      <c r="AT38" s="34"/>
      <c r="AU38" s="34"/>
      <c r="AV38" s="34"/>
      <c r="AW38" s="286"/>
      <c r="AX38" s="284"/>
      <c r="AY38" s="286"/>
      <c r="AZ38" s="34"/>
      <c r="BA38" s="17"/>
      <c r="BB38" s="16"/>
      <c r="BC38" s="77">
        <f>SUM(BC8:BC33)</f>
        <v>9211</v>
      </c>
      <c r="BD38" s="77">
        <f>SUM(BD8:BD33)</f>
        <v>9211</v>
      </c>
      <c r="BE38" s="34"/>
      <c r="BF38" s="286"/>
      <c r="BG38" s="284"/>
      <c r="BH38" s="286"/>
      <c r="BI38" s="34"/>
      <c r="BJ38" s="34"/>
      <c r="BK38" s="34"/>
      <c r="BL38" s="34"/>
      <c r="BM38" s="34"/>
      <c r="BN38" s="34"/>
      <c r="BO38" s="34"/>
      <c r="BP38" s="34"/>
      <c r="BQ38" s="286"/>
      <c r="BR38" s="284"/>
      <c r="BS38" s="286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286"/>
      <c r="CJ38" s="284"/>
      <c r="CK38" s="286"/>
      <c r="CL38" s="34"/>
      <c r="CM38" s="34"/>
      <c r="CN38" s="34"/>
      <c r="CO38" s="87" t="s">
        <v>305</v>
      </c>
      <c r="CP38" s="20"/>
      <c r="CQ38" s="20"/>
      <c r="CR38" s="20"/>
      <c r="CS38" s="20"/>
      <c r="CT38" s="35" t="s">
        <v>3</v>
      </c>
      <c r="CU38" s="34"/>
      <c r="CV38" s="34"/>
      <c r="CW38" s="34"/>
      <c r="CX38" s="34"/>
      <c r="CY38" s="34"/>
      <c r="CZ38" s="286"/>
      <c r="DA38" s="284"/>
      <c r="DB38" s="286"/>
    </row>
    <row r="39" spans="1:106" s="42" customFormat="1" x14ac:dyDescent="0.3">
      <c r="A39" s="26"/>
      <c r="B39" s="26"/>
      <c r="C39" s="140" t="s">
        <v>86</v>
      </c>
      <c r="D39" s="20"/>
      <c r="E39" s="34">
        <f>-Y19</f>
        <v>-7400</v>
      </c>
      <c r="F39" s="35"/>
      <c r="G39" s="35"/>
      <c r="H39" s="284"/>
      <c r="J39" s="34"/>
      <c r="K39" s="34"/>
      <c r="L39" s="34"/>
      <c r="M39" s="34"/>
      <c r="N39" s="34"/>
      <c r="O39" s="34"/>
      <c r="P39" s="34"/>
      <c r="Q39" s="34"/>
      <c r="R39" s="284"/>
      <c r="S39" s="34"/>
      <c r="T39" s="16" t="s">
        <v>174</v>
      </c>
      <c r="U39" s="16"/>
      <c r="V39" s="46"/>
      <c r="W39" s="46"/>
      <c r="X39" s="19">
        <v>2016</v>
      </c>
      <c r="Y39" s="19">
        <v>2015</v>
      </c>
      <c r="Z39" s="19"/>
      <c r="AA39" s="34">
        <f>+E12-Y37</f>
        <v>0</v>
      </c>
      <c r="AB39" s="284"/>
      <c r="AC39" s="286"/>
      <c r="AD39" s="20"/>
      <c r="AE39" s="20"/>
      <c r="AF39" s="34">
        <f>+AF38+1</f>
        <v>6</v>
      </c>
      <c r="AG39" s="34">
        <f t="shared" si="18"/>
        <v>1000940.7432468811</v>
      </c>
      <c r="AH39" s="34">
        <f t="shared" si="19"/>
        <v>79828.970840022579</v>
      </c>
      <c r="AI39" s="34">
        <f t="shared" si="20"/>
        <v>1080769.7140869037</v>
      </c>
      <c r="AJ39" s="34"/>
      <c r="AK39" s="34"/>
      <c r="AL39" s="34"/>
      <c r="AM39" s="34">
        <f t="shared" si="21"/>
        <v>3002822.2297406429</v>
      </c>
      <c r="AN39" s="284"/>
      <c r="AO39" s="286"/>
      <c r="AP39" s="34"/>
      <c r="AQ39" s="34"/>
      <c r="AR39" s="34"/>
      <c r="AS39" s="34"/>
      <c r="AT39" s="34"/>
      <c r="AU39" s="34"/>
      <c r="AV39" s="34"/>
      <c r="AW39" s="286"/>
      <c r="AX39" s="284"/>
      <c r="AY39" s="286"/>
      <c r="AZ39" s="34"/>
      <c r="BA39" s="34"/>
      <c r="BB39" s="34"/>
      <c r="BC39" s="34"/>
      <c r="BD39" s="34"/>
      <c r="BE39" s="34"/>
      <c r="BF39" s="286"/>
      <c r="BG39" s="284"/>
      <c r="BH39" s="286"/>
      <c r="BI39" s="34"/>
      <c r="BJ39" s="34"/>
      <c r="BK39" s="34"/>
      <c r="BL39" s="34"/>
      <c r="BM39" s="34"/>
      <c r="BN39" s="34"/>
      <c r="BO39" s="34"/>
      <c r="BP39" s="34"/>
      <c r="BQ39" s="286"/>
      <c r="BR39" s="284"/>
      <c r="BS39" s="286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286"/>
      <c r="CJ39" s="284"/>
      <c r="CK39" s="286"/>
      <c r="CL39" s="34"/>
      <c r="CM39" s="34"/>
      <c r="CN39" s="34"/>
      <c r="CO39" s="87"/>
      <c r="CP39" s="20"/>
      <c r="CQ39" s="20"/>
      <c r="CR39" s="20"/>
      <c r="CS39" s="20"/>
      <c r="CT39" s="35"/>
      <c r="CU39" s="34"/>
      <c r="CV39" s="34"/>
      <c r="CW39" s="34"/>
      <c r="CX39" s="34"/>
      <c r="CY39" s="34"/>
      <c r="CZ39" s="286"/>
      <c r="DA39" s="284"/>
      <c r="DB39" s="286"/>
    </row>
    <row r="40" spans="1:106" s="42" customFormat="1" x14ac:dyDescent="0.3">
      <c r="A40" s="26"/>
      <c r="B40" s="26"/>
      <c r="C40" s="140" t="s">
        <v>85</v>
      </c>
      <c r="D40" s="20"/>
      <c r="E40" s="32">
        <f>-Z19</f>
        <v>-14231</v>
      </c>
      <c r="F40" s="35"/>
      <c r="G40" s="35"/>
      <c r="H40" s="285"/>
      <c r="J40" s="34"/>
      <c r="K40" s="34"/>
      <c r="L40" s="34"/>
      <c r="M40" s="34"/>
      <c r="N40" s="34"/>
      <c r="O40" s="34"/>
      <c r="P40" s="34"/>
      <c r="Q40" s="34"/>
      <c r="R40" s="285"/>
      <c r="S40" s="34"/>
      <c r="T40" s="46"/>
      <c r="U40" s="46"/>
      <c r="V40" s="46"/>
      <c r="W40" s="46"/>
      <c r="X40" s="19" t="s">
        <v>387</v>
      </c>
      <c r="Y40" s="19" t="s">
        <v>387</v>
      </c>
      <c r="Z40" s="19"/>
      <c r="AA40" s="34"/>
      <c r="AB40" s="285"/>
      <c r="AC40" s="286"/>
      <c r="AD40" s="20"/>
      <c r="AE40" s="20"/>
      <c r="AF40" s="34"/>
      <c r="AG40" s="46">
        <f>SUM(AG34:AG39)</f>
        <v>4999999.9999999991</v>
      </c>
      <c r="AH40" s="46">
        <f>SUM(AH34:AH39)</f>
        <v>1484618.2845214226</v>
      </c>
      <c r="AI40" s="46">
        <f>SUM(AI34:AI39)</f>
        <v>6484618.2845214214</v>
      </c>
      <c r="AJ40" s="34"/>
      <c r="AK40" s="34"/>
      <c r="AL40" s="34"/>
      <c r="AM40" s="286"/>
      <c r="AN40" s="285"/>
      <c r="AO40" s="286"/>
      <c r="AP40" s="34"/>
      <c r="AQ40" s="34"/>
      <c r="AR40" s="34"/>
      <c r="AS40" s="34"/>
      <c r="AT40" s="34"/>
      <c r="AU40" s="34"/>
      <c r="AV40" s="34"/>
      <c r="AW40" s="286"/>
      <c r="AX40" s="285"/>
      <c r="AY40" s="286"/>
      <c r="AZ40" s="34"/>
      <c r="BA40" s="34"/>
      <c r="BB40" s="34"/>
      <c r="BC40" s="34"/>
      <c r="BD40" s="34"/>
      <c r="BE40" s="34"/>
      <c r="BF40" s="286"/>
      <c r="BG40" s="285"/>
      <c r="BH40" s="286"/>
      <c r="BI40" s="34"/>
      <c r="BJ40" s="34"/>
      <c r="BK40" s="34"/>
      <c r="BL40" s="34"/>
      <c r="BM40" s="34"/>
      <c r="BN40" s="34"/>
      <c r="BO40" s="34"/>
      <c r="BP40" s="34"/>
      <c r="BQ40" s="286"/>
      <c r="BR40" s="285"/>
      <c r="BS40" s="286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286"/>
      <c r="CJ40" s="285"/>
      <c r="CK40" s="286"/>
      <c r="CL40" s="34"/>
      <c r="CM40" s="34"/>
      <c r="CN40" s="34"/>
      <c r="CO40" s="81"/>
      <c r="CP40" s="16" t="s">
        <v>16</v>
      </c>
      <c r="CQ40" s="16"/>
      <c r="CR40" s="16"/>
      <c r="CS40" s="16"/>
      <c r="CT40" s="16"/>
      <c r="CU40" s="48">
        <f>+E46</f>
        <v>18169</v>
      </c>
      <c r="CV40" s="34"/>
      <c r="CW40" s="34"/>
      <c r="CX40" s="34"/>
      <c r="CY40" s="34"/>
      <c r="CZ40" s="286"/>
      <c r="DA40" s="285"/>
      <c r="DB40" s="286"/>
    </row>
    <row r="41" spans="1:106" s="42" customFormat="1" x14ac:dyDescent="0.3">
      <c r="A41" s="26"/>
      <c r="B41" s="26"/>
      <c r="C41" s="240" t="s">
        <v>14</v>
      </c>
      <c r="D41" s="16"/>
      <c r="E41" s="24">
        <f>SUM(E38:E40)</f>
        <v>23617</v>
      </c>
      <c r="F41" s="35"/>
      <c r="G41" s="35"/>
      <c r="H41" s="285"/>
      <c r="I41" s="286"/>
      <c r="J41" s="34"/>
      <c r="K41" s="34"/>
      <c r="L41" s="34"/>
      <c r="M41" s="34"/>
      <c r="N41" s="34"/>
      <c r="O41" s="34"/>
      <c r="P41" s="34"/>
      <c r="Q41" s="34"/>
      <c r="R41" s="285"/>
      <c r="S41" s="34"/>
      <c r="T41" s="26" t="s">
        <v>30</v>
      </c>
      <c r="U41" s="26"/>
      <c r="V41" s="34"/>
      <c r="W41" s="34"/>
      <c r="X41" s="34">
        <f>+Y43</f>
        <v>3500</v>
      </c>
      <c r="Y41" s="34">
        <v>700</v>
      </c>
      <c r="Z41" s="34"/>
      <c r="AA41" s="34"/>
      <c r="AB41" s="285"/>
      <c r="AC41" s="286"/>
      <c r="AD41" s="20"/>
      <c r="AE41" s="20"/>
      <c r="AF41" s="34"/>
      <c r="AG41" s="34"/>
      <c r="AH41" s="34"/>
      <c r="AI41" s="34"/>
      <c r="AJ41" s="34"/>
      <c r="AK41" s="34"/>
      <c r="AL41" s="34"/>
      <c r="AM41" s="286"/>
      <c r="AN41" s="285"/>
      <c r="AO41" s="286"/>
      <c r="AP41" s="34"/>
      <c r="AQ41" s="34"/>
      <c r="AR41" s="34"/>
      <c r="AS41" s="34"/>
      <c r="AT41" s="34"/>
      <c r="AU41" s="34"/>
      <c r="AV41" s="34"/>
      <c r="AW41" s="286"/>
      <c r="AX41" s="285"/>
      <c r="AY41" s="286"/>
      <c r="AZ41" s="34"/>
      <c r="BA41" s="34"/>
      <c r="BB41" s="34"/>
      <c r="BC41" s="34"/>
      <c r="BD41" s="34"/>
      <c r="BE41" s="34"/>
      <c r="BF41" s="286"/>
      <c r="BG41" s="285"/>
      <c r="BH41" s="286"/>
      <c r="BI41" s="34"/>
      <c r="BJ41" s="34"/>
      <c r="BK41" s="34"/>
      <c r="BL41" s="34"/>
      <c r="BM41" s="34"/>
      <c r="BN41" s="34"/>
      <c r="BO41" s="34"/>
      <c r="BP41" s="34"/>
      <c r="BQ41" s="286"/>
      <c r="BR41" s="285"/>
      <c r="BS41" s="286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286"/>
      <c r="CJ41" s="285"/>
      <c r="CK41" s="286"/>
      <c r="CL41" s="34"/>
      <c r="CM41" s="34"/>
      <c r="CN41" s="34"/>
      <c r="CO41" s="81"/>
      <c r="CP41" s="20"/>
      <c r="CQ41" s="20"/>
      <c r="CR41" s="20"/>
      <c r="CS41" s="20"/>
      <c r="CU41" s="34"/>
      <c r="CV41" s="34"/>
      <c r="CW41" s="34"/>
      <c r="CX41" s="34"/>
      <c r="CY41" s="34"/>
      <c r="CZ41" s="286"/>
      <c r="DA41" s="285"/>
      <c r="DB41" s="286"/>
    </row>
    <row r="42" spans="1:106" s="42" customFormat="1" x14ac:dyDescent="0.3">
      <c r="A42" s="26"/>
      <c r="B42" s="26"/>
      <c r="C42" s="140" t="s">
        <v>45</v>
      </c>
      <c r="D42" s="20"/>
      <c r="E42" s="34">
        <v>-848</v>
      </c>
      <c r="F42" s="35"/>
      <c r="G42" s="35"/>
      <c r="H42" s="285"/>
      <c r="I42" s="286"/>
      <c r="J42" s="34"/>
      <c r="K42" s="34"/>
      <c r="L42" s="34"/>
      <c r="M42" s="34"/>
      <c r="N42" s="34"/>
      <c r="O42" s="34"/>
      <c r="P42" s="34"/>
      <c r="Q42" s="34"/>
      <c r="R42" s="285"/>
      <c r="S42" s="34"/>
      <c r="T42" s="20" t="s">
        <v>93</v>
      </c>
      <c r="U42" s="20"/>
      <c r="V42" s="34"/>
      <c r="W42" s="34"/>
      <c r="X42" s="34">
        <v>900</v>
      </c>
      <c r="Y42" s="34">
        <v>2800</v>
      </c>
      <c r="Z42" s="34"/>
      <c r="AA42" s="34"/>
      <c r="AB42" s="285"/>
      <c r="AC42" s="286"/>
      <c r="AD42" s="20"/>
      <c r="AE42" s="20"/>
      <c r="AF42" s="34"/>
      <c r="AG42" s="34"/>
      <c r="AH42" s="34"/>
      <c r="AI42" s="34"/>
      <c r="AJ42" s="50" t="s">
        <v>545</v>
      </c>
      <c r="AK42" s="34"/>
      <c r="AL42" s="34"/>
      <c r="AM42" s="303" t="s">
        <v>3</v>
      </c>
      <c r="AN42" s="285"/>
      <c r="AO42" s="286"/>
      <c r="AP42" s="34"/>
      <c r="AQ42" s="34"/>
      <c r="AR42" s="34"/>
      <c r="AS42" s="34"/>
      <c r="AT42" s="34"/>
      <c r="AU42" s="34"/>
      <c r="AV42" s="34"/>
      <c r="AW42" s="286"/>
      <c r="AX42" s="285"/>
      <c r="AY42" s="286"/>
      <c r="AZ42" s="34"/>
      <c r="BA42" s="34"/>
      <c r="BB42" s="34"/>
      <c r="BC42" s="34"/>
      <c r="BD42" s="34"/>
      <c r="BE42" s="34"/>
      <c r="BF42" s="286"/>
      <c r="BG42" s="285"/>
      <c r="BH42" s="286"/>
      <c r="BI42" s="34"/>
      <c r="BJ42" s="34"/>
      <c r="BK42" s="34"/>
      <c r="BL42" s="34"/>
      <c r="BM42" s="34"/>
      <c r="BN42" s="34"/>
      <c r="BO42" s="34"/>
      <c r="BP42" s="34"/>
      <c r="BQ42" s="286"/>
      <c r="BR42" s="285"/>
      <c r="BS42" s="286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286"/>
      <c r="CJ42" s="285"/>
      <c r="CK42" s="286"/>
      <c r="CL42" s="34"/>
      <c r="CM42" s="34"/>
      <c r="CN42" s="34"/>
      <c r="CO42" s="81"/>
      <c r="CP42" s="26" t="s">
        <v>151</v>
      </c>
      <c r="CQ42" s="26"/>
      <c r="CR42" s="26"/>
      <c r="CS42" s="26"/>
      <c r="CU42" s="34"/>
      <c r="CV42" s="34"/>
      <c r="CW42" s="34"/>
      <c r="CX42" s="34"/>
      <c r="CY42" s="34"/>
      <c r="CZ42" s="286"/>
      <c r="DA42" s="285"/>
      <c r="DB42" s="286"/>
    </row>
    <row r="43" spans="1:106" s="42" customFormat="1" x14ac:dyDescent="0.3">
      <c r="A43" s="26"/>
      <c r="B43" s="26"/>
      <c r="C43" s="140" t="s">
        <v>532</v>
      </c>
      <c r="D43" s="20"/>
      <c r="E43" s="34">
        <v>-400</v>
      </c>
      <c r="F43" s="35"/>
      <c r="G43" s="35"/>
      <c r="H43" s="285"/>
      <c r="I43" s="286"/>
      <c r="J43" s="34"/>
      <c r="K43" s="34"/>
      <c r="L43" s="34"/>
      <c r="M43" s="34"/>
      <c r="N43" s="34"/>
      <c r="O43" s="34"/>
      <c r="P43" s="34"/>
      <c r="Q43" s="34"/>
      <c r="R43" s="285"/>
      <c r="S43" s="34"/>
      <c r="T43" s="26" t="s">
        <v>32</v>
      </c>
      <c r="U43" s="26"/>
      <c r="V43" s="34"/>
      <c r="W43" s="34"/>
      <c r="X43" s="36">
        <f>+X41+X42</f>
        <v>4400</v>
      </c>
      <c r="Y43" s="36">
        <f>+Y41+Y42</f>
        <v>3500</v>
      </c>
      <c r="Z43" s="34"/>
      <c r="AA43" s="34"/>
      <c r="AB43" s="285"/>
      <c r="AC43" s="286"/>
      <c r="AD43" s="20"/>
      <c r="AE43" s="20"/>
      <c r="AF43" s="34"/>
      <c r="AG43" s="34"/>
      <c r="AH43" s="34"/>
      <c r="AI43" s="34"/>
      <c r="AJ43" s="39" t="s">
        <v>72</v>
      </c>
      <c r="AK43" s="34"/>
      <c r="AL43" s="34"/>
      <c r="AM43" s="34">
        <f>+AM19+AM34</f>
        <v>4529999.9989892142</v>
      </c>
      <c r="AN43" s="285"/>
      <c r="AO43" s="286"/>
      <c r="AP43" s="34"/>
      <c r="AQ43" s="34"/>
      <c r="AR43" s="34"/>
      <c r="AS43" s="34"/>
      <c r="AT43" s="34"/>
      <c r="AU43" s="34"/>
      <c r="AV43" s="34"/>
      <c r="AW43" s="286"/>
      <c r="AX43" s="285"/>
      <c r="AY43" s="286"/>
      <c r="AZ43" s="34"/>
      <c r="BA43" s="34"/>
      <c r="BB43" s="34"/>
      <c r="BC43" s="34"/>
      <c r="BD43" s="34"/>
      <c r="BE43" s="34"/>
      <c r="BF43" s="286"/>
      <c r="BG43" s="285"/>
      <c r="BH43" s="286"/>
      <c r="BI43" s="34"/>
      <c r="BJ43" s="34"/>
      <c r="BK43" s="34"/>
      <c r="BL43" s="34"/>
      <c r="BM43" s="34"/>
      <c r="BN43" s="34"/>
      <c r="BO43" s="34"/>
      <c r="BP43" s="34"/>
      <c r="BQ43" s="286"/>
      <c r="BR43" s="285"/>
      <c r="BS43" s="286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286"/>
      <c r="CJ43" s="285"/>
      <c r="CK43" s="286"/>
      <c r="CL43" s="34"/>
      <c r="CM43" s="34"/>
      <c r="CN43" s="34"/>
      <c r="CO43" s="81"/>
      <c r="CP43" s="43" t="s">
        <v>92</v>
      </c>
      <c r="CQ43" s="28"/>
      <c r="CR43" s="28"/>
      <c r="CS43" s="28"/>
      <c r="CU43" s="34">
        <f>+BC8</f>
        <v>211</v>
      </c>
      <c r="CV43" s="34"/>
      <c r="CW43" s="34"/>
      <c r="CX43" s="34"/>
      <c r="CY43" s="34"/>
      <c r="CZ43" s="286"/>
      <c r="DA43" s="285"/>
      <c r="DB43" s="286"/>
    </row>
    <row r="44" spans="1:106" s="42" customFormat="1" x14ac:dyDescent="0.3">
      <c r="A44" s="26"/>
      <c r="B44" s="26"/>
      <c r="C44" s="240" t="s">
        <v>89</v>
      </c>
      <c r="D44" s="16"/>
      <c r="E44" s="24">
        <f>SUM(E41:E43)</f>
        <v>22369</v>
      </c>
      <c r="F44" s="35"/>
      <c r="G44" s="35"/>
      <c r="H44" s="285"/>
      <c r="I44" s="286"/>
      <c r="J44" s="34"/>
      <c r="K44" s="34"/>
      <c r="L44" s="34"/>
      <c r="M44" s="34"/>
      <c r="N44" s="34"/>
      <c r="O44" s="34"/>
      <c r="P44" s="34"/>
      <c r="Q44" s="34"/>
      <c r="R44" s="285"/>
      <c r="S44" s="34"/>
      <c r="T44" s="26"/>
      <c r="U44" s="26"/>
      <c r="V44" s="34"/>
      <c r="W44" s="34"/>
      <c r="X44" s="34"/>
      <c r="Y44" s="34"/>
      <c r="Z44" s="34"/>
      <c r="AA44" s="34">
        <f>+X43+X36</f>
        <v>0</v>
      </c>
      <c r="AB44" s="285"/>
      <c r="AC44" s="286"/>
      <c r="AD44" s="20"/>
      <c r="AE44" s="20"/>
      <c r="AF44" s="34"/>
      <c r="AG44" s="34"/>
      <c r="AH44" s="34"/>
      <c r="AI44" s="34"/>
      <c r="AJ44" s="39" t="s">
        <v>73</v>
      </c>
      <c r="AK44" s="34"/>
      <c r="AL44" s="34"/>
      <c r="AM44" s="34">
        <f>SUM(AM20:AM24)+SUM(AM35:AM39)</f>
        <v>28470000.001010779</v>
      </c>
      <c r="AN44" s="285"/>
      <c r="AO44" s="286"/>
      <c r="AP44" s="34"/>
      <c r="AQ44" s="34"/>
      <c r="AR44" s="34"/>
      <c r="AS44" s="34"/>
      <c r="AT44" s="34"/>
      <c r="AU44" s="34"/>
      <c r="AV44" s="34"/>
      <c r="AW44" s="286"/>
      <c r="AX44" s="285"/>
      <c r="AY44" s="286"/>
      <c r="AZ44" s="34"/>
      <c r="BA44" s="34"/>
      <c r="BB44" s="34"/>
      <c r="BC44" s="34"/>
      <c r="BD44" s="34"/>
      <c r="BE44" s="34"/>
      <c r="BF44" s="286"/>
      <c r="BG44" s="285"/>
      <c r="BH44" s="286"/>
      <c r="BI44" s="34"/>
      <c r="BJ44" s="34"/>
      <c r="BK44" s="34"/>
      <c r="BL44" s="34"/>
      <c r="BM44" s="34"/>
      <c r="BN44" s="34"/>
      <c r="BO44" s="34"/>
      <c r="BP44" s="34"/>
      <c r="BQ44" s="286"/>
      <c r="BR44" s="285"/>
      <c r="BS44" s="286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286"/>
      <c r="CJ44" s="285"/>
      <c r="CK44" s="286"/>
      <c r="CL44" s="34"/>
      <c r="CM44" s="34"/>
      <c r="CN44" s="34"/>
      <c r="CO44" s="81"/>
      <c r="CP44" s="43" t="s">
        <v>174</v>
      </c>
      <c r="CQ44" s="28"/>
      <c r="CR44" s="28"/>
      <c r="CS44" s="28"/>
      <c r="CU44" s="34">
        <f>+BC11</f>
        <v>900</v>
      </c>
      <c r="CV44" s="34"/>
      <c r="CW44" s="34"/>
      <c r="CX44" s="34"/>
      <c r="CY44" s="34"/>
      <c r="CZ44" s="286"/>
      <c r="DA44" s="285"/>
      <c r="DB44" s="286"/>
    </row>
    <row r="45" spans="1:106" s="42" customFormat="1" x14ac:dyDescent="0.3">
      <c r="A45" s="26"/>
      <c r="B45" s="26"/>
      <c r="C45" s="140" t="s">
        <v>15</v>
      </c>
      <c r="D45" s="20"/>
      <c r="E45" s="32">
        <v>-4200</v>
      </c>
      <c r="F45" s="35"/>
      <c r="G45" s="35"/>
      <c r="H45" s="285"/>
      <c r="I45" s="286"/>
      <c r="J45" s="34"/>
      <c r="K45" s="34"/>
      <c r="L45" s="34"/>
      <c r="M45" s="34"/>
      <c r="N45" s="34"/>
      <c r="O45" s="34"/>
      <c r="P45" s="34"/>
      <c r="Q45" s="34"/>
      <c r="R45" s="285"/>
      <c r="S45" s="34"/>
      <c r="T45" s="16" t="s">
        <v>189</v>
      </c>
      <c r="U45" s="16"/>
      <c r="V45" s="46"/>
      <c r="W45" s="46"/>
      <c r="X45" s="46"/>
      <c r="Y45" s="19"/>
      <c r="Z45" s="19"/>
      <c r="AA45" s="34"/>
      <c r="AB45" s="285"/>
      <c r="AC45" s="286"/>
      <c r="AD45" s="20"/>
      <c r="AE45" s="20"/>
      <c r="AF45" s="34"/>
      <c r="AG45" s="34"/>
      <c r="AH45" s="34"/>
      <c r="AI45" s="34"/>
      <c r="AJ45" s="34"/>
      <c r="AK45" s="34"/>
      <c r="AL45" s="34"/>
      <c r="AM45" s="37">
        <f>+AM43+AM44</f>
        <v>32999999.999999993</v>
      </c>
      <c r="AN45" s="285"/>
      <c r="AO45" s="286"/>
      <c r="AP45" s="34"/>
      <c r="AQ45" s="34"/>
      <c r="AR45" s="34"/>
      <c r="AS45" s="34"/>
      <c r="AT45" s="34"/>
      <c r="AU45" s="34"/>
      <c r="AV45" s="34"/>
      <c r="AW45" s="286"/>
      <c r="AX45" s="285"/>
      <c r="AY45" s="286"/>
      <c r="AZ45" s="34"/>
      <c r="BA45" s="34"/>
      <c r="BB45" s="34"/>
      <c r="BC45" s="34"/>
      <c r="BD45" s="34"/>
      <c r="BE45" s="34"/>
      <c r="BF45" s="286"/>
      <c r="BG45" s="285"/>
      <c r="BH45" s="286"/>
      <c r="BI45" s="34"/>
      <c r="BJ45" s="34"/>
      <c r="BK45" s="34"/>
      <c r="BL45" s="34"/>
      <c r="BM45" s="34"/>
      <c r="BN45" s="34"/>
      <c r="BO45" s="34"/>
      <c r="BP45" s="34"/>
      <c r="BQ45" s="286"/>
      <c r="BR45" s="285"/>
      <c r="BS45" s="286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286"/>
      <c r="CJ45" s="285"/>
      <c r="CK45" s="286"/>
      <c r="CL45" s="34"/>
      <c r="CM45" s="34"/>
      <c r="CN45" s="34"/>
      <c r="CO45" s="81"/>
      <c r="CP45" s="43"/>
      <c r="CQ45" s="28"/>
      <c r="CR45" s="28"/>
      <c r="CS45" s="28"/>
      <c r="CU45" s="34"/>
      <c r="CV45" s="34"/>
      <c r="CW45" s="34"/>
      <c r="CX45" s="34"/>
      <c r="CY45" s="34"/>
      <c r="CZ45" s="286"/>
      <c r="DA45" s="285"/>
      <c r="DB45" s="286"/>
    </row>
    <row r="46" spans="1:106" s="42" customFormat="1" x14ac:dyDescent="0.3">
      <c r="A46" s="26"/>
      <c r="B46" s="26"/>
      <c r="C46" s="240" t="s">
        <v>16</v>
      </c>
      <c r="D46" s="16"/>
      <c r="E46" s="33">
        <f>+E44+E45</f>
        <v>18169</v>
      </c>
      <c r="F46" s="35"/>
      <c r="G46" s="35"/>
      <c r="H46" s="285"/>
      <c r="I46" s="286"/>
      <c r="J46" s="34"/>
      <c r="K46" s="34"/>
      <c r="L46" s="34"/>
      <c r="M46" s="34"/>
      <c r="N46" s="34"/>
      <c r="O46" s="34"/>
      <c r="P46" s="34"/>
      <c r="Q46" s="34"/>
      <c r="R46" s="285"/>
      <c r="S46" s="34"/>
      <c r="T46" s="16" t="s">
        <v>35</v>
      </c>
      <c r="U46" s="16"/>
      <c r="V46" s="46"/>
      <c r="W46" s="46"/>
      <c r="X46" s="46"/>
      <c r="Y46" s="19" t="s">
        <v>387</v>
      </c>
      <c r="Z46" s="19"/>
      <c r="AA46" s="34"/>
      <c r="AB46" s="285"/>
      <c r="AC46" s="286"/>
      <c r="AD46" s="20"/>
      <c r="AE46" s="20"/>
      <c r="AF46" s="34"/>
      <c r="AG46" s="34"/>
      <c r="AH46" s="34"/>
      <c r="AI46" s="34"/>
      <c r="AJ46" s="34"/>
      <c r="AK46" s="34"/>
      <c r="AL46" s="34"/>
      <c r="AM46" s="286"/>
      <c r="AN46" s="285"/>
      <c r="AO46" s="286"/>
      <c r="AP46" s="34"/>
      <c r="AQ46" s="34"/>
      <c r="AR46" s="34"/>
      <c r="AS46" s="34"/>
      <c r="AT46" s="34"/>
      <c r="AU46" s="34"/>
      <c r="AV46" s="34"/>
      <c r="AW46" s="286"/>
      <c r="AX46" s="285"/>
      <c r="AY46" s="286"/>
      <c r="AZ46" s="34"/>
      <c r="BA46" s="34"/>
      <c r="BB46" s="34"/>
      <c r="BC46" s="34"/>
      <c r="BD46" s="34"/>
      <c r="BE46" s="34"/>
      <c r="BF46" s="286"/>
      <c r="BG46" s="285"/>
      <c r="BH46" s="286"/>
      <c r="BI46" s="34"/>
      <c r="BJ46" s="34"/>
      <c r="BK46" s="34"/>
      <c r="BL46" s="34"/>
      <c r="BM46" s="34"/>
      <c r="BN46" s="34"/>
      <c r="BO46" s="34"/>
      <c r="BP46" s="34"/>
      <c r="BQ46" s="286"/>
      <c r="BR46" s="285"/>
      <c r="BS46" s="286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286"/>
      <c r="CJ46" s="285"/>
      <c r="CK46" s="286"/>
      <c r="CL46" s="34"/>
      <c r="CM46" s="34"/>
      <c r="CN46" s="34"/>
      <c r="CO46" s="81"/>
      <c r="CP46" s="43" t="s">
        <v>178</v>
      </c>
      <c r="CQ46" s="26"/>
      <c r="CR46" s="26"/>
      <c r="CS46" s="26"/>
      <c r="CU46" s="34">
        <f>+BC14</f>
        <v>200</v>
      </c>
      <c r="CV46" s="34"/>
      <c r="CW46" s="34"/>
      <c r="CX46" s="34"/>
      <c r="CY46" s="34"/>
      <c r="CZ46" s="286"/>
      <c r="DA46" s="285"/>
      <c r="DB46" s="286"/>
    </row>
    <row r="47" spans="1:106" s="42" customFormat="1" x14ac:dyDescent="0.3">
      <c r="A47" s="26"/>
      <c r="B47" s="26"/>
      <c r="C47" s="20"/>
      <c r="D47" s="26"/>
      <c r="E47" s="20"/>
      <c r="F47" s="35"/>
      <c r="G47" s="35"/>
      <c r="H47" s="285"/>
      <c r="I47" s="286"/>
      <c r="J47" s="34"/>
      <c r="K47" s="34"/>
      <c r="L47" s="34"/>
      <c r="M47" s="34"/>
      <c r="N47" s="34"/>
      <c r="O47" s="34"/>
      <c r="P47" s="34"/>
      <c r="Q47" s="286"/>
      <c r="R47" s="285"/>
      <c r="S47" s="34"/>
      <c r="T47" s="26" t="s">
        <v>30</v>
      </c>
      <c r="U47" s="26"/>
      <c r="V47" s="34"/>
      <c r="W47" s="34"/>
      <c r="X47" s="34"/>
      <c r="Y47" s="34">
        <v>1900</v>
      </c>
      <c r="Z47" s="34"/>
      <c r="AA47" s="34">
        <f>+Y47+Y51-E14</f>
        <v>0</v>
      </c>
      <c r="AB47" s="285"/>
      <c r="AC47" s="286"/>
      <c r="AD47" s="20"/>
      <c r="AE47" s="20"/>
      <c r="AF47" s="34"/>
      <c r="AG47" s="34"/>
      <c r="AH47" s="34"/>
      <c r="AI47" s="34"/>
      <c r="AJ47" s="34"/>
      <c r="AK47" s="34"/>
      <c r="AL47" s="34"/>
      <c r="AM47" s="286"/>
      <c r="AN47" s="285"/>
      <c r="AO47" s="286"/>
      <c r="AP47" s="34"/>
      <c r="AQ47" s="34"/>
      <c r="AR47" s="34"/>
      <c r="AS47" s="34"/>
      <c r="AT47" s="34"/>
      <c r="AU47" s="34"/>
      <c r="AV47" s="34"/>
      <c r="AW47" s="286"/>
      <c r="AX47" s="285"/>
      <c r="AY47" s="286"/>
      <c r="AZ47" s="34"/>
      <c r="BA47" s="34"/>
      <c r="BB47" s="34"/>
      <c r="BC47" s="34"/>
      <c r="BD47" s="34"/>
      <c r="BE47" s="34"/>
      <c r="BF47" s="286"/>
      <c r="BG47" s="285"/>
      <c r="BH47" s="286"/>
      <c r="BI47" s="34"/>
      <c r="BJ47" s="34"/>
      <c r="BK47" s="34"/>
      <c r="BL47" s="34"/>
      <c r="BM47" s="34"/>
      <c r="BN47" s="34"/>
      <c r="BO47" s="34"/>
      <c r="BP47" s="34"/>
      <c r="BQ47" s="286"/>
      <c r="BR47" s="285"/>
      <c r="BS47" s="286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286"/>
      <c r="CJ47" s="285"/>
      <c r="CK47" s="286"/>
      <c r="CL47" s="34"/>
      <c r="CM47" s="34"/>
      <c r="CN47" s="34"/>
      <c r="CO47" s="81"/>
      <c r="CP47" s="43" t="s">
        <v>38</v>
      </c>
      <c r="CQ47" s="26"/>
      <c r="CR47" s="26"/>
      <c r="CS47" s="26"/>
      <c r="CU47" s="34">
        <f>+BC17</f>
        <v>2000</v>
      </c>
      <c r="CV47" s="34"/>
      <c r="CW47" s="34"/>
      <c r="CX47" s="34"/>
      <c r="CY47" s="34"/>
      <c r="CZ47" s="286"/>
      <c r="DA47" s="285"/>
      <c r="DB47" s="286"/>
    </row>
    <row r="48" spans="1:106" s="42" customFormat="1" x14ac:dyDescent="0.3">
      <c r="A48" s="26"/>
      <c r="B48" s="26"/>
      <c r="C48" s="20"/>
      <c r="D48" s="26"/>
      <c r="E48" s="20"/>
      <c r="F48" s="35"/>
      <c r="G48" s="35"/>
      <c r="H48" s="285"/>
      <c r="I48" s="286"/>
      <c r="J48" s="34"/>
      <c r="K48" s="34"/>
      <c r="L48" s="34"/>
      <c r="M48" s="34"/>
      <c r="N48" s="34"/>
      <c r="O48" s="34"/>
      <c r="P48" s="34"/>
      <c r="Q48" s="286"/>
      <c r="R48" s="285"/>
      <c r="S48" s="34"/>
      <c r="T48" s="20" t="s">
        <v>39</v>
      </c>
      <c r="U48" s="20"/>
      <c r="V48" s="34"/>
      <c r="W48" s="34"/>
      <c r="X48" s="34"/>
      <c r="Y48" s="32">
        <v>0</v>
      </c>
      <c r="Z48" s="34"/>
      <c r="AA48" s="34"/>
      <c r="AB48" s="285"/>
      <c r="AC48" s="286"/>
      <c r="AD48" s="20"/>
      <c r="AE48" s="20"/>
      <c r="AF48" s="34"/>
      <c r="AG48" s="34"/>
      <c r="AH48" s="34"/>
      <c r="AI48" s="34"/>
      <c r="AJ48" s="34"/>
      <c r="AK48" s="34"/>
      <c r="AL48" s="34"/>
      <c r="AM48" s="286"/>
      <c r="AN48" s="285"/>
      <c r="AO48" s="286"/>
      <c r="AP48" s="34"/>
      <c r="AQ48" s="34"/>
      <c r="AR48" s="34"/>
      <c r="AS48" s="34"/>
      <c r="AT48" s="34"/>
      <c r="AU48" s="34"/>
      <c r="AV48" s="34"/>
      <c r="AW48" s="286"/>
      <c r="AX48" s="285"/>
      <c r="AY48" s="286"/>
      <c r="AZ48" s="34"/>
      <c r="BA48" s="34"/>
      <c r="BB48" s="34"/>
      <c r="BC48" s="34"/>
      <c r="BD48" s="34"/>
      <c r="BE48" s="34"/>
      <c r="BF48" s="286"/>
      <c r="BG48" s="285"/>
      <c r="BH48" s="286"/>
      <c r="BI48" s="34"/>
      <c r="BJ48" s="34"/>
      <c r="BK48" s="34"/>
      <c r="BL48" s="34"/>
      <c r="BM48" s="34"/>
      <c r="BN48" s="34"/>
      <c r="BO48" s="34"/>
      <c r="BP48" s="34"/>
      <c r="BQ48" s="286"/>
      <c r="BR48" s="285"/>
      <c r="BS48" s="286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286"/>
      <c r="CJ48" s="285"/>
      <c r="CK48" s="286"/>
      <c r="CL48" s="34"/>
      <c r="CM48" s="34"/>
      <c r="CN48" s="34"/>
      <c r="CO48" s="81"/>
      <c r="CP48" s="43" t="s">
        <v>167</v>
      </c>
      <c r="CQ48" s="26"/>
      <c r="CR48" s="26"/>
      <c r="CS48" s="26"/>
      <c r="CU48" s="34">
        <f>+AA54</f>
        <v>0</v>
      </c>
      <c r="CV48" s="34"/>
      <c r="CW48" s="34"/>
      <c r="CX48" s="34"/>
      <c r="CY48" s="34"/>
      <c r="CZ48" s="286"/>
      <c r="DA48" s="285"/>
      <c r="DB48" s="286"/>
    </row>
    <row r="49" spans="1:106" s="42" customFormat="1" x14ac:dyDescent="0.3">
      <c r="A49" s="26"/>
      <c r="B49" s="26"/>
      <c r="C49" s="20"/>
      <c r="D49" s="26"/>
      <c r="E49" s="20"/>
      <c r="F49" s="26"/>
      <c r="G49" s="286"/>
      <c r="H49" s="285"/>
      <c r="I49" s="286"/>
      <c r="J49" s="34"/>
      <c r="K49" s="34"/>
      <c r="L49" s="34"/>
      <c r="M49" s="34"/>
      <c r="N49" s="34"/>
      <c r="O49" s="34"/>
      <c r="P49" s="34"/>
      <c r="Q49" s="286"/>
      <c r="R49" s="285"/>
      <c r="S49" s="34"/>
      <c r="T49" s="26" t="s">
        <v>32</v>
      </c>
      <c r="U49" s="26"/>
      <c r="V49" s="37"/>
      <c r="W49" s="37"/>
      <c r="X49" s="37"/>
      <c r="Y49" s="47">
        <f>+Y47+Y48</f>
        <v>1900</v>
      </c>
      <c r="Z49" s="34"/>
      <c r="AA49" s="34"/>
      <c r="AB49" s="285"/>
      <c r="AC49" s="286"/>
      <c r="AD49" s="50"/>
      <c r="AE49" s="20"/>
      <c r="AF49" s="20"/>
      <c r="AG49" s="35" t="s">
        <v>205</v>
      </c>
      <c r="AH49" s="35" t="s">
        <v>206</v>
      </c>
      <c r="AI49" s="35" t="s">
        <v>298</v>
      </c>
      <c r="AJ49" s="35" t="s">
        <v>298</v>
      </c>
      <c r="AK49" s="34"/>
      <c r="AL49" s="34"/>
      <c r="AM49" s="286"/>
      <c r="AN49" s="285"/>
      <c r="AO49" s="286"/>
      <c r="AP49" s="34"/>
      <c r="AQ49" s="34"/>
      <c r="AR49" s="34"/>
      <c r="AS49" s="34"/>
      <c r="AT49" s="34"/>
      <c r="AU49" s="34"/>
      <c r="AV49" s="34"/>
      <c r="AW49" s="286"/>
      <c r="AX49" s="285"/>
      <c r="AY49" s="286"/>
      <c r="AZ49" s="34"/>
      <c r="BA49" s="34"/>
      <c r="BB49" s="34"/>
      <c r="BC49" s="34"/>
      <c r="BD49" s="34"/>
      <c r="BE49" s="34"/>
      <c r="BF49" s="286"/>
      <c r="BG49" s="285"/>
      <c r="BH49" s="286"/>
      <c r="BI49" s="34"/>
      <c r="BJ49" s="34"/>
      <c r="BK49" s="34"/>
      <c r="BL49" s="34"/>
      <c r="BM49" s="34"/>
      <c r="BN49" s="34"/>
      <c r="BO49" s="34"/>
      <c r="BP49" s="34"/>
      <c r="BQ49" s="286"/>
      <c r="BR49" s="285"/>
      <c r="BS49" s="286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286"/>
      <c r="CJ49" s="285"/>
      <c r="CK49" s="286"/>
      <c r="CL49" s="34"/>
      <c r="CM49" s="34"/>
      <c r="CN49" s="34"/>
      <c r="CO49" s="81"/>
      <c r="CP49" s="43" t="s">
        <v>150</v>
      </c>
      <c r="CQ49" s="26"/>
      <c r="CR49" s="26"/>
      <c r="CS49" s="26"/>
      <c r="CU49" s="34">
        <f>-+BC22</f>
        <v>-400</v>
      </c>
      <c r="CV49" s="34"/>
      <c r="CW49" s="34"/>
      <c r="CX49" s="34"/>
      <c r="CY49" s="34"/>
      <c r="CZ49" s="286"/>
      <c r="DA49" s="285"/>
      <c r="DB49" s="286"/>
    </row>
    <row r="50" spans="1:106" s="42" customFormat="1" x14ac:dyDescent="0.3">
      <c r="A50" s="26"/>
      <c r="B50" s="26"/>
      <c r="C50" s="20"/>
      <c r="D50" s="26"/>
      <c r="E50" s="20"/>
      <c r="F50" s="26"/>
      <c r="G50" s="286"/>
      <c r="H50" s="285"/>
      <c r="I50" s="286"/>
      <c r="J50" s="34"/>
      <c r="K50" s="34"/>
      <c r="L50" s="34"/>
      <c r="M50" s="34"/>
      <c r="N50" s="34"/>
      <c r="O50" s="34"/>
      <c r="P50" s="34"/>
      <c r="Q50" s="286"/>
      <c r="R50" s="285"/>
      <c r="S50" s="34"/>
      <c r="T50" s="16" t="s">
        <v>190</v>
      </c>
      <c r="U50" s="16"/>
      <c r="V50" s="46"/>
      <c r="W50" s="46"/>
      <c r="X50" s="46"/>
      <c r="Y50" s="19"/>
      <c r="Z50" s="19"/>
      <c r="AA50" s="34"/>
      <c r="AB50" s="285"/>
      <c r="AC50" s="286"/>
      <c r="AD50" s="50" t="s">
        <v>204</v>
      </c>
      <c r="AE50" s="20"/>
      <c r="AF50" s="20"/>
      <c r="AG50" s="35" t="s">
        <v>534</v>
      </c>
      <c r="AH50" s="35" t="s">
        <v>534</v>
      </c>
      <c r="AI50" s="35" t="s">
        <v>534</v>
      </c>
      <c r="AJ50" s="35" t="s">
        <v>3</v>
      </c>
      <c r="AK50" s="34"/>
      <c r="AL50" s="34"/>
      <c r="AM50" s="286"/>
      <c r="AN50" s="285"/>
      <c r="AO50" s="286"/>
      <c r="AP50" s="34"/>
      <c r="AQ50" s="34"/>
      <c r="AR50" s="34"/>
      <c r="AS50" s="34"/>
      <c r="AT50" s="34"/>
      <c r="AU50" s="34"/>
      <c r="AV50" s="34"/>
      <c r="AW50" s="286"/>
      <c r="AX50" s="285"/>
      <c r="AY50" s="286"/>
      <c r="AZ50" s="34"/>
      <c r="BA50" s="34"/>
      <c r="BB50" s="34"/>
      <c r="BC50" s="34"/>
      <c r="BD50" s="34"/>
      <c r="BE50" s="34"/>
      <c r="BF50" s="286"/>
      <c r="BG50" s="285"/>
      <c r="BH50" s="286"/>
      <c r="BI50" s="34"/>
      <c r="BJ50" s="34"/>
      <c r="BK50" s="34"/>
      <c r="BL50" s="34"/>
      <c r="BM50" s="34"/>
      <c r="BN50" s="34"/>
      <c r="BO50" s="34"/>
      <c r="BP50" s="34"/>
      <c r="BQ50" s="286"/>
      <c r="BR50" s="285"/>
      <c r="BS50" s="286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286"/>
      <c r="CJ50" s="285"/>
      <c r="CK50" s="286"/>
      <c r="CL50" s="34"/>
      <c r="CM50" s="34"/>
      <c r="CN50" s="34"/>
      <c r="CO50" s="81"/>
      <c r="CP50" s="43" t="s">
        <v>532</v>
      </c>
      <c r="CQ50" s="26"/>
      <c r="CR50" s="26"/>
      <c r="CS50" s="26"/>
      <c r="CU50" s="34">
        <f>+-E43</f>
        <v>400</v>
      </c>
      <c r="CV50" s="34"/>
      <c r="CW50" s="34"/>
      <c r="CX50" s="34"/>
      <c r="CY50" s="34"/>
      <c r="CZ50" s="286"/>
      <c r="DA50" s="285"/>
      <c r="DB50" s="286"/>
    </row>
    <row r="51" spans="1:106" s="42" customFormat="1" x14ac:dyDescent="0.3">
      <c r="A51" s="26"/>
      <c r="B51" s="26"/>
      <c r="C51" s="20"/>
      <c r="D51" s="26"/>
      <c r="E51" s="20"/>
      <c r="F51" s="26"/>
      <c r="G51" s="286"/>
      <c r="H51" s="285"/>
      <c r="I51" s="286"/>
      <c r="J51" s="34"/>
      <c r="K51" s="34"/>
      <c r="L51" s="34"/>
      <c r="M51" s="34"/>
      <c r="N51" s="34"/>
      <c r="O51" s="34"/>
      <c r="P51" s="34"/>
      <c r="Q51" s="286"/>
      <c r="R51" s="285"/>
      <c r="S51" s="34"/>
      <c r="T51" s="26" t="s">
        <v>30</v>
      </c>
      <c r="U51" s="26"/>
      <c r="V51" s="34"/>
      <c r="W51" s="34"/>
      <c r="X51" s="34"/>
      <c r="Y51" s="37">
        <v>-900</v>
      </c>
      <c r="Z51" s="34"/>
      <c r="AA51" s="34"/>
      <c r="AB51" s="285"/>
      <c r="AC51" s="286"/>
      <c r="AD51" s="20" t="s">
        <v>197</v>
      </c>
      <c r="AE51" s="20"/>
      <c r="AF51" s="20"/>
      <c r="AG51" s="34">
        <f>+AG20</f>
        <v>890206.81633233454</v>
      </c>
      <c r="AH51" s="34">
        <f>+AI51-AG51</f>
        <v>4281793.183807157</v>
      </c>
      <c r="AI51" s="34">
        <f>SUM(AG20:AG24)</f>
        <v>5172000.0001394916</v>
      </c>
      <c r="AJ51" s="34">
        <f>+AI51*AF57</f>
        <v>15629784.000421543</v>
      </c>
      <c r="AK51" s="34"/>
      <c r="AL51" s="34"/>
      <c r="AM51" s="286"/>
      <c r="AN51" s="285"/>
      <c r="AO51" s="286"/>
      <c r="AP51" s="34"/>
      <c r="AQ51" s="34"/>
      <c r="AR51" s="34"/>
      <c r="AS51" s="34"/>
      <c r="AT51" s="34"/>
      <c r="AU51" s="34"/>
      <c r="AV51" s="34"/>
      <c r="AW51" s="286"/>
      <c r="AX51" s="285"/>
      <c r="AY51" s="286"/>
      <c r="AZ51" s="34"/>
      <c r="BA51" s="34"/>
      <c r="BB51" s="34"/>
      <c r="BC51" s="34"/>
      <c r="BD51" s="34"/>
      <c r="BE51" s="34"/>
      <c r="BF51" s="286"/>
      <c r="BG51" s="285"/>
      <c r="BH51" s="286"/>
      <c r="BI51" s="34"/>
      <c r="BJ51" s="34"/>
      <c r="BK51" s="34"/>
      <c r="BL51" s="34"/>
      <c r="BM51" s="34"/>
      <c r="BN51" s="34"/>
      <c r="BO51" s="34"/>
      <c r="BP51" s="34"/>
      <c r="BQ51" s="286"/>
      <c r="BR51" s="285"/>
      <c r="BS51" s="286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286"/>
      <c r="CJ51" s="285"/>
      <c r="CK51" s="286"/>
      <c r="CL51" s="34"/>
      <c r="CM51" s="34"/>
      <c r="CN51" s="34"/>
      <c r="CO51" s="34"/>
      <c r="CP51" s="43" t="s">
        <v>546</v>
      </c>
      <c r="CQ51" s="26"/>
      <c r="CR51" s="26"/>
      <c r="CS51" s="26"/>
      <c r="CU51" s="34">
        <f ca="1">-+CE26</f>
        <v>848</v>
      </c>
      <c r="CV51" s="34"/>
      <c r="CW51" s="34"/>
      <c r="CX51" s="34"/>
      <c r="CY51" s="34"/>
      <c r="CZ51" s="286"/>
      <c r="DA51" s="285"/>
      <c r="DB51" s="286"/>
    </row>
    <row r="52" spans="1:106" s="42" customFormat="1" x14ac:dyDescent="0.3">
      <c r="A52" s="26"/>
      <c r="B52" s="26"/>
      <c r="C52" s="20"/>
      <c r="D52" s="26"/>
      <c r="E52" s="20"/>
      <c r="F52" s="26"/>
      <c r="G52" s="286"/>
      <c r="H52" s="285"/>
      <c r="I52" s="286"/>
      <c r="J52" s="34"/>
      <c r="K52" s="34"/>
      <c r="L52" s="34"/>
      <c r="M52" s="34"/>
      <c r="N52" s="34"/>
      <c r="O52" s="34"/>
      <c r="P52" s="34"/>
      <c r="Q52" s="286"/>
      <c r="R52" s="285"/>
      <c r="S52" s="34"/>
      <c r="T52" s="20" t="s">
        <v>391</v>
      </c>
      <c r="U52" s="20"/>
      <c r="V52" s="34"/>
      <c r="W52" s="34"/>
      <c r="X52" s="34"/>
      <c r="Y52" s="32">
        <v>-200</v>
      </c>
      <c r="Z52" s="34"/>
      <c r="AA52" s="34"/>
      <c r="AB52" s="285"/>
      <c r="AC52" s="286"/>
      <c r="AD52" s="20" t="s">
        <v>198</v>
      </c>
      <c r="AE52" s="20"/>
      <c r="AF52" s="20"/>
      <c r="AG52" s="34">
        <f>+AG35</f>
        <v>736392.18881520198</v>
      </c>
      <c r="AH52" s="34">
        <f>+AI52-AG52</f>
        <v>3581607.8113822327</v>
      </c>
      <c r="AI52" s="34">
        <f>SUM(AG35:AG39)</f>
        <v>4318000.0001974348</v>
      </c>
      <c r="AJ52" s="34">
        <f>+AI52*AF57</f>
        <v>13048996.000596646</v>
      </c>
      <c r="AK52" s="34"/>
      <c r="AL52" s="34"/>
      <c r="AN52" s="285"/>
      <c r="AO52" s="286"/>
      <c r="AP52" s="34"/>
      <c r="AQ52" s="34"/>
      <c r="AR52" s="34"/>
      <c r="AS52" s="34"/>
      <c r="AT52" s="34"/>
      <c r="AU52" s="34"/>
      <c r="AV52" s="34"/>
      <c r="AW52" s="286"/>
      <c r="AX52" s="285"/>
      <c r="AY52" s="286"/>
      <c r="AZ52" s="34"/>
      <c r="BA52" s="34"/>
      <c r="BB52" s="34"/>
      <c r="BC52" s="34"/>
      <c r="BD52" s="34"/>
      <c r="BE52" s="34"/>
      <c r="BF52" s="286"/>
      <c r="BG52" s="285"/>
      <c r="BH52" s="286"/>
      <c r="BI52" s="34"/>
      <c r="BJ52" s="34"/>
      <c r="BK52" s="34"/>
      <c r="BL52" s="34"/>
      <c r="BM52" s="34"/>
      <c r="BN52" s="34"/>
      <c r="BO52" s="34"/>
      <c r="BP52" s="34"/>
      <c r="BQ52" s="286"/>
      <c r="BR52" s="285"/>
      <c r="BS52" s="286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286"/>
      <c r="CJ52" s="285"/>
      <c r="CK52" s="286"/>
      <c r="CL52" s="34"/>
      <c r="CM52" s="34"/>
      <c r="CN52" s="34"/>
      <c r="CO52" s="34"/>
      <c r="CP52" s="26" t="s">
        <v>152</v>
      </c>
      <c r="CQ52" s="26"/>
      <c r="CR52" s="26"/>
      <c r="CS52" s="26"/>
      <c r="CU52" s="34"/>
      <c r="CV52" s="34"/>
      <c r="CW52" s="34"/>
      <c r="CX52" s="34"/>
      <c r="CY52" s="34"/>
      <c r="CZ52" s="286"/>
      <c r="DA52" s="285"/>
      <c r="DB52" s="286"/>
    </row>
    <row r="53" spans="1:106" s="42" customFormat="1" x14ac:dyDescent="0.3">
      <c r="A53" s="26"/>
      <c r="B53" s="26"/>
      <c r="C53" s="20"/>
      <c r="D53" s="26"/>
      <c r="E53" s="20"/>
      <c r="F53" s="26"/>
      <c r="G53" s="286"/>
      <c r="H53" s="285"/>
      <c r="I53" s="286"/>
      <c r="J53" s="34"/>
      <c r="K53" s="34"/>
      <c r="L53" s="34"/>
      <c r="M53" s="34"/>
      <c r="N53" s="34"/>
      <c r="O53" s="34"/>
      <c r="P53" s="34"/>
      <c r="Q53" s="286"/>
      <c r="R53" s="285"/>
      <c r="S53" s="34"/>
      <c r="T53" s="26" t="s">
        <v>32</v>
      </c>
      <c r="U53" s="26"/>
      <c r="V53" s="37"/>
      <c r="W53" s="37"/>
      <c r="X53" s="37"/>
      <c r="Y53" s="32">
        <f>+Y51+Y52</f>
        <v>-1100</v>
      </c>
      <c r="Z53" s="34"/>
      <c r="AA53" s="34"/>
      <c r="AB53" s="285"/>
      <c r="AC53" s="286"/>
      <c r="AD53" s="20"/>
      <c r="AE53" s="20"/>
      <c r="AF53" s="20" t="s">
        <v>543</v>
      </c>
      <c r="AG53" s="46">
        <f>+AG52+AG51</f>
        <v>1626599.0051475365</v>
      </c>
      <c r="AH53" s="46">
        <f>+AH52+AH51</f>
        <v>7863400.9951893892</v>
      </c>
      <c r="AI53" s="46">
        <f>+AI52+AI51</f>
        <v>9490000.0003369264</v>
      </c>
      <c r="AJ53" s="46">
        <f>+AJ52+AJ51</f>
        <v>28678780.001018189</v>
      </c>
      <c r="AK53" s="34"/>
      <c r="AL53" s="34"/>
      <c r="AM53" s="286"/>
      <c r="AN53" s="285"/>
      <c r="AO53" s="286"/>
      <c r="AP53" s="34"/>
      <c r="AQ53" s="34"/>
      <c r="AR53" s="34"/>
      <c r="AS53" s="34"/>
      <c r="AT53" s="34"/>
      <c r="AU53" s="34"/>
      <c r="AV53" s="34"/>
      <c r="AW53" s="286"/>
      <c r="AX53" s="285"/>
      <c r="AY53" s="286"/>
      <c r="AZ53" s="34"/>
      <c r="BA53" s="34"/>
      <c r="BB53" s="34"/>
      <c r="BC53" s="34"/>
      <c r="BD53" s="34"/>
      <c r="BE53" s="34"/>
      <c r="BF53" s="286"/>
      <c r="BG53" s="285"/>
      <c r="BH53" s="286"/>
      <c r="BI53" s="34"/>
      <c r="BJ53" s="34"/>
      <c r="BK53" s="34"/>
      <c r="BL53" s="34"/>
      <c r="BM53" s="34"/>
      <c r="BN53" s="34"/>
      <c r="BO53" s="34"/>
      <c r="BP53" s="34"/>
      <c r="BQ53" s="286"/>
      <c r="BR53" s="285"/>
      <c r="BS53" s="286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286"/>
      <c r="CJ53" s="285"/>
      <c r="CK53" s="286"/>
      <c r="CL53" s="34"/>
      <c r="CM53" s="34"/>
      <c r="CN53" s="34"/>
      <c r="CO53" s="46"/>
      <c r="CP53" s="43" t="s">
        <v>228</v>
      </c>
      <c r="CQ53" s="20"/>
      <c r="CR53" s="20"/>
      <c r="CS53" s="20"/>
      <c r="CU53" s="34">
        <f ca="1">+BW11</f>
        <v>-200</v>
      </c>
      <c r="CV53" s="34"/>
      <c r="CW53" s="34"/>
      <c r="CX53" s="34"/>
      <c r="CY53" s="34"/>
      <c r="CZ53" s="286"/>
      <c r="DA53" s="285"/>
      <c r="DB53" s="286"/>
    </row>
    <row r="54" spans="1:106" s="42" customFormat="1" x14ac:dyDescent="0.3">
      <c r="A54" s="26"/>
      <c r="B54" s="26"/>
      <c r="C54" s="20"/>
      <c r="D54" s="20"/>
      <c r="E54" s="20"/>
      <c r="F54" s="26"/>
      <c r="G54" s="286"/>
      <c r="H54" s="285"/>
      <c r="I54" s="286"/>
      <c r="J54" s="34"/>
      <c r="K54" s="34"/>
      <c r="L54" s="34"/>
      <c r="M54" s="34"/>
      <c r="N54" s="34"/>
      <c r="O54" s="34"/>
      <c r="P54" s="34"/>
      <c r="Q54" s="286"/>
      <c r="R54" s="285"/>
      <c r="S54" s="34"/>
      <c r="T54" s="16" t="s">
        <v>296</v>
      </c>
      <c r="U54" s="16"/>
      <c r="V54" s="48"/>
      <c r="W54" s="48"/>
      <c r="X54" s="48"/>
      <c r="Y54" s="49">
        <f>+Y49+Y53</f>
        <v>800</v>
      </c>
      <c r="Z54" s="19"/>
      <c r="AA54" s="34">
        <f>+Y54-D14</f>
        <v>0</v>
      </c>
      <c r="AB54" s="285"/>
      <c r="AC54" s="286"/>
      <c r="AD54" s="20"/>
      <c r="AE54" s="20"/>
      <c r="AF54" s="20" t="s">
        <v>544</v>
      </c>
      <c r="AG54" s="46">
        <f>+AG53*AF57</f>
        <v>4915582.1935558552</v>
      </c>
      <c r="AH54" s="46">
        <f>+AH53*AF57</f>
        <v>23763197.807462331</v>
      </c>
      <c r="AI54" s="46">
        <f>+AI53*AF57</f>
        <v>28678780.001018189</v>
      </c>
      <c r="AJ54" s="34"/>
      <c r="AK54" s="34"/>
      <c r="AL54" s="34"/>
      <c r="AM54" s="286"/>
      <c r="AN54" s="285"/>
      <c r="AO54" s="286"/>
      <c r="AP54" s="34"/>
      <c r="AQ54" s="34"/>
      <c r="AR54" s="34"/>
      <c r="AS54" s="34"/>
      <c r="AT54" s="34"/>
      <c r="AU54" s="34"/>
      <c r="AV54" s="34"/>
      <c r="AW54" s="286"/>
      <c r="AX54" s="285"/>
      <c r="AY54" s="286"/>
      <c r="AZ54" s="34"/>
      <c r="BA54" s="34"/>
      <c r="BB54" s="34"/>
      <c r="BC54" s="34"/>
      <c r="BD54" s="34"/>
      <c r="BE54" s="34"/>
      <c r="BF54" s="286"/>
      <c r="BG54" s="285"/>
      <c r="BH54" s="286"/>
      <c r="BI54" s="34"/>
      <c r="BJ54" s="34"/>
      <c r="BK54" s="34"/>
      <c r="BL54" s="34"/>
      <c r="BM54" s="34"/>
      <c r="BN54" s="34"/>
      <c r="BO54" s="34"/>
      <c r="BP54" s="34"/>
      <c r="BQ54" s="286"/>
      <c r="BR54" s="285"/>
      <c r="BS54" s="286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286"/>
      <c r="CJ54" s="285"/>
      <c r="CK54" s="286"/>
      <c r="CL54" s="34"/>
      <c r="CM54" s="34"/>
      <c r="CN54" s="34"/>
      <c r="CO54" s="46"/>
      <c r="CP54" s="43" t="s">
        <v>521</v>
      </c>
      <c r="CQ54" s="20"/>
      <c r="CR54" s="20"/>
      <c r="CS54" s="20"/>
      <c r="CU54" s="34">
        <f ca="1">+BZ12</f>
        <v>-1500</v>
      </c>
      <c r="CV54" s="34"/>
      <c r="CW54" s="34"/>
      <c r="CX54" s="34"/>
      <c r="CY54" s="34"/>
      <c r="CZ54" s="286"/>
      <c r="DA54" s="285"/>
      <c r="DB54" s="286"/>
    </row>
    <row r="55" spans="1:106" s="42" customFormat="1" x14ac:dyDescent="0.3">
      <c r="A55" s="26"/>
      <c r="B55" s="26"/>
      <c r="C55" s="20"/>
      <c r="D55" s="20"/>
      <c r="E55" s="20"/>
      <c r="F55" s="26"/>
      <c r="G55" s="286"/>
      <c r="H55" s="285"/>
      <c r="I55" s="286"/>
      <c r="J55" s="26"/>
      <c r="K55" s="26"/>
      <c r="L55" s="26"/>
      <c r="M55" s="26"/>
      <c r="N55" s="26"/>
      <c r="O55" s="26"/>
      <c r="P55" s="26"/>
      <c r="Q55" s="286"/>
      <c r="R55" s="285"/>
      <c r="S55" s="34"/>
      <c r="T55" s="20"/>
      <c r="U55" s="20"/>
      <c r="V55" s="34"/>
      <c r="W55" s="34"/>
      <c r="X55" s="34"/>
      <c r="Y55" s="34"/>
      <c r="Z55" s="34"/>
      <c r="AA55" s="34"/>
      <c r="AB55" s="285"/>
      <c r="AC55" s="286"/>
      <c r="AD55" s="50" t="s">
        <v>520</v>
      </c>
      <c r="AE55" s="20"/>
      <c r="AF55" s="20"/>
      <c r="AG55" s="20"/>
      <c r="AH55" s="20"/>
      <c r="AI55" s="20"/>
      <c r="AJ55" s="20"/>
      <c r="AK55" s="34"/>
      <c r="AL55" s="34"/>
      <c r="AM55" s="286"/>
      <c r="AN55" s="285"/>
      <c r="AO55" s="286"/>
      <c r="AP55" s="34"/>
      <c r="AQ55" s="34"/>
      <c r="AR55" s="34"/>
      <c r="AS55" s="34"/>
      <c r="AT55" s="34"/>
      <c r="AU55" s="34"/>
      <c r="AV55" s="34"/>
      <c r="AW55" s="286"/>
      <c r="AX55" s="285"/>
      <c r="AY55" s="286"/>
      <c r="AZ55" s="34"/>
      <c r="BA55" s="34"/>
      <c r="BB55" s="34"/>
      <c r="BC55" s="34"/>
      <c r="BD55" s="34"/>
      <c r="BE55" s="34"/>
      <c r="BF55" s="286"/>
      <c r="BG55" s="285"/>
      <c r="BH55" s="286"/>
      <c r="BI55" s="34"/>
      <c r="BJ55" s="34"/>
      <c r="BK55" s="34"/>
      <c r="BL55" s="34"/>
      <c r="BM55" s="34"/>
      <c r="BN55" s="34"/>
      <c r="BO55" s="34"/>
      <c r="BP55" s="34"/>
      <c r="BQ55" s="286"/>
      <c r="BR55" s="285"/>
      <c r="BS55" s="286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286"/>
      <c r="CJ55" s="285"/>
      <c r="CK55" s="286"/>
      <c r="CL55" s="34"/>
      <c r="CM55" s="34"/>
      <c r="CN55" s="34"/>
      <c r="CO55" s="46"/>
      <c r="CP55" s="43" t="s">
        <v>229</v>
      </c>
      <c r="CQ55" s="20"/>
      <c r="CR55" s="20"/>
      <c r="CS55" s="20"/>
      <c r="CU55" s="34">
        <f ca="1">+BZ16</f>
        <v>1811</v>
      </c>
      <c r="CV55" s="34"/>
      <c r="CW55" s="34"/>
      <c r="CX55" s="34"/>
      <c r="CY55" s="34"/>
      <c r="CZ55" s="286"/>
      <c r="DA55" s="285"/>
      <c r="DB55" s="286"/>
    </row>
    <row r="56" spans="1:106" s="42" customFormat="1" x14ac:dyDescent="0.3">
      <c r="A56" s="26"/>
      <c r="B56" s="26"/>
      <c r="C56" s="20"/>
      <c r="D56" s="20"/>
      <c r="E56" s="20"/>
      <c r="F56" s="26"/>
      <c r="G56" s="286"/>
      <c r="H56" s="285"/>
      <c r="I56" s="286"/>
      <c r="J56" s="26"/>
      <c r="K56" s="26"/>
      <c r="L56" s="26"/>
      <c r="M56" s="26"/>
      <c r="N56" s="26"/>
      <c r="O56" s="26"/>
      <c r="P56" s="26"/>
      <c r="Q56" s="286"/>
      <c r="R56" s="285"/>
      <c r="S56" s="286"/>
      <c r="T56" s="16" t="s">
        <v>28</v>
      </c>
      <c r="U56" s="46"/>
      <c r="V56" s="46"/>
      <c r="W56" s="46"/>
      <c r="X56" s="46"/>
      <c r="Y56" s="19"/>
      <c r="Z56" s="19"/>
      <c r="AA56" s="34"/>
      <c r="AB56" s="285"/>
      <c r="AC56" s="286"/>
      <c r="AD56" s="50" t="s">
        <v>538</v>
      </c>
      <c r="AE56" s="20"/>
      <c r="AF56" s="302">
        <v>3</v>
      </c>
      <c r="AG56" s="20"/>
      <c r="AH56" s="20"/>
      <c r="AI56" s="20"/>
      <c r="AJ56" s="35"/>
      <c r="AK56" s="34"/>
      <c r="AL56" s="34"/>
      <c r="AM56" s="286"/>
      <c r="AN56" s="285"/>
      <c r="AO56" s="286"/>
      <c r="AP56" s="34"/>
      <c r="AQ56" s="34"/>
      <c r="AR56" s="34"/>
      <c r="AS56" s="34"/>
      <c r="AT56" s="34"/>
      <c r="AU56" s="34"/>
      <c r="AV56" s="34"/>
      <c r="AW56" s="286"/>
      <c r="AX56" s="285"/>
      <c r="AY56" s="286"/>
      <c r="AZ56" s="34"/>
      <c r="BA56" s="34"/>
      <c r="BB56" s="34"/>
      <c r="BC56" s="34"/>
      <c r="BD56" s="34"/>
      <c r="BE56" s="34"/>
      <c r="BF56" s="286"/>
      <c r="BG56" s="285"/>
      <c r="BH56" s="286"/>
      <c r="BI56" s="34"/>
      <c r="BJ56" s="34"/>
      <c r="BK56" s="34"/>
      <c r="BL56" s="34"/>
      <c r="BM56" s="34"/>
      <c r="BN56" s="34"/>
      <c r="BO56" s="34"/>
      <c r="BP56" s="34"/>
      <c r="BQ56" s="286"/>
      <c r="BR56" s="285"/>
      <c r="BS56" s="286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286"/>
      <c r="CJ56" s="285"/>
      <c r="CK56" s="286"/>
      <c r="CL56" s="34"/>
      <c r="CM56" s="34"/>
      <c r="CN56" s="34"/>
      <c r="CO56" s="34"/>
      <c r="CP56" s="85" t="s">
        <v>145</v>
      </c>
      <c r="CQ56" s="38"/>
      <c r="CR56" s="38"/>
      <c r="CS56" s="38"/>
      <c r="CT56" s="38"/>
      <c r="CU56" s="86">
        <f ca="1">SUM(CU40:CU55)</f>
        <v>22439</v>
      </c>
      <c r="CV56" s="34">
        <f ca="1">+CU56-CT22</f>
        <v>0</v>
      </c>
      <c r="CW56" s="34"/>
      <c r="CX56" s="34"/>
      <c r="CY56" s="34"/>
      <c r="CZ56" s="286"/>
      <c r="DA56" s="285"/>
      <c r="DB56" s="286"/>
    </row>
    <row r="57" spans="1:106" s="42" customFormat="1" x14ac:dyDescent="0.3">
      <c r="A57" s="26"/>
      <c r="B57" s="26"/>
      <c r="C57" s="20"/>
      <c r="D57" s="20"/>
      <c r="E57" s="20"/>
      <c r="F57" s="26"/>
      <c r="G57" s="286"/>
      <c r="H57" s="285"/>
      <c r="I57" s="286"/>
      <c r="J57" s="26"/>
      <c r="K57" s="26"/>
      <c r="L57" s="26"/>
      <c r="M57" s="26"/>
      <c r="N57" s="26"/>
      <c r="O57" s="26"/>
      <c r="P57" s="26"/>
      <c r="Q57" s="286"/>
      <c r="R57" s="285"/>
      <c r="S57" s="286"/>
      <c r="T57" s="16" t="s">
        <v>35</v>
      </c>
      <c r="U57" s="16"/>
      <c r="V57" s="46"/>
      <c r="W57" s="46"/>
      <c r="X57" s="46"/>
      <c r="Y57" s="19" t="s">
        <v>387</v>
      </c>
      <c r="Z57" s="19"/>
      <c r="AA57" s="34"/>
      <c r="AB57" s="285"/>
      <c r="AC57" s="286"/>
      <c r="AD57" s="50" t="s">
        <v>539</v>
      </c>
      <c r="AE57" s="20"/>
      <c r="AF57" s="302">
        <v>3.0219999999999998</v>
      </c>
      <c r="AG57" s="20"/>
      <c r="AH57" s="20"/>
      <c r="AI57" s="20"/>
      <c r="AJ57" s="35"/>
      <c r="AK57" s="34"/>
      <c r="AL57" s="34"/>
      <c r="AM57" s="286"/>
      <c r="AN57" s="285"/>
      <c r="AO57" s="286"/>
      <c r="AP57" s="34"/>
      <c r="AQ57" s="34"/>
      <c r="AR57" s="34"/>
      <c r="AS57" s="34"/>
      <c r="AT57" s="34"/>
      <c r="AU57" s="34"/>
      <c r="AV57" s="34"/>
      <c r="AW57" s="286"/>
      <c r="AX57" s="285"/>
      <c r="AY57" s="286"/>
      <c r="AZ57" s="34"/>
      <c r="BA57" s="34"/>
      <c r="BB57" s="34"/>
      <c r="BC57" s="34"/>
      <c r="BD57" s="34"/>
      <c r="BE57" s="34"/>
      <c r="BF57" s="286"/>
      <c r="BG57" s="285"/>
      <c r="BH57" s="286"/>
      <c r="BI57" s="34"/>
      <c r="BJ57" s="34"/>
      <c r="BK57" s="34"/>
      <c r="BL57" s="34"/>
      <c r="BM57" s="34"/>
      <c r="BN57" s="34"/>
      <c r="BO57" s="34"/>
      <c r="BP57" s="34"/>
      <c r="BQ57" s="286"/>
      <c r="BR57" s="285"/>
      <c r="BS57" s="286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286"/>
      <c r="CJ57" s="285"/>
      <c r="CK57" s="286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286"/>
      <c r="DA57" s="285"/>
      <c r="DB57" s="286"/>
    </row>
    <row r="58" spans="1:106" s="42" customFormat="1" x14ac:dyDescent="0.3">
      <c r="A58" s="26"/>
      <c r="B58" s="26"/>
      <c r="C58" s="20"/>
      <c r="D58" s="20"/>
      <c r="E58" s="20"/>
      <c r="F58" s="26"/>
      <c r="G58" s="286"/>
      <c r="H58" s="285"/>
      <c r="I58" s="286"/>
      <c r="J58" s="26"/>
      <c r="K58" s="26"/>
      <c r="L58" s="26"/>
      <c r="M58" s="26"/>
      <c r="N58" s="26"/>
      <c r="O58" s="26"/>
      <c r="P58" s="26"/>
      <c r="Q58" s="286"/>
      <c r="R58" s="285"/>
      <c r="S58" s="286"/>
      <c r="T58" s="26" t="s">
        <v>30</v>
      </c>
      <c r="U58" s="26"/>
      <c r="V58" s="34"/>
      <c r="W58" s="34"/>
      <c r="X58" s="34"/>
      <c r="Y58" s="37">
        <v>25000</v>
      </c>
      <c r="Z58" s="34"/>
      <c r="AA58" s="34">
        <f>+Y58+Y63-E15</f>
        <v>0</v>
      </c>
      <c r="AB58" s="285"/>
      <c r="AC58" s="286"/>
      <c r="AD58" s="50" t="s">
        <v>540</v>
      </c>
      <c r="AE58" s="20"/>
      <c r="AF58" s="302">
        <v>3.0110000000000001</v>
      </c>
      <c r="AG58" s="20"/>
      <c r="AH58" s="20"/>
      <c r="AI58" s="20"/>
      <c r="AJ58" s="35"/>
      <c r="AK58" s="34"/>
      <c r="AL58" s="34"/>
      <c r="AM58" s="286"/>
      <c r="AN58" s="285"/>
      <c r="AO58" s="286"/>
      <c r="AP58" s="34"/>
      <c r="AQ58" s="34"/>
      <c r="AR58" s="34"/>
      <c r="AS58" s="34"/>
      <c r="AT58" s="34"/>
      <c r="AU58" s="34"/>
      <c r="AV58" s="34"/>
      <c r="AW58" s="286"/>
      <c r="AX58" s="285"/>
      <c r="AY58" s="286"/>
      <c r="AZ58" s="34"/>
      <c r="BA58" s="34"/>
      <c r="BB58" s="34"/>
      <c r="BC58" s="34"/>
      <c r="BD58" s="34"/>
      <c r="BE58" s="34"/>
      <c r="BF58" s="286"/>
      <c r="BG58" s="285"/>
      <c r="BH58" s="286"/>
      <c r="BI58" s="34"/>
      <c r="BJ58" s="34"/>
      <c r="BK58" s="34"/>
      <c r="BL58" s="34"/>
      <c r="BM58" s="34"/>
      <c r="BN58" s="34"/>
      <c r="BO58" s="34"/>
      <c r="BP58" s="34"/>
      <c r="BQ58" s="286"/>
      <c r="BR58" s="285"/>
      <c r="BS58" s="286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286"/>
      <c r="CJ58" s="285"/>
      <c r="CK58" s="286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286"/>
      <c r="DA58" s="285"/>
      <c r="DB58" s="286"/>
    </row>
    <row r="59" spans="1:106" s="42" customFormat="1" x14ac:dyDescent="0.3">
      <c r="A59" s="26"/>
      <c r="B59" s="26"/>
      <c r="C59" s="20"/>
      <c r="D59" s="20"/>
      <c r="E59" s="20"/>
      <c r="F59" s="26"/>
      <c r="G59" s="286"/>
      <c r="H59" s="285"/>
      <c r="I59" s="286"/>
      <c r="J59" s="26"/>
      <c r="K59" s="26"/>
      <c r="L59" s="26"/>
      <c r="M59" s="26"/>
      <c r="N59" s="26"/>
      <c r="O59" s="26"/>
      <c r="P59" s="26"/>
      <c r="Q59" s="286"/>
      <c r="R59" s="285"/>
      <c r="S59" s="286"/>
      <c r="T59" s="20" t="s">
        <v>297</v>
      </c>
      <c r="U59" s="20"/>
      <c r="V59" s="34"/>
      <c r="W59" s="34"/>
      <c r="X59" s="34"/>
      <c r="Y59" s="34">
        <v>3000</v>
      </c>
      <c r="Z59" s="34"/>
      <c r="AA59" s="34"/>
      <c r="AB59" s="285"/>
      <c r="AC59" s="286"/>
      <c r="AD59" s="20"/>
      <c r="AE59" s="20"/>
      <c r="AF59" s="20"/>
      <c r="AG59" s="20"/>
      <c r="AH59" s="35" t="s">
        <v>453</v>
      </c>
      <c r="AI59" s="35" t="s">
        <v>26</v>
      </c>
      <c r="AJ59" s="35"/>
      <c r="AK59" s="35" t="s">
        <v>454</v>
      </c>
      <c r="AL59" s="34"/>
      <c r="AM59" s="286"/>
      <c r="AN59" s="285"/>
      <c r="AO59" s="286"/>
      <c r="AP59" s="34"/>
      <c r="AQ59" s="34"/>
      <c r="AR59" s="34"/>
      <c r="AS59" s="34"/>
      <c r="AT59" s="34"/>
      <c r="AU59" s="34"/>
      <c r="AV59" s="34"/>
      <c r="AW59" s="286"/>
      <c r="AX59" s="285"/>
      <c r="AY59" s="286"/>
      <c r="AZ59" s="34"/>
      <c r="BA59" s="34"/>
      <c r="BB59" s="34"/>
      <c r="BC59" s="34"/>
      <c r="BD59" s="34"/>
      <c r="BE59" s="34"/>
      <c r="BF59" s="286"/>
      <c r="BG59" s="285"/>
      <c r="BH59" s="286"/>
      <c r="BI59" s="34"/>
      <c r="BJ59" s="34"/>
      <c r="BK59" s="34"/>
      <c r="BL59" s="34"/>
      <c r="BM59" s="34"/>
      <c r="BN59" s="34"/>
      <c r="BO59" s="34"/>
      <c r="BP59" s="34"/>
      <c r="BQ59" s="286"/>
      <c r="BR59" s="285"/>
      <c r="BS59" s="286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286"/>
      <c r="CJ59" s="285"/>
      <c r="CK59" s="286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286"/>
      <c r="DA59" s="285"/>
      <c r="DB59" s="286"/>
    </row>
    <row r="60" spans="1:106" s="42" customFormat="1" x14ac:dyDescent="0.3">
      <c r="A60" s="26"/>
      <c r="B60" s="26"/>
      <c r="C60" s="20"/>
      <c r="D60" s="20"/>
      <c r="E60" s="20"/>
      <c r="F60" s="26"/>
      <c r="G60" s="286"/>
      <c r="H60" s="285"/>
      <c r="I60" s="286"/>
      <c r="J60" s="26"/>
      <c r="K60" s="26"/>
      <c r="L60" s="26"/>
      <c r="M60" s="26"/>
      <c r="N60" s="26"/>
      <c r="O60" s="26"/>
      <c r="P60" s="26"/>
      <c r="Q60" s="286"/>
      <c r="R60" s="285"/>
      <c r="S60" s="286"/>
      <c r="T60" s="20" t="s">
        <v>39</v>
      </c>
      <c r="U60" s="20"/>
      <c r="V60" s="34"/>
      <c r="W60" s="34"/>
      <c r="X60" s="34"/>
      <c r="Y60" s="32">
        <v>9000</v>
      </c>
      <c r="Z60" s="34"/>
      <c r="AA60" s="34"/>
      <c r="AB60" s="285"/>
      <c r="AC60" s="286"/>
      <c r="AD60" s="20"/>
      <c r="AE60" s="26" t="s">
        <v>536</v>
      </c>
      <c r="AF60" s="20"/>
      <c r="AG60" s="20"/>
      <c r="AH60" s="35" t="s">
        <v>535</v>
      </c>
      <c r="AI60" s="35" t="s">
        <v>535</v>
      </c>
      <c r="AJ60" s="35" t="s">
        <v>535</v>
      </c>
      <c r="AK60" s="35" t="s">
        <v>535</v>
      </c>
      <c r="AL60" s="34"/>
      <c r="AM60" s="286"/>
      <c r="AN60" s="285"/>
      <c r="AO60" s="286"/>
      <c r="AP60" s="34"/>
      <c r="AQ60" s="34"/>
      <c r="AR60" s="34"/>
      <c r="AS60" s="34"/>
      <c r="AT60" s="34"/>
      <c r="AU60" s="34"/>
      <c r="AV60" s="34"/>
      <c r="AW60" s="286"/>
      <c r="AX60" s="285"/>
      <c r="AY60" s="286"/>
      <c r="AZ60" s="34"/>
      <c r="BA60" s="34"/>
      <c r="BB60" s="34"/>
      <c r="BC60" s="34"/>
      <c r="BD60" s="34"/>
      <c r="BE60" s="34"/>
      <c r="BF60" s="286"/>
      <c r="BG60" s="285"/>
      <c r="BH60" s="286"/>
      <c r="BI60" s="34"/>
      <c r="BJ60" s="34"/>
      <c r="BK60" s="34"/>
      <c r="BL60" s="34"/>
      <c r="BM60" s="34"/>
      <c r="BN60" s="34"/>
      <c r="BO60" s="34"/>
      <c r="BP60" s="34"/>
      <c r="BQ60" s="286"/>
      <c r="BR60" s="285"/>
      <c r="BS60" s="286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286"/>
      <c r="CJ60" s="285"/>
      <c r="CK60" s="286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286"/>
      <c r="DA60" s="285"/>
      <c r="DB60" s="286"/>
    </row>
    <row r="61" spans="1:106" s="42" customFormat="1" x14ac:dyDescent="0.3">
      <c r="A61" s="26"/>
      <c r="B61" s="26"/>
      <c r="C61" s="20"/>
      <c r="D61" s="20"/>
      <c r="E61" s="20"/>
      <c r="F61" s="26"/>
      <c r="G61" s="286"/>
      <c r="H61" s="285"/>
      <c r="I61" s="286"/>
      <c r="J61" s="26"/>
      <c r="K61" s="26"/>
      <c r="L61" s="26"/>
      <c r="M61" s="26"/>
      <c r="N61" s="26"/>
      <c r="O61" s="26"/>
      <c r="P61" s="26"/>
      <c r="Q61" s="286"/>
      <c r="R61" s="285"/>
      <c r="S61" s="286"/>
      <c r="T61" s="26" t="s">
        <v>32</v>
      </c>
      <c r="U61" s="26"/>
      <c r="V61" s="37"/>
      <c r="W61" s="37"/>
      <c r="X61" s="37"/>
      <c r="Y61" s="47">
        <f>SUM(Y58:Y60)</f>
        <v>37000</v>
      </c>
      <c r="Z61" s="34"/>
      <c r="AA61" s="34"/>
      <c r="AB61" s="285"/>
      <c r="AC61" s="286"/>
      <c r="AD61" s="20"/>
      <c r="AE61" s="20" t="s">
        <v>197</v>
      </c>
      <c r="AF61" s="20"/>
      <c r="AG61" s="20"/>
      <c r="AH61" s="34">
        <v>6000</v>
      </c>
      <c r="AI61" s="34">
        <v>-828</v>
      </c>
      <c r="AJ61" s="34"/>
      <c r="AK61" s="34">
        <f>+AH61+AI61+AJ61</f>
        <v>5172</v>
      </c>
      <c r="AL61" s="34"/>
      <c r="AM61" s="286"/>
      <c r="AN61" s="285"/>
      <c r="AO61" s="286"/>
      <c r="AP61" s="34"/>
      <c r="AQ61" s="34"/>
      <c r="AR61" s="34"/>
      <c r="AS61" s="34"/>
      <c r="AT61" s="34"/>
      <c r="AU61" s="34"/>
      <c r="AV61" s="34"/>
      <c r="AW61" s="286"/>
      <c r="AX61" s="285"/>
      <c r="AY61" s="286"/>
      <c r="AZ61" s="34"/>
      <c r="BA61" s="34"/>
      <c r="BB61" s="34"/>
      <c r="BC61" s="34"/>
      <c r="BD61" s="34"/>
      <c r="BE61" s="34"/>
      <c r="BF61" s="286"/>
      <c r="BG61" s="285"/>
      <c r="BH61" s="286"/>
      <c r="BI61" s="34"/>
      <c r="BJ61" s="34"/>
      <c r="BK61" s="34"/>
      <c r="BL61" s="34"/>
      <c r="BM61" s="34"/>
      <c r="BN61" s="34"/>
      <c r="BO61" s="34"/>
      <c r="BP61" s="34"/>
      <c r="BQ61" s="286"/>
      <c r="BR61" s="285"/>
      <c r="BS61" s="286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286"/>
      <c r="CJ61" s="285"/>
      <c r="CK61" s="286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286"/>
      <c r="DA61" s="285"/>
      <c r="DB61" s="286"/>
    </row>
    <row r="62" spans="1:106" s="42" customFormat="1" x14ac:dyDescent="0.3">
      <c r="A62" s="26"/>
      <c r="B62" s="26"/>
      <c r="C62" s="20"/>
      <c r="D62" s="20"/>
      <c r="E62" s="20"/>
      <c r="F62" s="26"/>
      <c r="G62" s="286"/>
      <c r="H62" s="285"/>
      <c r="I62" s="286"/>
      <c r="J62" s="26"/>
      <c r="K62" s="26"/>
      <c r="L62" s="26"/>
      <c r="M62" s="26"/>
      <c r="N62" s="26"/>
      <c r="O62" s="26"/>
      <c r="P62" s="26"/>
      <c r="Q62" s="286"/>
      <c r="R62" s="285"/>
      <c r="S62" s="286"/>
      <c r="T62" s="16" t="s">
        <v>36</v>
      </c>
      <c r="U62" s="16"/>
      <c r="V62" s="46"/>
      <c r="W62" s="46"/>
      <c r="X62" s="46"/>
      <c r="Y62" s="19"/>
      <c r="Z62" s="34"/>
      <c r="AA62" s="34"/>
      <c r="AB62" s="285"/>
      <c r="AC62" s="286"/>
      <c r="AD62" s="20"/>
      <c r="AE62" s="20" t="s">
        <v>198</v>
      </c>
      <c r="AF62" s="20"/>
      <c r="AG62" s="20"/>
      <c r="AH62" s="34">
        <v>5000</v>
      </c>
      <c r="AI62" s="34">
        <v>-682</v>
      </c>
      <c r="AJ62" s="34"/>
      <c r="AK62" s="34">
        <f>+AH62+AI62+AJ62</f>
        <v>4318</v>
      </c>
      <c r="AL62" s="34"/>
      <c r="AM62" s="286"/>
      <c r="AN62" s="285"/>
      <c r="AO62" s="286"/>
      <c r="AP62" s="34"/>
      <c r="AQ62" s="34"/>
      <c r="AR62" s="34"/>
      <c r="AS62" s="34"/>
      <c r="AT62" s="34"/>
      <c r="AU62" s="34"/>
      <c r="AV62" s="34"/>
      <c r="AW62" s="286"/>
      <c r="AX62" s="285"/>
      <c r="AY62" s="286"/>
      <c r="AZ62" s="34"/>
      <c r="BA62" s="34"/>
      <c r="BB62" s="34"/>
      <c r="BC62" s="34"/>
      <c r="BD62" s="34"/>
      <c r="BE62" s="34"/>
      <c r="BF62" s="286"/>
      <c r="BG62" s="285"/>
      <c r="BH62" s="286"/>
      <c r="BI62" s="34"/>
      <c r="BJ62" s="34"/>
      <c r="BK62" s="34"/>
      <c r="BL62" s="34"/>
      <c r="BM62" s="34"/>
      <c r="BN62" s="34"/>
      <c r="BO62" s="34"/>
      <c r="BP62" s="34"/>
      <c r="BQ62" s="286"/>
      <c r="BR62" s="285"/>
      <c r="BS62" s="286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286"/>
      <c r="CJ62" s="285"/>
      <c r="CK62" s="286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286"/>
      <c r="DA62" s="285"/>
      <c r="DB62" s="286"/>
    </row>
    <row r="63" spans="1:106" s="42" customFormat="1" x14ac:dyDescent="0.3">
      <c r="A63" s="26"/>
      <c r="B63" s="26"/>
      <c r="C63" s="20"/>
      <c r="D63" s="20"/>
      <c r="E63" s="20"/>
      <c r="F63" s="26"/>
      <c r="G63" s="286"/>
      <c r="H63" s="285"/>
      <c r="I63" s="286"/>
      <c r="J63" s="26"/>
      <c r="K63" s="26"/>
      <c r="L63" s="26"/>
      <c r="M63" s="26"/>
      <c r="N63" s="26"/>
      <c r="O63" s="26"/>
      <c r="P63" s="26"/>
      <c r="Q63" s="286"/>
      <c r="R63" s="285"/>
      <c r="S63" s="286"/>
      <c r="T63" s="26" t="s">
        <v>30</v>
      </c>
      <c r="U63" s="26"/>
      <c r="V63" s="34"/>
      <c r="W63" s="34"/>
      <c r="X63" s="34"/>
      <c r="Y63" s="37">
        <v>-5000</v>
      </c>
      <c r="Z63" s="34"/>
      <c r="AA63" s="34"/>
      <c r="AB63" s="285"/>
      <c r="AC63" s="286"/>
      <c r="AD63" s="20"/>
      <c r="AE63" s="20"/>
      <c r="AF63" s="20"/>
      <c r="AG63" s="20"/>
      <c r="AH63" s="46">
        <f>+AH61+AH62</f>
        <v>11000</v>
      </c>
      <c r="AI63" s="46">
        <f t="shared" ref="AI63" si="22">+AI61+AI62</f>
        <v>-1510</v>
      </c>
      <c r="AJ63" s="46"/>
      <c r="AK63" s="46">
        <f>+AK61+AK62</f>
        <v>9490</v>
      </c>
      <c r="AL63" s="34"/>
      <c r="AM63" s="286"/>
      <c r="AN63" s="285"/>
      <c r="AO63" s="286"/>
      <c r="AP63" s="34"/>
      <c r="AQ63" s="34"/>
      <c r="AR63" s="34"/>
      <c r="AS63" s="34"/>
      <c r="AT63" s="34"/>
      <c r="AU63" s="34"/>
      <c r="AV63" s="34"/>
      <c r="AW63" s="286"/>
      <c r="AX63" s="285"/>
      <c r="AY63" s="286"/>
      <c r="AZ63" s="34"/>
      <c r="BA63" s="34"/>
      <c r="BB63" s="34"/>
      <c r="BC63" s="34"/>
      <c r="BD63" s="34"/>
      <c r="BE63" s="34"/>
      <c r="BF63" s="286"/>
      <c r="BG63" s="285"/>
      <c r="BH63" s="286"/>
      <c r="BI63" s="34"/>
      <c r="BJ63" s="34"/>
      <c r="BK63" s="34"/>
      <c r="BL63" s="34"/>
      <c r="BM63" s="34"/>
      <c r="BN63" s="34"/>
      <c r="BO63" s="34"/>
      <c r="BP63" s="34"/>
      <c r="BQ63" s="286"/>
      <c r="BR63" s="285"/>
      <c r="BS63" s="286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286"/>
      <c r="CJ63" s="285"/>
      <c r="CK63" s="286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286"/>
      <c r="DA63" s="285"/>
      <c r="DB63" s="286"/>
    </row>
    <row r="64" spans="1:106" s="42" customFormat="1" x14ac:dyDescent="0.3">
      <c r="A64" s="26"/>
      <c r="B64" s="26"/>
      <c r="C64" s="20"/>
      <c r="D64" s="20"/>
      <c r="E64" s="20"/>
      <c r="F64" s="26"/>
      <c r="G64" s="286"/>
      <c r="H64" s="285"/>
      <c r="I64" s="286"/>
      <c r="J64" s="26"/>
      <c r="K64" s="26"/>
      <c r="L64" s="26"/>
      <c r="M64" s="26"/>
      <c r="N64" s="26"/>
      <c r="O64" s="26"/>
      <c r="P64" s="26"/>
      <c r="Q64" s="286"/>
      <c r="R64" s="285"/>
      <c r="S64" s="286"/>
      <c r="T64" s="20" t="s">
        <v>288</v>
      </c>
      <c r="U64" s="20"/>
      <c r="V64" s="34"/>
      <c r="W64" s="34"/>
      <c r="X64" s="34"/>
      <c r="Y64" s="32">
        <v>-2000</v>
      </c>
      <c r="Z64" s="34"/>
      <c r="AA64" s="34"/>
      <c r="AB64" s="285"/>
      <c r="AC64" s="286"/>
      <c r="AD64" s="20"/>
      <c r="AE64" s="20"/>
      <c r="AF64" s="20"/>
      <c r="AG64" s="20"/>
      <c r="AH64" s="20"/>
      <c r="AI64" s="20"/>
      <c r="AJ64" s="20"/>
      <c r="AK64" s="34"/>
      <c r="AL64" s="34"/>
      <c r="AM64" s="286"/>
      <c r="AN64" s="285"/>
      <c r="AO64" s="286"/>
      <c r="AP64" s="34"/>
      <c r="AQ64" s="34"/>
      <c r="AR64" s="34"/>
      <c r="AS64" s="34"/>
      <c r="AT64" s="34"/>
      <c r="AU64" s="34"/>
      <c r="AV64" s="34"/>
      <c r="AW64" s="286"/>
      <c r="AX64" s="285"/>
      <c r="AY64" s="286"/>
      <c r="AZ64" s="34"/>
      <c r="BA64" s="34"/>
      <c r="BB64" s="34"/>
      <c r="BC64" s="34"/>
      <c r="BD64" s="34"/>
      <c r="BE64" s="34"/>
      <c r="BF64" s="286"/>
      <c r="BG64" s="285"/>
      <c r="BH64" s="286"/>
      <c r="BI64" s="34"/>
      <c r="BJ64" s="34"/>
      <c r="BK64" s="34"/>
      <c r="BL64" s="34"/>
      <c r="BM64" s="34"/>
      <c r="BN64" s="34"/>
      <c r="BO64" s="34"/>
      <c r="BP64" s="34"/>
      <c r="BQ64" s="286"/>
      <c r="BR64" s="285"/>
      <c r="BS64" s="286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286"/>
      <c r="CJ64" s="285"/>
      <c r="CK64" s="286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286"/>
      <c r="DA64" s="285"/>
      <c r="DB64" s="286"/>
    </row>
    <row r="65" spans="1:106" s="42" customFormat="1" x14ac:dyDescent="0.3">
      <c r="A65" s="26"/>
      <c r="B65" s="26"/>
      <c r="C65" s="20"/>
      <c r="D65" s="20"/>
      <c r="E65" s="20"/>
      <c r="F65" s="26"/>
      <c r="G65" s="286"/>
      <c r="H65" s="285"/>
      <c r="I65" s="286"/>
      <c r="J65" s="26"/>
      <c r="K65" s="26"/>
      <c r="L65" s="26"/>
      <c r="M65" s="26"/>
      <c r="N65" s="26"/>
      <c r="O65" s="26"/>
      <c r="P65" s="26"/>
      <c r="Q65" s="286"/>
      <c r="R65" s="285"/>
      <c r="S65" s="286"/>
      <c r="T65" s="26" t="s">
        <v>32</v>
      </c>
      <c r="U65" s="26"/>
      <c r="V65" s="37"/>
      <c r="W65" s="37"/>
      <c r="X65" s="37"/>
      <c r="Y65" s="47">
        <f>+Y63+Y64</f>
        <v>-7000</v>
      </c>
      <c r="Z65" s="34"/>
      <c r="AA65" s="34"/>
      <c r="AB65" s="285"/>
      <c r="AC65" s="286"/>
      <c r="AD65" s="20"/>
      <c r="AE65" s="20"/>
      <c r="AF65" s="20"/>
      <c r="AG65" s="20"/>
      <c r="AH65" s="35" t="s">
        <v>453</v>
      </c>
      <c r="AI65" s="35" t="s">
        <v>26</v>
      </c>
      <c r="AJ65" s="35" t="s">
        <v>541</v>
      </c>
      <c r="AK65" s="35" t="s">
        <v>454</v>
      </c>
      <c r="AL65" s="34"/>
      <c r="AM65" s="286"/>
      <c r="AN65" s="285"/>
      <c r="AO65" s="286"/>
      <c r="AP65" s="34"/>
      <c r="AQ65" s="34"/>
      <c r="AR65" s="34"/>
      <c r="AS65" s="34"/>
      <c r="AT65" s="34"/>
      <c r="AU65" s="34"/>
      <c r="AV65" s="34"/>
      <c r="AW65" s="286"/>
      <c r="AX65" s="285"/>
      <c r="AY65" s="286"/>
      <c r="AZ65" s="34"/>
      <c r="BA65" s="34"/>
      <c r="BB65" s="34"/>
      <c r="BC65" s="34"/>
      <c r="BD65" s="34"/>
      <c r="BE65" s="34"/>
      <c r="BF65" s="286"/>
      <c r="BG65" s="285"/>
      <c r="BH65" s="286"/>
      <c r="BI65" s="34"/>
      <c r="BJ65" s="34"/>
      <c r="BK65" s="34"/>
      <c r="BL65" s="34"/>
      <c r="BM65" s="34"/>
      <c r="BN65" s="34"/>
      <c r="BO65" s="34"/>
      <c r="BP65" s="34"/>
      <c r="BQ65" s="286"/>
      <c r="BR65" s="285"/>
      <c r="BS65" s="286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286"/>
      <c r="CJ65" s="285"/>
      <c r="CK65" s="286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286"/>
      <c r="DA65" s="285"/>
      <c r="DB65" s="286"/>
    </row>
    <row r="66" spans="1:106" s="42" customFormat="1" x14ac:dyDescent="0.3">
      <c r="A66" s="26"/>
      <c r="B66" s="26"/>
      <c r="C66" s="20"/>
      <c r="D66" s="20"/>
      <c r="E66" s="20"/>
      <c r="F66" s="26"/>
      <c r="G66" s="286"/>
      <c r="H66" s="285"/>
      <c r="I66" s="286"/>
      <c r="J66" s="26"/>
      <c r="K66" s="26"/>
      <c r="L66" s="26"/>
      <c r="M66" s="26"/>
      <c r="N66" s="26"/>
      <c r="O66" s="26"/>
      <c r="P66" s="26"/>
      <c r="Q66" s="286"/>
      <c r="R66" s="285"/>
      <c r="S66" s="286"/>
      <c r="T66" s="16" t="s">
        <v>63</v>
      </c>
      <c r="U66" s="16"/>
      <c r="V66" s="48"/>
      <c r="W66" s="48"/>
      <c r="X66" s="48"/>
      <c r="Y66" s="49">
        <f>+Y61+Y65</f>
        <v>30000</v>
      </c>
      <c r="Z66" s="34"/>
      <c r="AA66" s="34">
        <f>+Y66-D15</f>
        <v>0</v>
      </c>
      <c r="AB66" s="285"/>
      <c r="AC66" s="286"/>
      <c r="AD66" s="20"/>
      <c r="AE66" s="26" t="s">
        <v>537</v>
      </c>
      <c r="AF66" s="20"/>
      <c r="AG66" s="20"/>
      <c r="AH66" s="35" t="s">
        <v>387</v>
      </c>
      <c r="AI66" s="35" t="s">
        <v>387</v>
      </c>
      <c r="AJ66" s="35" t="s">
        <v>387</v>
      </c>
      <c r="AK66" s="35" t="s">
        <v>387</v>
      </c>
      <c r="AL66" s="34"/>
      <c r="AM66" s="286"/>
      <c r="AN66" s="285"/>
      <c r="AO66" s="286"/>
      <c r="AP66" s="34"/>
      <c r="AQ66" s="34"/>
      <c r="AR66" s="34"/>
      <c r="AS66" s="34"/>
      <c r="AT66" s="34"/>
      <c r="AU66" s="34"/>
      <c r="AV66" s="34"/>
      <c r="AW66" s="286"/>
      <c r="AX66" s="285"/>
      <c r="AY66" s="286"/>
      <c r="AZ66" s="34"/>
      <c r="BA66" s="34"/>
      <c r="BB66" s="34"/>
      <c r="BC66" s="34"/>
      <c r="BD66" s="34"/>
      <c r="BE66" s="34"/>
      <c r="BF66" s="286"/>
      <c r="BG66" s="285"/>
      <c r="BH66" s="286"/>
      <c r="BI66" s="34"/>
      <c r="BJ66" s="34"/>
      <c r="BK66" s="34"/>
      <c r="BL66" s="34"/>
      <c r="BM66" s="34"/>
      <c r="BN66" s="34"/>
      <c r="BO66" s="34"/>
      <c r="BP66" s="34"/>
      <c r="BQ66" s="286"/>
      <c r="BR66" s="285"/>
      <c r="BS66" s="286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286"/>
      <c r="CJ66" s="285"/>
      <c r="CK66" s="286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286"/>
      <c r="DA66" s="285"/>
      <c r="DB66" s="286"/>
    </row>
    <row r="67" spans="1:106" s="42" customFormat="1" x14ac:dyDescent="0.3">
      <c r="A67" s="26"/>
      <c r="B67" s="26"/>
      <c r="C67" s="20"/>
      <c r="D67" s="20"/>
      <c r="E67" s="20"/>
      <c r="F67" s="26"/>
      <c r="G67" s="286"/>
      <c r="H67" s="285"/>
      <c r="I67" s="286"/>
      <c r="J67" s="26"/>
      <c r="K67" s="26"/>
      <c r="L67" s="26"/>
      <c r="M67" s="26"/>
      <c r="N67" s="26"/>
      <c r="O67" s="26"/>
      <c r="P67" s="26"/>
      <c r="Q67" s="286"/>
      <c r="R67" s="285"/>
      <c r="S67" s="286"/>
      <c r="T67" s="34"/>
      <c r="U67" s="34"/>
      <c r="V67" s="34"/>
      <c r="W67" s="34"/>
      <c r="X67" s="34"/>
      <c r="Y67" s="34"/>
      <c r="Z67" s="34"/>
      <c r="AA67" s="34"/>
      <c r="AB67" s="285"/>
      <c r="AC67" s="286"/>
      <c r="AD67" s="20"/>
      <c r="AE67" s="20" t="s">
        <v>197</v>
      </c>
      <c r="AF67" s="20"/>
      <c r="AG67" s="20"/>
      <c r="AH67" s="34">
        <f>AH61*$AF$56</f>
        <v>18000</v>
      </c>
      <c r="AI67" s="34">
        <f>ROUND(+AI61*AF58,0)</f>
        <v>-2493</v>
      </c>
      <c r="AJ67" s="34">
        <f>+AK67-AH67-AI67</f>
        <v>123</v>
      </c>
      <c r="AK67" s="34">
        <f>ROUND(AK61*$AF$57,0)</f>
        <v>15630</v>
      </c>
      <c r="AL67" s="34"/>
      <c r="AM67" s="286"/>
      <c r="AN67" s="285"/>
      <c r="AO67" s="286"/>
      <c r="AP67" s="34"/>
      <c r="AQ67" s="34"/>
      <c r="AR67" s="34"/>
      <c r="AS67" s="34"/>
      <c r="AT67" s="34"/>
      <c r="AU67" s="34"/>
      <c r="AV67" s="34"/>
      <c r="AW67" s="286"/>
      <c r="AX67" s="285"/>
      <c r="AY67" s="286"/>
      <c r="AZ67" s="34"/>
      <c r="BA67" s="34"/>
      <c r="BB67" s="34"/>
      <c r="BC67" s="34"/>
      <c r="BD67" s="34"/>
      <c r="BE67" s="34"/>
      <c r="BF67" s="286"/>
      <c r="BG67" s="285"/>
      <c r="BH67" s="286"/>
      <c r="BI67" s="34"/>
      <c r="BJ67" s="34"/>
      <c r="BK67" s="34"/>
      <c r="BL67" s="34"/>
      <c r="BM67" s="34"/>
      <c r="BN67" s="34"/>
      <c r="BO67" s="34"/>
      <c r="BP67" s="34"/>
      <c r="BQ67" s="286"/>
      <c r="BR67" s="285"/>
      <c r="BS67" s="286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286"/>
      <c r="CJ67" s="285"/>
      <c r="CK67" s="286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286"/>
      <c r="DA67" s="285"/>
      <c r="DB67" s="286"/>
    </row>
    <row r="68" spans="1:106" s="42" customFormat="1" x14ac:dyDescent="0.3">
      <c r="A68" s="26"/>
      <c r="B68" s="26"/>
      <c r="C68" s="20"/>
      <c r="D68" s="20"/>
      <c r="E68" s="20"/>
      <c r="F68" s="26"/>
      <c r="G68" s="286"/>
      <c r="H68" s="285"/>
      <c r="I68" s="286"/>
      <c r="J68" s="26"/>
      <c r="K68" s="26"/>
      <c r="L68" s="26"/>
      <c r="M68" s="26"/>
      <c r="N68" s="26"/>
      <c r="O68" s="26"/>
      <c r="P68" s="26"/>
      <c r="Q68" s="286"/>
      <c r="R68" s="285"/>
      <c r="S68" s="286"/>
      <c r="T68" s="16" t="s">
        <v>191</v>
      </c>
      <c r="U68" s="16"/>
      <c r="V68" s="46"/>
      <c r="W68" s="46"/>
      <c r="X68" s="46"/>
      <c r="Y68" s="19">
        <v>2016</v>
      </c>
      <c r="Z68" s="34"/>
      <c r="AA68" s="34"/>
      <c r="AB68" s="285"/>
      <c r="AC68" s="286"/>
      <c r="AD68" s="20"/>
      <c r="AE68" s="20" t="s">
        <v>198</v>
      </c>
      <c r="AF68" s="20"/>
      <c r="AG68" s="20"/>
      <c r="AH68" s="34">
        <f>AH62*$AF$56</f>
        <v>15000</v>
      </c>
      <c r="AI68" s="34">
        <f>ROUND(AI62*AF58,0)</f>
        <v>-2054</v>
      </c>
      <c r="AJ68" s="34">
        <f>+AK68-AH68-AI68</f>
        <v>103</v>
      </c>
      <c r="AK68" s="34">
        <f>ROUND(AK62*$AF$57,0)</f>
        <v>13049</v>
      </c>
      <c r="AL68" s="34"/>
      <c r="AM68" s="286"/>
      <c r="AN68" s="285"/>
      <c r="AO68" s="286"/>
      <c r="AP68" s="34"/>
      <c r="AQ68" s="34"/>
      <c r="AR68" s="34"/>
      <c r="AS68" s="34"/>
      <c r="AT68" s="34"/>
      <c r="AU68" s="34"/>
      <c r="AV68" s="34"/>
      <c r="AW68" s="286"/>
      <c r="AX68" s="285"/>
      <c r="AY68" s="286"/>
      <c r="AZ68" s="34"/>
      <c r="BA68" s="34"/>
      <c r="BB68" s="34"/>
      <c r="BC68" s="34"/>
      <c r="BD68" s="34"/>
      <c r="BE68" s="34"/>
      <c r="BF68" s="286"/>
      <c r="BG68" s="285"/>
      <c r="BH68" s="286"/>
      <c r="BI68" s="34"/>
      <c r="BJ68" s="34"/>
      <c r="BK68" s="34"/>
      <c r="BL68" s="34"/>
      <c r="BM68" s="34"/>
      <c r="BN68" s="34"/>
      <c r="BO68" s="34"/>
      <c r="BP68" s="34"/>
      <c r="BQ68" s="286"/>
      <c r="BR68" s="285"/>
      <c r="BS68" s="286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286"/>
      <c r="CJ68" s="285"/>
      <c r="CK68" s="286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286"/>
      <c r="DA68" s="285"/>
      <c r="DB68" s="286"/>
    </row>
    <row r="69" spans="1:106" s="42" customFormat="1" x14ac:dyDescent="0.3">
      <c r="A69" s="26"/>
      <c r="B69" s="26"/>
      <c r="C69" s="20"/>
      <c r="D69" s="20"/>
      <c r="E69" s="20"/>
      <c r="F69" s="26"/>
      <c r="G69" s="286"/>
      <c r="H69" s="285"/>
      <c r="I69" s="286"/>
      <c r="J69" s="26"/>
      <c r="K69" s="26"/>
      <c r="L69" s="26"/>
      <c r="M69" s="26"/>
      <c r="N69" s="26"/>
      <c r="O69" s="26"/>
      <c r="P69" s="26"/>
      <c r="Q69" s="286"/>
      <c r="R69" s="285"/>
      <c r="S69" s="286"/>
      <c r="T69" s="46"/>
      <c r="U69" s="46"/>
      <c r="V69" s="46"/>
      <c r="W69" s="46"/>
      <c r="X69" s="46"/>
      <c r="Y69" s="19" t="s">
        <v>387</v>
      </c>
      <c r="Z69" s="34"/>
      <c r="AA69" s="34"/>
      <c r="AB69" s="285"/>
      <c r="AC69" s="286"/>
      <c r="AD69" s="20"/>
      <c r="AE69" s="20"/>
      <c r="AF69" s="20"/>
      <c r="AG69" s="20"/>
      <c r="AH69" s="46">
        <f>+AH67+AH68</f>
        <v>33000</v>
      </c>
      <c r="AI69" s="46">
        <f t="shared" ref="AI69:AJ69" si="23">+AI67+AI68</f>
        <v>-4547</v>
      </c>
      <c r="AJ69" s="46">
        <f t="shared" si="23"/>
        <v>226</v>
      </c>
      <c r="AK69" s="46">
        <f>+AK67+AK68</f>
        <v>28679</v>
      </c>
      <c r="AL69" s="34"/>
      <c r="AM69" s="286"/>
      <c r="AN69" s="285"/>
      <c r="AO69" s="286"/>
      <c r="AP69" s="34"/>
      <c r="AQ69" s="34"/>
      <c r="AR69" s="34"/>
      <c r="AS69" s="34"/>
      <c r="AT69" s="34"/>
      <c r="AU69" s="34"/>
      <c r="AV69" s="34"/>
      <c r="AW69" s="286"/>
      <c r="AX69" s="285"/>
      <c r="AY69" s="286"/>
      <c r="AZ69" s="34"/>
      <c r="BA69" s="34"/>
      <c r="BB69" s="34"/>
      <c r="BC69" s="34"/>
      <c r="BD69" s="34"/>
      <c r="BE69" s="34"/>
      <c r="BF69" s="286"/>
      <c r="BG69" s="285"/>
      <c r="BH69" s="286"/>
      <c r="BI69" s="34"/>
      <c r="BJ69" s="34"/>
      <c r="BK69" s="34"/>
      <c r="BL69" s="34"/>
      <c r="BM69" s="34"/>
      <c r="BN69" s="34"/>
      <c r="BO69" s="34"/>
      <c r="BP69" s="34"/>
      <c r="BQ69" s="286"/>
      <c r="BR69" s="285"/>
      <c r="BS69" s="286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286"/>
      <c r="CJ69" s="285"/>
      <c r="CK69" s="286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286"/>
      <c r="DA69" s="285"/>
      <c r="DB69" s="286"/>
    </row>
    <row r="70" spans="1:106" s="42" customFormat="1" x14ac:dyDescent="0.3">
      <c r="A70" s="26"/>
      <c r="B70" s="26"/>
      <c r="C70" s="20"/>
      <c r="D70" s="20"/>
      <c r="E70" s="20"/>
      <c r="F70" s="26"/>
      <c r="G70" s="286"/>
      <c r="H70" s="285"/>
      <c r="I70" s="286"/>
      <c r="J70" s="26"/>
      <c r="K70" s="26"/>
      <c r="L70" s="26"/>
      <c r="M70" s="26"/>
      <c r="N70" s="26"/>
      <c r="O70" s="26"/>
      <c r="P70" s="26"/>
      <c r="Q70" s="286"/>
      <c r="R70" s="285"/>
      <c r="S70" s="286"/>
      <c r="T70" s="26" t="s">
        <v>30</v>
      </c>
      <c r="U70" s="26"/>
      <c r="V70" s="37"/>
      <c r="W70" s="37"/>
      <c r="X70" s="37"/>
      <c r="Y70" s="37">
        <f>+E16</f>
        <v>1200</v>
      </c>
      <c r="Z70" s="34"/>
      <c r="AA70" s="34">
        <f>+Y70-E16</f>
        <v>0</v>
      </c>
      <c r="AB70" s="285"/>
      <c r="AC70" s="286"/>
      <c r="AD70" s="87" t="s">
        <v>542</v>
      </c>
      <c r="AE70" s="20"/>
      <c r="AF70" s="20"/>
      <c r="AG70" s="20"/>
      <c r="AH70" s="20"/>
      <c r="AI70" s="20"/>
      <c r="AJ70" s="20"/>
      <c r="AK70" s="34"/>
      <c r="AL70" s="34"/>
      <c r="AM70" s="286"/>
      <c r="AN70" s="285"/>
      <c r="AO70" s="286"/>
      <c r="AP70" s="34"/>
      <c r="AQ70" s="34"/>
      <c r="AR70" s="34"/>
      <c r="AS70" s="34"/>
      <c r="AT70" s="34"/>
      <c r="AU70" s="34"/>
      <c r="AV70" s="34"/>
      <c r="AW70" s="286"/>
      <c r="AX70" s="285"/>
      <c r="AY70" s="286"/>
      <c r="AZ70" s="34"/>
      <c r="BA70" s="34"/>
      <c r="BB70" s="34"/>
      <c r="BC70" s="34"/>
      <c r="BD70" s="34"/>
      <c r="BE70" s="34"/>
      <c r="BF70" s="286"/>
      <c r="BG70" s="285"/>
      <c r="BH70" s="286"/>
      <c r="BI70" s="34"/>
      <c r="BJ70" s="34"/>
      <c r="BK70" s="34"/>
      <c r="BL70" s="34"/>
      <c r="BM70" s="34"/>
      <c r="BN70" s="34"/>
      <c r="BO70" s="34"/>
      <c r="BP70" s="34"/>
      <c r="BQ70" s="286"/>
      <c r="BR70" s="285"/>
      <c r="BS70" s="286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286"/>
      <c r="CJ70" s="285"/>
      <c r="CK70" s="286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286"/>
      <c r="DA70" s="285"/>
      <c r="DB70" s="286"/>
    </row>
    <row r="71" spans="1:106" s="42" customFormat="1" x14ac:dyDescent="0.3">
      <c r="A71" s="20"/>
      <c r="B71" s="20"/>
      <c r="C71" s="20"/>
      <c r="D71" s="20"/>
      <c r="E71" s="20"/>
      <c r="F71" s="26"/>
      <c r="G71" s="286"/>
      <c r="H71" s="285"/>
      <c r="I71" s="286"/>
      <c r="J71" s="26"/>
      <c r="K71" s="26"/>
      <c r="L71" s="26"/>
      <c r="M71" s="26"/>
      <c r="N71" s="26"/>
      <c r="O71" s="26"/>
      <c r="P71" s="26"/>
      <c r="Q71" s="286"/>
      <c r="R71" s="285"/>
      <c r="S71" s="286"/>
      <c r="T71" s="20" t="s">
        <v>192</v>
      </c>
      <c r="U71" s="20"/>
      <c r="V71" s="34"/>
      <c r="W71" s="34"/>
      <c r="X71" s="34"/>
      <c r="Y71" s="32">
        <f>+Y72-Y70</f>
        <v>400</v>
      </c>
      <c r="Z71" s="34"/>
      <c r="AA71" s="34"/>
      <c r="AB71" s="285"/>
      <c r="AC71" s="286"/>
      <c r="AD71" s="20"/>
      <c r="AE71" s="20"/>
      <c r="AF71" s="20"/>
      <c r="AG71" s="20"/>
      <c r="AH71" s="20"/>
      <c r="AI71" s="20"/>
      <c r="AJ71" s="20"/>
      <c r="AK71" s="34"/>
      <c r="AL71" s="34"/>
      <c r="AM71" s="286"/>
      <c r="AN71" s="285"/>
      <c r="AO71" s="286"/>
      <c r="AP71" s="34"/>
      <c r="AQ71" s="34"/>
      <c r="AR71" s="34"/>
      <c r="AS71" s="34"/>
      <c r="AT71" s="34"/>
      <c r="AU71" s="34"/>
      <c r="AV71" s="34"/>
      <c r="AW71" s="286"/>
      <c r="AX71" s="285"/>
      <c r="AY71" s="286"/>
      <c r="AZ71" s="34"/>
      <c r="BA71" s="34"/>
      <c r="BB71" s="34"/>
      <c r="BC71" s="34"/>
      <c r="BD71" s="34"/>
      <c r="BE71" s="34"/>
      <c r="BF71" s="286"/>
      <c r="BG71" s="285"/>
      <c r="BH71" s="286"/>
      <c r="BI71" s="34"/>
      <c r="BJ71" s="34"/>
      <c r="BK71" s="34"/>
      <c r="BL71" s="34"/>
      <c r="BM71" s="34"/>
      <c r="BN71" s="34"/>
      <c r="BO71" s="34"/>
      <c r="BP71" s="34"/>
      <c r="BQ71" s="286"/>
      <c r="BR71" s="285"/>
      <c r="BS71" s="286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286"/>
      <c r="CJ71" s="285"/>
      <c r="CK71" s="118"/>
      <c r="CL71" s="118">
        <v>13</v>
      </c>
      <c r="CM71" s="118">
        <v>14</v>
      </c>
      <c r="CN71" s="118">
        <v>14</v>
      </c>
      <c r="CO71" s="118">
        <v>14</v>
      </c>
      <c r="CP71" s="118">
        <v>14</v>
      </c>
      <c r="CQ71" s="118">
        <v>14</v>
      </c>
      <c r="CR71" s="118"/>
      <c r="CS71" s="118">
        <v>14</v>
      </c>
      <c r="CT71" s="118">
        <v>14</v>
      </c>
      <c r="CU71" s="118">
        <v>14</v>
      </c>
      <c r="CV71" s="118">
        <v>14</v>
      </c>
      <c r="CW71" s="118">
        <v>14</v>
      </c>
      <c r="CX71" s="118">
        <v>13</v>
      </c>
      <c r="CY71" s="34"/>
      <c r="CZ71" s="118"/>
      <c r="DA71" s="285"/>
      <c r="DB71" s="286"/>
    </row>
    <row r="72" spans="1:106" s="42" customFormat="1" x14ac:dyDescent="0.3">
      <c r="A72" s="20"/>
      <c r="B72" s="20"/>
      <c r="C72" s="20"/>
      <c r="D72" s="20"/>
      <c r="E72" s="20"/>
      <c r="F72" s="20"/>
      <c r="G72" s="286"/>
      <c r="H72" s="285"/>
      <c r="I72" s="286"/>
      <c r="J72" s="26"/>
      <c r="K72" s="26"/>
      <c r="L72" s="26"/>
      <c r="M72" s="26"/>
      <c r="N72" s="26"/>
      <c r="O72" s="26"/>
      <c r="P72" s="26"/>
      <c r="Q72" s="286"/>
      <c r="R72" s="285"/>
      <c r="S72" s="286"/>
      <c r="T72" s="26" t="s">
        <v>32</v>
      </c>
      <c r="U72" s="26"/>
      <c r="V72" s="37"/>
      <c r="W72" s="37"/>
      <c r="X72" s="37"/>
      <c r="Y72" s="38">
        <f>+D16</f>
        <v>1600</v>
      </c>
      <c r="Z72" s="34"/>
      <c r="AA72" s="34">
        <f>+Y72-D16</f>
        <v>0</v>
      </c>
      <c r="AB72" s="285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285"/>
      <c r="AO72" s="286"/>
      <c r="AP72" s="34"/>
      <c r="AQ72" s="34"/>
      <c r="AR72" s="34"/>
      <c r="AS72" s="34"/>
      <c r="AT72" s="34"/>
      <c r="AU72" s="34"/>
      <c r="AV72" s="34"/>
      <c r="AW72" s="286"/>
      <c r="AX72" s="285"/>
      <c r="AY72" s="286"/>
      <c r="AZ72" s="34"/>
      <c r="BA72" s="34"/>
      <c r="BB72" s="34"/>
      <c r="BC72" s="34"/>
      <c r="BD72" s="34"/>
      <c r="BE72" s="34"/>
      <c r="BF72" s="286"/>
      <c r="BG72" s="285"/>
      <c r="BH72" s="286"/>
      <c r="BI72" s="34"/>
      <c r="BJ72" s="34"/>
      <c r="BK72" s="34"/>
      <c r="BL72" s="34"/>
      <c r="BM72" s="34"/>
      <c r="BN72" s="34"/>
      <c r="BO72" s="34"/>
      <c r="BP72" s="34"/>
      <c r="BQ72" s="286"/>
      <c r="BR72" s="285"/>
      <c r="BS72" s="286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286"/>
      <c r="CJ72" s="285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 s="285"/>
      <c r="DB72" s="286"/>
    </row>
    <row r="73" spans="1:106" s="42" customFormat="1" x14ac:dyDescent="0.3">
      <c r="A73" s="20"/>
      <c r="B73" s="20"/>
      <c r="C73" s="20"/>
      <c r="D73" s="20"/>
      <c r="E73" s="20"/>
      <c r="F73" s="20"/>
      <c r="G73" s="286"/>
      <c r="H73" s="285"/>
      <c r="I73" s="286"/>
      <c r="J73" s="26"/>
      <c r="K73" s="26"/>
      <c r="L73" s="26"/>
      <c r="M73" s="26"/>
      <c r="N73" s="26"/>
      <c r="O73" s="26"/>
      <c r="P73" s="26"/>
      <c r="Q73" s="286"/>
      <c r="R73" s="285"/>
      <c r="S73" s="286"/>
      <c r="T73" s="26"/>
      <c r="U73" s="26"/>
      <c r="V73" s="26"/>
      <c r="W73" s="26"/>
      <c r="X73" s="26"/>
      <c r="Y73" s="26"/>
      <c r="Z73" s="26"/>
      <c r="AA73" s="286"/>
      <c r="AB73" s="285"/>
      <c r="AC73"/>
      <c r="AL73"/>
      <c r="AM73"/>
      <c r="AN73" s="285"/>
      <c r="AO73" s="286"/>
      <c r="AQ73" s="34"/>
      <c r="AR73" s="34"/>
      <c r="AS73" s="34"/>
      <c r="AT73" s="34"/>
      <c r="AU73" s="34"/>
      <c r="AV73" s="34"/>
      <c r="AW73" s="286"/>
      <c r="AX73" s="285"/>
      <c r="AY73" s="286"/>
      <c r="AZ73" s="34"/>
      <c r="BA73" s="34"/>
      <c r="BB73" s="34"/>
      <c r="BC73" s="34"/>
      <c r="BD73" s="34"/>
      <c r="BE73" s="34"/>
      <c r="BF73" s="286"/>
      <c r="BG73" s="285"/>
      <c r="BH73" s="286"/>
      <c r="BI73" s="34"/>
      <c r="BJ73" s="34"/>
      <c r="BK73" s="34"/>
      <c r="BL73" s="34"/>
      <c r="BM73" s="34"/>
      <c r="BN73" s="34"/>
      <c r="BO73" s="34"/>
      <c r="BP73" s="34"/>
      <c r="BQ73" s="286"/>
      <c r="BR73" s="285"/>
      <c r="BS73" s="286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286"/>
      <c r="CJ73" s="285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 s="285"/>
      <c r="DB73" s="286"/>
    </row>
    <row r="74" spans="1:106" s="42" customFormat="1" x14ac:dyDescent="0.3">
      <c r="A74" s="20"/>
      <c r="B74" s="20"/>
      <c r="C74" s="20"/>
      <c r="D74" s="20"/>
      <c r="E74" s="20"/>
      <c r="F74" s="20"/>
      <c r="G74" s="286"/>
      <c r="H74" s="74"/>
      <c r="I74" s="286"/>
      <c r="J74" s="26"/>
      <c r="K74" s="26"/>
      <c r="L74" s="26"/>
      <c r="M74" s="26"/>
      <c r="N74" s="26"/>
      <c r="O74" s="26"/>
      <c r="P74" s="26"/>
      <c r="Q74" s="286"/>
      <c r="R74" s="74"/>
      <c r="S74" s="286"/>
      <c r="T74" s="26"/>
      <c r="U74" s="35"/>
      <c r="V74" s="35"/>
      <c r="W74" s="35"/>
      <c r="X74" s="35"/>
      <c r="Y74" s="35"/>
      <c r="Z74" s="35"/>
      <c r="AA74" s="286"/>
      <c r="AB74" s="74"/>
      <c r="AC74"/>
      <c r="AD74"/>
      <c r="AL74"/>
      <c r="AM74"/>
      <c r="AN74" s="74"/>
      <c r="AO74" s="286"/>
      <c r="AP74" s="34"/>
      <c r="AQ74" s="34"/>
      <c r="AR74" s="34"/>
      <c r="AS74" s="34"/>
      <c r="AT74" s="34"/>
      <c r="AU74" s="34"/>
      <c r="AV74" s="34"/>
      <c r="AW74" s="286"/>
      <c r="AX74" s="74"/>
      <c r="AY74" s="286"/>
      <c r="AZ74" s="34"/>
      <c r="BA74" s="34"/>
      <c r="BB74" s="34"/>
      <c r="BC74" s="34"/>
      <c r="BD74" s="34"/>
      <c r="BE74" s="34"/>
      <c r="BF74" s="286"/>
      <c r="BG74" s="74"/>
      <c r="BK74" s="34"/>
      <c r="BL74" s="34"/>
      <c r="BM74" s="34"/>
      <c r="BN74" s="34"/>
      <c r="BO74" s="34"/>
      <c r="BR74" s="74"/>
      <c r="BS74" s="286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286"/>
      <c r="CJ74" s="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 s="74"/>
      <c r="DB74" s="286"/>
    </row>
    <row r="75" spans="1:106" s="42" customFormat="1" x14ac:dyDescent="0.3">
      <c r="A75"/>
      <c r="B75"/>
      <c r="C75"/>
      <c r="D75"/>
      <c r="E75"/>
      <c r="F75"/>
      <c r="G75"/>
      <c r="H75" s="118"/>
      <c r="I75" s="118"/>
      <c r="J75" s="118">
        <v>15</v>
      </c>
      <c r="K75" s="118">
        <v>15</v>
      </c>
      <c r="L75" s="118">
        <v>12</v>
      </c>
      <c r="M75" s="118">
        <v>15</v>
      </c>
      <c r="N75" s="118">
        <v>15</v>
      </c>
      <c r="O75" s="118">
        <v>15</v>
      </c>
      <c r="P75" s="118">
        <v>15</v>
      </c>
      <c r="Q75" s="118"/>
      <c r="R75" s="118"/>
      <c r="S75" s="118"/>
      <c r="T75" s="118">
        <v>15</v>
      </c>
      <c r="U75" s="118">
        <v>15</v>
      </c>
      <c r="V75" s="118">
        <v>15</v>
      </c>
      <c r="W75" s="118">
        <v>12</v>
      </c>
      <c r="X75" s="118">
        <v>15</v>
      </c>
      <c r="Y75" s="118">
        <v>15</v>
      </c>
      <c r="Z75" s="118">
        <v>15</v>
      </c>
      <c r="AA75" s="118"/>
      <c r="AB75" s="118"/>
      <c r="AC75"/>
      <c r="AD75" s="118">
        <v>12</v>
      </c>
      <c r="AE75" s="118">
        <v>13</v>
      </c>
      <c r="AF75" s="118">
        <v>13</v>
      </c>
      <c r="AG75" s="118">
        <v>13</v>
      </c>
      <c r="AH75" s="118">
        <v>13</v>
      </c>
      <c r="AI75" s="118">
        <v>13</v>
      </c>
      <c r="AJ75" s="118">
        <v>13</v>
      </c>
      <c r="AK75" s="118">
        <v>12</v>
      </c>
      <c r="AL75"/>
      <c r="AM75"/>
      <c r="AN75" s="118"/>
      <c r="AO75" s="73"/>
      <c r="AP75" s="118">
        <v>7</v>
      </c>
      <c r="AQ75" s="118">
        <v>49</v>
      </c>
      <c r="AR75" s="118">
        <v>12</v>
      </c>
      <c r="AS75" s="118">
        <v>12</v>
      </c>
      <c r="AT75" s="118">
        <v>12</v>
      </c>
      <c r="AU75" s="118">
        <v>6</v>
      </c>
      <c r="AV75" s="73"/>
      <c r="AW75" s="118"/>
      <c r="AX75" s="118"/>
      <c r="AY75"/>
      <c r="AZ75"/>
      <c r="BE75"/>
      <c r="BF75"/>
      <c r="BG75" s="118"/>
      <c r="BH75" s="118"/>
      <c r="BI75" s="34"/>
      <c r="BJ75" s="118">
        <v>4</v>
      </c>
      <c r="BK75" s="118">
        <v>50</v>
      </c>
      <c r="BL75" s="118">
        <v>11</v>
      </c>
      <c r="BM75" s="118">
        <v>11</v>
      </c>
      <c r="BN75" s="118">
        <v>11</v>
      </c>
      <c r="BO75" s="118">
        <v>11</v>
      </c>
      <c r="BP75" s="73"/>
      <c r="BQ75" s="118"/>
      <c r="BR75" s="118"/>
      <c r="BS75" s="118"/>
      <c r="BT75" s="34"/>
      <c r="BU75" s="118">
        <v>45</v>
      </c>
      <c r="BV75" s="118">
        <v>11.14</v>
      </c>
      <c r="BW75" s="118">
        <v>11.29</v>
      </c>
      <c r="BX75" s="118">
        <v>13</v>
      </c>
      <c r="BY75" s="118">
        <v>13</v>
      </c>
      <c r="BZ75" s="118">
        <v>13</v>
      </c>
      <c r="CA75" s="118">
        <v>10.14</v>
      </c>
      <c r="CB75" s="118"/>
      <c r="CC75" s="118">
        <v>13</v>
      </c>
      <c r="CD75" s="118">
        <v>13</v>
      </c>
      <c r="CE75" s="118"/>
      <c r="CF75" s="118">
        <v>11.57</v>
      </c>
      <c r="CG75" s="118">
        <v>13</v>
      </c>
      <c r="CH75" s="34"/>
      <c r="CI75" s="118"/>
      <c r="CJ75" s="118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 s="118"/>
      <c r="DB75" s="118"/>
    </row>
    <row r="76" spans="1:106" s="42" customFormat="1" x14ac:dyDescent="0.3">
      <c r="A76"/>
      <c r="B76"/>
      <c r="C76"/>
      <c r="D76"/>
      <c r="E76"/>
      <c r="F76"/>
      <c r="G76"/>
      <c r="H76"/>
      <c r="I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</row>
    <row r="77" spans="1:106" s="42" customFormat="1" x14ac:dyDescent="0.3">
      <c r="A77"/>
      <c r="B77"/>
      <c r="C77"/>
      <c r="D77"/>
      <c r="E77"/>
      <c r="F77"/>
      <c r="G77"/>
      <c r="H77"/>
      <c r="I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</row>
    <row r="78" spans="1:106" s="42" customFormat="1" x14ac:dyDescent="0.3">
      <c r="A78"/>
      <c r="B78"/>
      <c r="C78"/>
      <c r="D78"/>
      <c r="E78"/>
      <c r="F78"/>
      <c r="G78"/>
      <c r="H78"/>
      <c r="I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</row>
    <row r="79" spans="1:106" s="42" customFormat="1" x14ac:dyDescent="0.3">
      <c r="A79"/>
      <c r="B79"/>
      <c r="C79"/>
      <c r="D79"/>
      <c r="E79"/>
      <c r="F79"/>
      <c r="G79"/>
      <c r="H79"/>
      <c r="I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</row>
    <row r="80" spans="1:106" s="42" customFormat="1" x14ac:dyDescent="0.3">
      <c r="A80"/>
      <c r="B80"/>
      <c r="C80"/>
      <c r="D80"/>
      <c r="E80"/>
      <c r="F80"/>
      <c r="G80"/>
      <c r="H80"/>
      <c r="I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</row>
    <row r="81" spans="1:106" s="42" customFormat="1" x14ac:dyDescent="0.3">
      <c r="A81"/>
      <c r="B81"/>
      <c r="C81"/>
      <c r="D81"/>
      <c r="E81"/>
      <c r="F81"/>
      <c r="G81"/>
      <c r="H81"/>
      <c r="I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</row>
    <row r="82" spans="1:106" s="42" customFormat="1" x14ac:dyDescent="0.3">
      <c r="A82"/>
      <c r="B82"/>
      <c r="C82"/>
      <c r="D82"/>
      <c r="E82"/>
      <c r="F82"/>
      <c r="G82"/>
      <c r="H82"/>
      <c r="I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</row>
    <row r="83" spans="1:106" s="42" customFormat="1" x14ac:dyDescent="0.3">
      <c r="A83"/>
      <c r="B83"/>
      <c r="C83"/>
      <c r="D83"/>
      <c r="E83"/>
      <c r="F83"/>
      <c r="G83"/>
      <c r="H83"/>
      <c r="I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</row>
    <row r="84" spans="1:106" s="42" customFormat="1" x14ac:dyDescent="0.3">
      <c r="A84"/>
      <c r="B84"/>
      <c r="C84"/>
      <c r="D84"/>
      <c r="E84"/>
      <c r="F84"/>
      <c r="G84"/>
      <c r="H84"/>
      <c r="I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</row>
    <row r="85" spans="1:106" x14ac:dyDescent="0.3"/>
    <row r="86" spans="1:106" s="42" customFormat="1" x14ac:dyDescent="0.3">
      <c r="A86"/>
      <c r="B86"/>
      <c r="C86"/>
      <c r="D86"/>
      <c r="E86"/>
      <c r="F86"/>
      <c r="G86"/>
      <c r="H86"/>
      <c r="I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</row>
    <row r="87" spans="1:106" hidden="1" x14ac:dyDescent="0.3"/>
    <row r="88" spans="1:106" hidden="1" x14ac:dyDescent="0.3"/>
    <row r="89" spans="1:106" hidden="1" x14ac:dyDescent="0.3"/>
    <row r="90" spans="1:106" hidden="1" x14ac:dyDescent="0.3"/>
    <row r="91" spans="1:106" hidden="1" x14ac:dyDescent="0.3"/>
    <row r="92" spans="1:106" hidden="1" x14ac:dyDescent="0.3"/>
    <row r="93" spans="1:106" hidden="1" x14ac:dyDescent="0.3"/>
    <row r="94" spans="1:106" hidden="1" x14ac:dyDescent="0.3"/>
    <row r="96" spans="1:10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</sheetData>
  <mergeCells count="7">
    <mergeCell ref="CT7:CW7"/>
    <mergeCell ref="BM6:BN6"/>
    <mergeCell ref="BW6:CG6"/>
    <mergeCell ref="CM6:CW6"/>
    <mergeCell ref="BW7:CA7"/>
    <mergeCell ref="CD7:CG7"/>
    <mergeCell ref="CM7:CQ7"/>
  </mergeCell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H284"/>
  <sheetViews>
    <sheetView topLeftCell="A104" zoomScale="70" zoomScaleNormal="70" workbookViewId="0">
      <selection activeCell="C111" sqref="C111"/>
    </sheetView>
  </sheetViews>
  <sheetFormatPr baseColWidth="10" defaultColWidth="0" defaultRowHeight="0" customHeight="1" zeroHeight="1" x14ac:dyDescent="0.3"/>
  <cols>
    <col min="1" max="1" width="4.42578125" customWidth="1"/>
    <col min="2" max="2" width="4.7109375" bestFit="1" customWidth="1"/>
    <col min="3" max="3" width="37.140625" customWidth="1"/>
    <col min="4" max="4" width="13" customWidth="1"/>
    <col min="5" max="5" width="12.85546875" customWidth="1"/>
    <col min="6" max="6" width="11.85546875" customWidth="1"/>
    <col min="7" max="7" width="9.7109375" customWidth="1"/>
    <col min="8" max="8" width="10.140625" customWidth="1"/>
    <col min="9" max="9" width="14.85546875" customWidth="1"/>
    <col min="10" max="10" width="11.42578125" bestFit="1" customWidth="1"/>
    <col min="11" max="11" width="8.7109375" customWidth="1"/>
    <col min="12" max="12" width="4.7109375" bestFit="1" customWidth="1"/>
    <col min="13" max="13" width="12.28515625" customWidth="1"/>
    <col min="14" max="14" width="15.7109375" customWidth="1"/>
    <col min="15" max="15" width="12.7109375" customWidth="1"/>
    <col min="16" max="16" width="17.85546875" customWidth="1"/>
    <col min="17" max="20" width="12.7109375" customWidth="1"/>
    <col min="21" max="21" width="15.7109375" customWidth="1"/>
    <col min="22" max="25" width="12.28515625" customWidth="1"/>
    <col min="26" max="29" width="14.7109375" customWidth="1"/>
    <col min="30" max="30" width="12.28515625" customWidth="1"/>
    <col min="31" max="31" width="6.7109375" style="42" customWidth="1"/>
    <col min="32" max="32" width="48.7109375" style="42" customWidth="1"/>
    <col min="33" max="35" width="13.7109375" style="42" customWidth="1"/>
    <col min="36" max="36" width="2.7109375" customWidth="1"/>
    <col min="37" max="37" width="4.7109375" style="42" customWidth="1"/>
    <col min="38" max="38" width="35.7109375" style="42" customWidth="1"/>
    <col min="39" max="41" width="14.7109375" style="42" customWidth="1"/>
    <col min="42" max="43" width="11.7109375" style="42" customWidth="1"/>
    <col min="44" max="44" width="11.85546875" style="42" bestFit="1" customWidth="1"/>
    <col min="45" max="45" width="10" style="42" customWidth="1"/>
    <col min="46" max="46" width="12.85546875" style="42" bestFit="1" customWidth="1"/>
    <col min="47" max="47" width="11.42578125" style="42" bestFit="1" customWidth="1"/>
    <col min="48" max="48" width="9.5703125" style="42" customWidth="1"/>
    <col min="49" max="49" width="10.85546875" style="42" customWidth="1"/>
    <col min="50" max="51" width="11" style="42" customWidth="1"/>
    <col min="52" max="52" width="10.7109375" style="42" customWidth="1"/>
    <col min="53" max="53" width="12" style="42" customWidth="1"/>
    <col min="54" max="54" width="12.5703125" style="42" customWidth="1"/>
    <col min="55" max="55" width="11.140625" style="42" customWidth="1"/>
    <col min="56" max="56" width="12.7109375" style="42" customWidth="1"/>
    <col min="57" max="58" width="11.5703125" style="42" customWidth="1"/>
    <col min="59" max="59" width="9.42578125" style="42" bestFit="1" customWidth="1"/>
    <col min="60" max="60" width="11.42578125" style="42" customWidth="1"/>
    <col min="61" max="70" width="12.28515625" style="42" customWidth="1"/>
    <col min="71" max="71" width="10.7109375" style="42" customWidth="1"/>
    <col min="72" max="72" width="12.7109375" style="42" customWidth="1"/>
    <col min="73" max="73" width="11.5703125" style="42" customWidth="1"/>
    <col min="74" max="74" width="11.28515625" style="42" customWidth="1"/>
    <col min="75" max="75" width="5.7109375" style="42" customWidth="1"/>
    <col min="76" max="164" width="0" hidden="1" customWidth="1"/>
    <col min="165" max="16384" width="11.42578125" hidden="1"/>
  </cols>
  <sheetData>
    <row r="1" spans="1:75" ht="18.75" customHeight="1" x14ac:dyDescent="0.35">
      <c r="A1" s="109" t="s">
        <v>551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08"/>
      <c r="BV1" s="108"/>
      <c r="BW1" s="108"/>
    </row>
    <row r="2" spans="1:75" ht="18.75" customHeight="1" x14ac:dyDescent="0.35">
      <c r="A2" s="109" t="s">
        <v>552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08"/>
      <c r="BV2" s="108"/>
      <c r="BW2" s="108"/>
    </row>
    <row r="3" spans="1:75" s="42" customFormat="1" ht="18.75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2"/>
      <c r="M3" s="20"/>
      <c r="N3" s="20"/>
      <c r="O3" s="20"/>
      <c r="P3" s="20"/>
      <c r="Q3" s="20"/>
      <c r="R3" s="20"/>
      <c r="S3" s="20"/>
      <c r="T3" s="22"/>
      <c r="U3" s="20"/>
      <c r="V3" s="20"/>
      <c r="W3" s="20"/>
      <c r="X3" s="20"/>
      <c r="Y3" s="20"/>
      <c r="Z3" s="20"/>
      <c r="AA3" s="20"/>
      <c r="AB3" s="20"/>
      <c r="AC3" s="22"/>
      <c r="AD3" s="20"/>
      <c r="AE3" s="20"/>
      <c r="AF3" s="20"/>
      <c r="AG3" s="20"/>
      <c r="AH3" s="20"/>
      <c r="AI3" s="20"/>
      <c r="AJ3" s="20"/>
      <c r="AK3" s="20"/>
      <c r="AL3" s="131"/>
      <c r="AM3" s="131"/>
      <c r="AN3" s="131"/>
      <c r="AO3" s="131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34"/>
      <c r="BW3" s="34"/>
    </row>
    <row r="4" spans="1:75" s="42" customFormat="1" ht="18.75" x14ac:dyDescent="0.3">
      <c r="A4" s="20"/>
      <c r="B4" s="20"/>
      <c r="C4" s="311" t="s">
        <v>561</v>
      </c>
      <c r="D4" s="310"/>
      <c r="E4" s="310"/>
      <c r="F4" s="310"/>
      <c r="G4" s="310"/>
      <c r="H4" s="310"/>
      <c r="I4" s="310"/>
      <c r="J4" s="20"/>
      <c r="K4" s="20"/>
      <c r="L4" s="22"/>
      <c r="M4" s="20"/>
      <c r="N4" s="20"/>
      <c r="O4" s="20"/>
      <c r="P4" s="20"/>
      <c r="Q4" s="20"/>
      <c r="R4" s="20"/>
      <c r="S4" s="20"/>
      <c r="T4" s="22"/>
      <c r="U4" s="20"/>
      <c r="V4" s="20"/>
      <c r="W4" s="20"/>
      <c r="X4" s="20"/>
      <c r="Y4" s="20"/>
      <c r="Z4" s="20"/>
      <c r="AA4" s="20"/>
      <c r="AB4" s="20"/>
      <c r="AC4" s="22"/>
      <c r="AD4" s="20"/>
      <c r="AE4" s="20"/>
      <c r="AF4" s="20"/>
      <c r="AG4" s="20"/>
      <c r="AH4" s="20"/>
      <c r="AI4" s="20"/>
      <c r="AJ4" s="20"/>
      <c r="AK4" s="20"/>
      <c r="AL4" s="131"/>
      <c r="AM4" s="131"/>
      <c r="AN4" s="131"/>
      <c r="AO4" s="131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34"/>
      <c r="BW4" s="34"/>
    </row>
    <row r="5" spans="1:75" s="42" customFormat="1" ht="18.75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2"/>
      <c r="M5" s="20"/>
      <c r="N5" s="20"/>
      <c r="O5" s="20"/>
      <c r="P5" s="20"/>
      <c r="Q5" s="20"/>
      <c r="R5" s="20"/>
      <c r="S5" s="20"/>
      <c r="T5" s="22"/>
      <c r="U5" s="20"/>
      <c r="V5" s="20"/>
      <c r="W5" s="20"/>
      <c r="X5" s="20"/>
      <c r="Y5" s="20"/>
      <c r="Z5" s="20"/>
      <c r="AA5" s="20"/>
      <c r="AB5" s="20"/>
      <c r="AC5" s="22"/>
      <c r="AD5" s="20"/>
      <c r="AE5" s="20"/>
      <c r="AF5" s="20"/>
      <c r="AG5" s="20"/>
      <c r="AH5" s="20"/>
      <c r="AI5" s="20"/>
      <c r="AJ5" s="20"/>
      <c r="AK5" s="20"/>
      <c r="AL5" s="131"/>
      <c r="AM5" s="131"/>
      <c r="AN5" s="131"/>
      <c r="AO5" s="131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34"/>
      <c r="BW5" s="34"/>
    </row>
    <row r="6" spans="1:75" s="42" customFormat="1" ht="18.75" x14ac:dyDescent="0.3">
      <c r="A6" s="20"/>
      <c r="B6" s="20"/>
      <c r="C6" s="26" t="s">
        <v>6</v>
      </c>
      <c r="D6" s="35" t="s">
        <v>534</v>
      </c>
      <c r="E6" s="35" t="s">
        <v>467</v>
      </c>
      <c r="F6" s="20"/>
      <c r="G6" s="20"/>
      <c r="H6" s="20"/>
      <c r="I6" s="20"/>
      <c r="J6" s="20"/>
      <c r="K6" s="20"/>
      <c r="L6" s="22"/>
      <c r="M6" s="20"/>
      <c r="N6" s="20"/>
      <c r="O6" s="20"/>
      <c r="P6" s="20"/>
      <c r="Q6" s="20"/>
      <c r="R6" s="20"/>
      <c r="S6" s="20"/>
      <c r="T6" s="22"/>
      <c r="U6" s="20"/>
      <c r="V6" s="20"/>
      <c r="W6" s="20"/>
      <c r="X6" s="20"/>
      <c r="Y6" s="20"/>
      <c r="Z6" s="20"/>
      <c r="AA6" s="20"/>
      <c r="AB6" s="20"/>
      <c r="AC6" s="22"/>
      <c r="AD6" s="20"/>
      <c r="AE6" s="20"/>
      <c r="AF6" s="20"/>
      <c r="AG6" s="20"/>
      <c r="AH6" s="20"/>
      <c r="AI6" s="20"/>
      <c r="AJ6" s="20"/>
      <c r="AK6" s="20"/>
      <c r="AL6" s="131"/>
      <c r="AM6" s="131"/>
      <c r="AN6" s="131"/>
      <c r="AO6" s="131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34"/>
      <c r="BW6" s="34"/>
    </row>
    <row r="7" spans="1:75" s="42" customFormat="1" ht="18.75" x14ac:dyDescent="0.3">
      <c r="A7" s="20"/>
      <c r="B7" s="20"/>
      <c r="C7" s="20" t="s">
        <v>554</v>
      </c>
      <c r="D7" s="95">
        <v>100000</v>
      </c>
      <c r="E7" s="95">
        <f>+D7*F7</f>
        <v>332000</v>
      </c>
      <c r="F7" s="20">
        <v>3.32</v>
      </c>
      <c r="G7" s="20"/>
      <c r="H7" s="20"/>
      <c r="I7" s="20"/>
      <c r="J7" s="20"/>
      <c r="K7" s="20"/>
      <c r="L7" s="22"/>
      <c r="M7" s="20"/>
      <c r="N7" s="20"/>
      <c r="O7" s="20"/>
      <c r="P7" s="20"/>
      <c r="Q7" s="20"/>
      <c r="R7" s="20"/>
      <c r="S7" s="20"/>
      <c r="T7" s="22"/>
      <c r="U7" s="20"/>
      <c r="V7" s="20"/>
      <c r="W7" s="20"/>
      <c r="X7" s="20"/>
      <c r="Y7" s="20"/>
      <c r="Z7" s="20"/>
      <c r="AA7" s="20"/>
      <c r="AB7" s="20"/>
      <c r="AC7" s="22"/>
      <c r="AD7" s="20"/>
      <c r="AE7" s="20"/>
      <c r="AF7" s="20"/>
      <c r="AG7" s="20"/>
      <c r="AH7" s="20"/>
      <c r="AI7" s="20"/>
      <c r="AJ7" s="20"/>
      <c r="AK7" s="20"/>
      <c r="AL7" s="131"/>
      <c r="AM7" s="131"/>
      <c r="AN7" s="131"/>
      <c r="AO7" s="131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34"/>
      <c r="BW7" s="34"/>
    </row>
    <row r="8" spans="1:75" s="42" customFormat="1" ht="18.75" x14ac:dyDescent="0.3">
      <c r="A8" s="20"/>
      <c r="B8" s="20"/>
      <c r="C8" s="101" t="s">
        <v>553</v>
      </c>
      <c r="D8" s="97">
        <v>100000</v>
      </c>
      <c r="E8" s="97">
        <f>+D8*F8</f>
        <v>345000</v>
      </c>
      <c r="F8" s="20">
        <v>3.45</v>
      </c>
      <c r="G8" s="20"/>
      <c r="H8" s="20"/>
      <c r="I8" s="20"/>
      <c r="J8" s="20"/>
      <c r="K8" s="20"/>
      <c r="L8" s="22"/>
      <c r="M8" s="20"/>
      <c r="N8" s="20"/>
      <c r="O8" s="20"/>
      <c r="P8" s="20"/>
      <c r="Q8" s="20"/>
      <c r="R8" s="20"/>
      <c r="S8" s="20"/>
      <c r="T8" s="22"/>
      <c r="U8" s="20"/>
      <c r="V8" s="20"/>
      <c r="W8" s="20"/>
      <c r="X8" s="20"/>
      <c r="Y8" s="20"/>
      <c r="Z8" s="20"/>
      <c r="AA8" s="20"/>
      <c r="AB8" s="20"/>
      <c r="AC8" s="22"/>
      <c r="AD8" s="20"/>
      <c r="AE8" s="20"/>
      <c r="AF8" s="20"/>
      <c r="AG8" s="20"/>
      <c r="AH8" s="20"/>
      <c r="AI8" s="20"/>
      <c r="AJ8" s="20"/>
      <c r="AK8" s="20"/>
      <c r="AL8" s="131"/>
      <c r="AM8" s="131"/>
      <c r="AN8" s="131"/>
      <c r="AO8" s="131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34"/>
      <c r="BW8" s="34"/>
    </row>
    <row r="9" spans="1:75" s="42" customFormat="1" ht="18.75" x14ac:dyDescent="0.3">
      <c r="A9" s="20"/>
      <c r="B9" s="20"/>
      <c r="C9" s="315" t="s">
        <v>103</v>
      </c>
      <c r="D9" s="104">
        <f>+D8-D7</f>
        <v>0</v>
      </c>
      <c r="E9" s="104">
        <f>+E8-E7</f>
        <v>13000</v>
      </c>
      <c r="F9" s="20"/>
      <c r="G9" s="20"/>
      <c r="H9" s="20"/>
      <c r="I9" s="20"/>
      <c r="J9" s="20"/>
      <c r="K9" s="20"/>
      <c r="L9" s="22"/>
      <c r="M9" s="20"/>
      <c r="N9" s="20"/>
      <c r="O9" s="20"/>
      <c r="P9" s="20"/>
      <c r="Q9" s="20"/>
      <c r="R9" s="20"/>
      <c r="S9" s="20"/>
      <c r="T9" s="22"/>
      <c r="U9" s="20"/>
      <c r="V9" s="20"/>
      <c r="W9" s="20"/>
      <c r="X9" s="20"/>
      <c r="Y9" s="20"/>
      <c r="Z9" s="20"/>
      <c r="AA9" s="20"/>
      <c r="AB9" s="20"/>
      <c r="AC9" s="22"/>
      <c r="AD9" s="20"/>
      <c r="AE9" s="20"/>
      <c r="AF9" s="20"/>
      <c r="AG9" s="20"/>
      <c r="AH9" s="20"/>
      <c r="AI9" s="20"/>
      <c r="AJ9" s="20"/>
      <c r="AK9" s="20"/>
      <c r="AL9" s="131"/>
      <c r="AM9" s="131"/>
      <c r="AN9" s="131"/>
      <c r="AO9" s="131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34"/>
      <c r="BW9" s="34"/>
    </row>
    <row r="10" spans="1:75" s="42" customFormat="1" ht="18.75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2"/>
      <c r="M10" s="20"/>
      <c r="N10" s="20"/>
      <c r="O10" s="20"/>
      <c r="P10" s="20"/>
      <c r="Q10" s="20"/>
      <c r="R10" s="20"/>
      <c r="S10" s="20"/>
      <c r="T10" s="22"/>
      <c r="U10" s="20"/>
      <c r="V10" s="20"/>
      <c r="W10" s="20"/>
      <c r="X10" s="20"/>
      <c r="Y10" s="20"/>
      <c r="Z10" s="20"/>
      <c r="AA10" s="20"/>
      <c r="AB10" s="20"/>
      <c r="AC10" s="22"/>
      <c r="AD10" s="20"/>
      <c r="AE10" s="20"/>
      <c r="AF10" s="20"/>
      <c r="AG10" s="20"/>
      <c r="AH10" s="20"/>
      <c r="AI10" s="20"/>
      <c r="AJ10" s="20"/>
      <c r="AK10" s="20"/>
      <c r="AL10" s="131"/>
      <c r="AM10" s="131"/>
      <c r="AN10" s="131"/>
      <c r="AO10" s="131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34"/>
      <c r="BW10" s="34"/>
    </row>
    <row r="11" spans="1:75" s="42" customFormat="1" ht="18.75" x14ac:dyDescent="0.3">
      <c r="A11" s="20"/>
      <c r="B11" s="20"/>
      <c r="C11" s="20" t="s">
        <v>555</v>
      </c>
      <c r="D11" s="20"/>
      <c r="E11" s="20"/>
      <c r="F11" s="20"/>
      <c r="G11" s="20"/>
      <c r="H11" s="20"/>
      <c r="I11" s="20"/>
      <c r="J11" s="20"/>
      <c r="K11" s="20"/>
      <c r="L11" s="22"/>
      <c r="M11" s="20"/>
      <c r="N11" s="20"/>
      <c r="O11" s="20"/>
      <c r="P11" s="20"/>
      <c r="Q11" s="20"/>
      <c r="R11" s="20"/>
      <c r="S11" s="20"/>
      <c r="T11" s="22"/>
      <c r="U11" s="20"/>
      <c r="V11" s="20"/>
      <c r="W11" s="20"/>
      <c r="X11" s="20"/>
      <c r="Y11" s="20"/>
      <c r="Z11" s="20"/>
      <c r="AA11" s="20"/>
      <c r="AB11" s="20"/>
      <c r="AC11" s="22"/>
      <c r="AD11" s="20"/>
      <c r="AE11" s="20"/>
      <c r="AF11" s="20"/>
      <c r="AG11" s="20"/>
      <c r="AH11" s="20"/>
      <c r="AI11" s="20"/>
      <c r="AJ11" s="20"/>
      <c r="AK11" s="20"/>
      <c r="AL11" s="131"/>
      <c r="AM11" s="131"/>
      <c r="AN11" s="131"/>
      <c r="AO11" s="131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34"/>
      <c r="BW11" s="34"/>
    </row>
    <row r="12" spans="1:75" s="42" customFormat="1" ht="18.75" x14ac:dyDescent="0.3">
      <c r="A12" s="20"/>
      <c r="B12" s="20"/>
      <c r="C12" s="20" t="s">
        <v>556</v>
      </c>
      <c r="D12" s="20"/>
      <c r="E12" s="20"/>
      <c r="F12" s="20"/>
      <c r="G12" s="20"/>
      <c r="H12" s="20"/>
      <c r="I12" s="20"/>
      <c r="J12" s="20"/>
      <c r="K12" s="20"/>
      <c r="L12" s="22"/>
      <c r="M12" s="20"/>
      <c r="N12" s="20"/>
      <c r="O12" s="20"/>
      <c r="P12" s="20"/>
      <c r="Q12" s="20"/>
      <c r="R12" s="20"/>
      <c r="S12" s="20"/>
      <c r="T12" s="22"/>
      <c r="U12" s="20"/>
      <c r="V12" s="20"/>
      <c r="W12" s="20"/>
      <c r="X12" s="20"/>
      <c r="Y12" s="20"/>
      <c r="Z12" s="20"/>
      <c r="AA12" s="20"/>
      <c r="AB12" s="20"/>
      <c r="AC12" s="22"/>
      <c r="AD12" s="20"/>
      <c r="AE12" s="20"/>
      <c r="AF12" s="20"/>
      <c r="AG12" s="20"/>
      <c r="AH12" s="20"/>
      <c r="AI12" s="20"/>
      <c r="AJ12" s="20"/>
      <c r="AK12" s="20"/>
      <c r="AL12" s="131"/>
      <c r="AM12" s="131"/>
      <c r="AN12" s="131"/>
      <c r="AO12" s="131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34"/>
      <c r="BW12" s="34"/>
    </row>
    <row r="13" spans="1:75" s="42" customFormat="1" ht="18.75" x14ac:dyDescent="0.3">
      <c r="A13" s="20"/>
      <c r="B13" s="20"/>
      <c r="C13" s="20" t="s">
        <v>557</v>
      </c>
      <c r="D13" s="20"/>
      <c r="E13" s="20"/>
      <c r="F13" s="20"/>
      <c r="G13" s="20"/>
      <c r="H13" s="20"/>
      <c r="I13" s="20"/>
      <c r="J13" s="20"/>
      <c r="K13" s="20"/>
      <c r="L13" s="22"/>
      <c r="M13" s="20"/>
      <c r="N13" s="20"/>
      <c r="O13" s="20"/>
      <c r="P13" s="20"/>
      <c r="Q13" s="20"/>
      <c r="R13" s="20"/>
      <c r="S13" s="20"/>
      <c r="T13" s="22"/>
      <c r="U13" s="20"/>
      <c r="V13" s="20"/>
      <c r="W13" s="20"/>
      <c r="X13" s="20"/>
      <c r="Y13" s="20"/>
      <c r="Z13" s="20"/>
      <c r="AA13" s="20"/>
      <c r="AB13" s="20"/>
      <c r="AC13" s="22"/>
      <c r="AD13" s="20"/>
      <c r="AE13" s="20"/>
      <c r="AF13" s="20"/>
      <c r="AG13" s="20"/>
      <c r="AH13" s="20"/>
      <c r="AI13" s="20"/>
      <c r="AJ13" s="20"/>
      <c r="AK13" s="20"/>
      <c r="AL13" s="131"/>
      <c r="AM13" s="131"/>
      <c r="AN13" s="131"/>
      <c r="AO13" s="131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34"/>
      <c r="BW13" s="34"/>
    </row>
    <row r="14" spans="1:75" s="42" customFormat="1" ht="18.75" x14ac:dyDescent="0.3">
      <c r="A14" s="20"/>
      <c r="B14" s="20"/>
      <c r="C14" s="20" t="s">
        <v>558</v>
      </c>
      <c r="D14" s="20"/>
      <c r="E14" s="20"/>
      <c r="F14" s="20"/>
      <c r="G14" s="20"/>
      <c r="H14" s="20"/>
      <c r="I14" s="20"/>
      <c r="J14" s="20"/>
      <c r="K14" s="20"/>
      <c r="L14" s="22"/>
      <c r="M14" s="20"/>
      <c r="N14" s="20"/>
      <c r="O14" s="20"/>
      <c r="P14" s="20"/>
      <c r="Q14" s="20"/>
      <c r="R14" s="20"/>
      <c r="S14" s="20"/>
      <c r="T14" s="22"/>
      <c r="U14" s="20"/>
      <c r="V14" s="20"/>
      <c r="W14" s="20"/>
      <c r="X14" s="20"/>
      <c r="Y14" s="20"/>
      <c r="Z14" s="20"/>
      <c r="AA14" s="20"/>
      <c r="AB14" s="20"/>
      <c r="AC14" s="22"/>
      <c r="AD14" s="20"/>
      <c r="AE14" s="20"/>
      <c r="AF14" s="20"/>
      <c r="AG14" s="20"/>
      <c r="AH14" s="20"/>
      <c r="AI14" s="20"/>
      <c r="AJ14" s="20"/>
      <c r="AK14" s="20"/>
      <c r="AL14" s="131"/>
      <c r="AM14" s="131"/>
      <c r="AN14" s="131"/>
      <c r="AO14" s="131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34"/>
      <c r="BW14" s="34"/>
    </row>
    <row r="15" spans="1:75" s="42" customFormat="1" ht="18.75" x14ac:dyDescent="0.3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2"/>
      <c r="M15" s="20"/>
      <c r="N15" s="20"/>
      <c r="O15" s="20"/>
      <c r="P15" s="20"/>
      <c r="Q15" s="20"/>
      <c r="R15" s="20"/>
      <c r="S15" s="20"/>
      <c r="T15" s="22"/>
      <c r="U15" s="20"/>
      <c r="V15" s="20"/>
      <c r="W15" s="20"/>
      <c r="X15" s="20"/>
      <c r="Y15" s="20"/>
      <c r="Z15" s="20"/>
      <c r="AA15" s="20"/>
      <c r="AB15" s="20"/>
      <c r="AC15" s="22"/>
      <c r="AD15" s="20"/>
      <c r="AE15" s="20"/>
      <c r="AF15" s="20"/>
      <c r="AG15" s="20"/>
      <c r="AH15" s="20"/>
      <c r="AI15" s="20"/>
      <c r="AJ15" s="20"/>
      <c r="AK15" s="20"/>
      <c r="AL15" s="131"/>
      <c r="AM15" s="131"/>
      <c r="AN15" s="131"/>
      <c r="AO15" s="131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34"/>
      <c r="BW15" s="34"/>
    </row>
    <row r="16" spans="1:75" s="42" customFormat="1" ht="18.75" x14ac:dyDescent="0.3">
      <c r="A16" s="20"/>
      <c r="B16" s="20"/>
      <c r="C16" s="20" t="s">
        <v>559</v>
      </c>
      <c r="D16" s="20"/>
      <c r="E16" s="20"/>
      <c r="F16" s="20"/>
      <c r="G16" s="20"/>
      <c r="H16" s="20"/>
      <c r="I16" s="20"/>
      <c r="J16" s="20"/>
      <c r="K16" s="20"/>
      <c r="L16" s="22"/>
      <c r="M16" s="20"/>
      <c r="N16" s="20"/>
      <c r="O16" s="20"/>
      <c r="P16" s="20"/>
      <c r="Q16" s="20"/>
      <c r="R16" s="20"/>
      <c r="S16" s="20"/>
      <c r="T16" s="22"/>
      <c r="U16" s="20"/>
      <c r="V16" s="20"/>
      <c r="W16" s="20"/>
      <c r="X16" s="20"/>
      <c r="Y16" s="20"/>
      <c r="Z16" s="20"/>
      <c r="AA16" s="20"/>
      <c r="AB16" s="20"/>
      <c r="AC16" s="22"/>
      <c r="AD16" s="20"/>
      <c r="AE16" s="20"/>
      <c r="AF16" s="20"/>
      <c r="AG16" s="20"/>
      <c r="AH16" s="20"/>
      <c r="AI16" s="20"/>
      <c r="AJ16" s="20"/>
      <c r="AK16" s="20"/>
      <c r="AL16" s="131"/>
      <c r="AM16" s="131"/>
      <c r="AN16" s="131"/>
      <c r="AO16" s="131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34"/>
      <c r="BW16" s="34"/>
    </row>
    <row r="17" spans="1:75" s="42" customFormat="1" ht="18.75" x14ac:dyDescent="0.3">
      <c r="A17" s="20"/>
      <c r="B17" s="20"/>
      <c r="C17" s="20" t="s">
        <v>560</v>
      </c>
      <c r="D17" s="20"/>
      <c r="E17" s="20"/>
      <c r="F17" s="20"/>
      <c r="G17" s="20"/>
      <c r="H17" s="20"/>
      <c r="I17" s="20"/>
      <c r="J17" s="20"/>
      <c r="K17" s="20"/>
      <c r="L17" s="22"/>
      <c r="M17" s="20"/>
      <c r="N17" s="20"/>
      <c r="O17" s="20"/>
      <c r="P17" s="20"/>
      <c r="Q17" s="20"/>
      <c r="R17" s="20"/>
      <c r="S17" s="20"/>
      <c r="T17" s="22"/>
      <c r="U17" s="20"/>
      <c r="V17" s="20"/>
      <c r="W17" s="20"/>
      <c r="X17" s="20"/>
      <c r="Y17" s="20"/>
      <c r="Z17" s="20"/>
      <c r="AA17" s="20"/>
      <c r="AB17" s="20"/>
      <c r="AC17" s="22"/>
      <c r="AD17" s="20"/>
      <c r="AE17" s="20"/>
      <c r="AF17" s="20"/>
      <c r="AG17" s="20"/>
      <c r="AH17" s="20"/>
      <c r="AI17" s="20"/>
      <c r="AJ17" s="20"/>
      <c r="AK17" s="20"/>
      <c r="AL17" s="131"/>
      <c r="AM17" s="131"/>
      <c r="AN17" s="131"/>
      <c r="AO17" s="131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34"/>
      <c r="BW17" s="34"/>
    </row>
    <row r="18" spans="1:75" s="42" customFormat="1" ht="18.75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2"/>
      <c r="M18" s="20"/>
      <c r="N18" s="20"/>
      <c r="O18" s="20"/>
      <c r="P18" s="20"/>
      <c r="Q18" s="20"/>
      <c r="R18" s="20"/>
      <c r="S18" s="20"/>
      <c r="T18" s="22"/>
      <c r="U18" s="20"/>
      <c r="V18" s="20"/>
      <c r="W18" s="20"/>
      <c r="X18" s="20"/>
      <c r="Y18" s="20"/>
      <c r="Z18" s="20"/>
      <c r="AA18" s="20"/>
      <c r="AB18" s="20"/>
      <c r="AC18" s="22"/>
      <c r="AD18" s="20"/>
      <c r="AE18" s="20"/>
      <c r="AF18" s="20"/>
      <c r="AG18" s="20"/>
      <c r="AH18" s="20"/>
      <c r="AI18" s="20"/>
      <c r="AJ18" s="20"/>
      <c r="AK18" s="20"/>
      <c r="AL18" s="131"/>
      <c r="AM18" s="131"/>
      <c r="AN18" s="131"/>
      <c r="AO18" s="131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34"/>
      <c r="BW18" s="34"/>
    </row>
    <row r="19" spans="1:75" s="42" customFormat="1" ht="18.75" x14ac:dyDescent="0.3">
      <c r="A19" s="20"/>
      <c r="B19" s="20"/>
      <c r="C19" s="20"/>
      <c r="D19" s="20"/>
      <c r="E19" s="20" t="s">
        <v>110</v>
      </c>
      <c r="F19" s="20" t="s">
        <v>111</v>
      </c>
      <c r="G19" s="20"/>
      <c r="H19" s="20"/>
      <c r="I19" s="20"/>
      <c r="J19" s="20"/>
      <c r="K19" s="20"/>
      <c r="L19" s="22"/>
      <c r="M19" s="20"/>
      <c r="N19" s="20"/>
      <c r="O19" s="20"/>
      <c r="P19" s="20"/>
      <c r="Q19" s="20"/>
      <c r="R19" s="20"/>
      <c r="S19" s="20"/>
      <c r="T19" s="22"/>
      <c r="U19" s="20"/>
      <c r="V19" s="20"/>
      <c r="W19" s="20"/>
      <c r="X19" s="20"/>
      <c r="Y19" s="20"/>
      <c r="Z19" s="20"/>
      <c r="AA19" s="20"/>
      <c r="AB19" s="20"/>
      <c r="AC19" s="22"/>
      <c r="AD19" s="20"/>
      <c r="AE19" s="20"/>
      <c r="AF19" s="20"/>
      <c r="AG19" s="20"/>
      <c r="AH19" s="20"/>
      <c r="AI19" s="20"/>
      <c r="AJ19" s="20"/>
      <c r="AK19" s="20"/>
      <c r="AL19" s="131"/>
      <c r="AM19" s="131"/>
      <c r="AN19" s="131"/>
      <c r="AO19" s="131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34"/>
      <c r="BW19" s="34"/>
    </row>
    <row r="20" spans="1:75" s="42" customFormat="1" ht="18.75" x14ac:dyDescent="0.3">
      <c r="A20" s="20"/>
      <c r="B20" s="20"/>
      <c r="C20" s="20" t="s">
        <v>6</v>
      </c>
      <c r="D20" s="20"/>
      <c r="E20" s="95">
        <f>+E9</f>
        <v>13000</v>
      </c>
      <c r="F20" s="20"/>
      <c r="G20" s="20"/>
      <c r="H20" s="20"/>
      <c r="I20" s="20"/>
      <c r="J20" s="20"/>
      <c r="K20" s="20"/>
      <c r="L20" s="22"/>
      <c r="M20" s="20"/>
      <c r="N20" s="20"/>
      <c r="O20" s="20"/>
      <c r="P20" s="20"/>
      <c r="Q20" s="20"/>
      <c r="R20" s="20"/>
      <c r="S20" s="20"/>
      <c r="T20" s="22"/>
      <c r="U20" s="20"/>
      <c r="V20" s="20"/>
      <c r="W20" s="20"/>
      <c r="X20" s="20"/>
      <c r="Y20" s="20"/>
      <c r="Z20" s="20"/>
      <c r="AA20" s="20"/>
      <c r="AB20" s="20"/>
      <c r="AC20" s="22"/>
      <c r="AD20" s="20"/>
      <c r="AE20" s="20"/>
      <c r="AF20" s="20"/>
      <c r="AG20" s="20"/>
      <c r="AH20" s="20"/>
      <c r="AI20" s="20"/>
      <c r="AJ20" s="20"/>
      <c r="AK20" s="20"/>
      <c r="AL20" s="131"/>
      <c r="AM20" s="131"/>
      <c r="AN20" s="131"/>
      <c r="AO20" s="131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34"/>
      <c r="BW20" s="34"/>
    </row>
    <row r="21" spans="1:75" s="42" customFormat="1" ht="18.75" x14ac:dyDescent="0.3">
      <c r="A21" s="20"/>
      <c r="B21" s="20"/>
      <c r="C21" s="20" t="s">
        <v>532</v>
      </c>
      <c r="D21" s="20"/>
      <c r="E21" s="20"/>
      <c r="F21" s="95">
        <f>+E20</f>
        <v>13000</v>
      </c>
      <c r="G21" s="20"/>
      <c r="H21" s="20"/>
      <c r="I21" s="20"/>
      <c r="J21" s="20"/>
      <c r="K21" s="20"/>
      <c r="L21" s="22"/>
      <c r="M21" s="20"/>
      <c r="N21" s="20"/>
      <c r="O21" s="20"/>
      <c r="P21" s="20"/>
      <c r="Q21" s="20"/>
      <c r="R21" s="20"/>
      <c r="S21" s="20"/>
      <c r="T21" s="22"/>
      <c r="U21" s="20"/>
      <c r="V21" s="20"/>
      <c r="W21" s="20"/>
      <c r="X21" s="20"/>
      <c r="Y21" s="20"/>
      <c r="Z21" s="20"/>
      <c r="AA21" s="20"/>
      <c r="AB21" s="20"/>
      <c r="AC21" s="22"/>
      <c r="AD21" s="20"/>
      <c r="AE21" s="20"/>
      <c r="AF21" s="20"/>
      <c r="AG21" s="20"/>
      <c r="AH21" s="20"/>
      <c r="AI21" s="20"/>
      <c r="AJ21" s="20"/>
      <c r="AK21" s="20"/>
      <c r="AL21" s="131"/>
      <c r="AM21" s="131"/>
      <c r="AN21" s="131"/>
      <c r="AO21" s="131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34"/>
      <c r="BW21" s="34"/>
    </row>
    <row r="22" spans="1:75" s="42" customFormat="1" ht="18.75" x14ac:dyDescent="0.3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2"/>
      <c r="M22" s="20"/>
      <c r="N22" s="20"/>
      <c r="O22" s="20"/>
      <c r="P22" s="20"/>
      <c r="Q22" s="20"/>
      <c r="R22" s="20"/>
      <c r="S22" s="20"/>
      <c r="T22" s="22"/>
      <c r="U22" s="20"/>
      <c r="V22" s="20"/>
      <c r="W22" s="20"/>
      <c r="X22" s="20"/>
      <c r="Y22" s="20"/>
      <c r="Z22" s="20"/>
      <c r="AA22" s="20"/>
      <c r="AB22" s="20"/>
      <c r="AC22" s="22"/>
      <c r="AD22" s="20"/>
      <c r="AE22" s="20"/>
      <c r="AF22" s="20"/>
      <c r="AG22" s="20"/>
      <c r="AH22" s="20"/>
      <c r="AI22" s="20"/>
      <c r="AJ22" s="20"/>
      <c r="AK22" s="20"/>
      <c r="AL22" s="131"/>
      <c r="AM22" s="131"/>
      <c r="AN22" s="131"/>
      <c r="AO22" s="131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34"/>
      <c r="BW22" s="34"/>
    </row>
    <row r="23" spans="1:75" s="42" customFormat="1" ht="18.75" x14ac:dyDescent="0.3">
      <c r="A23" s="20"/>
      <c r="B23" s="20"/>
      <c r="C23" s="311" t="s">
        <v>562</v>
      </c>
      <c r="D23" s="310"/>
      <c r="E23" s="310"/>
      <c r="F23" s="310"/>
      <c r="G23" s="310"/>
      <c r="H23" s="310"/>
      <c r="I23" s="310"/>
      <c r="J23" s="20"/>
      <c r="K23" s="20"/>
      <c r="L23" s="22"/>
      <c r="M23" s="20"/>
      <c r="N23" s="20"/>
      <c r="O23" s="20"/>
      <c r="P23" s="20"/>
      <c r="Q23" s="20"/>
      <c r="R23" s="20"/>
      <c r="S23" s="20"/>
      <c r="T23" s="22"/>
      <c r="U23" s="20"/>
      <c r="V23" s="20"/>
      <c r="W23" s="20"/>
      <c r="X23" s="20"/>
      <c r="Y23" s="20"/>
      <c r="Z23" s="20"/>
      <c r="AA23" s="20"/>
      <c r="AB23" s="20"/>
      <c r="AC23" s="22"/>
      <c r="AD23" s="20"/>
      <c r="AE23" s="20"/>
      <c r="AF23" s="20"/>
      <c r="AG23" s="20"/>
      <c r="AH23" s="20"/>
      <c r="AI23" s="20"/>
      <c r="AJ23" s="20"/>
      <c r="AK23" s="20"/>
      <c r="AL23" s="131"/>
      <c r="AM23" s="131"/>
      <c r="AN23" s="131"/>
      <c r="AO23" s="131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34"/>
      <c r="BW23" s="34"/>
    </row>
    <row r="24" spans="1:75" s="42" customFormat="1" ht="18.75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2"/>
      <c r="M24" s="20"/>
      <c r="N24" s="20"/>
      <c r="O24" s="20"/>
      <c r="P24" s="20"/>
      <c r="Q24" s="20"/>
      <c r="R24" s="20"/>
      <c r="S24" s="20"/>
      <c r="T24" s="22"/>
      <c r="U24" s="20"/>
      <c r="V24" s="20"/>
      <c r="W24" s="20"/>
      <c r="X24" s="20"/>
      <c r="Y24" s="20"/>
      <c r="Z24" s="20"/>
      <c r="AA24" s="20"/>
      <c r="AB24" s="20"/>
      <c r="AC24" s="22"/>
      <c r="AD24" s="20"/>
      <c r="AE24" s="20"/>
      <c r="AF24" s="20"/>
      <c r="AG24" s="20"/>
      <c r="AH24" s="20"/>
      <c r="AI24" s="20"/>
      <c r="AJ24" s="20"/>
      <c r="AK24" s="20"/>
      <c r="AL24" s="131"/>
      <c r="AM24" s="131"/>
      <c r="AN24" s="131"/>
      <c r="AO24" s="131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34"/>
      <c r="BW24" s="34"/>
    </row>
    <row r="25" spans="1:75" s="42" customFormat="1" ht="18.75" x14ac:dyDescent="0.3">
      <c r="A25" s="20"/>
      <c r="B25" s="20"/>
      <c r="C25" s="26" t="s">
        <v>6</v>
      </c>
      <c r="D25" s="35" t="s">
        <v>534</v>
      </c>
      <c r="E25" s="35" t="s">
        <v>467</v>
      </c>
      <c r="F25" s="20"/>
      <c r="G25" s="20"/>
      <c r="H25" s="20"/>
      <c r="I25" s="20"/>
      <c r="J25" s="20"/>
      <c r="K25" s="20"/>
      <c r="L25" s="22"/>
      <c r="M25" s="20"/>
      <c r="N25" s="20"/>
      <c r="O25" s="20"/>
      <c r="P25" s="20"/>
      <c r="Q25" s="20"/>
      <c r="R25" s="20"/>
      <c r="S25" s="20"/>
      <c r="T25" s="22"/>
      <c r="U25" s="20"/>
      <c r="V25" s="20"/>
      <c r="W25" s="20"/>
      <c r="X25" s="20"/>
      <c r="Y25" s="20"/>
      <c r="Z25" s="20"/>
      <c r="AA25" s="20"/>
      <c r="AB25" s="20"/>
      <c r="AC25" s="22"/>
      <c r="AD25" s="20"/>
      <c r="AE25" s="20"/>
      <c r="AF25" s="20"/>
      <c r="AG25" s="20"/>
      <c r="AH25" s="20"/>
      <c r="AI25" s="20"/>
      <c r="AJ25" s="20"/>
      <c r="AK25" s="20"/>
      <c r="AL25" s="131"/>
      <c r="AM25" s="131"/>
      <c r="AN25" s="131"/>
      <c r="AO25" s="131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34"/>
      <c r="BW25" s="34"/>
    </row>
    <row r="26" spans="1:75" s="42" customFormat="1" ht="18.75" x14ac:dyDescent="0.3">
      <c r="A26" s="20"/>
      <c r="B26" s="20"/>
      <c r="C26" s="20" t="s">
        <v>554</v>
      </c>
      <c r="D26" s="95">
        <v>100000</v>
      </c>
      <c r="E26" s="95">
        <f>+D26*F26</f>
        <v>332000</v>
      </c>
      <c r="F26" s="20">
        <v>3.32</v>
      </c>
      <c r="G26" s="20"/>
      <c r="H26" s="20"/>
      <c r="I26" s="20"/>
      <c r="J26" s="20"/>
      <c r="K26" s="20"/>
      <c r="L26" s="22"/>
      <c r="M26" s="20"/>
      <c r="N26" s="20"/>
      <c r="O26" s="20"/>
      <c r="P26" s="20"/>
      <c r="Q26" s="20"/>
      <c r="R26" s="20"/>
      <c r="S26" s="20"/>
      <c r="T26" s="22"/>
      <c r="U26" s="20"/>
      <c r="V26" s="20"/>
      <c r="W26" s="20"/>
      <c r="X26" s="20"/>
      <c r="Y26" s="20"/>
      <c r="Z26" s="20"/>
      <c r="AA26" s="20"/>
      <c r="AB26" s="20"/>
      <c r="AC26" s="22"/>
      <c r="AD26" s="20"/>
      <c r="AE26" s="20"/>
      <c r="AF26" s="20"/>
      <c r="AG26" s="20"/>
      <c r="AH26" s="20"/>
      <c r="AI26" s="20"/>
      <c r="AJ26" s="20"/>
      <c r="AK26" s="20"/>
      <c r="AL26" s="131"/>
      <c r="AM26" s="131"/>
      <c r="AN26" s="131"/>
      <c r="AO26" s="131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34"/>
      <c r="BW26" s="34"/>
    </row>
    <row r="27" spans="1:75" s="42" customFormat="1" ht="18.75" x14ac:dyDescent="0.3">
      <c r="A27" s="20"/>
      <c r="B27" s="20"/>
      <c r="C27" s="20" t="s">
        <v>563</v>
      </c>
      <c r="D27" s="95">
        <v>-20000</v>
      </c>
      <c r="E27" s="95">
        <f>+D27*F27</f>
        <v>-68000</v>
      </c>
      <c r="F27" s="316">
        <v>3.4</v>
      </c>
      <c r="G27" s="316"/>
      <c r="H27" s="316"/>
      <c r="I27" s="316"/>
      <c r="J27" s="317"/>
      <c r="K27" s="20"/>
      <c r="L27" s="22"/>
      <c r="M27" s="20"/>
      <c r="N27" s="20"/>
      <c r="O27" s="20"/>
      <c r="P27" s="20"/>
      <c r="Q27" s="20"/>
      <c r="R27" s="20"/>
      <c r="S27" s="20"/>
      <c r="T27" s="22"/>
      <c r="U27" s="20"/>
      <c r="V27" s="20"/>
      <c r="W27" s="20"/>
      <c r="X27" s="20"/>
      <c r="Y27" s="20"/>
      <c r="Z27" s="20"/>
      <c r="AA27" s="20"/>
      <c r="AB27" s="20"/>
      <c r="AC27" s="22"/>
      <c r="AD27" s="20"/>
      <c r="AE27" s="20"/>
      <c r="AF27" s="20"/>
      <c r="AG27" s="20"/>
      <c r="AH27" s="20"/>
      <c r="AI27" s="20"/>
      <c r="AJ27" s="20"/>
      <c r="AK27" s="20"/>
      <c r="AL27" s="131"/>
      <c r="AM27" s="131"/>
      <c r="AN27" s="131"/>
      <c r="AO27" s="131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34"/>
      <c r="BW27" s="34"/>
    </row>
    <row r="28" spans="1:75" s="42" customFormat="1" ht="18.75" x14ac:dyDescent="0.3">
      <c r="A28" s="20"/>
      <c r="B28" s="20"/>
      <c r="C28" s="101" t="s">
        <v>564</v>
      </c>
      <c r="D28" s="97">
        <v>0</v>
      </c>
      <c r="E28" s="97">
        <f>+-(E26+E27-E29)</f>
        <v>12000</v>
      </c>
      <c r="F28" s="316"/>
      <c r="G28" s="20"/>
      <c r="H28" s="20"/>
      <c r="I28" s="20"/>
      <c r="J28" s="317"/>
      <c r="K28" s="20"/>
      <c r="L28" s="22"/>
      <c r="M28" s="20"/>
      <c r="N28" s="20"/>
      <c r="O28" s="20"/>
      <c r="P28" s="20"/>
      <c r="Q28" s="20"/>
      <c r="R28" s="20"/>
      <c r="S28" s="20"/>
      <c r="T28" s="22"/>
      <c r="U28" s="20"/>
      <c r="V28" s="20"/>
      <c r="W28" s="20"/>
      <c r="X28" s="20"/>
      <c r="Y28" s="20"/>
      <c r="Z28" s="20"/>
      <c r="AA28" s="20"/>
      <c r="AB28" s="20"/>
      <c r="AC28" s="22"/>
      <c r="AD28" s="20"/>
      <c r="AE28" s="20"/>
      <c r="AF28" s="20"/>
      <c r="AG28" s="20"/>
      <c r="AH28" s="20"/>
      <c r="AI28" s="20"/>
      <c r="AJ28" s="20"/>
      <c r="AK28" s="20"/>
      <c r="AL28" s="131"/>
      <c r="AM28" s="131"/>
      <c r="AN28" s="131"/>
      <c r="AO28" s="131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34"/>
      <c r="BW28" s="34"/>
    </row>
    <row r="29" spans="1:75" s="42" customFormat="1" ht="18.75" x14ac:dyDescent="0.3">
      <c r="A29" s="20"/>
      <c r="B29" s="20"/>
      <c r="C29" s="101" t="s">
        <v>553</v>
      </c>
      <c r="D29" s="97">
        <f>+D26+D27</f>
        <v>80000</v>
      </c>
      <c r="E29" s="97">
        <f>+D29*F29</f>
        <v>276000</v>
      </c>
      <c r="F29" s="20">
        <v>3.45</v>
      </c>
      <c r="G29" s="20"/>
      <c r="H29" s="20"/>
      <c r="I29" s="20"/>
      <c r="J29" s="317"/>
      <c r="K29" s="20"/>
      <c r="L29" s="22"/>
      <c r="M29" s="20"/>
      <c r="N29" s="20"/>
      <c r="O29" s="20"/>
      <c r="P29" s="20"/>
      <c r="Q29" s="20"/>
      <c r="R29" s="20"/>
      <c r="S29" s="20"/>
      <c r="T29" s="22"/>
      <c r="U29" s="20"/>
      <c r="V29" s="20"/>
      <c r="W29" s="20"/>
      <c r="X29" s="20"/>
      <c r="Y29" s="20"/>
      <c r="Z29" s="20"/>
      <c r="AA29" s="20"/>
      <c r="AB29" s="20"/>
      <c r="AC29" s="22"/>
      <c r="AD29" s="20"/>
      <c r="AE29" s="20"/>
      <c r="AF29" s="20"/>
      <c r="AG29" s="20"/>
      <c r="AH29" s="20"/>
      <c r="AI29" s="20"/>
      <c r="AJ29" s="20"/>
      <c r="AK29" s="20"/>
      <c r="AL29" s="131"/>
      <c r="AM29" s="131"/>
      <c r="AN29" s="131"/>
      <c r="AO29" s="131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34"/>
      <c r="BW29" s="34"/>
    </row>
    <row r="30" spans="1:75" s="42" customFormat="1" ht="18.75" x14ac:dyDescent="0.3">
      <c r="A30" s="20"/>
      <c r="B30" s="20"/>
      <c r="C30" s="101" t="s">
        <v>103</v>
      </c>
      <c r="D30" s="97">
        <f>+D29-D26</f>
        <v>-20000</v>
      </c>
      <c r="E30" s="97">
        <f>+E29-E26</f>
        <v>-56000</v>
      </c>
      <c r="F30" s="20"/>
      <c r="G30" s="20"/>
      <c r="H30" s="20"/>
      <c r="I30" s="20"/>
      <c r="J30" s="317"/>
      <c r="K30" s="20"/>
      <c r="L30" s="22"/>
      <c r="M30" s="20"/>
      <c r="N30" s="20"/>
      <c r="O30" s="20"/>
      <c r="P30" s="20"/>
      <c r="Q30" s="20"/>
      <c r="R30" s="20"/>
      <c r="S30" s="20"/>
      <c r="T30" s="22"/>
      <c r="U30" s="20"/>
      <c r="V30" s="20"/>
      <c r="W30" s="20"/>
      <c r="X30" s="20"/>
      <c r="Y30" s="20"/>
      <c r="Z30" s="20"/>
      <c r="AA30" s="20"/>
      <c r="AB30" s="20"/>
      <c r="AC30" s="22"/>
      <c r="AD30" s="20"/>
      <c r="AE30" s="20"/>
      <c r="AF30" s="20"/>
      <c r="AG30" s="20"/>
      <c r="AH30" s="20"/>
      <c r="AI30" s="20"/>
      <c r="AJ30" s="20"/>
      <c r="AK30" s="20"/>
      <c r="AL30" s="131"/>
      <c r="AM30" s="131"/>
      <c r="AN30" s="131"/>
      <c r="AO30" s="131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34"/>
      <c r="BW30" s="34"/>
    </row>
    <row r="31" spans="1:75" s="42" customFormat="1" ht="18.75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2"/>
      <c r="M31" s="20"/>
      <c r="N31" s="20"/>
      <c r="O31" s="20"/>
      <c r="P31" s="20"/>
      <c r="Q31" s="20"/>
      <c r="R31" s="20"/>
      <c r="S31" s="20"/>
      <c r="T31" s="22"/>
      <c r="U31" s="20"/>
      <c r="V31" s="20"/>
      <c r="W31" s="20"/>
      <c r="X31" s="20"/>
      <c r="Y31" s="20"/>
      <c r="Z31" s="20"/>
      <c r="AA31" s="20"/>
      <c r="AB31" s="20"/>
      <c r="AC31" s="22"/>
      <c r="AD31" s="20"/>
      <c r="AE31" s="20"/>
      <c r="AF31" s="20"/>
      <c r="AG31" s="20"/>
      <c r="AH31" s="20"/>
      <c r="AI31" s="20"/>
      <c r="AJ31" s="20"/>
      <c r="AK31" s="20"/>
      <c r="AL31" s="131"/>
      <c r="AM31" s="131"/>
      <c r="AN31" s="131"/>
      <c r="AO31" s="131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34"/>
      <c r="BW31" s="34"/>
    </row>
    <row r="32" spans="1:75" s="42" customFormat="1" ht="18.75" x14ac:dyDescent="0.3">
      <c r="A32" s="20"/>
      <c r="B32" s="20"/>
      <c r="C32" s="20" t="s">
        <v>565</v>
      </c>
      <c r="D32" s="20"/>
      <c r="E32" s="20"/>
      <c r="F32" s="20"/>
      <c r="G32" s="20"/>
      <c r="H32" s="20"/>
      <c r="I32" s="20"/>
      <c r="J32" s="20"/>
      <c r="K32" s="20"/>
      <c r="L32" s="22"/>
      <c r="M32" s="20"/>
      <c r="N32" s="20"/>
      <c r="O32" s="20"/>
      <c r="P32" s="20"/>
      <c r="Q32" s="20"/>
      <c r="R32" s="20"/>
      <c r="S32" s="20"/>
      <c r="T32" s="22"/>
      <c r="U32" s="20"/>
      <c r="V32" s="20"/>
      <c r="W32" s="20"/>
      <c r="X32" s="20"/>
      <c r="Y32" s="20"/>
      <c r="Z32" s="20"/>
      <c r="AA32" s="20"/>
      <c r="AB32" s="20"/>
      <c r="AC32" s="22"/>
      <c r="AD32" s="20"/>
      <c r="AE32" s="20"/>
      <c r="AF32" s="20"/>
      <c r="AG32" s="20"/>
      <c r="AH32" s="20"/>
      <c r="AI32" s="20"/>
      <c r="AJ32" s="20"/>
      <c r="AK32" s="20"/>
      <c r="AL32" s="131"/>
      <c r="AM32" s="131"/>
      <c r="AN32" s="131"/>
      <c r="AO32" s="131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34"/>
      <c r="BW32" s="34"/>
    </row>
    <row r="33" spans="1:75" s="42" customFormat="1" ht="18.75" x14ac:dyDescent="0.3">
      <c r="A33" s="20"/>
      <c r="B33" s="20"/>
      <c r="C33" s="20" t="s">
        <v>585</v>
      </c>
      <c r="D33" s="20"/>
      <c r="E33" s="20"/>
      <c r="F33" s="20"/>
      <c r="G33" s="20"/>
      <c r="H33" s="20"/>
      <c r="I33" s="20"/>
      <c r="J33" s="20"/>
      <c r="K33" s="20"/>
      <c r="L33" s="22"/>
      <c r="M33" s="20"/>
      <c r="N33" s="20"/>
      <c r="O33" s="20"/>
      <c r="P33" s="20"/>
      <c r="Q33" s="20"/>
      <c r="R33" s="20"/>
      <c r="S33" s="20"/>
      <c r="T33" s="22"/>
      <c r="U33" s="20"/>
      <c r="V33" s="20"/>
      <c r="W33" s="20"/>
      <c r="X33" s="20"/>
      <c r="Y33" s="20"/>
      <c r="Z33" s="20"/>
      <c r="AA33" s="20"/>
      <c r="AB33" s="20"/>
      <c r="AC33" s="22"/>
      <c r="AD33" s="20"/>
      <c r="AE33" s="20"/>
      <c r="AF33" s="20"/>
      <c r="AG33" s="20"/>
      <c r="AH33" s="20"/>
      <c r="AI33" s="20"/>
      <c r="AJ33" s="20"/>
      <c r="AK33" s="20"/>
      <c r="AL33" s="131"/>
      <c r="AM33" s="131"/>
      <c r="AN33" s="131"/>
      <c r="AO33" s="131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34"/>
      <c r="BW33" s="34"/>
    </row>
    <row r="34" spans="1:75" s="42" customFormat="1" ht="18.75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2"/>
      <c r="M34" s="20"/>
      <c r="N34" s="20"/>
      <c r="O34" s="20"/>
      <c r="P34" s="20"/>
      <c r="Q34" s="20"/>
      <c r="R34" s="20"/>
      <c r="S34" s="20"/>
      <c r="T34" s="22"/>
      <c r="U34" s="20"/>
      <c r="V34" s="20"/>
      <c r="W34" s="20"/>
      <c r="X34" s="20"/>
      <c r="Y34" s="20"/>
      <c r="Z34" s="20"/>
      <c r="AA34" s="20"/>
      <c r="AB34" s="20"/>
      <c r="AC34" s="22"/>
      <c r="AD34" s="20"/>
      <c r="AE34" s="20"/>
      <c r="AF34" s="20"/>
      <c r="AG34" s="20"/>
      <c r="AH34" s="20"/>
      <c r="AI34" s="20"/>
      <c r="AJ34" s="20"/>
      <c r="AK34" s="20"/>
      <c r="AL34" s="131"/>
      <c r="AM34" s="131"/>
      <c r="AN34" s="131"/>
      <c r="AO34" s="131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34"/>
      <c r="BW34" s="34"/>
    </row>
    <row r="35" spans="1:75" s="42" customFormat="1" ht="18.75" x14ac:dyDescent="0.3">
      <c r="A35" s="20"/>
      <c r="B35" s="20"/>
      <c r="C35" s="20" t="s">
        <v>566</v>
      </c>
      <c r="D35" s="20"/>
      <c r="E35" s="20"/>
      <c r="F35" s="20"/>
      <c r="G35" s="20"/>
      <c r="H35" s="20"/>
      <c r="I35" s="20"/>
      <c r="J35" s="20"/>
      <c r="K35" s="20"/>
      <c r="L35" s="22"/>
      <c r="M35" s="20"/>
      <c r="N35" s="20"/>
      <c r="O35" s="20"/>
      <c r="P35" s="20"/>
      <c r="Q35" s="20"/>
      <c r="R35" s="20"/>
      <c r="S35" s="20"/>
      <c r="T35" s="22"/>
      <c r="U35" s="20"/>
      <c r="V35" s="20"/>
      <c r="W35" s="20"/>
      <c r="X35" s="20"/>
      <c r="Y35" s="20"/>
      <c r="Z35" s="20"/>
      <c r="AA35" s="20"/>
      <c r="AB35" s="20"/>
      <c r="AC35" s="22"/>
      <c r="AD35" s="20"/>
      <c r="AE35" s="20"/>
      <c r="AF35" s="20"/>
      <c r="AG35" s="20"/>
      <c r="AH35" s="20"/>
      <c r="AI35" s="20"/>
      <c r="AJ35" s="20"/>
      <c r="AK35" s="20"/>
      <c r="AL35" s="131"/>
      <c r="AM35" s="131"/>
      <c r="AN35" s="131"/>
      <c r="AO35" s="131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34"/>
      <c r="BW35" s="34"/>
    </row>
    <row r="36" spans="1:75" s="42" customFormat="1" ht="18.75" x14ac:dyDescent="0.3">
      <c r="A36" s="20"/>
      <c r="B36" s="20"/>
      <c r="C36" s="20" t="s">
        <v>567</v>
      </c>
      <c r="D36" s="20"/>
      <c r="E36" s="20"/>
      <c r="F36" s="20"/>
      <c r="G36" s="20"/>
      <c r="H36" s="20"/>
      <c r="I36" s="20"/>
      <c r="J36" s="20"/>
      <c r="K36" s="20"/>
      <c r="L36" s="22"/>
      <c r="M36" s="20"/>
      <c r="N36" s="20"/>
      <c r="O36" s="20"/>
      <c r="P36" s="20"/>
      <c r="Q36" s="20"/>
      <c r="R36" s="20"/>
      <c r="S36" s="20"/>
      <c r="T36" s="22"/>
      <c r="U36" s="20"/>
      <c r="V36" s="20"/>
      <c r="W36" s="20"/>
      <c r="X36" s="20"/>
      <c r="Y36" s="20"/>
      <c r="Z36" s="20"/>
      <c r="AA36" s="20"/>
      <c r="AB36" s="20"/>
      <c r="AC36" s="22"/>
      <c r="AD36" s="20"/>
      <c r="AE36" s="20"/>
      <c r="AF36" s="20"/>
      <c r="AG36" s="20"/>
      <c r="AH36" s="20"/>
      <c r="AI36" s="20"/>
      <c r="AJ36" s="20"/>
      <c r="AK36" s="20"/>
      <c r="AL36" s="131"/>
      <c r="AM36" s="131"/>
      <c r="AN36" s="131"/>
      <c r="AO36" s="131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34"/>
      <c r="BW36" s="34"/>
    </row>
    <row r="37" spans="1:75" s="42" customFormat="1" ht="18.75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2"/>
      <c r="M37" s="20"/>
      <c r="N37" s="20"/>
      <c r="O37" s="20"/>
      <c r="P37" s="20"/>
      <c r="Q37" s="20"/>
      <c r="R37" s="20"/>
      <c r="S37" s="20"/>
      <c r="T37" s="22"/>
      <c r="U37" s="20"/>
      <c r="V37" s="20"/>
      <c r="W37" s="20"/>
      <c r="X37" s="20"/>
      <c r="Y37" s="20"/>
      <c r="Z37" s="20"/>
      <c r="AA37" s="20"/>
      <c r="AB37" s="20"/>
      <c r="AC37" s="22"/>
      <c r="AD37" s="20"/>
      <c r="AE37" s="20"/>
      <c r="AF37" s="20"/>
      <c r="AG37" s="20"/>
      <c r="AH37" s="20"/>
      <c r="AI37" s="20"/>
      <c r="AJ37" s="20"/>
      <c r="AK37" s="20"/>
      <c r="AL37" s="131"/>
      <c r="AM37" s="131"/>
      <c r="AN37" s="131"/>
      <c r="AO37" s="131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34"/>
      <c r="BW37" s="34"/>
    </row>
    <row r="38" spans="1:75" s="42" customFormat="1" ht="18.75" x14ac:dyDescent="0.3">
      <c r="A38" s="20"/>
      <c r="B38" s="20"/>
      <c r="C38" s="20"/>
      <c r="D38" s="20"/>
      <c r="E38" s="20" t="s">
        <v>110</v>
      </c>
      <c r="F38" s="20" t="s">
        <v>111</v>
      </c>
      <c r="G38" s="20"/>
      <c r="H38" s="20"/>
      <c r="I38" s="20"/>
      <c r="J38" s="20"/>
      <c r="K38" s="20"/>
      <c r="L38" s="22"/>
      <c r="M38" s="20"/>
      <c r="N38" s="20"/>
      <c r="O38" s="20"/>
      <c r="P38" s="20"/>
      <c r="Q38" s="20"/>
      <c r="R38" s="20"/>
      <c r="S38" s="20"/>
      <c r="T38" s="22"/>
      <c r="U38" s="20"/>
      <c r="V38" s="20"/>
      <c r="W38" s="20"/>
      <c r="X38" s="20"/>
      <c r="Y38" s="20"/>
      <c r="Z38" s="20"/>
      <c r="AA38" s="20"/>
      <c r="AB38" s="20"/>
      <c r="AC38" s="22"/>
      <c r="AD38" s="20"/>
      <c r="AE38" s="20"/>
      <c r="AF38" s="20"/>
      <c r="AG38" s="20"/>
      <c r="AH38" s="20"/>
      <c r="AI38" s="20"/>
      <c r="AJ38" s="20"/>
      <c r="AK38" s="20"/>
      <c r="AL38" s="131"/>
      <c r="AM38" s="131"/>
      <c r="AN38" s="131"/>
      <c r="AO38" s="131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34"/>
      <c r="BW38" s="34"/>
    </row>
    <row r="39" spans="1:75" s="42" customFormat="1" ht="18.75" x14ac:dyDescent="0.3">
      <c r="A39" s="20"/>
      <c r="B39" s="20"/>
      <c r="C39" s="20" t="s">
        <v>6</v>
      </c>
      <c r="D39" s="20"/>
      <c r="E39" s="95">
        <f>+E28</f>
        <v>12000</v>
      </c>
      <c r="F39" s="20"/>
      <c r="G39" s="20"/>
      <c r="H39" s="20"/>
      <c r="I39" s="20"/>
      <c r="J39" s="20"/>
      <c r="K39" s="20"/>
      <c r="L39" s="22"/>
      <c r="M39" s="20"/>
      <c r="N39" s="20"/>
      <c r="O39" s="20"/>
      <c r="P39" s="20"/>
      <c r="Q39" s="20"/>
      <c r="R39" s="20"/>
      <c r="S39" s="20"/>
      <c r="T39" s="22"/>
      <c r="U39" s="20"/>
      <c r="V39" s="20"/>
      <c r="W39" s="20"/>
      <c r="X39" s="20"/>
      <c r="Y39" s="20"/>
      <c r="Z39" s="20"/>
      <c r="AA39" s="20"/>
      <c r="AB39" s="20"/>
      <c r="AC39" s="22"/>
      <c r="AD39" s="20"/>
      <c r="AE39" s="20"/>
      <c r="AF39" s="20"/>
      <c r="AG39" s="20"/>
      <c r="AH39" s="20"/>
      <c r="AI39" s="20"/>
      <c r="AJ39" s="20"/>
      <c r="AK39" s="20"/>
      <c r="AL39" s="131"/>
      <c r="AM39" s="131"/>
      <c r="AN39" s="131"/>
      <c r="AO39" s="131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34"/>
      <c r="BW39" s="34"/>
    </row>
    <row r="40" spans="1:75" s="42" customFormat="1" ht="18.75" x14ac:dyDescent="0.3">
      <c r="A40" s="20"/>
      <c r="B40" s="20"/>
      <c r="C40" s="20" t="s">
        <v>532</v>
      </c>
      <c r="D40" s="20"/>
      <c r="E40" s="20"/>
      <c r="F40" s="95">
        <f>+E39</f>
        <v>12000</v>
      </c>
      <c r="G40" s="20"/>
      <c r="H40" s="20"/>
      <c r="I40" s="20"/>
      <c r="J40" s="20"/>
      <c r="K40" s="20"/>
      <c r="L40" s="22"/>
      <c r="M40" s="20"/>
      <c r="N40" s="20"/>
      <c r="O40" s="20"/>
      <c r="P40" s="20"/>
      <c r="Q40" s="20"/>
      <c r="R40" s="20"/>
      <c r="S40" s="20"/>
      <c r="T40" s="22"/>
      <c r="U40" s="20"/>
      <c r="V40" s="20"/>
      <c r="W40" s="20"/>
      <c r="X40" s="20"/>
      <c r="Y40" s="20"/>
      <c r="Z40" s="20"/>
      <c r="AA40" s="20"/>
      <c r="AB40" s="20"/>
      <c r="AC40" s="22"/>
      <c r="AD40" s="20"/>
      <c r="AE40" s="20"/>
      <c r="AF40" s="20"/>
      <c r="AG40" s="20"/>
      <c r="AH40" s="20"/>
      <c r="AI40" s="20"/>
      <c r="AJ40" s="20"/>
      <c r="AK40" s="20"/>
      <c r="AL40" s="131"/>
      <c r="AM40" s="131"/>
      <c r="AN40" s="131"/>
      <c r="AO40" s="131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34"/>
      <c r="BW40" s="34"/>
    </row>
    <row r="41" spans="1:75" s="42" customFormat="1" ht="18.75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2"/>
      <c r="M41" s="20"/>
      <c r="N41" s="20"/>
      <c r="O41" s="20"/>
      <c r="P41" s="20"/>
      <c r="Q41" s="20"/>
      <c r="R41" s="20"/>
      <c r="S41" s="20"/>
      <c r="T41" s="22"/>
      <c r="U41" s="20"/>
      <c r="V41" s="20"/>
      <c r="W41" s="20"/>
      <c r="X41" s="20"/>
      <c r="Y41" s="20"/>
      <c r="Z41" s="20"/>
      <c r="AA41" s="20"/>
      <c r="AB41" s="20"/>
      <c r="AC41" s="22"/>
      <c r="AD41" s="20"/>
      <c r="AE41" s="20"/>
      <c r="AF41" s="20"/>
      <c r="AG41" s="20"/>
      <c r="AH41" s="20"/>
      <c r="AI41" s="20"/>
      <c r="AJ41" s="20"/>
      <c r="AK41" s="20"/>
      <c r="AL41" s="131"/>
      <c r="AM41" s="131"/>
      <c r="AN41" s="131"/>
      <c r="AO41" s="131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34"/>
      <c r="BW41" s="34"/>
    </row>
    <row r="42" spans="1:75" s="42" customFormat="1" ht="18.75" x14ac:dyDescent="0.3">
      <c r="A42" s="20"/>
      <c r="B42" s="20"/>
      <c r="C42" s="20" t="s">
        <v>568</v>
      </c>
      <c r="D42" s="20"/>
      <c r="E42" s="20"/>
      <c r="F42" s="20"/>
      <c r="G42" s="20"/>
      <c r="H42" s="20"/>
      <c r="I42" s="20"/>
      <c r="J42" s="20"/>
      <c r="K42" s="20"/>
      <c r="L42" s="22"/>
      <c r="M42" s="20"/>
      <c r="N42" s="20"/>
      <c r="O42" s="20"/>
      <c r="P42" s="20"/>
      <c r="Q42" s="20"/>
      <c r="R42" s="20"/>
      <c r="S42" s="20"/>
      <c r="T42" s="22"/>
      <c r="U42" s="20"/>
      <c r="V42" s="20"/>
      <c r="W42" s="20"/>
      <c r="X42" s="20"/>
      <c r="Y42" s="20"/>
      <c r="Z42" s="20"/>
      <c r="AA42" s="20"/>
      <c r="AB42" s="20"/>
      <c r="AC42" s="22"/>
      <c r="AD42" s="20"/>
      <c r="AE42" s="20"/>
      <c r="AF42" s="20"/>
      <c r="AG42" s="20"/>
      <c r="AH42" s="20"/>
      <c r="AI42" s="20"/>
      <c r="AJ42" s="20"/>
      <c r="AK42" s="20"/>
      <c r="AL42" s="131"/>
      <c r="AM42" s="131"/>
      <c r="AN42" s="131"/>
      <c r="AO42" s="131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34"/>
      <c r="BW42" s="34"/>
    </row>
    <row r="43" spans="1:75" s="42" customFormat="1" ht="18.75" x14ac:dyDescent="0.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2"/>
      <c r="M43" s="20"/>
      <c r="N43" s="20"/>
      <c r="O43" s="20"/>
      <c r="P43" s="20"/>
      <c r="Q43" s="20"/>
      <c r="R43" s="20"/>
      <c r="S43" s="20"/>
      <c r="T43" s="22"/>
      <c r="U43" s="20"/>
      <c r="V43" s="20"/>
      <c r="W43" s="20"/>
      <c r="X43" s="20"/>
      <c r="Y43" s="20"/>
      <c r="Z43" s="20"/>
      <c r="AA43" s="20"/>
      <c r="AB43" s="20"/>
      <c r="AC43" s="22"/>
      <c r="AD43" s="20"/>
      <c r="AE43" s="20"/>
      <c r="AF43" s="20"/>
      <c r="AG43" s="20"/>
      <c r="AH43" s="20"/>
      <c r="AI43" s="20"/>
      <c r="AJ43" s="20"/>
      <c r="AK43" s="20"/>
      <c r="AL43" s="131"/>
      <c r="AM43" s="131"/>
      <c r="AN43" s="131"/>
      <c r="AO43" s="131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34"/>
      <c r="BW43" s="34"/>
    </row>
    <row r="44" spans="1:75" s="42" customFormat="1" ht="18.75" x14ac:dyDescent="0.3">
      <c r="A44" s="20"/>
      <c r="B44" s="20"/>
      <c r="C44" s="20"/>
      <c r="D44" s="190" t="s">
        <v>569</v>
      </c>
      <c r="E44" s="190" t="s">
        <v>570</v>
      </c>
      <c r="F44" s="190" t="s">
        <v>571</v>
      </c>
      <c r="G44" s="190" t="s">
        <v>156</v>
      </c>
      <c r="H44" s="190" t="s">
        <v>233</v>
      </c>
      <c r="I44" s="190" t="s">
        <v>572</v>
      </c>
      <c r="J44" s="20"/>
      <c r="K44" s="20"/>
      <c r="L44" s="22"/>
      <c r="M44" s="20"/>
      <c r="N44" s="20"/>
      <c r="O44" s="20"/>
      <c r="P44" s="20"/>
      <c r="Q44" s="20"/>
      <c r="R44" s="20"/>
      <c r="S44" s="20"/>
      <c r="T44" s="22"/>
      <c r="U44" s="20"/>
      <c r="V44" s="20"/>
      <c r="W44" s="20"/>
      <c r="X44" s="20"/>
      <c r="Y44" s="20"/>
      <c r="Z44" s="20"/>
      <c r="AA44" s="20"/>
      <c r="AB44" s="20"/>
      <c r="AC44" s="22"/>
      <c r="AD44" s="20"/>
      <c r="AE44" s="20"/>
      <c r="AF44" s="20"/>
      <c r="AG44" s="20"/>
      <c r="AH44" s="20"/>
      <c r="AI44" s="20"/>
      <c r="AJ44" s="20"/>
      <c r="AK44" s="20"/>
      <c r="AL44" s="131"/>
      <c r="AM44" s="131"/>
      <c r="AN44" s="131"/>
      <c r="AO44" s="131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34"/>
      <c r="BW44" s="34"/>
    </row>
    <row r="45" spans="1:75" s="42" customFormat="1" ht="18.75" x14ac:dyDescent="0.3">
      <c r="A45" s="20"/>
      <c r="B45" s="20"/>
      <c r="C45" s="20"/>
      <c r="D45" s="190" t="s">
        <v>467</v>
      </c>
      <c r="E45" s="190" t="s">
        <v>467</v>
      </c>
      <c r="F45" s="190" t="s">
        <v>467</v>
      </c>
      <c r="G45" s="190" t="s">
        <v>467</v>
      </c>
      <c r="H45" s="190" t="s">
        <v>467</v>
      </c>
      <c r="I45" s="190" t="s">
        <v>467</v>
      </c>
      <c r="J45" s="41" t="s">
        <v>456</v>
      </c>
      <c r="K45" s="20"/>
      <c r="L45" s="22"/>
      <c r="M45" s="20"/>
      <c r="N45" s="20"/>
      <c r="O45" s="20"/>
      <c r="P45" s="20"/>
      <c r="Q45" s="20"/>
      <c r="R45" s="20"/>
      <c r="S45" s="20"/>
      <c r="T45" s="22"/>
      <c r="U45" s="20"/>
      <c r="V45" s="20"/>
      <c r="W45" s="20"/>
      <c r="X45" s="20"/>
      <c r="Y45" s="20"/>
      <c r="Z45" s="20"/>
      <c r="AA45" s="20"/>
      <c r="AB45" s="20"/>
      <c r="AC45" s="22"/>
      <c r="AD45" s="20"/>
      <c r="AE45" s="20"/>
      <c r="AF45" s="20"/>
      <c r="AG45" s="20"/>
      <c r="AH45" s="20"/>
      <c r="AI45" s="20"/>
      <c r="AJ45" s="20"/>
      <c r="AK45" s="20"/>
      <c r="AL45" s="131"/>
      <c r="AM45" s="131"/>
      <c r="AN45" s="131"/>
      <c r="AO45" s="131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34"/>
      <c r="BW45" s="34"/>
    </row>
    <row r="46" spans="1:75" s="42" customFormat="1" ht="18.75" x14ac:dyDescent="0.3">
      <c r="A46" s="20"/>
      <c r="B46" s="20"/>
      <c r="C46" s="17" t="s">
        <v>6</v>
      </c>
      <c r="D46" s="95">
        <f>+-E29</f>
        <v>-276000</v>
      </c>
      <c r="E46" s="95">
        <f>+-E26</f>
        <v>-332000</v>
      </c>
      <c r="F46" s="95">
        <f>+E46-D46</f>
        <v>-56000</v>
      </c>
      <c r="G46" s="95">
        <f>+E39</f>
        <v>12000</v>
      </c>
      <c r="H46" s="20"/>
      <c r="I46" s="95">
        <f>+F46+H46-G46</f>
        <v>-68000</v>
      </c>
      <c r="J46" s="95">
        <f>+I46</f>
        <v>-68000</v>
      </c>
      <c r="K46" s="20" t="s">
        <v>140</v>
      </c>
      <c r="L46" s="22"/>
      <c r="M46" s="20"/>
      <c r="N46" s="20"/>
      <c r="O46" s="20"/>
      <c r="P46" s="20"/>
      <c r="Q46" s="20"/>
      <c r="R46" s="20"/>
      <c r="S46" s="20"/>
      <c r="T46" s="22"/>
      <c r="U46" s="20"/>
      <c r="V46" s="20"/>
      <c r="W46" s="20"/>
      <c r="X46" s="20"/>
      <c r="Y46" s="20"/>
      <c r="Z46" s="20"/>
      <c r="AA46" s="20"/>
      <c r="AB46" s="20"/>
      <c r="AC46" s="22"/>
      <c r="AD46" s="20"/>
      <c r="AE46" s="20"/>
      <c r="AF46" s="20"/>
      <c r="AG46" s="20"/>
      <c r="AH46" s="20"/>
      <c r="AI46" s="20"/>
      <c r="AJ46" s="20"/>
      <c r="AK46" s="20"/>
      <c r="AL46" s="131"/>
      <c r="AM46" s="131"/>
      <c r="AN46" s="131"/>
      <c r="AO46" s="131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34"/>
      <c r="BW46" s="34"/>
    </row>
    <row r="47" spans="1:75" s="42" customFormat="1" ht="18.75" x14ac:dyDescent="0.3">
      <c r="A47" s="20"/>
      <c r="B47" s="20"/>
      <c r="C47" s="20"/>
      <c r="D47" s="20"/>
      <c r="F47" s="20"/>
      <c r="G47" s="20"/>
      <c r="H47" s="20"/>
      <c r="I47" s="20"/>
      <c r="J47" s="20"/>
      <c r="K47" s="20"/>
      <c r="L47" s="22"/>
      <c r="M47" s="20"/>
      <c r="N47" s="20"/>
      <c r="O47" s="20"/>
      <c r="P47" s="20"/>
      <c r="Q47" s="20"/>
      <c r="R47" s="20"/>
      <c r="S47" s="20"/>
      <c r="T47" s="22"/>
      <c r="U47" s="20"/>
      <c r="V47" s="20"/>
      <c r="W47" s="20"/>
      <c r="X47" s="20"/>
      <c r="Y47" s="20"/>
      <c r="Z47" s="20"/>
      <c r="AA47" s="20"/>
      <c r="AB47" s="20"/>
      <c r="AC47" s="22"/>
      <c r="AD47" s="20"/>
      <c r="AE47" s="20"/>
      <c r="AF47" s="20"/>
      <c r="AG47" s="20"/>
      <c r="AH47" s="20"/>
      <c r="AI47" s="20"/>
      <c r="AJ47" s="20"/>
      <c r="AK47" s="20"/>
      <c r="AL47" s="131"/>
      <c r="AM47" s="131"/>
      <c r="AN47" s="131"/>
      <c r="AO47" s="131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34"/>
      <c r="BW47" s="34"/>
    </row>
    <row r="48" spans="1:75" s="42" customFormat="1" ht="18.75" x14ac:dyDescent="0.3">
      <c r="A48" s="20"/>
      <c r="B48" s="20"/>
      <c r="C48" s="20" t="s">
        <v>576</v>
      </c>
      <c r="D48" s="20"/>
      <c r="E48" s="20"/>
      <c r="F48" s="20"/>
      <c r="G48" s="20"/>
      <c r="H48" s="20"/>
      <c r="I48" s="20"/>
      <c r="J48" s="20"/>
      <c r="K48" s="20"/>
      <c r="L48" s="22"/>
      <c r="M48" s="20"/>
      <c r="N48" s="20"/>
      <c r="O48" s="20"/>
      <c r="P48" s="20"/>
      <c r="Q48" s="20"/>
      <c r="R48" s="20"/>
      <c r="S48" s="20"/>
      <c r="T48" s="22"/>
      <c r="U48" s="20"/>
      <c r="V48" s="20"/>
      <c r="W48" s="20"/>
      <c r="X48" s="20"/>
      <c r="Y48" s="20"/>
      <c r="Z48" s="20"/>
      <c r="AA48" s="20"/>
      <c r="AB48" s="20"/>
      <c r="AC48" s="22"/>
      <c r="AD48" s="20"/>
      <c r="AE48" s="20"/>
      <c r="AF48" s="20"/>
      <c r="AG48" s="20"/>
      <c r="AH48" s="20"/>
      <c r="AI48" s="20"/>
      <c r="AJ48" s="20"/>
      <c r="AK48" s="20"/>
      <c r="AL48" s="131"/>
      <c r="AM48" s="131"/>
      <c r="AN48" s="131"/>
      <c r="AO48" s="131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34"/>
      <c r="BW48" s="34"/>
    </row>
    <row r="49" spans="1:75" s="42" customFormat="1" ht="18.75" x14ac:dyDescent="0.3">
      <c r="A49" s="20"/>
      <c r="B49" s="20"/>
      <c r="C49" s="20" t="s">
        <v>577</v>
      </c>
      <c r="D49" s="20"/>
      <c r="E49" s="20"/>
      <c r="F49" s="20"/>
      <c r="G49" s="20"/>
      <c r="H49" s="20"/>
      <c r="I49" s="20"/>
      <c r="J49" s="20"/>
      <c r="K49" s="20"/>
      <c r="L49" s="22"/>
      <c r="M49" s="20"/>
      <c r="N49" s="20"/>
      <c r="O49" s="20"/>
      <c r="P49" s="20"/>
      <c r="Q49" s="20"/>
      <c r="R49" s="20"/>
      <c r="S49" s="20"/>
      <c r="T49" s="22"/>
      <c r="U49" s="20"/>
      <c r="V49" s="20"/>
      <c r="W49" s="20"/>
      <c r="X49" s="20"/>
      <c r="Y49" s="20"/>
      <c r="Z49" s="20"/>
      <c r="AA49" s="20"/>
      <c r="AB49" s="20"/>
      <c r="AC49" s="22"/>
      <c r="AD49" s="20"/>
      <c r="AE49" s="20"/>
      <c r="AF49" s="20"/>
      <c r="AG49" s="20"/>
      <c r="AH49" s="20"/>
      <c r="AI49" s="20"/>
      <c r="AJ49" s="20"/>
      <c r="AK49" s="20"/>
      <c r="AL49" s="131"/>
      <c r="AM49" s="131"/>
      <c r="AN49" s="131"/>
      <c r="AO49" s="131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34"/>
      <c r="BW49" s="34"/>
    </row>
    <row r="50" spans="1:75" s="42" customFormat="1" ht="18.75" x14ac:dyDescent="0.3">
      <c r="A50" s="20"/>
      <c r="B50" s="20"/>
      <c r="C50" s="20" t="s">
        <v>578</v>
      </c>
      <c r="D50" s="20"/>
      <c r="E50" s="20"/>
      <c r="F50" s="20"/>
      <c r="G50" s="20"/>
      <c r="H50" s="20"/>
      <c r="I50" s="20"/>
      <c r="J50" s="20"/>
      <c r="K50" s="20"/>
      <c r="L50" s="22"/>
      <c r="M50" s="20"/>
      <c r="N50" s="20"/>
      <c r="O50" s="20"/>
      <c r="P50" s="20"/>
      <c r="Q50" s="20"/>
      <c r="R50" s="20"/>
      <c r="S50" s="20"/>
      <c r="T50" s="22"/>
      <c r="U50" s="20"/>
      <c r="V50" s="20"/>
      <c r="W50" s="20"/>
      <c r="X50" s="20"/>
      <c r="Y50" s="20"/>
      <c r="Z50" s="20"/>
      <c r="AA50" s="20"/>
      <c r="AB50" s="20"/>
      <c r="AC50" s="22"/>
      <c r="AD50" s="20"/>
      <c r="AE50" s="20"/>
      <c r="AF50" s="20"/>
      <c r="AG50" s="20"/>
      <c r="AH50" s="20"/>
      <c r="AI50" s="20"/>
      <c r="AJ50" s="20"/>
      <c r="AK50" s="20"/>
      <c r="AL50" s="131"/>
      <c r="AM50" s="131"/>
      <c r="AN50" s="131"/>
      <c r="AO50" s="131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34"/>
      <c r="BW50" s="34"/>
    </row>
    <row r="51" spans="1:75" s="42" customFormat="1" ht="18.75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2"/>
      <c r="M51" s="20"/>
      <c r="N51" s="20"/>
      <c r="O51" s="20"/>
      <c r="P51" s="20"/>
      <c r="Q51" s="20"/>
      <c r="R51" s="20"/>
      <c r="S51" s="20"/>
      <c r="T51" s="22"/>
      <c r="U51" s="20"/>
      <c r="V51" s="20"/>
      <c r="W51" s="20"/>
      <c r="X51" s="20"/>
      <c r="Y51" s="20"/>
      <c r="Z51" s="20"/>
      <c r="AA51" s="20"/>
      <c r="AB51" s="20"/>
      <c r="AC51" s="22"/>
      <c r="AD51" s="20"/>
      <c r="AE51" s="20"/>
      <c r="AF51" s="20"/>
      <c r="AG51" s="20"/>
      <c r="AH51" s="20"/>
      <c r="AI51" s="20"/>
      <c r="AJ51" s="20"/>
      <c r="AK51" s="20"/>
      <c r="AL51" s="131"/>
      <c r="AM51" s="131"/>
      <c r="AN51" s="131"/>
      <c r="AO51" s="131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34"/>
      <c r="BW51" s="34"/>
    </row>
    <row r="52" spans="1:75" s="42" customFormat="1" ht="18.75" x14ac:dyDescent="0.3">
      <c r="A52" s="20"/>
      <c r="B52" s="20"/>
      <c r="C52" s="17" t="s">
        <v>573</v>
      </c>
      <c r="D52" s="20"/>
      <c r="E52" s="20"/>
      <c r="F52" s="20"/>
      <c r="G52" s="20"/>
      <c r="H52" s="20"/>
      <c r="I52" s="20"/>
      <c r="J52" s="20"/>
      <c r="K52" s="20"/>
      <c r="L52" s="22"/>
      <c r="M52" s="20"/>
      <c r="N52" s="20"/>
      <c r="O52" s="20"/>
      <c r="P52" s="20"/>
      <c r="Q52" s="20"/>
      <c r="R52" s="20"/>
      <c r="S52" s="20"/>
      <c r="T52" s="22"/>
      <c r="U52" s="20"/>
      <c r="V52" s="20"/>
      <c r="W52" s="20"/>
      <c r="X52" s="20"/>
      <c r="Y52" s="20"/>
      <c r="Z52" s="20"/>
      <c r="AA52" s="20"/>
      <c r="AB52" s="20"/>
      <c r="AC52" s="22"/>
      <c r="AD52" s="20"/>
      <c r="AE52" s="20"/>
      <c r="AF52" s="20"/>
      <c r="AG52" s="20"/>
      <c r="AH52" s="20"/>
      <c r="AI52" s="20"/>
      <c r="AJ52" s="20"/>
      <c r="AK52" s="20"/>
      <c r="AL52" s="131"/>
      <c r="AM52" s="131"/>
      <c r="AN52" s="131"/>
      <c r="AO52" s="131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34"/>
      <c r="BW52" s="34"/>
    </row>
    <row r="53" spans="1:75" s="42" customFormat="1" ht="18.75" x14ac:dyDescent="0.3">
      <c r="A53" s="20"/>
      <c r="B53" s="20"/>
      <c r="C53" s="20" t="s">
        <v>574</v>
      </c>
      <c r="D53" s="20"/>
      <c r="E53" s="95">
        <f>20000+80000</f>
        <v>100000</v>
      </c>
      <c r="F53" s="316">
        <f>+F27-F26</f>
        <v>8.0000000000000071E-2</v>
      </c>
      <c r="G53" s="317">
        <f>+E53*F53</f>
        <v>8000.0000000000073</v>
      </c>
      <c r="H53" s="20" t="s">
        <v>579</v>
      </c>
      <c r="I53" s="20"/>
      <c r="J53" s="20"/>
      <c r="K53" s="20"/>
      <c r="L53" s="22"/>
      <c r="M53" s="20"/>
      <c r="N53" s="20"/>
      <c r="O53" s="20"/>
      <c r="P53" s="20"/>
      <c r="Q53" s="20"/>
      <c r="R53" s="20"/>
      <c r="S53" s="20"/>
      <c r="T53" s="22"/>
      <c r="U53" s="20"/>
      <c r="V53" s="20"/>
      <c r="W53" s="20"/>
      <c r="X53" s="20"/>
      <c r="Y53" s="20"/>
      <c r="Z53" s="20"/>
      <c r="AA53" s="20"/>
      <c r="AB53" s="20"/>
      <c r="AC53" s="22"/>
      <c r="AD53" s="20"/>
      <c r="AE53" s="20"/>
      <c r="AF53" s="20"/>
      <c r="AG53" s="20"/>
      <c r="AH53" s="20"/>
      <c r="AI53" s="20"/>
      <c r="AJ53" s="20"/>
      <c r="AK53" s="20"/>
      <c r="AL53" s="131"/>
      <c r="AM53" s="131"/>
      <c r="AN53" s="131"/>
      <c r="AO53" s="131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34"/>
      <c r="BW53" s="34"/>
    </row>
    <row r="54" spans="1:75" s="42" customFormat="1" ht="18.75" x14ac:dyDescent="0.3">
      <c r="A54" s="20"/>
      <c r="B54" s="20"/>
      <c r="C54" s="20" t="s">
        <v>575</v>
      </c>
      <c r="D54" s="20"/>
      <c r="E54" s="95">
        <v>80000</v>
      </c>
      <c r="F54" s="316">
        <f>+F29-F27</f>
        <v>5.0000000000000266E-2</v>
      </c>
      <c r="G54" s="148">
        <f>+E54*F54</f>
        <v>4000.0000000000214</v>
      </c>
      <c r="H54" s="20" t="s">
        <v>580</v>
      </c>
      <c r="I54" s="20"/>
      <c r="J54" s="20"/>
      <c r="K54" s="20"/>
      <c r="L54" s="22"/>
      <c r="M54" s="20"/>
      <c r="N54" s="20"/>
      <c r="O54" s="20"/>
      <c r="P54" s="20"/>
      <c r="Q54" s="20"/>
      <c r="R54" s="20"/>
      <c r="S54" s="20"/>
      <c r="T54" s="22"/>
      <c r="U54" s="20"/>
      <c r="V54" s="20"/>
      <c r="W54" s="20"/>
      <c r="X54" s="20"/>
      <c r="Y54" s="20"/>
      <c r="Z54" s="20"/>
      <c r="AA54" s="20"/>
      <c r="AB54" s="20"/>
      <c r="AC54" s="22"/>
      <c r="AD54" s="20"/>
      <c r="AE54" s="20"/>
      <c r="AF54" s="20"/>
      <c r="AG54" s="20"/>
      <c r="AH54" s="20"/>
      <c r="AI54" s="20"/>
      <c r="AJ54" s="20"/>
      <c r="AK54" s="20"/>
      <c r="AL54" s="131"/>
      <c r="AM54" s="131"/>
      <c r="AN54" s="131"/>
      <c r="AO54" s="131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34"/>
      <c r="BW54" s="34"/>
    </row>
    <row r="55" spans="1:75" s="42" customFormat="1" ht="18.75" x14ac:dyDescent="0.3">
      <c r="A55" s="20"/>
      <c r="B55" s="20"/>
      <c r="C55" s="20"/>
      <c r="D55" s="20"/>
      <c r="E55" s="20"/>
      <c r="F55" s="20"/>
      <c r="G55" s="318">
        <f>SUM(G53:G54)</f>
        <v>12000.000000000029</v>
      </c>
      <c r="H55" s="20"/>
      <c r="I55" s="20"/>
      <c r="J55" s="20"/>
      <c r="K55" s="20"/>
      <c r="L55" s="22"/>
      <c r="M55" s="20"/>
      <c r="N55" s="20"/>
      <c r="O55" s="20"/>
      <c r="P55" s="20"/>
      <c r="Q55" s="20"/>
      <c r="R55" s="20"/>
      <c r="S55" s="20"/>
      <c r="T55" s="22"/>
      <c r="U55" s="20"/>
      <c r="V55" s="20"/>
      <c r="W55" s="20"/>
      <c r="X55" s="20"/>
      <c r="Y55" s="20"/>
      <c r="Z55" s="20"/>
      <c r="AA55" s="20"/>
      <c r="AB55" s="20"/>
      <c r="AC55" s="22"/>
      <c r="AD55" s="20"/>
      <c r="AE55" s="20"/>
      <c r="AF55" s="20"/>
      <c r="AG55" s="20"/>
      <c r="AH55" s="20"/>
      <c r="AI55" s="20"/>
      <c r="AJ55" s="20"/>
      <c r="AK55" s="20"/>
      <c r="AL55" s="131"/>
      <c r="AM55" s="131"/>
      <c r="AN55" s="131"/>
      <c r="AO55" s="131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34"/>
      <c r="BW55" s="34"/>
    </row>
    <row r="56" spans="1:75" s="42" customFormat="1" ht="18.75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2"/>
      <c r="M56" s="20"/>
      <c r="N56" s="20"/>
      <c r="O56" s="20"/>
      <c r="P56" s="20"/>
      <c r="Q56" s="20"/>
      <c r="R56" s="20"/>
      <c r="S56" s="20"/>
      <c r="T56" s="22"/>
      <c r="U56" s="20"/>
      <c r="V56" s="20"/>
      <c r="W56" s="20"/>
      <c r="X56" s="20"/>
      <c r="Y56" s="20"/>
      <c r="Z56" s="20"/>
      <c r="AA56" s="20"/>
      <c r="AB56" s="20"/>
      <c r="AC56" s="22"/>
      <c r="AD56" s="20"/>
      <c r="AE56" s="20"/>
      <c r="AF56" s="20"/>
      <c r="AG56" s="20"/>
      <c r="AH56" s="20"/>
      <c r="AI56" s="20"/>
      <c r="AJ56" s="20"/>
      <c r="AK56" s="20"/>
      <c r="AL56" s="131"/>
      <c r="AM56" s="131"/>
      <c r="AN56" s="131"/>
      <c r="AO56" s="131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34"/>
      <c r="BW56" s="34"/>
    </row>
    <row r="57" spans="1:75" s="42" customFormat="1" ht="18.75" x14ac:dyDescent="0.3">
      <c r="A57" s="20"/>
      <c r="B57" s="20"/>
      <c r="C57" s="311" t="s">
        <v>581</v>
      </c>
      <c r="D57" s="310"/>
      <c r="E57" s="310"/>
      <c r="F57" s="310"/>
      <c r="G57" s="310"/>
      <c r="H57" s="310"/>
      <c r="I57" s="310"/>
      <c r="J57" s="20"/>
      <c r="K57" s="20"/>
      <c r="L57" s="22"/>
      <c r="M57" s="20"/>
      <c r="N57" s="20"/>
      <c r="O57" s="20"/>
      <c r="P57" s="20"/>
      <c r="Q57" s="20"/>
      <c r="R57" s="20"/>
      <c r="S57" s="20"/>
      <c r="T57" s="22"/>
      <c r="U57" s="20"/>
      <c r="V57" s="20"/>
      <c r="W57" s="20"/>
      <c r="X57" s="20"/>
      <c r="Y57" s="20"/>
      <c r="Z57" s="20"/>
      <c r="AA57" s="20"/>
      <c r="AB57" s="20"/>
      <c r="AC57" s="22"/>
      <c r="AD57" s="20"/>
      <c r="AE57" s="20"/>
      <c r="AF57" s="20"/>
      <c r="AG57" s="20"/>
      <c r="AH57" s="20"/>
      <c r="AI57" s="20"/>
      <c r="AJ57" s="20"/>
      <c r="AK57" s="20"/>
      <c r="AL57" s="131"/>
      <c r="AM57" s="131"/>
      <c r="AN57" s="131"/>
      <c r="AO57" s="131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34"/>
      <c r="BW57" s="34"/>
    </row>
    <row r="58" spans="1:75" s="42" customFormat="1" ht="18.75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2"/>
      <c r="M58" s="20"/>
      <c r="N58" s="20"/>
      <c r="O58" s="20"/>
      <c r="P58" s="20"/>
      <c r="Q58" s="20"/>
      <c r="R58" s="20"/>
      <c r="S58" s="20"/>
      <c r="T58" s="22"/>
      <c r="U58" s="20"/>
      <c r="V58" s="20"/>
      <c r="W58" s="20"/>
      <c r="X58" s="20"/>
      <c r="Y58" s="20"/>
      <c r="Z58" s="20"/>
      <c r="AA58" s="20"/>
      <c r="AB58" s="20"/>
      <c r="AC58" s="22"/>
      <c r="AD58" s="20"/>
      <c r="AE58" s="20"/>
      <c r="AF58" s="20"/>
      <c r="AG58" s="20"/>
      <c r="AH58" s="20"/>
      <c r="AI58" s="20"/>
      <c r="AJ58" s="20"/>
      <c r="AK58" s="20"/>
      <c r="AL58" s="131"/>
      <c r="AM58" s="131"/>
      <c r="AN58" s="131"/>
      <c r="AO58" s="131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34"/>
      <c r="BW58" s="34"/>
    </row>
    <row r="59" spans="1:75" s="42" customFormat="1" ht="18.75" x14ac:dyDescent="0.3">
      <c r="A59" s="20"/>
      <c r="B59" s="20"/>
      <c r="C59" s="26" t="s">
        <v>6</v>
      </c>
      <c r="D59" s="35" t="s">
        <v>534</v>
      </c>
      <c r="E59" s="35" t="s">
        <v>467</v>
      </c>
      <c r="F59" s="20"/>
      <c r="G59" s="20"/>
      <c r="H59" s="20"/>
      <c r="I59" s="20"/>
      <c r="J59" s="20"/>
      <c r="K59" s="20"/>
      <c r="L59" s="22"/>
      <c r="M59" s="20"/>
      <c r="N59" s="20"/>
      <c r="O59" s="20"/>
      <c r="P59" s="20"/>
      <c r="Q59" s="20"/>
      <c r="R59" s="20"/>
      <c r="S59" s="20"/>
      <c r="T59" s="22"/>
      <c r="U59" s="20"/>
      <c r="V59" s="20"/>
      <c r="W59" s="20"/>
      <c r="X59" s="20"/>
      <c r="Y59" s="20"/>
      <c r="Z59" s="20"/>
      <c r="AA59" s="20"/>
      <c r="AB59" s="20"/>
      <c r="AC59" s="22"/>
      <c r="AD59" s="20"/>
      <c r="AE59" s="20"/>
      <c r="AF59" s="20"/>
      <c r="AG59" s="20"/>
      <c r="AH59" s="20"/>
      <c r="AI59" s="20"/>
      <c r="AJ59" s="20"/>
      <c r="AK59" s="20"/>
      <c r="AL59" s="131"/>
      <c r="AM59" s="131"/>
      <c r="AN59" s="131"/>
      <c r="AO59" s="131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34"/>
      <c r="BW59" s="34"/>
    </row>
    <row r="60" spans="1:75" s="42" customFormat="1" ht="18.75" x14ac:dyDescent="0.3">
      <c r="A60" s="20"/>
      <c r="B60" s="20"/>
      <c r="C60" s="20" t="s">
        <v>554</v>
      </c>
      <c r="D60" s="95">
        <v>100000</v>
      </c>
      <c r="E60" s="95">
        <f>+D60*F60</f>
        <v>332000</v>
      </c>
      <c r="F60" s="20">
        <v>3.32</v>
      </c>
      <c r="G60" s="20"/>
      <c r="H60" s="20"/>
      <c r="I60" s="20"/>
      <c r="J60" s="20"/>
      <c r="K60" s="20"/>
      <c r="L60" s="22"/>
      <c r="M60" s="20"/>
      <c r="N60" s="20"/>
      <c r="O60" s="20"/>
      <c r="P60" s="20"/>
      <c r="Q60" s="20"/>
      <c r="R60" s="20"/>
      <c r="S60" s="20"/>
      <c r="T60" s="22"/>
      <c r="U60" s="20"/>
      <c r="V60" s="20"/>
      <c r="W60" s="20"/>
      <c r="X60" s="20"/>
      <c r="Y60" s="20"/>
      <c r="Z60" s="20"/>
      <c r="AA60" s="20"/>
      <c r="AB60" s="20"/>
      <c r="AC60" s="22"/>
      <c r="AD60" s="20"/>
      <c r="AE60" s="20"/>
      <c r="AF60" s="20"/>
      <c r="AG60" s="20"/>
      <c r="AH60" s="20"/>
      <c r="AI60" s="20"/>
      <c r="AJ60" s="20"/>
      <c r="AK60" s="20"/>
      <c r="AL60" s="131"/>
      <c r="AM60" s="131"/>
      <c r="AN60" s="131"/>
      <c r="AO60" s="131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34"/>
      <c r="BW60" s="34"/>
    </row>
    <row r="61" spans="1:75" s="42" customFormat="1" ht="18.75" x14ac:dyDescent="0.3">
      <c r="A61" s="20"/>
      <c r="B61" s="20"/>
      <c r="C61" s="20" t="s">
        <v>563</v>
      </c>
      <c r="D61" s="95">
        <v>-20000</v>
      </c>
      <c r="E61" s="95">
        <f>+D61*F61</f>
        <v>-67800</v>
      </c>
      <c r="F61" s="316">
        <v>3.39</v>
      </c>
      <c r="G61" s="316"/>
      <c r="H61" s="316"/>
      <c r="I61" s="316"/>
      <c r="J61" s="317"/>
      <c r="K61" s="20"/>
      <c r="L61" s="22"/>
      <c r="M61" s="20"/>
      <c r="N61" s="20"/>
      <c r="O61" s="20"/>
      <c r="P61" s="20"/>
      <c r="Q61" s="20"/>
      <c r="R61" s="20"/>
      <c r="S61" s="20"/>
      <c r="T61" s="22"/>
      <c r="U61" s="20"/>
      <c r="V61" s="20"/>
      <c r="W61" s="20"/>
      <c r="X61" s="20"/>
      <c r="Y61" s="20"/>
      <c r="Z61" s="20"/>
      <c r="AA61" s="20"/>
      <c r="AB61" s="20"/>
      <c r="AC61" s="22"/>
      <c r="AD61" s="20"/>
      <c r="AE61" s="20"/>
      <c r="AF61" s="20"/>
      <c r="AG61" s="20"/>
      <c r="AH61" s="20"/>
      <c r="AI61" s="20"/>
      <c r="AJ61" s="20"/>
      <c r="AK61" s="20"/>
      <c r="AL61" s="131"/>
      <c r="AM61" s="131"/>
      <c r="AN61" s="131"/>
      <c r="AO61" s="131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34"/>
      <c r="BW61" s="34"/>
    </row>
    <row r="62" spans="1:75" s="42" customFormat="1" ht="18.75" x14ac:dyDescent="0.3">
      <c r="A62" s="20"/>
      <c r="B62" s="20"/>
      <c r="C62" s="20" t="s">
        <v>582</v>
      </c>
      <c r="D62" s="95">
        <v>-20000</v>
      </c>
      <c r="E62" s="95">
        <f>+D62*F62</f>
        <v>-68200</v>
      </c>
      <c r="F62" s="316">
        <v>3.41</v>
      </c>
      <c r="G62" s="316"/>
      <c r="H62" s="316"/>
      <c r="I62" s="316"/>
      <c r="J62" s="317"/>
      <c r="K62" s="20"/>
      <c r="L62" s="22"/>
      <c r="M62" s="20"/>
      <c r="N62" s="20"/>
      <c r="O62" s="20"/>
      <c r="P62" s="20"/>
      <c r="Q62" s="20"/>
      <c r="R62" s="20"/>
      <c r="S62" s="20"/>
      <c r="T62" s="22"/>
      <c r="U62" s="20"/>
      <c r="V62" s="20"/>
      <c r="W62" s="20"/>
      <c r="X62" s="20"/>
      <c r="Y62" s="20"/>
      <c r="Z62" s="20"/>
      <c r="AA62" s="20"/>
      <c r="AB62" s="20"/>
      <c r="AC62" s="22"/>
      <c r="AD62" s="20"/>
      <c r="AE62" s="20"/>
      <c r="AF62" s="20"/>
      <c r="AG62" s="20"/>
      <c r="AH62" s="20"/>
      <c r="AI62" s="20"/>
      <c r="AJ62" s="20"/>
      <c r="AK62" s="20"/>
      <c r="AL62" s="131"/>
      <c r="AM62" s="131"/>
      <c r="AN62" s="131"/>
      <c r="AO62" s="131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34"/>
      <c r="BW62" s="34"/>
    </row>
    <row r="63" spans="1:75" s="42" customFormat="1" ht="18.75" x14ac:dyDescent="0.3">
      <c r="A63" s="20"/>
      <c r="B63" s="20"/>
      <c r="C63" s="101" t="s">
        <v>564</v>
      </c>
      <c r="D63" s="97">
        <v>0</v>
      </c>
      <c r="E63" s="97">
        <f>+-(E60+E61+E62-E64)</f>
        <v>11000</v>
      </c>
      <c r="F63" s="316"/>
      <c r="G63" s="20"/>
      <c r="H63" s="20"/>
      <c r="I63" s="20"/>
      <c r="J63" s="317"/>
      <c r="K63" s="20"/>
      <c r="L63" s="22"/>
      <c r="M63" s="20"/>
      <c r="N63" s="20"/>
      <c r="O63" s="20"/>
      <c r="P63" s="20"/>
      <c r="Q63" s="20"/>
      <c r="R63" s="20"/>
      <c r="S63" s="20"/>
      <c r="T63" s="22"/>
      <c r="U63" s="20"/>
      <c r="V63" s="20"/>
      <c r="W63" s="20"/>
      <c r="X63" s="20"/>
      <c r="Y63" s="20"/>
      <c r="Z63" s="20"/>
      <c r="AA63" s="20"/>
      <c r="AB63" s="20"/>
      <c r="AC63" s="22"/>
      <c r="AD63" s="20"/>
      <c r="AE63" s="20"/>
      <c r="AF63" s="20"/>
      <c r="AG63" s="20"/>
      <c r="AH63" s="20"/>
      <c r="AI63" s="20"/>
      <c r="AJ63" s="20"/>
      <c r="AK63" s="20"/>
      <c r="AL63" s="131"/>
      <c r="AM63" s="131"/>
      <c r="AN63" s="131"/>
      <c r="AO63" s="131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34"/>
      <c r="BW63" s="34"/>
    </row>
    <row r="64" spans="1:75" s="42" customFormat="1" ht="18.75" x14ac:dyDescent="0.3">
      <c r="A64" s="20"/>
      <c r="B64" s="20"/>
      <c r="C64" s="101" t="s">
        <v>553</v>
      </c>
      <c r="D64" s="97">
        <f>+D60+D61+D62</f>
        <v>60000</v>
      </c>
      <c r="E64" s="97">
        <f>+D64*F64</f>
        <v>207000</v>
      </c>
      <c r="F64" s="20">
        <v>3.45</v>
      </c>
      <c r="G64" s="20"/>
      <c r="H64" s="20"/>
      <c r="I64" s="20"/>
      <c r="J64" s="317"/>
      <c r="K64" s="20"/>
      <c r="L64" s="22"/>
      <c r="M64" s="20"/>
      <c r="N64" s="20"/>
      <c r="O64" s="20"/>
      <c r="P64" s="20"/>
      <c r="Q64" s="20"/>
      <c r="R64" s="20"/>
      <c r="S64" s="20"/>
      <c r="T64" s="22"/>
      <c r="U64" s="20"/>
      <c r="V64" s="20"/>
      <c r="W64" s="20"/>
      <c r="X64" s="20"/>
      <c r="Y64" s="20"/>
      <c r="Z64" s="20"/>
      <c r="AA64" s="20"/>
      <c r="AB64" s="20"/>
      <c r="AC64" s="22"/>
      <c r="AD64" s="20"/>
      <c r="AE64" s="20"/>
      <c r="AF64" s="20"/>
      <c r="AG64" s="20"/>
      <c r="AH64" s="20"/>
      <c r="AI64" s="20"/>
      <c r="AJ64" s="20"/>
      <c r="AK64" s="20"/>
      <c r="AL64" s="131"/>
      <c r="AM64" s="131"/>
      <c r="AN64" s="131"/>
      <c r="AO64" s="131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34"/>
      <c r="BW64" s="34"/>
    </row>
    <row r="65" spans="1:75" s="42" customFormat="1" ht="18.75" x14ac:dyDescent="0.3">
      <c r="A65" s="20"/>
      <c r="B65" s="20"/>
      <c r="C65" s="101" t="s">
        <v>103</v>
      </c>
      <c r="D65" s="97">
        <f>+D64-D60</f>
        <v>-40000</v>
      </c>
      <c r="E65" s="97">
        <f>+E64-E60</f>
        <v>-125000</v>
      </c>
      <c r="F65" s="20"/>
      <c r="G65" s="20"/>
      <c r="H65" s="20"/>
      <c r="I65" s="20"/>
      <c r="J65" s="317"/>
      <c r="K65" s="20"/>
      <c r="L65" s="22"/>
      <c r="M65" s="20"/>
      <c r="N65" s="20"/>
      <c r="O65" s="20"/>
      <c r="P65" s="20"/>
      <c r="Q65" s="20"/>
      <c r="R65" s="20"/>
      <c r="S65" s="20"/>
      <c r="T65" s="22"/>
      <c r="U65" s="20"/>
      <c r="V65" s="20"/>
      <c r="W65" s="20"/>
      <c r="X65" s="20"/>
      <c r="Y65" s="20"/>
      <c r="Z65" s="20"/>
      <c r="AA65" s="20"/>
      <c r="AB65" s="20"/>
      <c r="AC65" s="22"/>
      <c r="AD65" s="20"/>
      <c r="AE65" s="20"/>
      <c r="AF65" s="20"/>
      <c r="AG65" s="20"/>
      <c r="AH65" s="20"/>
      <c r="AI65" s="20"/>
      <c r="AJ65" s="20"/>
      <c r="AK65" s="20"/>
      <c r="AL65" s="131"/>
      <c r="AM65" s="131"/>
      <c r="AN65" s="131"/>
      <c r="AO65" s="131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34"/>
      <c r="BW65" s="34"/>
    </row>
    <row r="66" spans="1:75" s="42" customFormat="1" ht="18.75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2"/>
      <c r="M66" s="20"/>
      <c r="N66" s="20"/>
      <c r="O66" s="20"/>
      <c r="P66" s="20"/>
      <c r="Q66" s="20"/>
      <c r="R66" s="20"/>
      <c r="S66" s="20"/>
      <c r="T66" s="22"/>
      <c r="U66" s="20"/>
      <c r="V66" s="20"/>
      <c r="W66" s="20"/>
      <c r="X66" s="20"/>
      <c r="Y66" s="20"/>
      <c r="Z66" s="20"/>
      <c r="AA66" s="20"/>
      <c r="AB66" s="20"/>
      <c r="AC66" s="22"/>
      <c r="AD66" s="20"/>
      <c r="AE66" s="20"/>
      <c r="AF66" s="20"/>
      <c r="AG66" s="20"/>
      <c r="AH66" s="20"/>
      <c r="AI66" s="20"/>
      <c r="AJ66" s="20"/>
      <c r="AK66" s="20"/>
      <c r="AL66" s="131"/>
      <c r="AM66" s="131"/>
      <c r="AN66" s="131"/>
      <c r="AO66" s="131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34"/>
      <c r="BW66" s="34"/>
    </row>
    <row r="67" spans="1:75" s="42" customFormat="1" ht="18.75" x14ac:dyDescent="0.3">
      <c r="A67" s="20"/>
      <c r="B67" s="20"/>
      <c r="C67" s="20" t="s">
        <v>583</v>
      </c>
      <c r="D67" s="20"/>
      <c r="E67" s="20"/>
      <c r="F67" s="20"/>
      <c r="G67" s="20"/>
      <c r="H67" s="20"/>
      <c r="I67" s="20"/>
      <c r="J67" s="20"/>
      <c r="K67" s="20"/>
      <c r="L67" s="22"/>
      <c r="M67" s="20"/>
      <c r="N67" s="20"/>
      <c r="O67" s="20"/>
      <c r="P67" s="20"/>
      <c r="Q67" s="20"/>
      <c r="R67" s="20"/>
      <c r="S67" s="20"/>
      <c r="T67" s="22"/>
      <c r="U67" s="20"/>
      <c r="V67" s="20"/>
      <c r="W67" s="20"/>
      <c r="X67" s="20"/>
      <c r="Y67" s="20"/>
      <c r="Z67" s="20"/>
      <c r="AA67" s="20"/>
      <c r="AB67" s="20"/>
      <c r="AC67" s="22"/>
      <c r="AD67" s="20"/>
      <c r="AE67" s="20"/>
      <c r="AF67" s="20"/>
      <c r="AG67" s="20"/>
      <c r="AH67" s="20"/>
      <c r="AI67" s="20"/>
      <c r="AJ67" s="20"/>
      <c r="AK67" s="20"/>
      <c r="AL67" s="131"/>
      <c r="AM67" s="131"/>
      <c r="AN67" s="131"/>
      <c r="AO67" s="131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34"/>
      <c r="BW67" s="34"/>
    </row>
    <row r="68" spans="1:75" s="42" customFormat="1" ht="18.75" x14ac:dyDescent="0.3">
      <c r="A68" s="20"/>
      <c r="B68" s="20"/>
      <c r="C68" s="20" t="s">
        <v>584</v>
      </c>
      <c r="D68" s="20"/>
      <c r="E68" s="20"/>
      <c r="F68" s="20"/>
      <c r="G68" s="20"/>
      <c r="H68" s="20"/>
      <c r="I68" s="20"/>
      <c r="J68" s="20"/>
      <c r="K68" s="20"/>
      <c r="L68" s="22"/>
      <c r="M68" s="20"/>
      <c r="N68" s="20"/>
      <c r="O68" s="20"/>
      <c r="P68" s="20"/>
      <c r="Q68" s="20"/>
      <c r="R68" s="20"/>
      <c r="S68" s="20"/>
      <c r="T68" s="22"/>
      <c r="U68" s="20"/>
      <c r="V68" s="20"/>
      <c r="W68" s="20"/>
      <c r="X68" s="20"/>
      <c r="Y68" s="20"/>
      <c r="Z68" s="20"/>
      <c r="AA68" s="20"/>
      <c r="AB68" s="20"/>
      <c r="AC68" s="22"/>
      <c r="AD68" s="20"/>
      <c r="AE68" s="20"/>
      <c r="AF68" s="20"/>
      <c r="AG68" s="20"/>
      <c r="AH68" s="20"/>
      <c r="AI68" s="20"/>
      <c r="AJ68" s="20"/>
      <c r="AK68" s="20"/>
      <c r="AL68" s="131"/>
      <c r="AM68" s="131"/>
      <c r="AN68" s="131"/>
      <c r="AO68" s="131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34"/>
      <c r="BW68" s="34"/>
    </row>
    <row r="69" spans="1:75" s="42" customFormat="1" ht="18.75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2"/>
      <c r="M69" s="20"/>
      <c r="N69" s="20"/>
      <c r="O69" s="20"/>
      <c r="P69" s="20"/>
      <c r="Q69" s="20"/>
      <c r="R69" s="20"/>
      <c r="S69" s="20"/>
      <c r="T69" s="22"/>
      <c r="U69" s="20"/>
      <c r="V69" s="20"/>
      <c r="W69" s="20"/>
      <c r="X69" s="20"/>
      <c r="Y69" s="20"/>
      <c r="Z69" s="20"/>
      <c r="AA69" s="20"/>
      <c r="AB69" s="20"/>
      <c r="AC69" s="22"/>
      <c r="AD69" s="20"/>
      <c r="AE69" s="20"/>
      <c r="AF69" s="20"/>
      <c r="AG69" s="20"/>
      <c r="AH69" s="20"/>
      <c r="AI69" s="20"/>
      <c r="AJ69" s="20"/>
      <c r="AK69" s="20"/>
      <c r="AL69" s="131"/>
      <c r="AM69" s="131"/>
      <c r="AN69" s="131"/>
      <c r="AO69" s="131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34"/>
      <c r="BW69" s="34"/>
    </row>
    <row r="70" spans="1:75" s="42" customFormat="1" ht="18.75" x14ac:dyDescent="0.3">
      <c r="A70" s="20"/>
      <c r="B70" s="20"/>
      <c r="C70" s="20" t="s">
        <v>586</v>
      </c>
      <c r="D70" s="20"/>
      <c r="E70" s="20"/>
      <c r="F70" s="20"/>
      <c r="G70" s="20"/>
      <c r="H70" s="20"/>
      <c r="I70" s="20"/>
      <c r="J70" s="20"/>
      <c r="K70" s="20"/>
      <c r="L70" s="22"/>
      <c r="M70" s="20"/>
      <c r="N70" s="20"/>
      <c r="O70" s="20"/>
      <c r="P70" s="20"/>
      <c r="Q70" s="20"/>
      <c r="R70" s="20"/>
      <c r="S70" s="20"/>
      <c r="T70" s="22"/>
      <c r="U70" s="20"/>
      <c r="V70" s="20"/>
      <c r="W70" s="20"/>
      <c r="X70" s="20"/>
      <c r="Y70" s="20"/>
      <c r="Z70" s="20"/>
      <c r="AA70" s="20"/>
      <c r="AB70" s="20"/>
      <c r="AC70" s="22"/>
      <c r="AD70" s="20"/>
      <c r="AE70" s="20"/>
      <c r="AF70" s="20"/>
      <c r="AG70" s="20"/>
      <c r="AH70" s="20"/>
      <c r="AI70" s="20"/>
      <c r="AJ70" s="20"/>
      <c r="AK70" s="20"/>
      <c r="AL70" s="131"/>
      <c r="AM70" s="131"/>
      <c r="AN70" s="131"/>
      <c r="AO70" s="131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34"/>
      <c r="BW70" s="34"/>
    </row>
    <row r="71" spans="1:75" s="42" customFormat="1" ht="18.75" x14ac:dyDescent="0.3">
      <c r="A71" s="20"/>
      <c r="B71" s="20"/>
      <c r="C71" s="20" t="s">
        <v>567</v>
      </c>
      <c r="D71" s="20"/>
      <c r="E71" s="20"/>
      <c r="F71" s="20"/>
      <c r="G71" s="20"/>
      <c r="H71" s="20"/>
      <c r="I71" s="20"/>
      <c r="J71" s="20"/>
      <c r="K71" s="20"/>
      <c r="L71" s="22"/>
      <c r="M71" s="20"/>
      <c r="N71" s="20"/>
      <c r="O71" s="20"/>
      <c r="P71" s="20"/>
      <c r="Q71" s="20"/>
      <c r="R71" s="20"/>
      <c r="S71" s="20"/>
      <c r="T71" s="22"/>
      <c r="U71" s="20"/>
      <c r="V71" s="20"/>
      <c r="W71" s="20"/>
      <c r="X71" s="20"/>
      <c r="Y71" s="20"/>
      <c r="Z71" s="20"/>
      <c r="AA71" s="20"/>
      <c r="AB71" s="20"/>
      <c r="AC71" s="22"/>
      <c r="AD71" s="20"/>
      <c r="AE71" s="20"/>
      <c r="AF71" s="20"/>
      <c r="AG71" s="20"/>
      <c r="AH71" s="20"/>
      <c r="AI71" s="20"/>
      <c r="AJ71" s="20"/>
      <c r="AK71" s="20"/>
      <c r="AL71" s="131"/>
      <c r="AM71" s="131"/>
      <c r="AN71" s="131"/>
      <c r="AO71" s="131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34"/>
      <c r="BW71" s="34"/>
    </row>
    <row r="72" spans="1:75" s="42" customFormat="1" ht="18.75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2"/>
      <c r="M72" s="20"/>
      <c r="N72" s="20"/>
      <c r="O72" s="20"/>
      <c r="P72" s="20"/>
      <c r="Q72" s="20"/>
      <c r="R72" s="20"/>
      <c r="S72" s="20"/>
      <c r="T72" s="22"/>
      <c r="U72" s="20"/>
      <c r="V72" s="20"/>
      <c r="W72" s="20"/>
      <c r="X72" s="20"/>
      <c r="Y72" s="20"/>
      <c r="Z72" s="20"/>
      <c r="AA72" s="20"/>
      <c r="AB72" s="20"/>
      <c r="AC72" s="22"/>
      <c r="AD72" s="20"/>
      <c r="AE72" s="20"/>
      <c r="AF72" s="20"/>
      <c r="AG72" s="20"/>
      <c r="AH72" s="20"/>
      <c r="AI72" s="20"/>
      <c r="AJ72" s="20"/>
      <c r="AK72" s="20"/>
      <c r="AL72" s="131"/>
      <c r="AM72" s="131"/>
      <c r="AN72" s="131"/>
      <c r="AO72" s="131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34"/>
      <c r="BW72" s="34"/>
    </row>
    <row r="73" spans="1:75" s="42" customFormat="1" ht="18.75" x14ac:dyDescent="0.3">
      <c r="A73" s="20"/>
      <c r="B73" s="20"/>
      <c r="C73" s="20"/>
      <c r="D73" s="20"/>
      <c r="E73" s="20" t="s">
        <v>110</v>
      </c>
      <c r="F73" s="20" t="s">
        <v>111</v>
      </c>
      <c r="G73" s="20"/>
      <c r="H73" s="20"/>
      <c r="I73" s="20"/>
      <c r="J73" s="20"/>
      <c r="K73" s="20"/>
      <c r="L73" s="22"/>
      <c r="M73" s="20"/>
      <c r="N73" s="20"/>
      <c r="O73" s="20"/>
      <c r="P73" s="20"/>
      <c r="Q73" s="20"/>
      <c r="R73" s="20"/>
      <c r="S73" s="20"/>
      <c r="T73" s="22"/>
      <c r="U73" s="20"/>
      <c r="V73" s="20"/>
      <c r="W73" s="20"/>
      <c r="X73" s="20"/>
      <c r="Y73" s="20"/>
      <c r="Z73" s="20"/>
      <c r="AA73" s="20"/>
      <c r="AB73" s="20"/>
      <c r="AC73" s="22"/>
      <c r="AD73" s="20"/>
      <c r="AE73" s="20"/>
      <c r="AF73" s="20"/>
      <c r="AG73" s="20"/>
      <c r="AH73" s="20"/>
      <c r="AI73" s="20"/>
      <c r="AJ73" s="20"/>
      <c r="AK73" s="20"/>
      <c r="AL73" s="131"/>
      <c r="AM73" s="131"/>
      <c r="AN73" s="131"/>
      <c r="AO73" s="131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34"/>
      <c r="BW73" s="34"/>
    </row>
    <row r="74" spans="1:75" s="42" customFormat="1" ht="18.75" x14ac:dyDescent="0.3">
      <c r="A74" s="20"/>
      <c r="B74" s="20"/>
      <c r="C74" s="20" t="s">
        <v>6</v>
      </c>
      <c r="D74" s="20"/>
      <c r="E74" s="95">
        <f>+E63</f>
        <v>11000</v>
      </c>
      <c r="F74" s="20"/>
      <c r="G74" s="20"/>
      <c r="H74" s="20"/>
      <c r="I74" s="20"/>
      <c r="J74" s="20"/>
      <c r="K74" s="20"/>
      <c r="L74" s="22"/>
      <c r="M74" s="20"/>
      <c r="N74" s="20"/>
      <c r="O74" s="20"/>
      <c r="P74" s="20"/>
      <c r="Q74" s="20"/>
      <c r="R74" s="20"/>
      <c r="S74" s="20"/>
      <c r="T74" s="22"/>
      <c r="U74" s="20"/>
      <c r="V74" s="20"/>
      <c r="W74" s="20"/>
      <c r="X74" s="20"/>
      <c r="Y74" s="20"/>
      <c r="Z74" s="20"/>
      <c r="AA74" s="20"/>
      <c r="AB74" s="20"/>
      <c r="AC74" s="22"/>
      <c r="AD74" s="20"/>
      <c r="AE74" s="20"/>
      <c r="AF74" s="20"/>
      <c r="AG74" s="20"/>
      <c r="AH74" s="20"/>
      <c r="AI74" s="20"/>
      <c r="AJ74" s="20"/>
      <c r="AK74" s="20"/>
      <c r="AL74" s="131"/>
      <c r="AM74" s="131"/>
      <c r="AN74" s="131"/>
      <c r="AO74" s="131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34"/>
      <c r="BW74" s="34"/>
    </row>
    <row r="75" spans="1:75" s="42" customFormat="1" ht="18.75" x14ac:dyDescent="0.3">
      <c r="A75" s="20"/>
      <c r="B75" s="20"/>
      <c r="C75" s="20" t="s">
        <v>532</v>
      </c>
      <c r="D75" s="20"/>
      <c r="E75" s="20"/>
      <c r="F75" s="95">
        <f>+E74</f>
        <v>11000</v>
      </c>
      <c r="G75" s="20"/>
      <c r="H75" s="20"/>
      <c r="I75" s="20"/>
      <c r="J75" s="20"/>
      <c r="K75" s="20"/>
      <c r="L75" s="22"/>
      <c r="M75" s="20"/>
      <c r="N75" s="20"/>
      <c r="O75" s="20"/>
      <c r="P75" s="20"/>
      <c r="Q75" s="20"/>
      <c r="R75" s="20"/>
      <c r="S75" s="20"/>
      <c r="T75" s="22"/>
      <c r="U75" s="20"/>
      <c r="V75" s="20"/>
      <c r="W75" s="20"/>
      <c r="X75" s="20"/>
      <c r="Y75" s="20"/>
      <c r="Z75" s="20"/>
      <c r="AA75" s="20"/>
      <c r="AB75" s="20"/>
      <c r="AC75" s="22"/>
      <c r="AD75" s="20"/>
      <c r="AE75" s="20"/>
      <c r="AF75" s="20"/>
      <c r="AG75" s="20"/>
      <c r="AH75" s="20"/>
      <c r="AI75" s="20"/>
      <c r="AJ75" s="20"/>
      <c r="AK75" s="20"/>
      <c r="AL75" s="131"/>
      <c r="AM75" s="131"/>
      <c r="AN75" s="131"/>
      <c r="AO75" s="131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34"/>
      <c r="BW75" s="34"/>
    </row>
    <row r="76" spans="1:75" s="42" customFormat="1" ht="18.75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2"/>
      <c r="M76" s="20"/>
      <c r="N76" s="20"/>
      <c r="O76" s="20"/>
      <c r="P76" s="20"/>
      <c r="Q76" s="20"/>
      <c r="R76" s="20"/>
      <c r="S76" s="20"/>
      <c r="T76" s="22"/>
      <c r="U76" s="20"/>
      <c r="V76" s="20"/>
      <c r="W76" s="20"/>
      <c r="X76" s="20"/>
      <c r="Y76" s="20"/>
      <c r="Z76" s="20"/>
      <c r="AA76" s="20"/>
      <c r="AB76" s="20"/>
      <c r="AC76" s="22"/>
      <c r="AD76" s="20"/>
      <c r="AE76" s="20"/>
      <c r="AF76" s="20"/>
      <c r="AG76" s="20"/>
      <c r="AH76" s="20"/>
      <c r="AI76" s="20"/>
      <c r="AJ76" s="20"/>
      <c r="AK76" s="20"/>
      <c r="AL76" s="131"/>
      <c r="AM76" s="131"/>
      <c r="AN76" s="131"/>
      <c r="AO76" s="131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34"/>
      <c r="BW76" s="34"/>
    </row>
    <row r="77" spans="1:75" s="42" customFormat="1" ht="18.75" x14ac:dyDescent="0.3">
      <c r="A77" s="20"/>
      <c r="B77" s="20"/>
      <c r="C77" s="20" t="s">
        <v>568</v>
      </c>
      <c r="D77" s="20"/>
      <c r="E77" s="20"/>
      <c r="F77" s="20"/>
      <c r="G77" s="20"/>
      <c r="H77" s="20"/>
      <c r="I77" s="20"/>
      <c r="J77" s="20"/>
      <c r="K77" s="20"/>
      <c r="L77" s="22"/>
      <c r="M77" s="20"/>
      <c r="N77" s="20"/>
      <c r="O77" s="20"/>
      <c r="P77" s="20"/>
      <c r="Q77" s="20"/>
      <c r="R77" s="20"/>
      <c r="S77" s="20"/>
      <c r="T77" s="22"/>
      <c r="U77" s="20"/>
      <c r="V77" s="20"/>
      <c r="W77" s="20"/>
      <c r="X77" s="20"/>
      <c r="Y77" s="20"/>
      <c r="Z77" s="20"/>
      <c r="AA77" s="20"/>
      <c r="AB77" s="20"/>
      <c r="AC77" s="22"/>
      <c r="AD77" s="20"/>
      <c r="AE77" s="20"/>
      <c r="AF77" s="20"/>
      <c r="AG77" s="20"/>
      <c r="AH77" s="20"/>
      <c r="AI77" s="20"/>
      <c r="AJ77" s="20"/>
      <c r="AK77" s="20"/>
      <c r="AL77" s="131"/>
      <c r="AM77" s="131"/>
      <c r="AN77" s="131"/>
      <c r="AO77" s="131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34"/>
      <c r="BW77" s="34"/>
    </row>
    <row r="78" spans="1:75" s="42" customFormat="1" ht="18.75" x14ac:dyDescent="0.3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2"/>
      <c r="M78" s="20"/>
      <c r="N78" s="20"/>
      <c r="O78" s="20"/>
      <c r="P78" s="20"/>
      <c r="Q78" s="20"/>
      <c r="R78" s="20"/>
      <c r="S78" s="20"/>
      <c r="T78" s="22"/>
      <c r="U78" s="20"/>
      <c r="V78" s="20"/>
      <c r="W78" s="20"/>
      <c r="X78" s="20"/>
      <c r="Y78" s="20"/>
      <c r="Z78" s="20"/>
      <c r="AA78" s="20"/>
      <c r="AB78" s="20"/>
      <c r="AC78" s="22"/>
      <c r="AD78" s="20"/>
      <c r="AE78" s="20"/>
      <c r="AF78" s="20"/>
      <c r="AG78" s="20"/>
      <c r="AH78" s="20"/>
      <c r="AI78" s="20"/>
      <c r="AJ78" s="20"/>
      <c r="AK78" s="20"/>
      <c r="AL78" s="131"/>
      <c r="AM78" s="131"/>
      <c r="AN78" s="131"/>
      <c r="AO78" s="131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34"/>
      <c r="BW78" s="34"/>
    </row>
    <row r="79" spans="1:75" s="42" customFormat="1" ht="18.75" x14ac:dyDescent="0.3">
      <c r="A79" s="20"/>
      <c r="B79" s="20"/>
      <c r="C79" s="20"/>
      <c r="D79" s="190" t="s">
        <v>569</v>
      </c>
      <c r="E79" s="190" t="s">
        <v>570</v>
      </c>
      <c r="F79" s="190" t="s">
        <v>571</v>
      </c>
      <c r="G79" s="190" t="s">
        <v>156</v>
      </c>
      <c r="H79" s="190" t="s">
        <v>233</v>
      </c>
      <c r="I79" s="190" t="s">
        <v>572</v>
      </c>
      <c r="J79" s="20"/>
      <c r="K79" s="20"/>
      <c r="L79" s="22"/>
      <c r="M79" s="20"/>
      <c r="N79" s="20"/>
      <c r="O79" s="20"/>
      <c r="P79" s="20"/>
      <c r="Q79" s="20"/>
      <c r="R79" s="20"/>
      <c r="S79" s="20"/>
      <c r="T79" s="22"/>
      <c r="U79" s="20"/>
      <c r="V79" s="20"/>
      <c r="W79" s="20"/>
      <c r="X79" s="20"/>
      <c r="Y79" s="20"/>
      <c r="Z79" s="20"/>
      <c r="AA79" s="20"/>
      <c r="AB79" s="20"/>
      <c r="AC79" s="22"/>
      <c r="AD79" s="20"/>
      <c r="AE79" s="20"/>
      <c r="AF79" s="20"/>
      <c r="AG79" s="20"/>
      <c r="AH79" s="20"/>
      <c r="AI79" s="20"/>
      <c r="AJ79" s="20"/>
      <c r="AK79" s="20"/>
      <c r="AL79" s="131"/>
      <c r="AM79" s="131"/>
      <c r="AN79" s="131"/>
      <c r="AO79" s="131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34"/>
      <c r="BW79" s="34"/>
    </row>
    <row r="80" spans="1:75" s="42" customFormat="1" ht="18.75" x14ac:dyDescent="0.3">
      <c r="A80" s="20"/>
      <c r="B80" s="20"/>
      <c r="C80" s="20"/>
      <c r="D80" s="190" t="s">
        <v>467</v>
      </c>
      <c r="E80" s="190" t="s">
        <v>467</v>
      </c>
      <c r="F80" s="190" t="s">
        <v>467</v>
      </c>
      <c r="G80" s="190" t="s">
        <v>467</v>
      </c>
      <c r="H80" s="190" t="s">
        <v>467</v>
      </c>
      <c r="I80" s="190" t="s">
        <v>467</v>
      </c>
      <c r="J80" s="41" t="s">
        <v>456</v>
      </c>
      <c r="K80" s="20"/>
      <c r="L80" s="22"/>
      <c r="M80" s="20"/>
      <c r="N80" s="20"/>
      <c r="O80" s="20"/>
      <c r="P80" s="20"/>
      <c r="Q80" s="20"/>
      <c r="R80" s="20"/>
      <c r="S80" s="20"/>
      <c r="T80" s="22"/>
      <c r="U80" s="20"/>
      <c r="V80" s="20"/>
      <c r="W80" s="20"/>
      <c r="X80" s="20"/>
      <c r="Y80" s="20"/>
      <c r="Z80" s="20"/>
      <c r="AA80" s="20"/>
      <c r="AB80" s="20"/>
      <c r="AC80" s="22"/>
      <c r="AD80" s="20"/>
      <c r="AE80" s="20"/>
      <c r="AF80" s="20"/>
      <c r="AG80" s="20"/>
      <c r="AH80" s="20"/>
      <c r="AI80" s="20"/>
      <c r="AJ80" s="20"/>
      <c r="AK80" s="20"/>
      <c r="AL80" s="131"/>
      <c r="AM80" s="131"/>
      <c r="AN80" s="131"/>
      <c r="AO80" s="131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34"/>
      <c r="BW80" s="34"/>
    </row>
    <row r="81" spans="1:75" s="42" customFormat="1" ht="18.75" x14ac:dyDescent="0.3">
      <c r="A81" s="20"/>
      <c r="B81" s="20"/>
      <c r="C81" s="17" t="s">
        <v>6</v>
      </c>
      <c r="D81" s="95">
        <f>+-E64</f>
        <v>-207000</v>
      </c>
      <c r="E81" s="95">
        <f>+-E60</f>
        <v>-332000</v>
      </c>
      <c r="F81" s="95">
        <f>+E81-D81</f>
        <v>-125000</v>
      </c>
      <c r="G81" s="95">
        <f>+E74</f>
        <v>11000</v>
      </c>
      <c r="H81" s="20"/>
      <c r="I81" s="95">
        <f>+F81+H81-G81</f>
        <v>-136000</v>
      </c>
      <c r="J81" s="95">
        <f>+I81</f>
        <v>-136000</v>
      </c>
      <c r="K81" s="20" t="s">
        <v>140</v>
      </c>
      <c r="L81" s="22"/>
      <c r="M81" s="20"/>
      <c r="N81" s="20"/>
      <c r="O81" s="20"/>
      <c r="P81" s="20"/>
      <c r="Q81" s="20"/>
      <c r="R81" s="20"/>
      <c r="S81" s="20"/>
      <c r="T81" s="22"/>
      <c r="U81" s="20"/>
      <c r="V81" s="20"/>
      <c r="W81" s="20"/>
      <c r="X81" s="20"/>
      <c r="Y81" s="20"/>
      <c r="Z81" s="20"/>
      <c r="AA81" s="20"/>
      <c r="AB81" s="20"/>
      <c r="AC81" s="22"/>
      <c r="AD81" s="20"/>
      <c r="AE81" s="20"/>
      <c r="AF81" s="20"/>
      <c r="AG81" s="20"/>
      <c r="AH81" s="20"/>
      <c r="AI81" s="20"/>
      <c r="AJ81" s="20"/>
      <c r="AK81" s="20"/>
      <c r="AL81" s="131"/>
      <c r="AM81" s="131"/>
      <c r="AN81" s="131"/>
      <c r="AO81" s="131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34"/>
      <c r="BW81" s="34"/>
    </row>
    <row r="82" spans="1:75" s="42" customFormat="1" ht="18.75" x14ac:dyDescent="0.3">
      <c r="A82" s="20"/>
      <c r="B82" s="20"/>
      <c r="C82" s="20"/>
      <c r="D82" s="20"/>
      <c r="F82" s="20"/>
      <c r="G82" s="20"/>
      <c r="H82" s="20"/>
      <c r="I82" s="20"/>
      <c r="J82" s="20"/>
      <c r="K82" s="20"/>
      <c r="L82" s="22"/>
      <c r="M82" s="20"/>
      <c r="N82" s="20"/>
      <c r="O82" s="20"/>
      <c r="P82" s="20"/>
      <c r="Q82" s="20"/>
      <c r="R82" s="20"/>
      <c r="S82" s="20"/>
      <c r="T82" s="22"/>
      <c r="U82" s="20"/>
      <c r="V82" s="20"/>
      <c r="W82" s="20"/>
      <c r="X82" s="20"/>
      <c r="Y82" s="20"/>
      <c r="Z82" s="20"/>
      <c r="AA82" s="20"/>
      <c r="AB82" s="20"/>
      <c r="AC82" s="22"/>
      <c r="AD82" s="20"/>
      <c r="AE82" s="20"/>
      <c r="AF82" s="20"/>
      <c r="AG82" s="20"/>
      <c r="AH82" s="20"/>
      <c r="AI82" s="20"/>
      <c r="AJ82" s="20"/>
      <c r="AK82" s="20"/>
      <c r="AL82" s="131"/>
      <c r="AM82" s="131"/>
      <c r="AN82" s="131"/>
      <c r="AO82" s="131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34"/>
      <c r="BW82" s="34"/>
    </row>
    <row r="83" spans="1:75" s="42" customFormat="1" ht="18.75" x14ac:dyDescent="0.3">
      <c r="A83" s="20"/>
      <c r="B83" s="20"/>
      <c r="C83" s="20" t="s">
        <v>587</v>
      </c>
      <c r="D83" s="20"/>
      <c r="E83" s="20"/>
      <c r="F83" s="20"/>
      <c r="G83" s="20"/>
      <c r="H83" s="20"/>
      <c r="I83" s="20"/>
      <c r="J83" s="20"/>
      <c r="K83" s="20"/>
      <c r="L83" s="22"/>
      <c r="M83" s="20"/>
      <c r="N83" s="20"/>
      <c r="O83" s="20"/>
      <c r="P83" s="20"/>
      <c r="Q83" s="20"/>
      <c r="R83" s="20"/>
      <c r="S83" s="20"/>
      <c r="T83" s="22"/>
      <c r="U83" s="20"/>
      <c r="V83" s="20"/>
      <c r="W83" s="20"/>
      <c r="X83" s="20"/>
      <c r="Y83" s="20"/>
      <c r="Z83" s="20"/>
      <c r="AA83" s="20"/>
      <c r="AB83" s="20"/>
      <c r="AC83" s="22"/>
      <c r="AD83" s="20"/>
      <c r="AE83" s="20"/>
      <c r="AF83" s="20"/>
      <c r="AG83" s="20"/>
      <c r="AH83" s="20"/>
      <c r="AI83" s="20"/>
      <c r="AJ83" s="20"/>
      <c r="AK83" s="20"/>
      <c r="AL83" s="131"/>
      <c r="AM83" s="131"/>
      <c r="AN83" s="131"/>
      <c r="AO83" s="131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34"/>
      <c r="BW83" s="34"/>
    </row>
    <row r="84" spans="1:75" s="42" customFormat="1" ht="18.75" x14ac:dyDescent="0.3">
      <c r="A84" s="20"/>
      <c r="B84" s="20"/>
      <c r="C84" s="20" t="s">
        <v>588</v>
      </c>
      <c r="D84" s="20"/>
      <c r="E84" s="20"/>
      <c r="F84" s="20"/>
      <c r="G84" s="20"/>
      <c r="H84" s="20"/>
      <c r="I84" s="20"/>
      <c r="J84" s="20"/>
      <c r="K84" s="20"/>
      <c r="L84" s="22"/>
      <c r="M84" s="20"/>
      <c r="N84" s="20"/>
      <c r="O84" s="20"/>
      <c r="P84" s="20"/>
      <c r="Q84" s="20"/>
      <c r="R84" s="20"/>
      <c r="S84" s="20"/>
      <c r="T84" s="22"/>
      <c r="U84" s="20"/>
      <c r="V84" s="20"/>
      <c r="W84" s="20"/>
      <c r="X84" s="20"/>
      <c r="Y84" s="20"/>
      <c r="Z84" s="20"/>
      <c r="AA84" s="20"/>
      <c r="AB84" s="20"/>
      <c r="AC84" s="22"/>
      <c r="AD84" s="20"/>
      <c r="AE84" s="20"/>
      <c r="AF84" s="20"/>
      <c r="AG84" s="20"/>
      <c r="AH84" s="20"/>
      <c r="AI84" s="20"/>
      <c r="AJ84" s="20"/>
      <c r="AK84" s="20"/>
      <c r="AL84" s="131"/>
      <c r="AM84" s="131"/>
      <c r="AN84" s="131"/>
      <c r="AO84" s="131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34"/>
      <c r="BW84" s="34"/>
    </row>
    <row r="85" spans="1:75" s="42" customFormat="1" ht="18.75" x14ac:dyDescent="0.3">
      <c r="A85" s="20"/>
      <c r="B85" s="20"/>
      <c r="C85" s="20" t="s">
        <v>578</v>
      </c>
      <c r="D85" s="20"/>
      <c r="E85" s="20"/>
      <c r="F85" s="20"/>
      <c r="G85" s="20"/>
      <c r="H85" s="20"/>
      <c r="I85" s="20"/>
      <c r="J85" s="20"/>
      <c r="K85" s="20"/>
      <c r="L85" s="22"/>
      <c r="M85" s="20"/>
      <c r="N85" s="20"/>
      <c r="O85" s="20"/>
      <c r="P85" s="20"/>
      <c r="Q85" s="20"/>
      <c r="R85" s="20"/>
      <c r="S85" s="20"/>
      <c r="T85" s="22"/>
      <c r="U85" s="20"/>
      <c r="V85" s="20"/>
      <c r="W85" s="20"/>
      <c r="X85" s="20"/>
      <c r="Y85" s="20"/>
      <c r="Z85" s="20"/>
      <c r="AA85" s="20"/>
      <c r="AB85" s="20"/>
      <c r="AC85" s="22"/>
      <c r="AD85" s="20"/>
      <c r="AE85" s="20"/>
      <c r="AF85" s="20"/>
      <c r="AG85" s="20"/>
      <c r="AH85" s="20"/>
      <c r="AI85" s="20"/>
      <c r="AJ85" s="20"/>
      <c r="AK85" s="20"/>
      <c r="AL85" s="131"/>
      <c r="AM85" s="131"/>
      <c r="AN85" s="131"/>
      <c r="AO85" s="131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34"/>
      <c r="BW85" s="34"/>
    </row>
    <row r="86" spans="1:75" s="42" customFormat="1" ht="18.75" x14ac:dyDescent="0.3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2"/>
      <c r="M86" s="20"/>
      <c r="N86" s="20"/>
      <c r="O86" s="20"/>
      <c r="P86" s="20"/>
      <c r="Q86" s="20"/>
      <c r="R86" s="20"/>
      <c r="S86" s="20"/>
      <c r="T86" s="22"/>
      <c r="U86" s="20"/>
      <c r="V86" s="20"/>
      <c r="W86" s="20"/>
      <c r="X86" s="20"/>
      <c r="Y86" s="20"/>
      <c r="Z86" s="20"/>
      <c r="AA86" s="20"/>
      <c r="AB86" s="20"/>
      <c r="AC86" s="22"/>
      <c r="AD86" s="20"/>
      <c r="AE86" s="20"/>
      <c r="AF86" s="20"/>
      <c r="AG86" s="20"/>
      <c r="AH86" s="20"/>
      <c r="AI86" s="20"/>
      <c r="AJ86" s="20"/>
      <c r="AK86" s="20"/>
      <c r="AL86" s="131"/>
      <c r="AM86" s="131"/>
      <c r="AN86" s="131"/>
      <c r="AO86" s="131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34"/>
      <c r="BW86" s="34"/>
    </row>
    <row r="87" spans="1:75" s="42" customFormat="1" ht="18.75" x14ac:dyDescent="0.3">
      <c r="A87" s="20"/>
      <c r="B87" s="20"/>
      <c r="C87" s="17" t="s">
        <v>573</v>
      </c>
      <c r="D87" s="20"/>
      <c r="E87" s="20"/>
      <c r="F87" s="20"/>
      <c r="G87" s="20"/>
      <c r="H87" s="20"/>
      <c r="I87" s="20"/>
      <c r="J87" s="20"/>
      <c r="K87" s="20"/>
      <c r="L87" s="22"/>
      <c r="M87" s="20"/>
      <c r="N87" s="20"/>
      <c r="O87" s="20"/>
      <c r="P87" s="20"/>
      <c r="Q87" s="20"/>
      <c r="R87" s="20"/>
      <c r="S87" s="20"/>
      <c r="T87" s="22"/>
      <c r="U87" s="20"/>
      <c r="V87" s="20"/>
      <c r="W87" s="20"/>
      <c r="X87" s="20"/>
      <c r="Y87" s="20"/>
      <c r="Z87" s="20"/>
      <c r="AA87" s="20"/>
      <c r="AB87" s="20"/>
      <c r="AC87" s="22"/>
      <c r="AD87" s="20"/>
      <c r="AE87" s="20"/>
      <c r="AF87" s="20"/>
      <c r="AG87" s="20"/>
      <c r="AH87" s="20"/>
      <c r="AI87" s="20"/>
      <c r="AJ87" s="20"/>
      <c r="AK87" s="20"/>
      <c r="AL87" s="131"/>
      <c r="AM87" s="131"/>
      <c r="AN87" s="131"/>
      <c r="AO87" s="131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34"/>
      <c r="BW87" s="34"/>
    </row>
    <row r="88" spans="1:75" s="42" customFormat="1" ht="18.75" x14ac:dyDescent="0.3">
      <c r="A88" s="20"/>
      <c r="B88" s="20"/>
      <c r="C88" s="20" t="s">
        <v>574</v>
      </c>
      <c r="D88" s="20"/>
      <c r="E88" s="95">
        <f>20000+80000</f>
        <v>100000</v>
      </c>
      <c r="F88" s="316">
        <f>+F61-F60</f>
        <v>7.0000000000000284E-2</v>
      </c>
      <c r="G88" s="317">
        <f>+E88*F88</f>
        <v>7000.0000000000282</v>
      </c>
      <c r="H88" s="20" t="s">
        <v>579</v>
      </c>
      <c r="I88" s="20"/>
      <c r="J88" s="20"/>
      <c r="K88" s="20"/>
      <c r="L88" s="22"/>
      <c r="M88" s="20"/>
      <c r="N88" s="20"/>
      <c r="O88" s="20"/>
      <c r="P88" s="20"/>
      <c r="Q88" s="20"/>
      <c r="R88" s="20"/>
      <c r="S88" s="20"/>
      <c r="T88" s="22"/>
      <c r="U88" s="20"/>
      <c r="V88" s="20"/>
      <c r="W88" s="20"/>
      <c r="X88" s="20"/>
      <c r="Y88" s="20"/>
      <c r="Z88" s="20"/>
      <c r="AA88" s="20"/>
      <c r="AB88" s="20"/>
      <c r="AC88" s="22"/>
      <c r="AD88" s="20"/>
      <c r="AE88" s="20"/>
      <c r="AF88" s="20"/>
      <c r="AG88" s="20"/>
      <c r="AH88" s="20"/>
      <c r="AI88" s="20"/>
      <c r="AJ88" s="20"/>
      <c r="AK88" s="20"/>
      <c r="AL88" s="131"/>
      <c r="AM88" s="131"/>
      <c r="AN88" s="131"/>
      <c r="AO88" s="131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34"/>
      <c r="BW88" s="34"/>
    </row>
    <row r="89" spans="1:75" s="42" customFormat="1" ht="18.75" x14ac:dyDescent="0.3">
      <c r="A89" s="20"/>
      <c r="B89" s="20"/>
      <c r="C89" s="20" t="s">
        <v>589</v>
      </c>
      <c r="D89" s="20"/>
      <c r="E89" s="95">
        <f>+D60+D61</f>
        <v>80000</v>
      </c>
      <c r="F89" s="316">
        <f>+F62-F61</f>
        <v>2.0000000000000018E-2</v>
      </c>
      <c r="G89" s="317">
        <f>+E89*F89</f>
        <v>1600.0000000000014</v>
      </c>
      <c r="H89" s="20" t="s">
        <v>579</v>
      </c>
      <c r="I89" s="20"/>
      <c r="J89" s="20"/>
      <c r="K89" s="20"/>
      <c r="L89" s="22"/>
      <c r="M89" s="20"/>
      <c r="N89" s="20"/>
      <c r="O89" s="20"/>
      <c r="P89" s="20"/>
      <c r="Q89" s="20"/>
      <c r="R89" s="20"/>
      <c r="S89" s="20"/>
      <c r="T89" s="22"/>
      <c r="U89" s="20"/>
      <c r="V89" s="20"/>
      <c r="W89" s="20"/>
      <c r="X89" s="20"/>
      <c r="Y89" s="20"/>
      <c r="Z89" s="20"/>
      <c r="AA89" s="20"/>
      <c r="AB89" s="20"/>
      <c r="AC89" s="22"/>
      <c r="AD89" s="20"/>
      <c r="AE89" s="20"/>
      <c r="AF89" s="20"/>
      <c r="AG89" s="20"/>
      <c r="AH89" s="20"/>
      <c r="AI89" s="20"/>
      <c r="AJ89" s="20"/>
      <c r="AK89" s="20"/>
      <c r="AL89" s="131"/>
      <c r="AM89" s="131"/>
      <c r="AN89" s="131"/>
      <c r="AO89" s="131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34"/>
      <c r="BW89" s="34"/>
    </row>
    <row r="90" spans="1:75" s="42" customFormat="1" ht="18.75" x14ac:dyDescent="0.3">
      <c r="A90" s="20"/>
      <c r="B90" s="20"/>
      <c r="C90" s="20" t="s">
        <v>575</v>
      </c>
      <c r="D90" s="20"/>
      <c r="E90" s="95">
        <f>+D64</f>
        <v>60000</v>
      </c>
      <c r="F90" s="316">
        <f>+F64-F62</f>
        <v>4.0000000000000036E-2</v>
      </c>
      <c r="G90" s="148">
        <f>+E90*F90</f>
        <v>2400.0000000000023</v>
      </c>
      <c r="H90" s="20" t="s">
        <v>580</v>
      </c>
      <c r="I90" s="20"/>
      <c r="J90" s="20"/>
      <c r="K90" s="20"/>
      <c r="L90" s="22"/>
      <c r="M90" s="20"/>
      <c r="N90" s="20"/>
      <c r="O90" s="20"/>
      <c r="P90" s="20"/>
      <c r="Q90" s="20"/>
      <c r="R90" s="20"/>
      <c r="S90" s="20"/>
      <c r="T90" s="22"/>
      <c r="U90" s="20"/>
      <c r="V90" s="20"/>
      <c r="W90" s="20"/>
      <c r="X90" s="20"/>
      <c r="Y90" s="20"/>
      <c r="Z90" s="20"/>
      <c r="AA90" s="20"/>
      <c r="AB90" s="20"/>
      <c r="AC90" s="22"/>
      <c r="AD90" s="20"/>
      <c r="AE90" s="20"/>
      <c r="AF90" s="20"/>
      <c r="AG90" s="20"/>
      <c r="AH90" s="20"/>
      <c r="AI90" s="20"/>
      <c r="AJ90" s="20"/>
      <c r="AK90" s="20"/>
      <c r="AL90" s="131"/>
      <c r="AM90" s="131"/>
      <c r="AN90" s="131"/>
      <c r="AO90" s="131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34"/>
      <c r="BW90" s="34"/>
    </row>
    <row r="91" spans="1:75" s="42" customFormat="1" ht="18.75" x14ac:dyDescent="0.3">
      <c r="A91" s="20"/>
      <c r="B91" s="20"/>
      <c r="C91" s="20"/>
      <c r="D91" s="20"/>
      <c r="E91" s="20"/>
      <c r="F91" s="20"/>
      <c r="G91" s="318">
        <f>SUM(G88:G90)</f>
        <v>11000.000000000031</v>
      </c>
      <c r="H91" s="20"/>
      <c r="I91" s="20"/>
      <c r="J91" s="20"/>
      <c r="K91" s="20"/>
      <c r="L91" s="22"/>
      <c r="M91" s="20"/>
      <c r="N91" s="20"/>
      <c r="O91" s="20"/>
      <c r="P91" s="20"/>
      <c r="Q91" s="20"/>
      <c r="R91" s="20"/>
      <c r="S91" s="20"/>
      <c r="T91" s="22"/>
      <c r="U91" s="20"/>
      <c r="V91" s="20"/>
      <c r="W91" s="20"/>
      <c r="X91" s="20"/>
      <c r="Y91" s="20"/>
      <c r="Z91" s="20"/>
      <c r="AA91" s="20"/>
      <c r="AB91" s="20"/>
      <c r="AC91" s="22"/>
      <c r="AD91" s="20"/>
      <c r="AE91" s="20"/>
      <c r="AF91" s="20"/>
      <c r="AG91" s="20"/>
      <c r="AH91" s="20"/>
      <c r="AI91" s="20"/>
      <c r="AJ91" s="20"/>
      <c r="AK91" s="20"/>
      <c r="AL91" s="131"/>
      <c r="AM91" s="131"/>
      <c r="AN91" s="131"/>
      <c r="AO91" s="131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34"/>
      <c r="BW91" s="34"/>
    </row>
    <row r="92" spans="1:75" s="42" customFormat="1" ht="18.75" x14ac:dyDescent="0.3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2"/>
      <c r="M92" s="20"/>
      <c r="N92" s="20"/>
      <c r="O92" s="20"/>
      <c r="P92" s="20"/>
      <c r="Q92" s="20"/>
      <c r="R92" s="20"/>
      <c r="S92" s="20"/>
      <c r="T92" s="22"/>
      <c r="U92" s="20"/>
      <c r="V92" s="20"/>
      <c r="W92" s="20"/>
      <c r="X92" s="20"/>
      <c r="Y92" s="20"/>
      <c r="Z92" s="20"/>
      <c r="AA92" s="20"/>
      <c r="AB92" s="20"/>
      <c r="AC92" s="22"/>
      <c r="AD92" s="20"/>
      <c r="AE92" s="20"/>
      <c r="AF92" s="20"/>
      <c r="AG92" s="20"/>
      <c r="AH92" s="20"/>
      <c r="AI92" s="20"/>
      <c r="AJ92" s="20"/>
      <c r="AK92" s="20"/>
      <c r="AL92" s="131"/>
      <c r="AM92" s="131"/>
      <c r="AN92" s="131"/>
      <c r="AO92" s="131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34"/>
      <c r="BW92" s="34"/>
    </row>
    <row r="93" spans="1:75" s="42" customFormat="1" ht="18.75" x14ac:dyDescent="0.3">
      <c r="A93" s="20"/>
      <c r="B93" s="20"/>
      <c r="C93" s="311" t="s">
        <v>590</v>
      </c>
      <c r="D93" s="310"/>
      <c r="E93" s="310"/>
      <c r="F93" s="310"/>
      <c r="G93" s="310"/>
      <c r="H93" s="310"/>
      <c r="I93" s="310"/>
      <c r="J93" s="20"/>
      <c r="K93" s="20"/>
      <c r="L93" s="22"/>
      <c r="M93" s="20"/>
      <c r="N93" s="20"/>
      <c r="O93" s="20"/>
      <c r="P93" s="20"/>
      <c r="Q93" s="20"/>
      <c r="R93" s="20"/>
      <c r="S93" s="20"/>
      <c r="T93" s="22"/>
      <c r="U93" s="20"/>
      <c r="V93" s="20"/>
      <c r="W93" s="20"/>
      <c r="X93" s="20"/>
      <c r="Y93" s="20"/>
      <c r="Z93" s="20"/>
      <c r="AA93" s="20"/>
      <c r="AB93" s="20"/>
      <c r="AC93" s="22"/>
      <c r="AD93" s="20"/>
      <c r="AE93" s="20"/>
      <c r="AF93" s="20"/>
      <c r="AG93" s="20"/>
      <c r="AH93" s="20"/>
      <c r="AI93" s="20"/>
      <c r="AJ93" s="20"/>
      <c r="AK93" s="20"/>
      <c r="AL93" s="131"/>
      <c r="AM93" s="131"/>
      <c r="AN93" s="131"/>
      <c r="AO93" s="131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34"/>
      <c r="BW93" s="34"/>
    </row>
    <row r="94" spans="1:75" s="42" customFormat="1" ht="18.75" x14ac:dyDescent="0.3">
      <c r="A94" s="20"/>
      <c r="B94" s="20"/>
      <c r="C94" s="20" t="s">
        <v>591</v>
      </c>
      <c r="D94" s="20"/>
      <c r="E94" s="20"/>
      <c r="F94" s="20"/>
      <c r="G94" s="20"/>
      <c r="H94" s="20"/>
      <c r="I94" s="20"/>
      <c r="J94" s="20"/>
      <c r="K94" s="20"/>
      <c r="L94" s="22"/>
      <c r="M94" s="20"/>
      <c r="N94" s="20"/>
      <c r="O94" s="20"/>
      <c r="P94" s="20"/>
      <c r="Q94" s="20"/>
      <c r="R94" s="20"/>
      <c r="S94" s="20"/>
      <c r="T94" s="22"/>
      <c r="U94" s="20"/>
      <c r="V94" s="20"/>
      <c r="W94" s="20"/>
      <c r="X94" s="20"/>
      <c r="Y94" s="20"/>
      <c r="Z94" s="20"/>
      <c r="AA94" s="20"/>
      <c r="AB94" s="20"/>
      <c r="AC94" s="22"/>
      <c r="AD94" s="20"/>
      <c r="AE94" s="20"/>
      <c r="AF94" s="20"/>
      <c r="AG94" s="20"/>
      <c r="AH94" s="20"/>
      <c r="AI94" s="20"/>
      <c r="AJ94" s="20"/>
      <c r="AK94" s="20"/>
      <c r="AL94" s="131"/>
      <c r="AM94" s="131"/>
      <c r="AN94" s="131"/>
      <c r="AO94" s="131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34"/>
      <c r="BW94" s="34"/>
    </row>
    <row r="95" spans="1:75" s="42" customFormat="1" ht="18.75" x14ac:dyDescent="0.3">
      <c r="A95" s="20"/>
      <c r="B95" s="20"/>
      <c r="C95" s="20" t="s">
        <v>592</v>
      </c>
      <c r="D95" s="20"/>
      <c r="E95" s="20"/>
      <c r="F95" s="20"/>
      <c r="G95" s="20"/>
      <c r="H95" s="20"/>
      <c r="I95" s="20"/>
      <c r="J95" s="20"/>
      <c r="K95" s="20"/>
      <c r="L95" s="22"/>
      <c r="M95" s="20"/>
      <c r="N95" s="20"/>
      <c r="O95" s="20"/>
      <c r="P95" s="20"/>
      <c r="Q95" s="20"/>
      <c r="R95" s="20"/>
      <c r="S95" s="20"/>
      <c r="T95" s="22"/>
      <c r="U95" s="20"/>
      <c r="V95" s="20"/>
      <c r="W95" s="20"/>
      <c r="X95" s="20"/>
      <c r="Y95" s="20"/>
      <c r="Z95" s="20"/>
      <c r="AA95" s="20"/>
      <c r="AB95" s="20"/>
      <c r="AC95" s="22"/>
      <c r="AD95" s="20"/>
      <c r="AE95" s="20"/>
      <c r="AF95" s="20"/>
      <c r="AG95" s="20"/>
      <c r="AH95" s="20"/>
      <c r="AI95" s="20"/>
      <c r="AJ95" s="20"/>
      <c r="AK95" s="20"/>
      <c r="AL95" s="131"/>
      <c r="AM95" s="131"/>
      <c r="AN95" s="131"/>
      <c r="AO95" s="131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34"/>
      <c r="BW95" s="34"/>
    </row>
    <row r="96" spans="1:75" s="42" customFormat="1" ht="18.75" x14ac:dyDescent="0.3">
      <c r="A96" s="20"/>
      <c r="B96" s="20"/>
      <c r="C96" s="20" t="s">
        <v>593</v>
      </c>
      <c r="D96" s="20"/>
      <c r="E96" s="20"/>
      <c r="F96" s="20"/>
      <c r="G96" s="20"/>
      <c r="H96" s="20"/>
      <c r="I96" s="20"/>
      <c r="J96" s="20"/>
      <c r="K96" s="20"/>
      <c r="L96" s="22"/>
      <c r="M96" s="20"/>
      <c r="N96" s="20"/>
      <c r="O96" s="20"/>
      <c r="P96" s="20"/>
      <c r="Q96" s="20"/>
      <c r="R96" s="20"/>
      <c r="S96" s="20"/>
      <c r="T96" s="22"/>
      <c r="U96" s="20"/>
      <c r="V96" s="20"/>
      <c r="W96" s="20"/>
      <c r="X96" s="20"/>
      <c r="Y96" s="20"/>
      <c r="Z96" s="20"/>
      <c r="AA96" s="20"/>
      <c r="AB96" s="20"/>
      <c r="AC96" s="22"/>
      <c r="AD96" s="20"/>
      <c r="AE96" s="20"/>
      <c r="AF96" s="20"/>
      <c r="AG96" s="20"/>
      <c r="AH96" s="20"/>
      <c r="AI96" s="20"/>
      <c r="AJ96" s="20"/>
      <c r="AK96" s="20"/>
      <c r="AL96" s="131"/>
      <c r="AM96" s="131"/>
      <c r="AN96" s="131"/>
      <c r="AO96" s="131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34"/>
      <c r="BW96" s="34"/>
    </row>
    <row r="97" spans="1:75" s="42" customFormat="1" ht="18.75" x14ac:dyDescent="0.3">
      <c r="A97" s="20"/>
      <c r="B97" s="20"/>
      <c r="C97" s="20" t="s">
        <v>594</v>
      </c>
      <c r="D97" s="20"/>
      <c r="E97" s="20"/>
      <c r="F97" s="20"/>
      <c r="G97" s="20"/>
      <c r="H97" s="20"/>
      <c r="I97" s="20"/>
      <c r="J97" s="20"/>
      <c r="K97" s="20"/>
      <c r="L97" s="22"/>
      <c r="M97" s="20"/>
      <c r="N97" s="20"/>
      <c r="O97" s="20"/>
      <c r="P97" s="20"/>
      <c r="Q97" s="20"/>
      <c r="R97" s="20"/>
      <c r="S97" s="20"/>
      <c r="T97" s="22"/>
      <c r="U97" s="20"/>
      <c r="V97" s="20"/>
      <c r="W97" s="20"/>
      <c r="X97" s="20"/>
      <c r="Y97" s="20"/>
      <c r="Z97" s="20"/>
      <c r="AA97" s="20"/>
      <c r="AB97" s="20"/>
      <c r="AC97" s="22"/>
      <c r="AD97" s="20"/>
      <c r="AE97" s="20"/>
      <c r="AF97" s="20"/>
      <c r="AG97" s="20"/>
      <c r="AH97" s="20"/>
      <c r="AI97" s="20"/>
      <c r="AJ97" s="20"/>
      <c r="AK97" s="20"/>
      <c r="AL97" s="131"/>
      <c r="AM97" s="131"/>
      <c r="AN97" s="131"/>
      <c r="AO97" s="131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34"/>
      <c r="BW97" s="34"/>
    </row>
    <row r="98" spans="1:75" s="42" customFormat="1" ht="18.75" x14ac:dyDescent="0.3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2"/>
      <c r="M98" s="20"/>
      <c r="N98" s="20"/>
      <c r="O98" s="20"/>
      <c r="P98" s="20"/>
      <c r="Q98" s="20"/>
      <c r="R98" s="20"/>
      <c r="S98" s="20"/>
      <c r="T98" s="22"/>
      <c r="U98" s="20"/>
      <c r="V98" s="20"/>
      <c r="W98" s="20"/>
      <c r="X98" s="20"/>
      <c r="Y98" s="20"/>
      <c r="Z98" s="20"/>
      <c r="AA98" s="20"/>
      <c r="AB98" s="20"/>
      <c r="AC98" s="22"/>
      <c r="AD98" s="20"/>
      <c r="AE98" s="20"/>
      <c r="AF98" s="20"/>
      <c r="AG98" s="20"/>
      <c r="AH98" s="20"/>
      <c r="AI98" s="20"/>
      <c r="AJ98" s="20"/>
      <c r="AK98" s="20"/>
      <c r="AL98" s="131"/>
      <c r="AM98" s="131"/>
      <c r="AN98" s="131"/>
      <c r="AO98" s="131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34"/>
      <c r="BW98" s="34"/>
    </row>
    <row r="99" spans="1:75" s="42" customFormat="1" ht="18.75" x14ac:dyDescent="0.3">
      <c r="A99" s="20"/>
      <c r="B99" s="20"/>
      <c r="C99" s="20" t="s">
        <v>595</v>
      </c>
      <c r="D99" s="20"/>
      <c r="E99" s="20"/>
      <c r="F99" s="20"/>
      <c r="G99" s="20"/>
      <c r="H99" s="20"/>
      <c r="I99" s="20"/>
      <c r="J99" s="20"/>
      <c r="K99" s="20"/>
      <c r="L99" s="22"/>
      <c r="M99" s="20"/>
      <c r="N99" s="20"/>
      <c r="O99" s="20"/>
      <c r="P99" s="20"/>
      <c r="Q99" s="20"/>
      <c r="R99" s="20"/>
      <c r="S99" s="20"/>
      <c r="T99" s="22"/>
      <c r="U99" s="20"/>
      <c r="V99" s="20"/>
      <c r="W99" s="20"/>
      <c r="X99" s="20"/>
      <c r="Y99" s="20"/>
      <c r="Z99" s="20"/>
      <c r="AA99" s="20"/>
      <c r="AB99" s="20"/>
      <c r="AC99" s="22"/>
      <c r="AD99" s="20"/>
      <c r="AE99" s="20"/>
      <c r="AF99" s="20"/>
      <c r="AG99" s="20"/>
      <c r="AH99" s="20"/>
      <c r="AI99" s="20"/>
      <c r="AJ99" s="20"/>
      <c r="AK99" s="20"/>
      <c r="AL99" s="131"/>
      <c r="AM99" s="131"/>
      <c r="AN99" s="131"/>
      <c r="AO99" s="131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34"/>
      <c r="BW99" s="34"/>
    </row>
    <row r="100" spans="1:75" s="42" customFormat="1" ht="18.75" x14ac:dyDescent="0.3">
      <c r="A100" s="20"/>
      <c r="B100" s="20"/>
      <c r="C100" s="20" t="s">
        <v>596</v>
      </c>
      <c r="D100" s="20"/>
      <c r="E100" s="20"/>
      <c r="F100" s="20"/>
      <c r="G100" s="20"/>
      <c r="H100" s="20"/>
      <c r="I100" s="20"/>
      <c r="J100" s="20"/>
      <c r="K100" s="20"/>
      <c r="L100" s="22"/>
      <c r="M100" s="20"/>
      <c r="N100" s="20"/>
      <c r="O100" s="20"/>
      <c r="P100" s="20"/>
      <c r="Q100" s="20"/>
      <c r="R100" s="20"/>
      <c r="S100" s="20"/>
      <c r="T100" s="22"/>
      <c r="U100" s="20"/>
      <c r="V100" s="20"/>
      <c r="W100" s="20"/>
      <c r="X100" s="20"/>
      <c r="Y100" s="20"/>
      <c r="Z100" s="20"/>
      <c r="AA100" s="20"/>
      <c r="AB100" s="20"/>
      <c r="AC100" s="22"/>
      <c r="AD100" s="20"/>
      <c r="AE100" s="20"/>
      <c r="AF100" s="20"/>
      <c r="AG100" s="20"/>
      <c r="AH100" s="20"/>
      <c r="AI100" s="20"/>
      <c r="AJ100" s="20"/>
      <c r="AK100" s="20"/>
      <c r="AL100" s="131"/>
      <c r="AM100" s="131"/>
      <c r="AN100" s="131"/>
      <c r="AO100" s="131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34"/>
      <c r="BW100" s="34"/>
    </row>
    <row r="101" spans="1:75" s="42" customFormat="1" ht="18.75" x14ac:dyDescent="0.3">
      <c r="A101" s="20"/>
      <c r="B101" s="20"/>
      <c r="C101" s="20" t="s">
        <v>597</v>
      </c>
      <c r="D101" s="20"/>
      <c r="E101" s="20"/>
      <c r="F101" s="20"/>
      <c r="G101" s="20"/>
      <c r="H101" s="20"/>
      <c r="I101" s="20"/>
      <c r="J101" s="20"/>
      <c r="K101" s="20"/>
      <c r="L101" s="22"/>
      <c r="M101" s="20"/>
      <c r="N101" s="20"/>
      <c r="O101" s="20"/>
      <c r="P101" s="20"/>
      <c r="Q101" s="20"/>
      <c r="R101" s="20"/>
      <c r="S101" s="20"/>
      <c r="T101" s="22"/>
      <c r="U101" s="20"/>
      <c r="V101" s="20"/>
      <c r="W101" s="20"/>
      <c r="X101" s="20"/>
      <c r="Y101" s="20"/>
      <c r="Z101" s="20"/>
      <c r="AA101" s="20"/>
      <c r="AB101" s="20"/>
      <c r="AC101" s="22"/>
      <c r="AD101" s="20"/>
      <c r="AE101" s="20"/>
      <c r="AF101" s="20"/>
      <c r="AG101" s="20"/>
      <c r="AH101" s="20"/>
      <c r="AI101" s="20"/>
      <c r="AJ101" s="20"/>
      <c r="AK101" s="20"/>
      <c r="AL101" s="131"/>
      <c r="AM101" s="131"/>
      <c r="AN101" s="131"/>
      <c r="AO101" s="131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34"/>
      <c r="BW101" s="34"/>
    </row>
    <row r="102" spans="1:75" s="42" customFormat="1" ht="18.75" x14ac:dyDescent="0.3">
      <c r="A102" s="20"/>
      <c r="B102" s="20"/>
      <c r="C102" s="20" t="s">
        <v>598</v>
      </c>
      <c r="D102" s="20"/>
      <c r="E102" s="20"/>
      <c r="F102" s="20"/>
      <c r="G102" s="20"/>
      <c r="H102" s="20"/>
      <c r="I102" s="20"/>
      <c r="J102" s="20"/>
      <c r="K102" s="20"/>
      <c r="L102" s="22"/>
      <c r="M102" s="20"/>
      <c r="N102" s="20"/>
      <c r="O102" s="20"/>
      <c r="P102" s="20"/>
      <c r="Q102" s="20"/>
      <c r="R102" s="20"/>
      <c r="S102" s="20"/>
      <c r="T102" s="22"/>
      <c r="U102" s="20"/>
      <c r="V102" s="20"/>
      <c r="W102" s="20"/>
      <c r="X102" s="20"/>
      <c r="Y102" s="20"/>
      <c r="Z102" s="20"/>
      <c r="AA102" s="20"/>
      <c r="AB102" s="20"/>
      <c r="AC102" s="22"/>
      <c r="AD102" s="20"/>
      <c r="AE102" s="20"/>
      <c r="AF102" s="20"/>
      <c r="AG102" s="20"/>
      <c r="AH102" s="20"/>
      <c r="AI102" s="20"/>
      <c r="AJ102" s="20"/>
      <c r="AK102" s="20"/>
      <c r="AL102" s="131"/>
      <c r="AM102" s="131"/>
      <c r="AN102" s="131"/>
      <c r="AO102" s="131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34"/>
      <c r="BW102" s="34"/>
    </row>
    <row r="103" spans="1:75" s="42" customFormat="1" ht="18.75" x14ac:dyDescent="0.3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2"/>
      <c r="M103" s="20"/>
      <c r="N103" s="20"/>
      <c r="O103" s="20"/>
      <c r="P103" s="20"/>
      <c r="Q103" s="20"/>
      <c r="R103" s="20"/>
      <c r="S103" s="20"/>
      <c r="T103" s="22"/>
      <c r="U103" s="20"/>
      <c r="V103" s="20"/>
      <c r="W103" s="20"/>
      <c r="X103" s="20"/>
      <c r="Y103" s="20"/>
      <c r="Z103" s="20"/>
      <c r="AA103" s="20"/>
      <c r="AB103" s="20"/>
      <c r="AC103" s="22"/>
      <c r="AD103" s="20"/>
      <c r="AE103" s="20"/>
      <c r="AF103" s="20"/>
      <c r="AG103" s="20"/>
      <c r="AH103" s="20"/>
      <c r="AI103" s="20"/>
      <c r="AJ103" s="20"/>
      <c r="AK103" s="20"/>
      <c r="AL103" s="131"/>
      <c r="AM103" s="131"/>
      <c r="AN103" s="131"/>
      <c r="AO103" s="131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34"/>
      <c r="BW103" s="34"/>
    </row>
    <row r="104" spans="1:75" s="42" customFormat="1" ht="18.75" x14ac:dyDescent="0.3">
      <c r="A104" s="20"/>
      <c r="B104" s="20"/>
      <c r="C104" s="164" t="s">
        <v>600</v>
      </c>
      <c r="D104" s="164"/>
      <c r="E104" s="164"/>
      <c r="F104" s="164"/>
      <c r="G104" s="164"/>
      <c r="H104" s="164"/>
      <c r="I104" s="164"/>
      <c r="J104" s="20"/>
      <c r="K104" s="20"/>
      <c r="L104" s="22"/>
      <c r="M104" s="20"/>
      <c r="N104" s="20"/>
      <c r="O104" s="20"/>
      <c r="P104" s="20"/>
      <c r="Q104" s="20"/>
      <c r="R104" s="20"/>
      <c r="S104" s="20"/>
      <c r="T104" s="22"/>
      <c r="U104" s="20"/>
      <c r="V104" s="20"/>
      <c r="W104" s="20"/>
      <c r="X104" s="20"/>
      <c r="Y104" s="20"/>
      <c r="Z104" s="20"/>
      <c r="AA104" s="20"/>
      <c r="AB104" s="20"/>
      <c r="AC104" s="22"/>
      <c r="AD104" s="20"/>
      <c r="AE104" s="20"/>
      <c r="AF104" s="20"/>
      <c r="AG104" s="20"/>
      <c r="AH104" s="20"/>
      <c r="AI104" s="20"/>
      <c r="AJ104" s="20"/>
      <c r="AK104" s="20"/>
      <c r="AL104" s="131"/>
      <c r="AM104" s="131"/>
      <c r="AN104" s="131"/>
      <c r="AO104" s="131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34"/>
      <c r="BW104" s="34"/>
    </row>
    <row r="105" spans="1:75" s="42" customFormat="1" ht="18.75" x14ac:dyDescent="0.3">
      <c r="A105" s="20"/>
      <c r="B105" s="20"/>
      <c r="C105" s="26" t="s">
        <v>608</v>
      </c>
      <c r="D105" s="20"/>
      <c r="E105" s="20"/>
      <c r="F105" s="20"/>
      <c r="G105" s="20"/>
      <c r="H105" s="20"/>
      <c r="I105" s="20"/>
      <c r="J105" s="20"/>
      <c r="K105" s="20"/>
      <c r="L105" s="22"/>
      <c r="M105" s="20"/>
      <c r="N105" s="20"/>
      <c r="O105" s="20"/>
      <c r="P105" s="20"/>
      <c r="Q105" s="20"/>
      <c r="R105" s="20"/>
      <c r="S105" s="20"/>
      <c r="T105" s="22"/>
      <c r="U105" s="20"/>
      <c r="V105" s="20"/>
      <c r="W105" s="20"/>
      <c r="X105" s="20"/>
      <c r="Y105" s="20"/>
      <c r="Z105" s="20"/>
      <c r="AA105" s="20"/>
      <c r="AB105" s="20"/>
      <c r="AC105" s="22"/>
      <c r="AD105" s="20"/>
      <c r="AE105" s="20"/>
      <c r="AF105" s="20"/>
      <c r="AG105" s="20"/>
      <c r="AH105" s="20"/>
      <c r="AI105" s="20"/>
      <c r="AJ105" s="20"/>
      <c r="AK105" s="20"/>
      <c r="AL105" s="131"/>
      <c r="AM105" s="131"/>
      <c r="AN105" s="131"/>
      <c r="AO105" s="131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34"/>
      <c r="BW105" s="34"/>
    </row>
    <row r="106" spans="1:75" s="42" customFormat="1" ht="18.75" x14ac:dyDescent="0.3">
      <c r="A106" s="20"/>
      <c r="B106" s="20"/>
      <c r="C106" s="20" t="s">
        <v>601</v>
      </c>
      <c r="D106" s="20"/>
      <c r="E106" s="20"/>
      <c r="F106" s="20"/>
      <c r="G106" s="20"/>
      <c r="H106" s="20"/>
      <c r="I106" s="20"/>
      <c r="J106" s="20"/>
      <c r="K106" s="20"/>
      <c r="L106" s="22"/>
      <c r="M106" s="20"/>
      <c r="N106" s="20"/>
      <c r="O106" s="20"/>
      <c r="P106" s="20"/>
      <c r="Q106" s="20"/>
      <c r="R106" s="20"/>
      <c r="S106" s="20"/>
      <c r="T106" s="22"/>
      <c r="U106" s="20"/>
      <c r="V106" s="20"/>
      <c r="W106" s="20"/>
      <c r="X106" s="20"/>
      <c r="Y106" s="20"/>
      <c r="Z106" s="20"/>
      <c r="AA106" s="20"/>
      <c r="AB106" s="20"/>
      <c r="AC106" s="22"/>
      <c r="AD106" s="20"/>
      <c r="AE106" s="20"/>
      <c r="AF106" s="20"/>
      <c r="AG106" s="20"/>
      <c r="AH106" s="20"/>
      <c r="AI106" s="20"/>
      <c r="AJ106" s="20"/>
      <c r="AK106" s="20"/>
      <c r="AL106" s="131"/>
      <c r="AM106" s="131"/>
      <c r="AN106" s="131"/>
      <c r="AO106" s="131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34"/>
      <c r="BW106" s="34"/>
    </row>
    <row r="107" spans="1:75" s="42" customFormat="1" ht="18.75" x14ac:dyDescent="0.3">
      <c r="A107" s="20"/>
      <c r="B107" s="20"/>
      <c r="C107" s="20" t="s">
        <v>602</v>
      </c>
      <c r="D107" s="20"/>
      <c r="E107" s="20"/>
      <c r="F107" s="20"/>
      <c r="G107" s="20"/>
      <c r="H107" s="20"/>
      <c r="I107" s="20"/>
      <c r="J107" s="20"/>
      <c r="K107" s="20"/>
      <c r="L107" s="22"/>
      <c r="M107" s="20"/>
      <c r="N107" s="20"/>
      <c r="O107" s="20"/>
      <c r="P107" s="20"/>
      <c r="Q107" s="20"/>
      <c r="R107" s="20"/>
      <c r="S107" s="20"/>
      <c r="T107" s="22"/>
      <c r="U107" s="20"/>
      <c r="V107" s="20"/>
      <c r="W107" s="20"/>
      <c r="X107" s="20"/>
      <c r="Y107" s="20"/>
      <c r="Z107" s="20"/>
      <c r="AA107" s="20"/>
      <c r="AB107" s="20"/>
      <c r="AC107" s="22"/>
      <c r="AD107" s="20"/>
      <c r="AE107" s="20"/>
      <c r="AF107" s="20"/>
      <c r="AG107" s="20"/>
      <c r="AH107" s="20"/>
      <c r="AI107" s="20"/>
      <c r="AJ107" s="20"/>
      <c r="AK107" s="20"/>
      <c r="AL107" s="131"/>
      <c r="AM107" s="131"/>
      <c r="AN107" s="131"/>
      <c r="AO107" s="131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34"/>
      <c r="BW107" s="34"/>
    </row>
    <row r="108" spans="1:75" s="42" customFormat="1" ht="18.75" x14ac:dyDescent="0.3">
      <c r="A108" s="20"/>
      <c r="B108" s="20"/>
      <c r="C108" s="20" t="s">
        <v>603</v>
      </c>
      <c r="D108" s="20"/>
      <c r="E108" s="20"/>
      <c r="F108" s="20"/>
      <c r="G108" s="20"/>
      <c r="H108" s="20"/>
      <c r="I108" s="20"/>
      <c r="J108" s="20"/>
      <c r="K108" s="20"/>
      <c r="L108" s="22"/>
      <c r="M108" s="20"/>
      <c r="N108" s="20"/>
      <c r="O108" s="20"/>
      <c r="P108" s="20"/>
      <c r="Q108" s="20"/>
      <c r="R108" s="20"/>
      <c r="S108" s="20"/>
      <c r="T108" s="22"/>
      <c r="U108" s="20"/>
      <c r="V108" s="20"/>
      <c r="W108" s="20"/>
      <c r="X108" s="20"/>
      <c r="Y108" s="20"/>
      <c r="Z108" s="20"/>
      <c r="AA108" s="20"/>
      <c r="AB108" s="20"/>
      <c r="AC108" s="22"/>
      <c r="AD108" s="20"/>
      <c r="AE108" s="20"/>
      <c r="AF108" s="20"/>
      <c r="AG108" s="20"/>
      <c r="AH108" s="20"/>
      <c r="AI108" s="20"/>
      <c r="AJ108" s="20"/>
      <c r="AK108" s="20"/>
      <c r="AL108" s="131"/>
      <c r="AM108" s="131"/>
      <c r="AN108" s="131"/>
      <c r="AO108" s="131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34"/>
      <c r="BW108" s="34"/>
    </row>
    <row r="109" spans="1:75" s="42" customFormat="1" ht="18.75" x14ac:dyDescent="0.3">
      <c r="A109" s="20"/>
      <c r="B109" s="20"/>
      <c r="C109" s="20" t="s">
        <v>604</v>
      </c>
      <c r="D109" s="20"/>
      <c r="E109" s="20"/>
      <c r="F109" s="20"/>
      <c r="G109" s="20"/>
      <c r="H109" s="20"/>
      <c r="I109" s="20"/>
      <c r="J109" s="20"/>
      <c r="K109" s="20"/>
      <c r="L109" s="22"/>
      <c r="M109" s="20"/>
      <c r="N109" s="20"/>
      <c r="O109" s="20"/>
      <c r="P109" s="20"/>
      <c r="Q109" s="20"/>
      <c r="R109" s="20"/>
      <c r="S109" s="20"/>
      <c r="T109" s="22"/>
      <c r="U109" s="20"/>
      <c r="V109" s="20"/>
      <c r="W109" s="20"/>
      <c r="X109" s="20"/>
      <c r="Y109" s="20"/>
      <c r="Z109" s="20"/>
      <c r="AA109" s="20"/>
      <c r="AB109" s="20"/>
      <c r="AC109" s="22"/>
      <c r="AD109" s="20"/>
      <c r="AE109" s="20"/>
      <c r="AF109" s="20"/>
      <c r="AG109" s="20"/>
      <c r="AH109" s="20"/>
      <c r="AI109" s="20"/>
      <c r="AJ109" s="20"/>
      <c r="AK109" s="20"/>
      <c r="AL109" s="131"/>
      <c r="AM109" s="131"/>
      <c r="AN109" s="131"/>
      <c r="AO109" s="131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34"/>
      <c r="BW109" s="34"/>
    </row>
    <row r="110" spans="1:75" s="42" customFormat="1" ht="18.75" x14ac:dyDescent="0.3">
      <c r="A110" s="20"/>
      <c r="B110" s="20"/>
      <c r="C110" s="20" t="s">
        <v>605</v>
      </c>
      <c r="D110" s="20"/>
      <c r="E110" s="20"/>
      <c r="F110" s="20"/>
      <c r="G110" s="20"/>
      <c r="H110" s="20"/>
      <c r="I110" s="20"/>
      <c r="J110" s="20"/>
      <c r="K110" s="20"/>
      <c r="L110" s="22"/>
      <c r="M110" s="20"/>
      <c r="N110" s="20"/>
      <c r="O110" s="20"/>
      <c r="P110" s="20"/>
      <c r="Q110" s="20"/>
      <c r="R110" s="20"/>
      <c r="S110" s="20"/>
      <c r="T110" s="22"/>
      <c r="U110" s="20"/>
      <c r="V110" s="20"/>
      <c r="W110" s="20"/>
      <c r="X110" s="20"/>
      <c r="Y110" s="20"/>
      <c r="Z110" s="20"/>
      <c r="AA110" s="20"/>
      <c r="AB110" s="20"/>
      <c r="AC110" s="22"/>
      <c r="AD110" s="20"/>
      <c r="AE110" s="20"/>
      <c r="AF110" s="20"/>
      <c r="AG110" s="20"/>
      <c r="AH110" s="20"/>
      <c r="AI110" s="20"/>
      <c r="AJ110" s="20"/>
      <c r="AK110" s="20"/>
      <c r="AL110" s="131"/>
      <c r="AM110" s="131"/>
      <c r="AN110" s="131"/>
      <c r="AO110" s="131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34"/>
      <c r="BW110" s="34"/>
    </row>
    <row r="111" spans="1:75" s="42" customFormat="1" ht="18.75" x14ac:dyDescent="0.3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2"/>
      <c r="M111" s="20"/>
      <c r="N111" s="20"/>
      <c r="O111" s="20"/>
      <c r="P111" s="20"/>
      <c r="Q111" s="20"/>
      <c r="R111" s="20"/>
      <c r="S111" s="20"/>
      <c r="T111" s="22"/>
      <c r="U111" s="20"/>
      <c r="V111" s="20"/>
      <c r="W111" s="20"/>
      <c r="X111" s="20"/>
      <c r="Y111" s="20"/>
      <c r="Z111" s="20"/>
      <c r="AA111" s="20"/>
      <c r="AB111" s="20"/>
      <c r="AC111" s="22"/>
      <c r="AD111" s="20"/>
      <c r="AE111" s="20"/>
      <c r="AF111" s="20"/>
      <c r="AG111" s="20"/>
      <c r="AH111" s="20"/>
      <c r="AI111" s="20"/>
      <c r="AJ111" s="20"/>
      <c r="AK111" s="20"/>
      <c r="AL111" s="131"/>
      <c r="AM111" s="131"/>
      <c r="AN111" s="131"/>
      <c r="AO111" s="131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34"/>
      <c r="BW111" s="34"/>
    </row>
    <row r="112" spans="1:75" s="42" customFormat="1" ht="18.75" x14ac:dyDescent="0.3">
      <c r="A112" s="20"/>
      <c r="B112" s="20"/>
      <c r="C112" s="20" t="s">
        <v>616</v>
      </c>
      <c r="D112" s="20"/>
      <c r="E112" s="20"/>
      <c r="F112" s="20"/>
      <c r="G112" s="20"/>
      <c r="H112" s="20"/>
      <c r="I112" s="20"/>
      <c r="J112" s="20"/>
      <c r="K112" s="20"/>
      <c r="L112" s="22"/>
      <c r="M112" s="20"/>
      <c r="N112" s="20"/>
      <c r="O112" s="20"/>
      <c r="P112" s="20"/>
      <c r="Q112" s="20"/>
      <c r="R112" s="20"/>
      <c r="S112" s="20"/>
      <c r="T112" s="22"/>
      <c r="U112" s="20"/>
      <c r="V112" s="20"/>
      <c r="W112" s="20"/>
      <c r="X112" s="20"/>
      <c r="Y112" s="20"/>
      <c r="Z112" s="20"/>
      <c r="AA112" s="20"/>
      <c r="AB112" s="20"/>
      <c r="AC112" s="22"/>
      <c r="AD112" s="20"/>
      <c r="AE112" s="20"/>
      <c r="AF112" s="20"/>
      <c r="AG112" s="20"/>
      <c r="AH112" s="20"/>
      <c r="AI112" s="20"/>
      <c r="AJ112" s="20"/>
      <c r="AK112" s="20"/>
      <c r="AL112" s="131"/>
      <c r="AM112" s="131"/>
      <c r="AN112" s="131"/>
      <c r="AO112" s="131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34"/>
      <c r="BW112" s="34"/>
    </row>
    <row r="113" spans="1:75" s="42" customFormat="1" ht="18.75" x14ac:dyDescent="0.3">
      <c r="A113" s="20"/>
      <c r="B113" s="20"/>
      <c r="C113" s="20" t="s">
        <v>617</v>
      </c>
      <c r="D113" s="20"/>
      <c r="E113" s="20"/>
      <c r="F113" s="20"/>
      <c r="G113" s="20"/>
      <c r="H113" s="20"/>
      <c r="I113" s="20"/>
      <c r="J113" s="20"/>
      <c r="K113" s="20"/>
      <c r="L113" s="22"/>
      <c r="M113" s="20"/>
      <c r="N113" s="20"/>
      <c r="O113" s="20"/>
      <c r="P113" s="20"/>
      <c r="Q113" s="20"/>
      <c r="R113" s="20"/>
      <c r="S113" s="20"/>
      <c r="T113" s="22"/>
      <c r="U113" s="20"/>
      <c r="V113" s="20"/>
      <c r="W113" s="20"/>
      <c r="X113" s="20"/>
      <c r="Y113" s="20"/>
      <c r="Z113" s="20"/>
      <c r="AA113" s="20"/>
      <c r="AB113" s="20"/>
      <c r="AC113" s="22"/>
      <c r="AD113" s="20"/>
      <c r="AE113" s="20"/>
      <c r="AF113" s="20"/>
      <c r="AG113" s="20"/>
      <c r="AH113" s="20"/>
      <c r="AI113" s="20"/>
      <c r="AJ113" s="20"/>
      <c r="AK113" s="20"/>
      <c r="AL113" s="131"/>
      <c r="AM113" s="131"/>
      <c r="AN113" s="131"/>
      <c r="AO113" s="131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34"/>
      <c r="BW113" s="34"/>
    </row>
    <row r="114" spans="1:75" s="42" customFormat="1" ht="18.75" x14ac:dyDescent="0.3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2"/>
      <c r="M114" s="20"/>
      <c r="N114" s="20"/>
      <c r="O114" s="20"/>
      <c r="P114" s="20"/>
      <c r="Q114" s="20"/>
      <c r="R114" s="20"/>
      <c r="S114" s="20"/>
      <c r="T114" s="22"/>
      <c r="U114" s="20"/>
      <c r="V114" s="20"/>
      <c r="W114" s="20"/>
      <c r="X114" s="20"/>
      <c r="Y114" s="20"/>
      <c r="Z114" s="20"/>
      <c r="AA114" s="20"/>
      <c r="AB114" s="20"/>
      <c r="AC114" s="22"/>
      <c r="AD114" s="20"/>
      <c r="AE114" s="20"/>
      <c r="AF114" s="20"/>
      <c r="AG114" s="20"/>
      <c r="AH114" s="20"/>
      <c r="AI114" s="20"/>
      <c r="AJ114" s="20"/>
      <c r="AK114" s="20"/>
      <c r="AL114" s="131"/>
      <c r="AM114" s="131"/>
      <c r="AN114" s="131"/>
      <c r="AO114" s="131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34"/>
      <c r="BW114" s="34"/>
    </row>
    <row r="115" spans="1:75" s="42" customFormat="1" ht="18.75" x14ac:dyDescent="0.3">
      <c r="A115" s="20"/>
      <c r="B115" s="20"/>
      <c r="C115" s="319" t="s">
        <v>599</v>
      </c>
      <c r="D115" s="319"/>
      <c r="E115" s="319"/>
      <c r="F115" s="319"/>
      <c r="G115" s="319"/>
      <c r="H115" s="319"/>
      <c r="I115" s="319"/>
      <c r="J115" s="20"/>
      <c r="K115" s="20"/>
      <c r="L115" s="22"/>
      <c r="M115" s="20"/>
      <c r="N115" s="20"/>
      <c r="O115" s="20"/>
      <c r="P115" s="20"/>
      <c r="Q115" s="20"/>
      <c r="R115" s="20"/>
      <c r="S115" s="20"/>
      <c r="T115" s="22"/>
      <c r="U115" s="20"/>
      <c r="V115" s="20"/>
      <c r="W115" s="20"/>
      <c r="X115" s="20"/>
      <c r="Y115" s="20"/>
      <c r="Z115" s="20"/>
      <c r="AA115" s="20"/>
      <c r="AB115" s="20"/>
      <c r="AC115" s="22"/>
      <c r="AD115" s="20"/>
      <c r="AE115" s="20"/>
      <c r="AF115" s="20"/>
      <c r="AG115" s="20"/>
      <c r="AH115" s="20"/>
      <c r="AI115" s="20"/>
      <c r="AJ115" s="20"/>
      <c r="AK115" s="20"/>
      <c r="AL115" s="131"/>
      <c r="AM115" s="131"/>
      <c r="AN115" s="131"/>
      <c r="AO115" s="131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34"/>
      <c r="BW115" s="34"/>
    </row>
    <row r="116" spans="1:75" s="42" customFormat="1" ht="18.75" x14ac:dyDescent="0.3">
      <c r="A116" s="20"/>
      <c r="B116" s="20"/>
      <c r="C116" s="20" t="s">
        <v>606</v>
      </c>
      <c r="D116" s="20"/>
      <c r="E116" s="20"/>
      <c r="F116" s="20"/>
      <c r="G116" s="20"/>
      <c r="H116" s="20"/>
      <c r="I116" s="20"/>
      <c r="J116" s="20"/>
      <c r="K116" s="20"/>
      <c r="L116" s="22"/>
      <c r="M116" s="20"/>
      <c r="N116" s="20"/>
      <c r="O116" s="20"/>
      <c r="P116" s="20"/>
      <c r="Q116" s="20"/>
      <c r="R116" s="20"/>
      <c r="S116" s="20"/>
      <c r="T116" s="22"/>
      <c r="U116" s="20"/>
      <c r="V116" s="20"/>
      <c r="W116" s="20"/>
      <c r="X116" s="20"/>
      <c r="Y116" s="20"/>
      <c r="Z116" s="20"/>
      <c r="AA116" s="20"/>
      <c r="AB116" s="20"/>
      <c r="AC116" s="22"/>
      <c r="AD116" s="20"/>
      <c r="AE116" s="20"/>
      <c r="AF116" s="20"/>
      <c r="AG116" s="20"/>
      <c r="AH116" s="20"/>
      <c r="AI116" s="20"/>
      <c r="AJ116" s="20"/>
      <c r="AK116" s="20"/>
      <c r="AL116" s="131"/>
      <c r="AM116" s="131"/>
      <c r="AN116" s="131"/>
      <c r="AO116" s="131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34"/>
      <c r="BW116" s="34"/>
    </row>
    <row r="117" spans="1:75" s="42" customFormat="1" ht="18.75" x14ac:dyDescent="0.3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2"/>
      <c r="M117" s="20"/>
      <c r="N117" s="20"/>
      <c r="O117" s="20"/>
      <c r="P117" s="20"/>
      <c r="Q117" s="20"/>
      <c r="R117" s="20"/>
      <c r="S117" s="20"/>
      <c r="T117" s="22"/>
      <c r="U117" s="20"/>
      <c r="V117" s="20"/>
      <c r="W117" s="20"/>
      <c r="X117" s="20"/>
      <c r="Y117" s="20"/>
      <c r="Z117" s="20"/>
      <c r="AA117" s="20"/>
      <c r="AB117" s="20"/>
      <c r="AC117" s="22"/>
      <c r="AD117" s="20"/>
      <c r="AE117" s="20"/>
      <c r="AF117" s="20"/>
      <c r="AG117" s="20"/>
      <c r="AH117" s="20"/>
      <c r="AI117" s="20"/>
      <c r="AJ117" s="20"/>
      <c r="AK117" s="20"/>
      <c r="AL117" s="131"/>
      <c r="AM117" s="131"/>
      <c r="AN117" s="131"/>
      <c r="AO117" s="131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34"/>
      <c r="BW117" s="34"/>
    </row>
    <row r="118" spans="1:75" s="42" customFormat="1" ht="18.75" x14ac:dyDescent="0.3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2"/>
      <c r="M118" s="20"/>
      <c r="N118" s="20"/>
      <c r="O118" s="20"/>
      <c r="P118" s="20"/>
      <c r="Q118" s="20"/>
      <c r="R118" s="20"/>
      <c r="S118" s="20"/>
      <c r="T118" s="22"/>
      <c r="U118" s="20"/>
      <c r="V118" s="20"/>
      <c r="W118" s="20"/>
      <c r="X118" s="20"/>
      <c r="Y118" s="20"/>
      <c r="Z118" s="20"/>
      <c r="AA118" s="20"/>
      <c r="AB118" s="20"/>
      <c r="AC118" s="22"/>
      <c r="AD118" s="20"/>
      <c r="AE118" s="20"/>
      <c r="AF118" s="20"/>
      <c r="AG118" s="20"/>
      <c r="AH118" s="20"/>
      <c r="AI118" s="20"/>
      <c r="AJ118" s="20"/>
      <c r="AK118" s="20"/>
      <c r="AL118" s="131"/>
      <c r="AM118" s="131"/>
      <c r="AN118" s="131"/>
      <c r="AO118" s="131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34"/>
      <c r="BW118" s="34"/>
    </row>
    <row r="119" spans="1:75" s="42" customFormat="1" ht="18.75" x14ac:dyDescent="0.3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2"/>
      <c r="M119" s="20"/>
      <c r="N119" s="20"/>
      <c r="O119" s="20"/>
      <c r="P119" s="20"/>
      <c r="Q119" s="20"/>
      <c r="R119" s="20"/>
      <c r="S119" s="20"/>
      <c r="T119" s="22"/>
      <c r="U119" s="20"/>
      <c r="V119" s="20"/>
      <c r="W119" s="20"/>
      <c r="X119" s="20"/>
      <c r="Y119" s="20"/>
      <c r="Z119" s="20"/>
      <c r="AA119" s="20"/>
      <c r="AB119" s="20"/>
      <c r="AC119" s="22"/>
      <c r="AD119" s="20"/>
      <c r="AE119" s="20"/>
      <c r="AF119" s="20"/>
      <c r="AG119" s="20"/>
      <c r="AH119" s="20"/>
      <c r="AI119" s="20"/>
      <c r="AJ119" s="20"/>
      <c r="AK119" s="20"/>
      <c r="AL119" s="131"/>
      <c r="AM119" s="131"/>
      <c r="AN119" s="131"/>
      <c r="AO119" s="131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34"/>
      <c r="BW119" s="34"/>
    </row>
    <row r="120" spans="1:75" s="42" customFormat="1" ht="18.75" x14ac:dyDescent="0.3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2"/>
      <c r="M120" s="20"/>
      <c r="N120" s="20"/>
      <c r="O120" s="20"/>
      <c r="P120" s="20"/>
      <c r="Q120" s="20"/>
      <c r="R120" s="20"/>
      <c r="S120" s="20"/>
      <c r="T120" s="22"/>
      <c r="U120" s="20"/>
      <c r="V120" s="20"/>
      <c r="W120" s="20"/>
      <c r="X120" s="20"/>
      <c r="Y120" s="20"/>
      <c r="Z120" s="20"/>
      <c r="AA120" s="20"/>
      <c r="AB120" s="20"/>
      <c r="AC120" s="22"/>
      <c r="AD120" s="20"/>
      <c r="AE120" s="20"/>
      <c r="AF120" s="20"/>
      <c r="AG120" s="20"/>
      <c r="AH120" s="20"/>
      <c r="AI120" s="20"/>
      <c r="AJ120" s="20"/>
      <c r="AK120" s="20"/>
      <c r="AL120" s="131"/>
      <c r="AM120" s="131"/>
      <c r="AN120" s="131"/>
      <c r="AO120" s="131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34"/>
      <c r="BW120" s="34"/>
    </row>
    <row r="121" spans="1:75" s="42" customFormat="1" ht="18.75" x14ac:dyDescent="0.3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2"/>
      <c r="M121" s="20"/>
      <c r="N121" s="20"/>
      <c r="O121" s="20"/>
      <c r="P121" s="20"/>
      <c r="Q121" s="20"/>
      <c r="R121" s="20"/>
      <c r="S121" s="20"/>
      <c r="T121" s="22"/>
      <c r="U121" s="20"/>
      <c r="V121" s="20"/>
      <c r="W121" s="20"/>
      <c r="X121" s="20"/>
      <c r="Y121" s="20"/>
      <c r="Z121" s="20"/>
      <c r="AA121" s="20"/>
      <c r="AB121" s="20"/>
      <c r="AC121" s="22"/>
      <c r="AD121" s="20"/>
      <c r="AE121" s="20"/>
      <c r="AF121" s="20"/>
      <c r="AG121" s="20"/>
      <c r="AH121" s="20"/>
      <c r="AI121" s="20"/>
      <c r="AJ121" s="20"/>
      <c r="AK121" s="20"/>
      <c r="AL121" s="131"/>
      <c r="AM121" s="131"/>
      <c r="AN121" s="131"/>
      <c r="AO121" s="131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34"/>
      <c r="BW121" s="34"/>
    </row>
    <row r="122" spans="1:75" s="42" customFormat="1" ht="18.75" x14ac:dyDescent="0.3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2"/>
      <c r="M122" s="20"/>
      <c r="N122" s="20"/>
      <c r="O122" s="20"/>
      <c r="P122" s="20"/>
      <c r="Q122" s="20"/>
      <c r="R122" s="20"/>
      <c r="S122" s="20"/>
      <c r="T122" s="22"/>
      <c r="U122" s="20"/>
      <c r="V122" s="20"/>
      <c r="W122" s="20"/>
      <c r="X122" s="20"/>
      <c r="Y122" s="20"/>
      <c r="Z122" s="20"/>
      <c r="AA122" s="20"/>
      <c r="AB122" s="20"/>
      <c r="AC122" s="22"/>
      <c r="AD122" s="20"/>
      <c r="AE122" s="20"/>
      <c r="AF122" s="20"/>
      <c r="AG122" s="20"/>
      <c r="AH122" s="20"/>
      <c r="AI122" s="20"/>
      <c r="AJ122" s="20"/>
      <c r="AK122" s="20"/>
      <c r="AL122" s="131"/>
      <c r="AM122" s="131"/>
      <c r="AN122" s="131"/>
      <c r="AO122" s="131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34"/>
      <c r="BW122" s="34"/>
    </row>
    <row r="123" spans="1:75" s="42" customFormat="1" ht="18.75" x14ac:dyDescent="0.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2"/>
      <c r="M123" s="20"/>
      <c r="N123" s="20"/>
      <c r="O123" s="20"/>
      <c r="P123" s="20"/>
      <c r="Q123" s="20"/>
      <c r="R123" s="20"/>
      <c r="S123" s="20"/>
      <c r="T123" s="22"/>
      <c r="U123" s="20"/>
      <c r="V123" s="20"/>
      <c r="W123" s="20"/>
      <c r="X123" s="20"/>
      <c r="Y123" s="20"/>
      <c r="Z123" s="20"/>
      <c r="AA123" s="20"/>
      <c r="AB123" s="20"/>
      <c r="AC123" s="22"/>
      <c r="AD123" s="20"/>
      <c r="AE123" s="20"/>
      <c r="AF123" s="20"/>
      <c r="AG123" s="20"/>
      <c r="AH123" s="20"/>
      <c r="AI123" s="20"/>
      <c r="AJ123" s="20"/>
      <c r="AK123" s="20"/>
      <c r="AL123" s="131"/>
      <c r="AM123" s="131"/>
      <c r="AN123" s="131"/>
      <c r="AO123" s="131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34"/>
      <c r="BW123" s="34"/>
    </row>
    <row r="124" spans="1:75" s="42" customFormat="1" ht="18.75" x14ac:dyDescent="0.3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2"/>
      <c r="M124" s="20"/>
      <c r="N124" s="20"/>
      <c r="O124" s="20"/>
      <c r="P124" s="20"/>
      <c r="Q124" s="20"/>
      <c r="R124" s="20"/>
      <c r="S124" s="20"/>
      <c r="T124" s="22"/>
      <c r="U124" s="20"/>
      <c r="V124" s="20"/>
      <c r="W124" s="20"/>
      <c r="X124" s="20"/>
      <c r="Y124" s="20"/>
      <c r="Z124" s="20"/>
      <c r="AA124" s="20"/>
      <c r="AB124" s="20"/>
      <c r="AC124" s="22"/>
      <c r="AD124" s="20"/>
      <c r="AE124" s="20"/>
      <c r="AF124" s="20"/>
      <c r="AG124" s="20"/>
      <c r="AH124" s="20"/>
      <c r="AI124" s="20"/>
      <c r="AJ124" s="20"/>
      <c r="AK124" s="20"/>
      <c r="AL124" s="131"/>
      <c r="AM124" s="131"/>
      <c r="AN124" s="131"/>
      <c r="AO124" s="131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34"/>
      <c r="BW124" s="34"/>
    </row>
    <row r="125" spans="1:75" s="42" customFormat="1" ht="18.75" x14ac:dyDescent="0.3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2"/>
      <c r="M125" s="20"/>
      <c r="N125" s="20"/>
      <c r="O125" s="20"/>
      <c r="P125" s="20"/>
      <c r="Q125" s="20"/>
      <c r="R125" s="20"/>
      <c r="S125" s="20"/>
      <c r="T125" s="22"/>
      <c r="U125" s="20"/>
      <c r="V125" s="20"/>
      <c r="W125" s="20"/>
      <c r="X125" s="20"/>
      <c r="Y125" s="20"/>
      <c r="Z125" s="20"/>
      <c r="AA125" s="20"/>
      <c r="AB125" s="20"/>
      <c r="AC125" s="22"/>
      <c r="AD125" s="20"/>
      <c r="AE125" s="20"/>
      <c r="AF125" s="20"/>
      <c r="AG125" s="20"/>
      <c r="AH125" s="20"/>
      <c r="AI125" s="20"/>
      <c r="AJ125" s="20"/>
      <c r="AK125" s="20"/>
      <c r="AL125" s="131"/>
      <c r="AM125" s="131"/>
      <c r="AN125" s="131"/>
      <c r="AO125" s="131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34"/>
      <c r="BW125" s="34"/>
    </row>
    <row r="126" spans="1:75" s="42" customFormat="1" ht="18.75" x14ac:dyDescent="0.3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2"/>
      <c r="M126" s="20"/>
      <c r="N126" s="20"/>
      <c r="O126" s="20"/>
      <c r="P126" s="20"/>
      <c r="Q126" s="20"/>
      <c r="R126" s="20"/>
      <c r="S126" s="20"/>
      <c r="T126" s="22"/>
      <c r="U126" s="20"/>
      <c r="V126" s="20"/>
      <c r="W126" s="20"/>
      <c r="X126" s="20"/>
      <c r="Y126" s="20"/>
      <c r="Z126" s="20"/>
      <c r="AA126" s="20"/>
      <c r="AB126" s="20"/>
      <c r="AC126" s="22"/>
      <c r="AD126" s="20"/>
      <c r="AE126" s="20"/>
      <c r="AF126" s="20"/>
      <c r="AG126" s="20"/>
      <c r="AH126" s="20"/>
      <c r="AI126" s="20"/>
      <c r="AJ126" s="20"/>
      <c r="AK126" s="20"/>
      <c r="AL126" s="131"/>
      <c r="AM126" s="131"/>
      <c r="AN126" s="131"/>
      <c r="AO126" s="131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34"/>
      <c r="BW126" s="34"/>
    </row>
    <row r="127" spans="1:75" s="42" customFormat="1" ht="18.75" x14ac:dyDescent="0.3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2"/>
      <c r="M127" s="20"/>
      <c r="N127" s="20"/>
      <c r="O127" s="20"/>
      <c r="P127" s="20"/>
      <c r="Q127" s="20"/>
      <c r="R127" s="20"/>
      <c r="S127" s="20"/>
      <c r="T127" s="22"/>
      <c r="U127" s="20"/>
      <c r="V127" s="20"/>
      <c r="W127" s="20"/>
      <c r="X127" s="20"/>
      <c r="Y127" s="20"/>
      <c r="Z127" s="20"/>
      <c r="AA127" s="20"/>
      <c r="AB127" s="20"/>
      <c r="AC127" s="22"/>
      <c r="AD127" s="20"/>
      <c r="AE127" s="20"/>
      <c r="AF127" s="20"/>
      <c r="AG127" s="20"/>
      <c r="AH127" s="20"/>
      <c r="AI127" s="20"/>
      <c r="AJ127" s="20"/>
      <c r="AK127" s="20"/>
      <c r="AL127" s="131"/>
      <c r="AM127" s="131"/>
      <c r="AN127" s="131"/>
      <c r="AO127" s="131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34"/>
      <c r="BW127" s="34"/>
    </row>
    <row r="128" spans="1:75" s="42" customFormat="1" ht="18.75" x14ac:dyDescent="0.3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2"/>
      <c r="M128" s="20"/>
      <c r="N128" s="20"/>
      <c r="O128" s="20"/>
      <c r="P128" s="20"/>
      <c r="Q128" s="20"/>
      <c r="R128" s="20"/>
      <c r="S128" s="20"/>
      <c r="T128" s="22"/>
      <c r="U128" s="20"/>
      <c r="V128" s="20"/>
      <c r="W128" s="20"/>
      <c r="X128" s="20"/>
      <c r="Y128" s="20"/>
      <c r="Z128" s="20"/>
      <c r="AA128" s="20"/>
      <c r="AB128" s="20"/>
      <c r="AC128" s="22"/>
      <c r="AD128" s="20"/>
      <c r="AE128" s="20"/>
      <c r="AF128" s="20"/>
      <c r="AG128" s="20"/>
      <c r="AH128" s="20"/>
      <c r="AI128" s="20"/>
      <c r="AJ128" s="20"/>
      <c r="AK128" s="20"/>
      <c r="AL128" s="131"/>
      <c r="AM128" s="131"/>
      <c r="AN128" s="131"/>
      <c r="AO128" s="131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34"/>
      <c r="BW128" s="34"/>
    </row>
    <row r="129" spans="1:75" s="42" customFormat="1" ht="18.75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2"/>
      <c r="M129" s="20"/>
      <c r="N129" s="20"/>
      <c r="O129" s="20"/>
      <c r="P129" s="20"/>
      <c r="Q129" s="20"/>
      <c r="R129" s="20"/>
      <c r="S129" s="20"/>
      <c r="T129" s="22"/>
      <c r="U129" s="20"/>
      <c r="V129" s="20"/>
      <c r="W129" s="20"/>
      <c r="X129" s="20"/>
      <c r="Y129" s="20"/>
      <c r="Z129" s="20"/>
      <c r="AA129" s="20"/>
      <c r="AB129" s="20"/>
      <c r="AC129" s="22"/>
      <c r="AD129" s="20"/>
      <c r="AE129" s="20"/>
      <c r="AF129" s="20"/>
      <c r="AG129" s="20"/>
      <c r="AH129" s="20"/>
      <c r="AI129" s="20"/>
      <c r="AJ129" s="20"/>
      <c r="AK129" s="20"/>
      <c r="AL129" s="131"/>
      <c r="AM129" s="131"/>
      <c r="AN129" s="131"/>
      <c r="AO129" s="131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34"/>
      <c r="BW129" s="34"/>
    </row>
    <row r="130" spans="1:75" s="42" customFormat="1" ht="18.75" x14ac:dyDescent="0.3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2"/>
      <c r="M130" s="20"/>
      <c r="N130" s="20"/>
      <c r="O130" s="20"/>
      <c r="P130" s="20"/>
      <c r="Q130" s="20"/>
      <c r="R130" s="20"/>
      <c r="S130" s="20"/>
      <c r="T130" s="22"/>
      <c r="U130" s="20"/>
      <c r="V130" s="20"/>
      <c r="W130" s="20"/>
      <c r="X130" s="20"/>
      <c r="Y130" s="20"/>
      <c r="Z130" s="20"/>
      <c r="AA130" s="20"/>
      <c r="AB130" s="20"/>
      <c r="AC130" s="22"/>
      <c r="AD130" s="20"/>
      <c r="AE130" s="20"/>
      <c r="AF130" s="20"/>
      <c r="AG130" s="20"/>
      <c r="AH130" s="20"/>
      <c r="AI130" s="20"/>
      <c r="AJ130" s="20"/>
      <c r="AK130" s="20"/>
      <c r="AL130" s="131"/>
      <c r="AM130" s="131"/>
      <c r="AN130" s="131"/>
      <c r="AO130" s="131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34"/>
      <c r="BW130" s="34"/>
    </row>
    <row r="131" spans="1:75" s="42" customFormat="1" ht="18.75" x14ac:dyDescent="0.3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2"/>
      <c r="M131" s="20"/>
      <c r="N131" s="20"/>
      <c r="O131" s="20"/>
      <c r="P131" s="20"/>
      <c r="Q131" s="20"/>
      <c r="R131" s="20"/>
      <c r="S131" s="20"/>
      <c r="T131" s="22"/>
      <c r="U131" s="20"/>
      <c r="V131" s="20"/>
      <c r="W131" s="20"/>
      <c r="X131" s="20"/>
      <c r="Y131" s="20"/>
      <c r="Z131" s="20"/>
      <c r="AA131" s="20"/>
      <c r="AB131" s="20"/>
      <c r="AC131" s="22"/>
      <c r="AD131" s="20"/>
      <c r="AE131" s="20"/>
      <c r="AF131" s="20"/>
      <c r="AG131" s="20"/>
      <c r="AH131" s="20"/>
      <c r="AI131" s="20"/>
      <c r="AJ131" s="20"/>
      <c r="AK131" s="20"/>
      <c r="AL131" s="131"/>
      <c r="AM131" s="131"/>
      <c r="AN131" s="131"/>
      <c r="AO131" s="131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34"/>
      <c r="BW131" s="34"/>
    </row>
    <row r="132" spans="1:75" s="42" customFormat="1" ht="18.75" x14ac:dyDescent="0.3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2"/>
      <c r="M132" s="20"/>
      <c r="N132" s="20"/>
      <c r="O132" s="20"/>
      <c r="P132" s="20"/>
      <c r="Q132" s="20"/>
      <c r="R132" s="20"/>
      <c r="S132" s="20"/>
      <c r="T132" s="22"/>
      <c r="U132" s="20"/>
      <c r="V132" s="20"/>
      <c r="W132" s="20"/>
      <c r="X132" s="20"/>
      <c r="Y132" s="20"/>
      <c r="Z132" s="20"/>
      <c r="AA132" s="20"/>
      <c r="AB132" s="20"/>
      <c r="AC132" s="22"/>
      <c r="AD132" s="20"/>
      <c r="AE132" s="20"/>
      <c r="AF132" s="20"/>
      <c r="AG132" s="20"/>
      <c r="AH132" s="20"/>
      <c r="AI132" s="20"/>
      <c r="AJ132" s="20"/>
      <c r="AK132" s="20"/>
      <c r="AL132" s="131"/>
      <c r="AM132" s="131"/>
      <c r="AN132" s="131"/>
      <c r="AO132" s="131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34"/>
      <c r="BW132" s="34"/>
    </row>
    <row r="133" spans="1:75" s="42" customFormat="1" ht="18.75" x14ac:dyDescent="0.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2"/>
      <c r="M133" s="20"/>
      <c r="N133" s="20"/>
      <c r="O133" s="20"/>
      <c r="P133" s="20"/>
      <c r="Q133" s="20"/>
      <c r="R133" s="20"/>
      <c r="S133" s="20"/>
      <c r="T133" s="22"/>
      <c r="U133" s="20"/>
      <c r="V133" s="20"/>
      <c r="W133" s="20"/>
      <c r="X133" s="20"/>
      <c r="Y133" s="20"/>
      <c r="Z133" s="20"/>
      <c r="AA133" s="20"/>
      <c r="AB133" s="20"/>
      <c r="AC133" s="22"/>
      <c r="AD133" s="20"/>
      <c r="AE133" s="20"/>
      <c r="AF133" s="20"/>
      <c r="AG133" s="20"/>
      <c r="AH133" s="20"/>
      <c r="AI133" s="20"/>
      <c r="AJ133" s="20"/>
      <c r="AK133" s="20"/>
      <c r="AL133" s="131"/>
      <c r="AM133" s="131"/>
      <c r="AN133" s="131"/>
      <c r="AO133" s="131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34"/>
      <c r="BW133" s="34"/>
    </row>
    <row r="134" spans="1:75" s="42" customFormat="1" ht="18.75" x14ac:dyDescent="0.3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2"/>
      <c r="M134" s="20"/>
      <c r="N134" s="20"/>
      <c r="O134" s="20"/>
      <c r="P134" s="20"/>
      <c r="Q134" s="20"/>
      <c r="R134" s="20"/>
      <c r="S134" s="20"/>
      <c r="T134" s="22"/>
      <c r="U134" s="20"/>
      <c r="V134" s="20"/>
      <c r="W134" s="20"/>
      <c r="X134" s="20"/>
      <c r="Y134" s="20"/>
      <c r="Z134" s="20"/>
      <c r="AA134" s="20"/>
      <c r="AB134" s="20"/>
      <c r="AC134" s="22"/>
      <c r="AD134" s="20"/>
      <c r="AE134" s="20"/>
      <c r="AF134" s="20"/>
      <c r="AG134" s="20"/>
      <c r="AH134" s="20"/>
      <c r="AI134" s="20"/>
      <c r="AJ134" s="20"/>
      <c r="AK134" s="20"/>
      <c r="AL134" s="131"/>
      <c r="AM134" s="131"/>
      <c r="AN134" s="131"/>
      <c r="AO134" s="131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34"/>
      <c r="BW134" s="34"/>
    </row>
    <row r="135" spans="1:75" s="42" customFormat="1" ht="18.75" x14ac:dyDescent="0.3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2"/>
      <c r="M135" s="20"/>
      <c r="N135" s="20"/>
      <c r="O135" s="20"/>
      <c r="P135" s="20"/>
      <c r="Q135" s="20"/>
      <c r="R135" s="20"/>
      <c r="S135" s="20"/>
      <c r="T135" s="22"/>
      <c r="U135" s="20"/>
      <c r="V135" s="20"/>
      <c r="W135" s="20"/>
      <c r="X135" s="20"/>
      <c r="Y135" s="20"/>
      <c r="Z135" s="20"/>
      <c r="AA135" s="20"/>
      <c r="AB135" s="20"/>
      <c r="AC135" s="22"/>
      <c r="AD135" s="20"/>
      <c r="AE135" s="20"/>
      <c r="AF135" s="20"/>
      <c r="AG135" s="20"/>
      <c r="AH135" s="20"/>
      <c r="AI135" s="20"/>
      <c r="AJ135" s="20"/>
      <c r="AK135" s="20"/>
      <c r="AL135" s="131"/>
      <c r="AM135" s="131"/>
      <c r="AN135" s="131"/>
      <c r="AO135" s="131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34"/>
      <c r="BW135" s="34"/>
    </row>
    <row r="136" spans="1:75" s="42" customFormat="1" ht="18.75" x14ac:dyDescent="0.3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2"/>
      <c r="M136" s="20"/>
      <c r="N136" s="20"/>
      <c r="O136" s="20"/>
      <c r="P136" s="20"/>
      <c r="Q136" s="20"/>
      <c r="R136" s="20"/>
      <c r="S136" s="20"/>
      <c r="T136" s="22"/>
      <c r="U136" s="20"/>
      <c r="V136" s="20"/>
      <c r="W136" s="20"/>
      <c r="X136" s="20"/>
      <c r="Y136" s="20"/>
      <c r="Z136" s="20"/>
      <c r="AA136" s="20"/>
      <c r="AB136" s="20"/>
      <c r="AC136" s="22"/>
      <c r="AD136" s="20"/>
      <c r="AE136" s="20"/>
      <c r="AF136" s="20"/>
      <c r="AG136" s="20"/>
      <c r="AH136" s="20"/>
      <c r="AI136" s="20"/>
      <c r="AJ136" s="20"/>
      <c r="AK136" s="20"/>
      <c r="AL136" s="131"/>
      <c r="AM136" s="131"/>
      <c r="AN136" s="131"/>
      <c r="AO136" s="131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34"/>
      <c r="BW136" s="34"/>
    </row>
    <row r="137" spans="1:75" s="42" customFormat="1" ht="18.75" x14ac:dyDescent="0.3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2"/>
      <c r="M137" s="20"/>
      <c r="N137" s="20"/>
      <c r="O137" s="20"/>
      <c r="P137" s="20"/>
      <c r="Q137" s="20"/>
      <c r="R137" s="20"/>
      <c r="S137" s="20"/>
      <c r="T137" s="22"/>
      <c r="U137" s="20"/>
      <c r="V137" s="20"/>
      <c r="W137" s="20"/>
      <c r="X137" s="20"/>
      <c r="Y137" s="20"/>
      <c r="Z137" s="20"/>
      <c r="AA137" s="20"/>
      <c r="AB137" s="20"/>
      <c r="AC137" s="22"/>
      <c r="AD137" s="20"/>
      <c r="AE137" s="20"/>
      <c r="AF137" s="20"/>
      <c r="AG137" s="20"/>
      <c r="AH137" s="20"/>
      <c r="AI137" s="20"/>
      <c r="AJ137" s="20"/>
      <c r="AK137" s="20"/>
      <c r="AL137" s="131"/>
      <c r="AM137" s="131"/>
      <c r="AN137" s="131"/>
      <c r="AO137" s="131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34"/>
      <c r="BW137" s="34"/>
    </row>
    <row r="138" spans="1:75" s="42" customFormat="1" ht="18.75" x14ac:dyDescent="0.3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2"/>
      <c r="M138" s="20"/>
      <c r="N138" s="20"/>
      <c r="O138" s="20"/>
      <c r="P138" s="20"/>
      <c r="Q138" s="20"/>
      <c r="R138" s="20"/>
      <c r="S138" s="20"/>
      <c r="T138" s="22"/>
      <c r="U138" s="20"/>
      <c r="V138" s="20"/>
      <c r="W138" s="20"/>
      <c r="X138" s="20"/>
      <c r="Y138" s="20"/>
      <c r="Z138" s="20"/>
      <c r="AA138" s="20"/>
      <c r="AB138" s="20"/>
      <c r="AC138" s="22"/>
      <c r="AD138" s="20"/>
      <c r="AE138" s="20"/>
      <c r="AF138" s="20"/>
      <c r="AG138" s="20"/>
      <c r="AH138" s="20"/>
      <c r="AI138" s="20"/>
      <c r="AJ138" s="20"/>
      <c r="AK138" s="20"/>
      <c r="AL138" s="131"/>
      <c r="AM138" s="131"/>
      <c r="AN138" s="131"/>
      <c r="AO138" s="131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34"/>
      <c r="BW138" s="34"/>
    </row>
    <row r="139" spans="1:75" s="42" customFormat="1" ht="18.75" x14ac:dyDescent="0.3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2"/>
      <c r="M139" s="20"/>
      <c r="N139" s="20"/>
      <c r="O139" s="20"/>
      <c r="P139" s="20"/>
      <c r="Q139" s="20"/>
      <c r="R139" s="20"/>
      <c r="S139" s="20"/>
      <c r="T139" s="22"/>
      <c r="U139" s="20"/>
      <c r="V139" s="20"/>
      <c r="W139" s="20"/>
      <c r="X139" s="20"/>
      <c r="Y139" s="20"/>
      <c r="Z139" s="20"/>
      <c r="AA139" s="20"/>
      <c r="AB139" s="20"/>
      <c r="AC139" s="22"/>
      <c r="AD139" s="20"/>
      <c r="AE139" s="20"/>
      <c r="AF139" s="20"/>
      <c r="AG139" s="20"/>
      <c r="AH139" s="20"/>
      <c r="AI139" s="20"/>
      <c r="AJ139" s="20"/>
      <c r="AK139" s="20"/>
      <c r="AL139" s="131"/>
      <c r="AM139" s="131"/>
      <c r="AN139" s="131"/>
      <c r="AO139" s="131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34"/>
      <c r="BW139" s="34"/>
    </row>
    <row r="140" spans="1:75" s="42" customFormat="1" ht="18.75" x14ac:dyDescent="0.3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2"/>
      <c r="M140" s="20"/>
      <c r="N140" s="20"/>
      <c r="O140" s="20"/>
      <c r="P140" s="20"/>
      <c r="Q140" s="20"/>
      <c r="R140" s="20"/>
      <c r="S140" s="20"/>
      <c r="T140" s="22"/>
      <c r="U140" s="20"/>
      <c r="V140" s="20"/>
      <c r="W140" s="20"/>
      <c r="X140" s="20"/>
      <c r="Y140" s="20"/>
      <c r="Z140" s="20"/>
      <c r="AA140" s="20"/>
      <c r="AB140" s="20"/>
      <c r="AC140" s="22"/>
      <c r="AD140" s="20"/>
      <c r="AE140" s="20"/>
      <c r="AF140" s="20"/>
      <c r="AG140" s="20"/>
      <c r="AH140" s="20"/>
      <c r="AI140" s="20"/>
      <c r="AJ140" s="20"/>
      <c r="AK140" s="20"/>
      <c r="AL140" s="131"/>
      <c r="AM140" s="131"/>
      <c r="AN140" s="131"/>
      <c r="AO140" s="131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34"/>
      <c r="BW140" s="34"/>
    </row>
    <row r="141" spans="1:75" s="42" customFormat="1" ht="18.75" x14ac:dyDescent="0.3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2"/>
      <c r="M141" s="20"/>
      <c r="N141" s="20"/>
      <c r="O141" s="20"/>
      <c r="P141" s="20"/>
      <c r="Q141" s="20"/>
      <c r="R141" s="20"/>
      <c r="S141" s="20"/>
      <c r="T141" s="22"/>
      <c r="U141" s="20"/>
      <c r="V141" s="20"/>
      <c r="W141" s="20"/>
      <c r="X141" s="20"/>
      <c r="Y141" s="20"/>
      <c r="Z141" s="20"/>
      <c r="AA141" s="20"/>
      <c r="AB141" s="20"/>
      <c r="AC141" s="22"/>
      <c r="AD141" s="20"/>
      <c r="AE141" s="20"/>
      <c r="AF141" s="20"/>
      <c r="AG141" s="20"/>
      <c r="AH141" s="20"/>
      <c r="AI141" s="20"/>
      <c r="AJ141" s="20"/>
      <c r="AK141" s="20"/>
      <c r="AL141" s="131"/>
      <c r="AM141" s="131"/>
      <c r="AN141" s="131"/>
      <c r="AO141" s="131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34"/>
      <c r="BW141" s="34"/>
    </row>
    <row r="142" spans="1:75" s="42" customFormat="1" ht="18.75" x14ac:dyDescent="0.3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2"/>
      <c r="M142" s="20"/>
      <c r="N142" s="20"/>
      <c r="O142" s="20"/>
      <c r="P142" s="20"/>
      <c r="Q142" s="20"/>
      <c r="R142" s="20"/>
      <c r="S142" s="20"/>
      <c r="T142" s="22"/>
      <c r="U142" s="20"/>
      <c r="V142" s="20"/>
      <c r="W142" s="20"/>
      <c r="X142" s="20"/>
      <c r="Y142" s="20"/>
      <c r="Z142" s="20"/>
      <c r="AA142" s="20"/>
      <c r="AB142" s="20"/>
      <c r="AC142" s="22"/>
      <c r="AD142" s="20"/>
      <c r="AE142" s="20"/>
      <c r="AF142" s="20"/>
      <c r="AG142" s="20"/>
      <c r="AH142" s="20"/>
      <c r="AI142" s="20"/>
      <c r="AJ142" s="20"/>
      <c r="AK142" s="20"/>
      <c r="AL142" s="131"/>
      <c r="AM142" s="131"/>
      <c r="AN142" s="131"/>
      <c r="AO142" s="131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34"/>
      <c r="BW142" s="34"/>
    </row>
    <row r="143" spans="1:75" s="42" customFormat="1" ht="18.75" x14ac:dyDescent="0.3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2"/>
      <c r="M143" s="20"/>
      <c r="N143" s="20"/>
      <c r="O143" s="20"/>
      <c r="P143" s="20"/>
      <c r="Q143" s="20"/>
      <c r="R143" s="20"/>
      <c r="S143" s="20"/>
      <c r="T143" s="22"/>
      <c r="U143" s="20"/>
      <c r="V143" s="20"/>
      <c r="W143" s="20"/>
      <c r="X143" s="20"/>
      <c r="Y143" s="20"/>
      <c r="Z143" s="20"/>
      <c r="AA143" s="20"/>
      <c r="AB143" s="20"/>
      <c r="AC143" s="22"/>
      <c r="AD143" s="20"/>
      <c r="AE143" s="20"/>
      <c r="AF143" s="20"/>
      <c r="AG143" s="20"/>
      <c r="AH143" s="20"/>
      <c r="AI143" s="20"/>
      <c r="AJ143" s="20"/>
      <c r="AK143" s="20"/>
      <c r="AL143" s="131"/>
      <c r="AM143" s="131"/>
      <c r="AN143" s="131"/>
      <c r="AO143" s="131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34"/>
      <c r="BW143" s="34"/>
    </row>
    <row r="144" spans="1:75" s="42" customFormat="1" ht="18.75" x14ac:dyDescent="0.3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2"/>
      <c r="M144" s="20"/>
      <c r="N144" s="20"/>
      <c r="O144" s="20"/>
      <c r="P144" s="20"/>
      <c r="Q144" s="20"/>
      <c r="R144" s="20"/>
      <c r="S144" s="20"/>
      <c r="T144" s="22"/>
      <c r="U144" s="20"/>
      <c r="V144" s="20"/>
      <c r="W144" s="20"/>
      <c r="X144" s="20"/>
      <c r="Y144" s="20"/>
      <c r="Z144" s="20"/>
      <c r="AA144" s="20"/>
      <c r="AB144" s="20"/>
      <c r="AC144" s="22"/>
      <c r="AD144" s="20"/>
      <c r="AE144" s="20"/>
      <c r="AF144" s="20"/>
      <c r="AG144" s="20"/>
      <c r="AH144" s="20"/>
      <c r="AI144" s="20"/>
      <c r="AJ144" s="20"/>
      <c r="AK144" s="20"/>
      <c r="AL144" s="131"/>
      <c r="AM144" s="131"/>
      <c r="AN144" s="131"/>
      <c r="AO144" s="131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34"/>
      <c r="BW144" s="34"/>
    </row>
    <row r="145" spans="1:75" s="42" customFormat="1" ht="18.75" x14ac:dyDescent="0.3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2"/>
      <c r="M145" s="20"/>
      <c r="N145" s="20"/>
      <c r="O145" s="20"/>
      <c r="P145" s="20"/>
      <c r="Q145" s="20"/>
      <c r="R145" s="20"/>
      <c r="S145" s="20"/>
      <c r="T145" s="22"/>
      <c r="U145" s="20"/>
      <c r="V145" s="20"/>
      <c r="W145" s="20"/>
      <c r="X145" s="20"/>
      <c r="Y145" s="20"/>
      <c r="Z145" s="20"/>
      <c r="AA145" s="20"/>
      <c r="AB145" s="20"/>
      <c r="AC145" s="22"/>
      <c r="AD145" s="20"/>
      <c r="AE145" s="20"/>
      <c r="AF145" s="20"/>
      <c r="AG145" s="20"/>
      <c r="AH145" s="20"/>
      <c r="AI145" s="20"/>
      <c r="AJ145" s="20"/>
      <c r="AK145" s="20"/>
      <c r="AL145" s="131"/>
      <c r="AM145" s="131"/>
      <c r="AN145" s="131"/>
      <c r="AO145" s="131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34"/>
      <c r="BW145" s="34"/>
    </row>
    <row r="146" spans="1:75" s="42" customFormat="1" ht="18.75" x14ac:dyDescent="0.3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2"/>
      <c r="M146" s="20"/>
      <c r="N146" s="20"/>
      <c r="O146" s="20"/>
      <c r="P146" s="20"/>
      <c r="Q146" s="20"/>
      <c r="R146" s="20"/>
      <c r="S146" s="20"/>
      <c r="T146" s="22"/>
      <c r="U146" s="20"/>
      <c r="V146" s="20"/>
      <c r="W146" s="20"/>
      <c r="X146" s="20"/>
      <c r="Y146" s="20"/>
      <c r="Z146" s="20"/>
      <c r="AA146" s="20"/>
      <c r="AB146" s="20"/>
      <c r="AC146" s="22"/>
      <c r="AD146" s="20"/>
      <c r="AE146" s="20"/>
      <c r="AF146" s="20"/>
      <c r="AG146" s="20"/>
      <c r="AH146" s="20"/>
      <c r="AI146" s="20"/>
      <c r="AJ146" s="20"/>
      <c r="AK146" s="20"/>
      <c r="AL146" s="131"/>
      <c r="AM146" s="131"/>
      <c r="AN146" s="131"/>
      <c r="AO146" s="131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34"/>
      <c r="BW146" s="34"/>
    </row>
    <row r="147" spans="1:75" s="42" customFormat="1" ht="18.75" x14ac:dyDescent="0.3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2"/>
      <c r="M147" s="20"/>
      <c r="N147" s="20"/>
      <c r="O147" s="20"/>
      <c r="P147" s="20"/>
      <c r="Q147" s="20"/>
      <c r="R147" s="20"/>
      <c r="S147" s="20"/>
      <c r="T147" s="22"/>
      <c r="U147" s="20"/>
      <c r="V147" s="20"/>
      <c r="W147" s="20"/>
      <c r="X147" s="20"/>
      <c r="Y147" s="20"/>
      <c r="Z147" s="20"/>
      <c r="AA147" s="20"/>
      <c r="AB147" s="20"/>
      <c r="AC147" s="22"/>
      <c r="AD147" s="20"/>
      <c r="AE147" s="20"/>
      <c r="AF147" s="20"/>
      <c r="AG147" s="20"/>
      <c r="AH147" s="20"/>
      <c r="AI147" s="20"/>
      <c r="AJ147" s="20"/>
      <c r="AK147" s="20"/>
      <c r="AL147" s="131"/>
      <c r="AM147" s="131"/>
      <c r="AN147" s="131"/>
      <c r="AO147" s="131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34"/>
      <c r="BW147" s="34"/>
    </row>
    <row r="148" spans="1:75" s="42" customFormat="1" ht="18.75" x14ac:dyDescent="0.3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2"/>
      <c r="M148" s="20"/>
      <c r="N148" s="20"/>
      <c r="O148" s="20"/>
      <c r="P148" s="20"/>
      <c r="Q148" s="20"/>
      <c r="R148" s="20"/>
      <c r="S148" s="20"/>
      <c r="T148" s="22"/>
      <c r="U148" s="20"/>
      <c r="V148" s="20"/>
      <c r="W148" s="20"/>
      <c r="X148" s="20"/>
      <c r="Y148" s="20"/>
      <c r="Z148" s="20"/>
      <c r="AA148" s="20"/>
      <c r="AB148" s="20"/>
      <c r="AC148" s="22"/>
      <c r="AD148" s="20"/>
      <c r="AE148" s="20"/>
      <c r="AF148" s="20"/>
      <c r="AG148" s="20"/>
      <c r="AH148" s="20"/>
      <c r="AI148" s="20"/>
      <c r="AJ148" s="20"/>
      <c r="AK148" s="20"/>
      <c r="AL148" s="131"/>
      <c r="AM148" s="131"/>
      <c r="AN148" s="131"/>
      <c r="AO148" s="131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34"/>
      <c r="BW148" s="34"/>
    </row>
    <row r="149" spans="1:75" s="42" customFormat="1" ht="18.75" x14ac:dyDescent="0.3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2"/>
      <c r="M149" s="20"/>
      <c r="N149" s="20"/>
      <c r="O149" s="20"/>
      <c r="P149" s="20"/>
      <c r="Q149" s="20"/>
      <c r="R149" s="20"/>
      <c r="S149" s="20"/>
      <c r="T149" s="22"/>
      <c r="U149" s="20"/>
      <c r="V149" s="20"/>
      <c r="W149" s="20"/>
      <c r="X149" s="20"/>
      <c r="Y149" s="20"/>
      <c r="Z149" s="20"/>
      <c r="AA149" s="20"/>
      <c r="AB149" s="20"/>
      <c r="AC149" s="22"/>
      <c r="AD149" s="20"/>
      <c r="AE149" s="20"/>
      <c r="AF149" s="20"/>
      <c r="AG149" s="20"/>
      <c r="AH149" s="20"/>
      <c r="AI149" s="20"/>
      <c r="AJ149" s="20"/>
      <c r="AK149" s="20"/>
      <c r="AL149" s="131"/>
      <c r="AM149" s="131"/>
      <c r="AN149" s="131"/>
      <c r="AO149" s="131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34"/>
      <c r="BW149" s="34"/>
    </row>
    <row r="150" spans="1:75" s="42" customFormat="1" ht="18.75" x14ac:dyDescent="0.3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2"/>
      <c r="M150" s="20"/>
      <c r="N150" s="20"/>
      <c r="O150" s="20"/>
      <c r="P150" s="20"/>
      <c r="Q150" s="20"/>
      <c r="R150" s="20"/>
      <c r="S150" s="20"/>
      <c r="T150" s="22"/>
      <c r="U150" s="20"/>
      <c r="V150" s="20"/>
      <c r="W150" s="20"/>
      <c r="X150" s="20"/>
      <c r="Y150" s="20"/>
      <c r="Z150" s="20"/>
      <c r="AA150" s="20"/>
      <c r="AB150" s="20"/>
      <c r="AC150" s="22"/>
      <c r="AD150" s="20"/>
      <c r="AE150" s="20"/>
      <c r="AF150" s="20"/>
      <c r="AG150" s="20"/>
      <c r="AH150" s="20"/>
      <c r="AI150" s="20"/>
      <c r="AJ150" s="20"/>
      <c r="AK150" s="20"/>
      <c r="AL150" s="131"/>
      <c r="AM150" s="131"/>
      <c r="AN150" s="131"/>
      <c r="AO150" s="131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34"/>
      <c r="BW150" s="34"/>
    </row>
    <row r="151" spans="1:75" s="42" customFormat="1" ht="18.75" x14ac:dyDescent="0.3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2"/>
      <c r="M151" s="20"/>
      <c r="N151" s="20"/>
      <c r="O151" s="20"/>
      <c r="P151" s="20"/>
      <c r="Q151" s="20"/>
      <c r="R151" s="20"/>
      <c r="S151" s="20"/>
      <c r="T151" s="22"/>
      <c r="U151" s="20"/>
      <c r="V151" s="20"/>
      <c r="W151" s="20"/>
      <c r="X151" s="20"/>
      <c r="Y151" s="20"/>
      <c r="Z151" s="20"/>
      <c r="AA151" s="20"/>
      <c r="AB151" s="20"/>
      <c r="AC151" s="22"/>
      <c r="AD151" s="20"/>
      <c r="AE151" s="20"/>
      <c r="AF151" s="20"/>
      <c r="AG151" s="20"/>
      <c r="AH151" s="20"/>
      <c r="AI151" s="20"/>
      <c r="AJ151" s="20"/>
      <c r="AK151" s="20"/>
      <c r="AL151" s="131"/>
      <c r="AM151" s="131"/>
      <c r="AN151" s="131"/>
      <c r="AO151" s="131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34"/>
      <c r="BW151" s="34"/>
    </row>
    <row r="152" spans="1:75" s="42" customFormat="1" ht="18.75" x14ac:dyDescent="0.3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2"/>
      <c r="M152" s="20"/>
      <c r="N152" s="20"/>
      <c r="O152" s="20"/>
      <c r="P152" s="20"/>
      <c r="Q152" s="20"/>
      <c r="R152" s="20"/>
      <c r="S152" s="20"/>
      <c r="T152" s="22"/>
      <c r="U152" s="20"/>
      <c r="V152" s="20"/>
      <c r="W152" s="20"/>
      <c r="X152" s="20"/>
      <c r="Y152" s="20"/>
      <c r="Z152" s="20"/>
      <c r="AA152" s="20"/>
      <c r="AB152" s="20"/>
      <c r="AC152" s="22"/>
      <c r="AD152" s="20"/>
      <c r="AE152" s="20"/>
      <c r="AF152" s="20"/>
      <c r="AG152" s="20"/>
      <c r="AH152" s="20"/>
      <c r="AI152" s="20"/>
      <c r="AJ152" s="20"/>
      <c r="AK152" s="20"/>
      <c r="AL152" s="131"/>
      <c r="AM152" s="131"/>
      <c r="AN152" s="131"/>
      <c r="AO152" s="131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34"/>
      <c r="BW152" s="34"/>
    </row>
    <row r="153" spans="1:75" s="42" customFormat="1" ht="18.75" x14ac:dyDescent="0.3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2"/>
      <c r="M153" s="20"/>
      <c r="N153" s="20"/>
      <c r="O153" s="20"/>
      <c r="P153" s="20"/>
      <c r="Q153" s="20"/>
      <c r="R153" s="20"/>
      <c r="S153" s="20"/>
      <c r="T153" s="22"/>
      <c r="U153" s="20"/>
      <c r="V153" s="20"/>
      <c r="W153" s="20"/>
      <c r="X153" s="20"/>
      <c r="Y153" s="20"/>
      <c r="Z153" s="20"/>
      <c r="AA153" s="20"/>
      <c r="AB153" s="20"/>
      <c r="AC153" s="22"/>
      <c r="AD153" s="20"/>
      <c r="AE153" s="20"/>
      <c r="AF153" s="20"/>
      <c r="AG153" s="20"/>
      <c r="AH153" s="20"/>
      <c r="AI153" s="20"/>
      <c r="AJ153" s="20"/>
      <c r="AK153" s="20"/>
      <c r="AL153" s="131"/>
      <c r="AM153" s="131"/>
      <c r="AN153" s="131"/>
      <c r="AO153" s="131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34"/>
      <c r="BW153" s="34"/>
    </row>
    <row r="154" spans="1:75" s="42" customFormat="1" ht="18.75" x14ac:dyDescent="0.3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2"/>
      <c r="M154" s="20"/>
      <c r="N154" s="20"/>
      <c r="O154" s="20"/>
      <c r="P154" s="20"/>
      <c r="Q154" s="20"/>
      <c r="R154" s="20"/>
      <c r="S154" s="20"/>
      <c r="T154" s="22"/>
      <c r="U154" s="20"/>
      <c r="V154" s="20"/>
      <c r="W154" s="20"/>
      <c r="X154" s="20"/>
      <c r="Y154" s="20"/>
      <c r="Z154" s="20"/>
      <c r="AA154" s="20"/>
      <c r="AB154" s="20"/>
      <c r="AC154" s="22"/>
      <c r="AD154" s="20"/>
      <c r="AE154" s="20"/>
      <c r="AF154" s="20"/>
      <c r="AG154" s="20"/>
      <c r="AH154" s="20"/>
      <c r="AI154" s="20"/>
      <c r="AJ154" s="20"/>
      <c r="AK154" s="20"/>
      <c r="AL154" s="131"/>
      <c r="AM154" s="131"/>
      <c r="AN154" s="131"/>
      <c r="AO154" s="131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34"/>
      <c r="BW154" s="34"/>
    </row>
    <row r="155" spans="1:75" s="42" customFormat="1" ht="18.75" x14ac:dyDescent="0.3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2"/>
      <c r="M155" s="20"/>
      <c r="N155" s="20"/>
      <c r="O155" s="20"/>
      <c r="P155" s="20"/>
      <c r="Q155" s="20"/>
      <c r="R155" s="20"/>
      <c r="S155" s="20"/>
      <c r="T155" s="22"/>
      <c r="U155" s="20"/>
      <c r="V155" s="20"/>
      <c r="W155" s="20"/>
      <c r="X155" s="20"/>
      <c r="Y155" s="20"/>
      <c r="Z155" s="20"/>
      <c r="AA155" s="20"/>
      <c r="AB155" s="20"/>
      <c r="AC155" s="22"/>
      <c r="AD155" s="20"/>
      <c r="AE155" s="20"/>
      <c r="AF155" s="20"/>
      <c r="AG155" s="20"/>
      <c r="AH155" s="20"/>
      <c r="AI155" s="20"/>
      <c r="AJ155" s="20"/>
      <c r="AK155" s="20"/>
      <c r="AL155" s="131"/>
      <c r="AM155" s="131"/>
      <c r="AN155" s="131"/>
      <c r="AO155" s="131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34"/>
      <c r="BW155" s="34"/>
    </row>
    <row r="156" spans="1:75" s="42" customFormat="1" ht="18.75" x14ac:dyDescent="0.3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2"/>
      <c r="M156" s="20"/>
      <c r="N156" s="20"/>
      <c r="O156" s="20"/>
      <c r="P156" s="20"/>
      <c r="Q156" s="20"/>
      <c r="R156" s="20"/>
      <c r="S156" s="20"/>
      <c r="T156" s="22"/>
      <c r="U156" s="20"/>
      <c r="V156" s="20"/>
      <c r="W156" s="20"/>
      <c r="X156" s="20"/>
      <c r="Y156" s="20"/>
      <c r="Z156" s="20"/>
      <c r="AA156" s="20"/>
      <c r="AB156" s="20"/>
      <c r="AC156" s="22"/>
      <c r="AD156" s="20"/>
      <c r="AE156" s="20"/>
      <c r="AF156" s="20"/>
      <c r="AG156" s="20"/>
      <c r="AH156" s="20"/>
      <c r="AI156" s="20"/>
      <c r="AJ156" s="20"/>
      <c r="AK156" s="20"/>
      <c r="AL156" s="131"/>
      <c r="AM156" s="131"/>
      <c r="AN156" s="131"/>
      <c r="AO156" s="131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34"/>
      <c r="BW156" s="34"/>
    </row>
    <row r="157" spans="1:75" s="42" customFormat="1" ht="18.75" x14ac:dyDescent="0.3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2"/>
      <c r="M157" s="20"/>
      <c r="N157" s="20"/>
      <c r="O157" s="20"/>
      <c r="P157" s="20"/>
      <c r="Q157" s="20"/>
      <c r="R157" s="20"/>
      <c r="S157" s="20"/>
      <c r="T157" s="22"/>
      <c r="U157" s="20"/>
      <c r="V157" s="20"/>
      <c r="W157" s="20"/>
      <c r="X157" s="20"/>
      <c r="Y157" s="20"/>
      <c r="Z157" s="20"/>
      <c r="AA157" s="20"/>
      <c r="AB157" s="20"/>
      <c r="AC157" s="22"/>
      <c r="AD157" s="20"/>
      <c r="AE157" s="20"/>
      <c r="AF157" s="20"/>
      <c r="AG157" s="20"/>
      <c r="AH157" s="20"/>
      <c r="AI157" s="20"/>
      <c r="AJ157" s="20"/>
      <c r="AK157" s="20"/>
      <c r="AL157" s="131"/>
      <c r="AM157" s="131"/>
      <c r="AN157" s="131"/>
      <c r="AO157" s="131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34"/>
      <c r="BW157" s="34"/>
    </row>
    <row r="158" spans="1:75" s="42" customFormat="1" ht="18.75" x14ac:dyDescent="0.3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2"/>
      <c r="M158" s="20"/>
      <c r="N158" s="20"/>
      <c r="O158" s="20"/>
      <c r="P158" s="20"/>
      <c r="Q158" s="20"/>
      <c r="R158" s="20"/>
      <c r="S158" s="20"/>
      <c r="T158" s="22"/>
      <c r="U158" s="20"/>
      <c r="V158" s="20"/>
      <c r="W158" s="20"/>
      <c r="X158" s="20"/>
      <c r="Y158" s="20"/>
      <c r="Z158" s="20"/>
      <c r="AA158" s="20"/>
      <c r="AB158" s="20"/>
      <c r="AC158" s="22"/>
      <c r="AD158" s="20"/>
      <c r="AE158" s="20"/>
      <c r="AF158" s="20"/>
      <c r="AG158" s="20"/>
      <c r="AH158" s="20"/>
      <c r="AI158" s="20"/>
      <c r="AJ158" s="20"/>
      <c r="AK158" s="20"/>
      <c r="AL158" s="131"/>
      <c r="AM158" s="131"/>
      <c r="AN158" s="131"/>
      <c r="AO158" s="131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34"/>
      <c r="BW158" s="34"/>
    </row>
    <row r="159" spans="1:75" s="42" customFormat="1" ht="18.75" x14ac:dyDescent="0.3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2"/>
      <c r="M159" s="20"/>
      <c r="N159" s="20"/>
      <c r="O159" s="20"/>
      <c r="P159" s="20"/>
      <c r="Q159" s="20"/>
      <c r="R159" s="20"/>
      <c r="S159" s="20"/>
      <c r="T159" s="22"/>
      <c r="U159" s="20"/>
      <c r="V159" s="20"/>
      <c r="W159" s="20"/>
      <c r="X159" s="20"/>
      <c r="Y159" s="20"/>
      <c r="Z159" s="20"/>
      <c r="AA159" s="20"/>
      <c r="AB159" s="20"/>
      <c r="AC159" s="22"/>
      <c r="AD159" s="20"/>
      <c r="AE159" s="20"/>
      <c r="AF159" s="20"/>
      <c r="AG159" s="20"/>
      <c r="AH159" s="20"/>
      <c r="AI159" s="20"/>
      <c r="AJ159" s="20"/>
      <c r="AK159" s="20"/>
      <c r="AL159" s="131"/>
      <c r="AM159" s="131"/>
      <c r="AN159" s="131"/>
      <c r="AO159" s="131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34"/>
      <c r="BW159" s="34"/>
    </row>
    <row r="160" spans="1:75" s="42" customFormat="1" ht="18.75" x14ac:dyDescent="0.3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2"/>
      <c r="M160" s="20"/>
      <c r="N160" s="20"/>
      <c r="O160" s="20"/>
      <c r="P160" s="20"/>
      <c r="Q160" s="20"/>
      <c r="R160" s="20"/>
      <c r="S160" s="20"/>
      <c r="T160" s="22"/>
      <c r="U160" s="20"/>
      <c r="V160" s="20"/>
      <c r="W160" s="20"/>
      <c r="X160" s="20"/>
      <c r="Y160" s="20"/>
      <c r="Z160" s="20"/>
      <c r="AA160" s="20"/>
      <c r="AB160" s="20"/>
      <c r="AC160" s="22"/>
      <c r="AD160" s="20"/>
      <c r="AE160" s="20"/>
      <c r="AF160" s="20"/>
      <c r="AG160" s="20"/>
      <c r="AH160" s="20"/>
      <c r="AI160" s="20"/>
      <c r="AJ160" s="20"/>
      <c r="AK160" s="20"/>
      <c r="AL160" s="131"/>
      <c r="AM160" s="131"/>
      <c r="AN160" s="131"/>
      <c r="AO160" s="131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34"/>
      <c r="BW160" s="34"/>
    </row>
    <row r="161" spans="1:75" s="42" customFormat="1" ht="18.75" x14ac:dyDescent="0.3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2"/>
      <c r="M161" s="20"/>
      <c r="N161" s="20"/>
      <c r="O161" s="20"/>
      <c r="P161" s="20"/>
      <c r="Q161" s="20"/>
      <c r="R161" s="20"/>
      <c r="S161" s="20"/>
      <c r="T161" s="22"/>
      <c r="U161" s="20"/>
      <c r="V161" s="20"/>
      <c r="W161" s="20"/>
      <c r="X161" s="20"/>
      <c r="Y161" s="20"/>
      <c r="Z161" s="20"/>
      <c r="AA161" s="20"/>
      <c r="AB161" s="20"/>
      <c r="AC161" s="22"/>
      <c r="AD161" s="20"/>
      <c r="AE161" s="20"/>
      <c r="AF161" s="20"/>
      <c r="AG161" s="20"/>
      <c r="AH161" s="20"/>
      <c r="AI161" s="20"/>
      <c r="AJ161" s="20"/>
      <c r="AK161" s="20"/>
      <c r="AL161" s="131"/>
      <c r="AM161" s="131"/>
      <c r="AN161" s="131"/>
      <c r="AO161" s="131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34"/>
      <c r="BW161" s="34"/>
    </row>
    <row r="162" spans="1:75" s="42" customFormat="1" ht="18.75" x14ac:dyDescent="0.3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2"/>
      <c r="M162" s="20"/>
      <c r="N162" s="20"/>
      <c r="O162" s="20"/>
      <c r="P162" s="20"/>
      <c r="Q162" s="20"/>
      <c r="R162" s="20"/>
      <c r="S162" s="20"/>
      <c r="T162" s="22"/>
      <c r="U162" s="20"/>
      <c r="V162" s="20"/>
      <c r="W162" s="20"/>
      <c r="X162" s="20"/>
      <c r="Y162" s="20"/>
      <c r="Z162" s="20"/>
      <c r="AA162" s="20"/>
      <c r="AB162" s="20"/>
      <c r="AC162" s="22"/>
      <c r="AD162" s="20"/>
      <c r="AE162" s="20"/>
      <c r="AF162" s="20"/>
      <c r="AG162" s="20"/>
      <c r="AH162" s="20"/>
      <c r="AI162" s="20"/>
      <c r="AJ162" s="20"/>
      <c r="AK162" s="20"/>
      <c r="AL162" s="131"/>
      <c r="AM162" s="131"/>
      <c r="AN162" s="131"/>
      <c r="AO162" s="131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34"/>
      <c r="BW162" s="34"/>
    </row>
    <row r="163" spans="1:75" s="42" customFormat="1" ht="18.75" x14ac:dyDescent="0.3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2"/>
      <c r="M163" s="20"/>
      <c r="N163" s="20"/>
      <c r="O163" s="20"/>
      <c r="P163" s="20"/>
      <c r="Q163" s="20"/>
      <c r="R163" s="20"/>
      <c r="S163" s="20"/>
      <c r="T163" s="22"/>
      <c r="U163" s="20"/>
      <c r="V163" s="20"/>
      <c r="W163" s="20"/>
      <c r="X163" s="20"/>
      <c r="Y163" s="20"/>
      <c r="Z163" s="20"/>
      <c r="AA163" s="20"/>
      <c r="AB163" s="20"/>
      <c r="AC163" s="22"/>
      <c r="AD163" s="20"/>
      <c r="AE163" s="20"/>
      <c r="AF163" s="20"/>
      <c r="AG163" s="20"/>
      <c r="AH163" s="20"/>
      <c r="AI163" s="20"/>
      <c r="AJ163" s="20"/>
      <c r="AK163" s="20"/>
      <c r="AL163" s="131"/>
      <c r="AM163" s="131"/>
      <c r="AN163" s="131"/>
      <c r="AO163" s="131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34"/>
      <c r="BW163" s="34"/>
    </row>
    <row r="164" spans="1:75" s="42" customFormat="1" ht="18.75" x14ac:dyDescent="0.3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2"/>
      <c r="M164" s="20"/>
      <c r="N164" s="20"/>
      <c r="O164" s="20"/>
      <c r="P164" s="20"/>
      <c r="Q164" s="20"/>
      <c r="R164" s="20"/>
      <c r="S164" s="20"/>
      <c r="T164" s="22"/>
      <c r="U164" s="20"/>
      <c r="V164" s="20"/>
      <c r="W164" s="20"/>
      <c r="X164" s="20"/>
      <c r="Y164" s="20"/>
      <c r="Z164" s="20"/>
      <c r="AA164" s="20"/>
      <c r="AB164" s="20"/>
      <c r="AC164" s="22"/>
      <c r="AD164" s="20"/>
      <c r="AE164" s="20"/>
      <c r="AF164" s="20"/>
      <c r="AG164" s="20"/>
      <c r="AH164" s="20"/>
      <c r="AI164" s="20"/>
      <c r="AJ164" s="20"/>
      <c r="AK164" s="20"/>
      <c r="AL164" s="131"/>
      <c r="AM164" s="131"/>
      <c r="AN164" s="131"/>
      <c r="AO164" s="131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34"/>
      <c r="BW164" s="34"/>
    </row>
    <row r="165" spans="1:75" s="42" customFormat="1" ht="18.75" x14ac:dyDescent="0.3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2"/>
      <c r="M165" s="20"/>
      <c r="N165" s="20"/>
      <c r="O165" s="20"/>
      <c r="P165" s="20"/>
      <c r="Q165" s="20"/>
      <c r="R165" s="20"/>
      <c r="S165" s="20"/>
      <c r="T165" s="22"/>
      <c r="U165" s="20"/>
      <c r="V165" s="20"/>
      <c r="W165" s="20"/>
      <c r="X165" s="20"/>
      <c r="Y165" s="20"/>
      <c r="Z165" s="20"/>
      <c r="AA165" s="20"/>
      <c r="AB165" s="20"/>
      <c r="AC165" s="22"/>
      <c r="AD165" s="20"/>
      <c r="AE165" s="20"/>
      <c r="AF165" s="20"/>
      <c r="AG165" s="20"/>
      <c r="AH165" s="20"/>
      <c r="AI165" s="20"/>
      <c r="AJ165" s="20"/>
      <c r="AK165" s="20"/>
      <c r="AL165" s="131"/>
      <c r="AM165" s="131"/>
      <c r="AN165" s="131"/>
      <c r="AO165" s="131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34"/>
      <c r="BW165" s="34"/>
    </row>
    <row r="166" spans="1:75" s="42" customFormat="1" ht="18.75" x14ac:dyDescent="0.3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2"/>
      <c r="M166" s="20"/>
      <c r="N166" s="20"/>
      <c r="O166" s="20"/>
      <c r="P166" s="20"/>
      <c r="Q166" s="20"/>
      <c r="R166" s="20"/>
      <c r="S166" s="20"/>
      <c r="T166" s="22"/>
      <c r="U166" s="20"/>
      <c r="V166" s="20"/>
      <c r="W166" s="20"/>
      <c r="X166" s="20"/>
      <c r="Y166" s="20"/>
      <c r="Z166" s="20"/>
      <c r="AA166" s="20"/>
      <c r="AB166" s="20"/>
      <c r="AC166" s="22"/>
      <c r="AD166" s="20"/>
      <c r="AE166" s="20"/>
      <c r="AF166" s="20"/>
      <c r="AG166" s="20"/>
      <c r="AH166" s="20"/>
      <c r="AI166" s="20"/>
      <c r="AJ166" s="20"/>
      <c r="AK166" s="20"/>
      <c r="AL166" s="131"/>
      <c r="AM166" s="131"/>
      <c r="AN166" s="131"/>
      <c r="AO166" s="131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34"/>
      <c r="BW166" s="34"/>
    </row>
    <row r="167" spans="1:75" s="42" customFormat="1" ht="18.75" x14ac:dyDescent="0.3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2"/>
      <c r="M167" s="20"/>
      <c r="N167" s="20"/>
      <c r="O167" s="20"/>
      <c r="P167" s="20"/>
      <c r="Q167" s="20"/>
      <c r="R167" s="20"/>
      <c r="S167" s="20"/>
      <c r="T167" s="22"/>
      <c r="U167" s="20"/>
      <c r="V167" s="20"/>
      <c r="W167" s="20"/>
      <c r="X167" s="20"/>
      <c r="Y167" s="20"/>
      <c r="Z167" s="20"/>
      <c r="AA167" s="20"/>
      <c r="AB167" s="20"/>
      <c r="AC167" s="22"/>
      <c r="AD167" s="20"/>
      <c r="AE167" s="20"/>
      <c r="AF167" s="20"/>
      <c r="AG167" s="20"/>
      <c r="AH167" s="20"/>
      <c r="AI167" s="20"/>
      <c r="AJ167" s="20"/>
      <c r="AK167" s="20"/>
      <c r="AL167" s="131"/>
      <c r="AM167" s="131"/>
      <c r="AN167" s="131"/>
      <c r="AO167" s="131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34"/>
      <c r="BW167" s="34"/>
    </row>
    <row r="168" spans="1:75" s="42" customFormat="1" ht="18.75" x14ac:dyDescent="0.3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2"/>
      <c r="M168" s="20"/>
      <c r="N168" s="20"/>
      <c r="O168" s="20"/>
      <c r="P168" s="20"/>
      <c r="Q168" s="20"/>
      <c r="R168" s="20"/>
      <c r="S168" s="20"/>
      <c r="T168" s="22"/>
      <c r="U168" s="20"/>
      <c r="V168" s="20"/>
      <c r="W168" s="20"/>
      <c r="X168" s="20"/>
      <c r="Y168" s="20"/>
      <c r="Z168" s="20"/>
      <c r="AA168" s="20"/>
      <c r="AB168" s="20"/>
      <c r="AC168" s="22"/>
      <c r="AD168" s="20"/>
      <c r="AE168" s="20"/>
      <c r="AF168" s="20"/>
      <c r="AG168" s="20"/>
      <c r="AH168" s="20"/>
      <c r="AI168" s="20"/>
      <c r="AJ168" s="20"/>
      <c r="AK168" s="20"/>
      <c r="AL168" s="131"/>
      <c r="AM168" s="131"/>
      <c r="AN168" s="131"/>
      <c r="AO168" s="131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34"/>
      <c r="BW168" s="34"/>
    </row>
    <row r="169" spans="1:75" s="42" customFormat="1" ht="18.75" x14ac:dyDescent="0.3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2"/>
      <c r="M169" s="20"/>
      <c r="N169" s="20"/>
      <c r="O169" s="20"/>
      <c r="P169" s="20"/>
      <c r="Q169" s="20"/>
      <c r="R169" s="20"/>
      <c r="S169" s="20"/>
      <c r="T169" s="22"/>
      <c r="U169" s="20"/>
      <c r="V169" s="20"/>
      <c r="W169" s="20"/>
      <c r="X169" s="20"/>
      <c r="Y169" s="20"/>
      <c r="Z169" s="20"/>
      <c r="AA169" s="20"/>
      <c r="AB169" s="20"/>
      <c r="AC169" s="22"/>
      <c r="AD169" s="20"/>
      <c r="AE169" s="20"/>
      <c r="AF169" s="20"/>
      <c r="AG169" s="20"/>
      <c r="AH169" s="20"/>
      <c r="AI169" s="20"/>
      <c r="AJ169" s="20"/>
      <c r="AK169" s="20"/>
      <c r="AL169" s="131"/>
      <c r="AM169" s="131"/>
      <c r="AN169" s="131"/>
      <c r="AO169" s="131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34"/>
      <c r="BW169" s="34"/>
    </row>
    <row r="170" spans="1:75" s="42" customFormat="1" ht="18.75" x14ac:dyDescent="0.3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2"/>
      <c r="M170" s="20"/>
      <c r="N170" s="20"/>
      <c r="O170" s="20"/>
      <c r="P170" s="20"/>
      <c r="Q170" s="20"/>
      <c r="R170" s="20"/>
      <c r="S170" s="20"/>
      <c r="T170" s="22"/>
      <c r="U170" s="20"/>
      <c r="V170" s="20"/>
      <c r="W170" s="20"/>
      <c r="X170" s="20"/>
      <c r="Y170" s="20"/>
      <c r="Z170" s="20"/>
      <c r="AA170" s="20"/>
      <c r="AB170" s="20"/>
      <c r="AC170" s="22"/>
      <c r="AD170" s="20"/>
      <c r="AE170" s="20"/>
      <c r="AF170" s="20"/>
      <c r="AG170" s="20"/>
      <c r="AH170" s="20"/>
      <c r="AI170" s="20"/>
      <c r="AJ170" s="20"/>
      <c r="AK170" s="20"/>
      <c r="AL170" s="131"/>
      <c r="AM170" s="131"/>
      <c r="AN170" s="131"/>
      <c r="AO170" s="131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34"/>
      <c r="BW170" s="34"/>
    </row>
    <row r="171" spans="1:75" s="42" customFormat="1" ht="18.75" x14ac:dyDescent="0.3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2"/>
      <c r="M171" s="20"/>
      <c r="N171" s="20"/>
      <c r="O171" s="20"/>
      <c r="P171" s="20"/>
      <c r="Q171" s="20"/>
      <c r="R171" s="20"/>
      <c r="S171" s="20"/>
      <c r="T171" s="22"/>
      <c r="U171" s="20"/>
      <c r="V171" s="20"/>
      <c r="W171" s="20"/>
      <c r="X171" s="20"/>
      <c r="Y171" s="20"/>
      <c r="Z171" s="20"/>
      <c r="AA171" s="20"/>
      <c r="AB171" s="20"/>
      <c r="AC171" s="22"/>
      <c r="AD171" s="20"/>
      <c r="AE171" s="20"/>
      <c r="AF171" s="20"/>
      <c r="AG171" s="20"/>
      <c r="AH171" s="20"/>
      <c r="AI171" s="20"/>
      <c r="AJ171" s="20"/>
      <c r="AK171" s="20"/>
      <c r="AL171" s="131"/>
      <c r="AM171" s="131"/>
      <c r="AN171" s="131"/>
      <c r="AO171" s="131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34"/>
      <c r="BW171" s="34"/>
    </row>
    <row r="172" spans="1:75" s="42" customFormat="1" ht="18.75" x14ac:dyDescent="0.3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2"/>
      <c r="M172" s="20"/>
      <c r="N172" s="20"/>
      <c r="O172" s="20"/>
      <c r="P172" s="20"/>
      <c r="Q172" s="20"/>
      <c r="R172" s="20"/>
      <c r="S172" s="20"/>
      <c r="T172" s="22"/>
      <c r="U172" s="20"/>
      <c r="V172" s="20"/>
      <c r="W172" s="20"/>
      <c r="X172" s="20"/>
      <c r="Y172" s="20"/>
      <c r="Z172" s="20"/>
      <c r="AA172" s="20"/>
      <c r="AB172" s="20"/>
      <c r="AC172" s="22"/>
      <c r="AD172" s="20"/>
      <c r="AE172" s="20"/>
      <c r="AF172" s="20"/>
      <c r="AG172" s="20"/>
      <c r="AH172" s="20"/>
      <c r="AI172" s="20"/>
      <c r="AJ172" s="20"/>
      <c r="AK172" s="20"/>
      <c r="AL172" s="131"/>
      <c r="AM172" s="131"/>
      <c r="AN172" s="131"/>
      <c r="AO172" s="131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34"/>
      <c r="BW172" s="34"/>
    </row>
    <row r="173" spans="1:75" s="42" customFormat="1" ht="18.75" x14ac:dyDescent="0.3">
      <c r="A173" s="20"/>
      <c r="B173" s="20"/>
      <c r="C173" s="20" t="s">
        <v>607</v>
      </c>
      <c r="D173" s="20"/>
      <c r="E173" s="20"/>
      <c r="F173" s="20"/>
      <c r="G173" s="20"/>
      <c r="H173" s="20"/>
      <c r="I173" s="20"/>
      <c r="J173" s="20"/>
      <c r="K173" s="20"/>
      <c r="L173" s="22"/>
      <c r="M173" s="20"/>
      <c r="N173" s="20"/>
      <c r="O173" s="20"/>
      <c r="P173" s="20"/>
      <c r="Q173" s="20"/>
      <c r="R173" s="20"/>
      <c r="S173" s="20"/>
      <c r="T173" s="22"/>
      <c r="U173" s="20"/>
      <c r="V173" s="20"/>
      <c r="W173" s="20"/>
      <c r="X173" s="20"/>
      <c r="Y173" s="20"/>
      <c r="Z173" s="20"/>
      <c r="AA173" s="20"/>
      <c r="AB173" s="20"/>
      <c r="AC173" s="22"/>
      <c r="AD173" s="20"/>
      <c r="AE173" s="20"/>
      <c r="AF173" s="20"/>
      <c r="AG173" s="20"/>
      <c r="AH173" s="20"/>
      <c r="AI173" s="20"/>
      <c r="AJ173" s="20"/>
      <c r="AK173" s="20"/>
      <c r="AL173" s="131"/>
      <c r="AM173" s="131"/>
      <c r="AN173" s="131"/>
      <c r="AO173" s="131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34"/>
      <c r="BW173" s="34"/>
    </row>
    <row r="174" spans="1:75" s="42" customFormat="1" ht="18.75" x14ac:dyDescent="0.3">
      <c r="A174" s="20"/>
      <c r="B174" s="20"/>
      <c r="C174" s="20" t="s">
        <v>609</v>
      </c>
      <c r="D174" s="20"/>
      <c r="E174" s="20"/>
      <c r="F174" s="20"/>
      <c r="G174" s="20"/>
      <c r="H174" s="20"/>
      <c r="I174" s="20"/>
      <c r="J174" s="20"/>
      <c r="K174" s="20"/>
      <c r="L174" s="22"/>
      <c r="M174" s="20"/>
      <c r="N174" s="20"/>
      <c r="O174" s="20"/>
      <c r="P174" s="20"/>
      <c r="Q174" s="20"/>
      <c r="R174" s="20"/>
      <c r="S174" s="20"/>
      <c r="T174" s="22"/>
      <c r="U174" s="20"/>
      <c r="V174" s="20"/>
      <c r="W174" s="20"/>
      <c r="X174" s="20"/>
      <c r="Y174" s="20"/>
      <c r="Z174" s="20"/>
      <c r="AA174" s="20"/>
      <c r="AB174" s="20"/>
      <c r="AC174" s="22"/>
      <c r="AD174" s="20"/>
      <c r="AE174" s="20"/>
      <c r="AF174" s="20"/>
      <c r="AG174" s="20"/>
      <c r="AH174" s="20"/>
      <c r="AI174" s="20"/>
      <c r="AJ174" s="20"/>
      <c r="AK174" s="20"/>
      <c r="AL174" s="131"/>
      <c r="AM174" s="131"/>
      <c r="AN174" s="131"/>
      <c r="AO174" s="131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34"/>
      <c r="BW174" s="34"/>
    </row>
    <row r="175" spans="1:75" s="42" customFormat="1" ht="18.75" x14ac:dyDescent="0.3">
      <c r="A175" s="20"/>
      <c r="B175" s="20"/>
      <c r="C175" s="20" t="s">
        <v>610</v>
      </c>
      <c r="D175" s="20"/>
      <c r="E175" s="20"/>
      <c r="F175" s="20"/>
      <c r="G175" s="20"/>
      <c r="H175" s="20"/>
      <c r="I175" s="20"/>
      <c r="J175" s="20"/>
      <c r="K175" s="20"/>
      <c r="L175" s="22"/>
      <c r="M175" s="20"/>
      <c r="N175" s="20"/>
      <c r="O175" s="20"/>
      <c r="P175" s="20"/>
      <c r="Q175" s="20"/>
      <c r="R175" s="20"/>
      <c r="S175" s="20"/>
      <c r="T175" s="22"/>
      <c r="U175" s="20"/>
      <c r="V175" s="20"/>
      <c r="W175" s="20"/>
      <c r="X175" s="20"/>
      <c r="Y175" s="20"/>
      <c r="Z175" s="20"/>
      <c r="AA175" s="20"/>
      <c r="AB175" s="20"/>
      <c r="AC175" s="22"/>
      <c r="AD175" s="20"/>
      <c r="AE175" s="20"/>
      <c r="AF175" s="20"/>
      <c r="AG175" s="20"/>
      <c r="AH175" s="20"/>
      <c r="AI175" s="20"/>
      <c r="AJ175" s="20"/>
      <c r="AK175" s="20"/>
      <c r="AL175" s="131"/>
      <c r="AM175" s="131"/>
      <c r="AN175" s="131"/>
      <c r="AO175" s="131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34"/>
      <c r="BW175" s="34"/>
    </row>
    <row r="176" spans="1:75" s="42" customFormat="1" ht="18.75" x14ac:dyDescent="0.3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2"/>
      <c r="M176" s="20"/>
      <c r="N176" s="20"/>
      <c r="O176" s="20"/>
      <c r="P176" s="20"/>
      <c r="Q176" s="20"/>
      <c r="R176" s="20"/>
      <c r="S176" s="20"/>
      <c r="T176" s="22"/>
      <c r="U176" s="20"/>
      <c r="V176" s="20"/>
      <c r="W176" s="20"/>
      <c r="X176" s="20"/>
      <c r="Y176" s="20"/>
      <c r="Z176" s="20"/>
      <c r="AA176" s="20"/>
      <c r="AB176" s="20"/>
      <c r="AC176" s="22"/>
      <c r="AD176" s="20"/>
      <c r="AE176" s="20"/>
      <c r="AF176" s="20"/>
      <c r="AG176" s="20"/>
      <c r="AH176" s="20"/>
      <c r="AI176" s="20"/>
      <c r="AJ176" s="20"/>
      <c r="AK176" s="20"/>
      <c r="AL176" s="131"/>
      <c r="AM176" s="131"/>
      <c r="AN176" s="131"/>
      <c r="AO176" s="131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34"/>
      <c r="BW176" s="34"/>
    </row>
    <row r="177" spans="1:75" s="42" customFormat="1" ht="18.75" x14ac:dyDescent="0.3">
      <c r="A177" s="20"/>
      <c r="B177" s="20"/>
      <c r="C177" s="278" t="s">
        <v>619</v>
      </c>
      <c r="D177" s="273"/>
      <c r="E177" s="273"/>
      <c r="F177" s="273"/>
      <c r="G177" s="273"/>
      <c r="H177" s="273"/>
      <c r="I177" s="273"/>
      <c r="J177" s="273"/>
      <c r="K177" s="273"/>
      <c r="L177" s="274"/>
      <c r="M177" s="273"/>
      <c r="N177" s="275"/>
      <c r="O177" s="332"/>
      <c r="P177" s="20"/>
      <c r="Q177" s="20"/>
      <c r="R177" s="20"/>
      <c r="S177" s="20"/>
      <c r="T177" s="22"/>
      <c r="U177" s="20"/>
      <c r="V177" s="20"/>
      <c r="W177" s="20"/>
      <c r="X177" s="20"/>
      <c r="Y177" s="20"/>
      <c r="Z177" s="20"/>
      <c r="AA177" s="20"/>
      <c r="AB177" s="20"/>
      <c r="AC177" s="22"/>
      <c r="AD177" s="20"/>
      <c r="AE177" s="20"/>
      <c r="AF177" s="20"/>
      <c r="AG177" s="20"/>
      <c r="AH177" s="20"/>
      <c r="AI177" s="20"/>
      <c r="AJ177" s="20"/>
      <c r="AK177" s="20"/>
      <c r="AL177" s="131"/>
      <c r="AM177" s="131"/>
      <c r="AN177" s="131"/>
      <c r="AO177" s="131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34"/>
      <c r="BW177" s="34"/>
    </row>
    <row r="178" spans="1:75" s="42" customFormat="1" ht="18.75" x14ac:dyDescent="0.3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2"/>
      <c r="M178" s="20"/>
      <c r="N178" s="20"/>
      <c r="O178" s="20"/>
      <c r="P178" s="20"/>
      <c r="Q178" s="20"/>
      <c r="R178" s="20"/>
      <c r="S178" s="20"/>
      <c r="T178" s="22"/>
      <c r="U178" s="20"/>
      <c r="V178" s="20"/>
      <c r="W178" s="20"/>
      <c r="X178" s="20"/>
      <c r="Y178" s="20"/>
      <c r="Z178" s="20"/>
      <c r="AA178" s="20"/>
      <c r="AB178" s="20"/>
      <c r="AC178" s="22"/>
      <c r="AD178" s="20"/>
      <c r="AE178" s="20"/>
      <c r="AF178" s="20"/>
      <c r="AG178" s="20"/>
      <c r="AH178" s="20"/>
      <c r="AI178" s="20"/>
      <c r="AJ178" s="20"/>
      <c r="AK178" s="20"/>
      <c r="AL178" s="131"/>
      <c r="AM178" s="131"/>
      <c r="AN178" s="131"/>
      <c r="AO178" s="131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34"/>
      <c r="BW178" s="34"/>
    </row>
    <row r="179" spans="1:75" s="42" customFormat="1" ht="18.75" x14ac:dyDescent="0.3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2"/>
      <c r="M179" s="20"/>
      <c r="N179" s="20"/>
      <c r="O179" s="20"/>
      <c r="P179" s="20"/>
      <c r="Q179" s="20"/>
      <c r="R179" s="20"/>
      <c r="S179" s="20"/>
      <c r="T179" s="22"/>
      <c r="U179" s="20"/>
      <c r="V179" s="20"/>
      <c r="W179" s="20"/>
      <c r="X179" s="20"/>
      <c r="Y179" s="20"/>
      <c r="Z179" s="20"/>
      <c r="AA179" s="20"/>
      <c r="AB179" s="20"/>
      <c r="AC179" s="22"/>
      <c r="AD179" s="20"/>
      <c r="AE179" s="20"/>
      <c r="AF179" s="20"/>
      <c r="AG179" s="20"/>
      <c r="AH179" s="20"/>
      <c r="AI179" s="20"/>
      <c r="AJ179" s="20"/>
      <c r="AK179" s="20"/>
      <c r="AL179" s="131"/>
      <c r="AM179" s="131"/>
      <c r="AN179" s="131"/>
      <c r="AO179" s="131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34"/>
      <c r="BW179" s="34"/>
    </row>
    <row r="180" spans="1:75" s="42" customFormat="1" ht="18.75" x14ac:dyDescent="0.3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2"/>
      <c r="M180" s="20"/>
      <c r="N180" s="20"/>
      <c r="O180" s="20"/>
      <c r="P180" s="20"/>
      <c r="Q180" s="20"/>
      <c r="R180" s="20"/>
      <c r="S180" s="20"/>
      <c r="T180" s="22"/>
      <c r="U180" s="20"/>
      <c r="V180" s="20"/>
      <c r="W180" s="20"/>
      <c r="X180" s="20"/>
      <c r="Y180" s="20"/>
      <c r="Z180" s="20"/>
      <c r="AA180" s="20"/>
      <c r="AB180" s="20"/>
      <c r="AC180" s="22"/>
      <c r="AD180" s="20"/>
      <c r="AE180" s="20"/>
      <c r="AF180" s="20"/>
      <c r="AG180" s="20"/>
      <c r="AH180" s="20"/>
      <c r="AI180" s="20"/>
      <c r="AJ180" s="20"/>
      <c r="AK180" s="20"/>
      <c r="AL180" s="131"/>
      <c r="AM180" s="131"/>
      <c r="AN180" s="131"/>
      <c r="AO180" s="131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34"/>
      <c r="BW180" s="34"/>
    </row>
    <row r="181" spans="1:75" s="42" customFormat="1" ht="18.75" x14ac:dyDescent="0.3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2"/>
      <c r="M181" s="20"/>
      <c r="N181" s="20"/>
      <c r="O181" s="20"/>
      <c r="P181" s="20"/>
      <c r="Q181" s="20"/>
      <c r="R181" s="20"/>
      <c r="S181" s="20"/>
      <c r="T181" s="22"/>
      <c r="U181" s="20"/>
      <c r="V181" s="20"/>
      <c r="W181" s="20"/>
      <c r="X181" s="20"/>
      <c r="Y181" s="20"/>
      <c r="Z181" s="20"/>
      <c r="AA181" s="20"/>
      <c r="AB181" s="20"/>
      <c r="AC181" s="22"/>
      <c r="AD181" s="20"/>
      <c r="AE181" s="20"/>
      <c r="AF181" s="20"/>
      <c r="AG181" s="20"/>
      <c r="AH181" s="20"/>
      <c r="AI181" s="20"/>
      <c r="AJ181" s="20"/>
      <c r="AK181" s="20"/>
      <c r="AL181" s="131"/>
      <c r="AM181" s="131"/>
      <c r="AN181" s="131"/>
      <c r="AO181" s="131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34"/>
      <c r="BW181" s="34"/>
    </row>
    <row r="182" spans="1:75" s="42" customFormat="1" ht="18.75" x14ac:dyDescent="0.3">
      <c r="A182" s="20"/>
      <c r="B182" s="293"/>
      <c r="C182" s="293"/>
      <c r="D182" s="293"/>
      <c r="E182" s="293"/>
      <c r="F182" s="293"/>
      <c r="G182" s="293"/>
      <c r="H182" s="293"/>
      <c r="I182" s="293"/>
      <c r="J182" s="293"/>
      <c r="K182" s="293"/>
      <c r="L182" s="294" t="s">
        <v>492</v>
      </c>
      <c r="M182" s="20"/>
      <c r="N182" s="20"/>
      <c r="O182" s="164"/>
      <c r="P182" s="164"/>
      <c r="Q182" s="164"/>
      <c r="R182" s="164"/>
      <c r="S182" s="164"/>
      <c r="T182" s="279"/>
      <c r="U182" s="20"/>
      <c r="V182" s="164"/>
      <c r="W182" s="164"/>
      <c r="X182" s="164"/>
      <c r="Y182" s="164"/>
      <c r="Z182" s="164"/>
      <c r="AA182" s="164"/>
      <c r="AB182" s="164"/>
      <c r="AC182" s="279"/>
      <c r="AD182" s="20"/>
      <c r="AE182" s="280"/>
      <c r="AF182" s="280"/>
      <c r="AG182" s="280"/>
      <c r="AH182" s="280"/>
      <c r="AI182" s="20"/>
      <c r="AJ182" s="281" t="s">
        <v>493</v>
      </c>
      <c r="AK182" s="280"/>
      <c r="AL182" s="280"/>
      <c r="AM182" s="280"/>
      <c r="AN182" s="280"/>
      <c r="AO182" s="280"/>
      <c r="AP182" s="280"/>
      <c r="AQ182" s="280"/>
      <c r="AR182" s="281"/>
      <c r="AS182" s="281"/>
      <c r="AT182" s="281"/>
      <c r="AU182" s="281"/>
      <c r="AV182" s="281"/>
      <c r="AW182" s="281"/>
      <c r="AX182" s="281"/>
      <c r="AY182" s="281"/>
      <c r="AZ182" s="281"/>
      <c r="BA182" s="281"/>
      <c r="BB182" s="281"/>
      <c r="BC182" s="281"/>
      <c r="BD182" s="281"/>
      <c r="BE182" s="279"/>
      <c r="BF182" s="279"/>
      <c r="BG182" s="20"/>
      <c r="BH182" s="20"/>
      <c r="BI182" s="281" t="s">
        <v>496</v>
      </c>
      <c r="BJ182" s="281"/>
      <c r="BK182" s="281"/>
      <c r="BL182" s="281"/>
      <c r="BM182" s="281"/>
      <c r="BN182" s="281"/>
      <c r="BO182" s="281"/>
      <c r="BP182" s="281"/>
      <c r="BQ182" s="281"/>
      <c r="BR182" s="281"/>
      <c r="BS182" s="281"/>
      <c r="BT182" s="281"/>
      <c r="BU182" s="279"/>
      <c r="BV182" s="34"/>
      <c r="BW182" s="34"/>
    </row>
    <row r="183" spans="1:75" s="42" customFormat="1" ht="18.75" x14ac:dyDescent="0.3">
      <c r="A183" s="20"/>
      <c r="B183" s="145"/>
      <c r="C183" s="1489" t="s">
        <v>368</v>
      </c>
      <c r="D183" s="1490"/>
      <c r="E183" s="1490"/>
      <c r="F183" s="1490"/>
      <c r="G183" s="1490"/>
      <c r="H183" s="1490"/>
      <c r="I183" s="1490"/>
      <c r="J183" s="1490"/>
      <c r="K183" s="1491"/>
      <c r="L183" s="168"/>
      <c r="M183" s="20"/>
      <c r="N183" s="20"/>
      <c r="O183" s="1489" t="s">
        <v>368</v>
      </c>
      <c r="P183" s="1490"/>
      <c r="Q183" s="1490"/>
      <c r="R183" s="1490"/>
      <c r="S183" s="1490"/>
      <c r="T183" s="1491"/>
      <c r="U183" s="20"/>
      <c r="V183" s="1594" t="s">
        <v>368</v>
      </c>
      <c r="W183" s="1595"/>
      <c r="X183" s="1595"/>
      <c r="Y183" s="1595"/>
      <c r="Z183" s="1595"/>
      <c r="AA183" s="1595"/>
      <c r="AB183" s="1595"/>
      <c r="AC183" s="1596"/>
      <c r="AD183" s="20"/>
      <c r="AE183" s="26" t="s">
        <v>495</v>
      </c>
      <c r="AF183" s="20"/>
      <c r="AG183" s="20"/>
      <c r="AH183" s="20"/>
      <c r="AI183" s="20"/>
      <c r="AJ183" s="20"/>
      <c r="AK183" s="20"/>
      <c r="AL183" s="131"/>
      <c r="AM183" s="131"/>
      <c r="AN183" s="131"/>
      <c r="AO183" s="131"/>
      <c r="AP183" s="1592" t="s">
        <v>109</v>
      </c>
      <c r="AQ183" s="1593"/>
      <c r="AR183" s="19" t="s">
        <v>158</v>
      </c>
      <c r="AS183" s="19" t="s">
        <v>160</v>
      </c>
      <c r="AT183" s="19" t="s">
        <v>159</v>
      </c>
      <c r="AU183" s="19" t="s">
        <v>156</v>
      </c>
      <c r="AV183" s="19" t="s">
        <v>435</v>
      </c>
      <c r="AW183" s="19" t="s">
        <v>162</v>
      </c>
      <c r="AX183" s="19" t="s">
        <v>157</v>
      </c>
      <c r="AY183" s="19" t="s">
        <v>233</v>
      </c>
      <c r="AZ183" s="19" t="s">
        <v>234</v>
      </c>
      <c r="BA183" s="19" t="s">
        <v>275</v>
      </c>
      <c r="BB183" s="19" t="s">
        <v>276</v>
      </c>
      <c r="BC183" s="19" t="s">
        <v>277</v>
      </c>
      <c r="BD183" s="19" t="s">
        <v>245</v>
      </c>
      <c r="BE183" s="19" t="s">
        <v>246</v>
      </c>
      <c r="BF183" s="19"/>
      <c r="BG183" s="20"/>
      <c r="BH183" s="20"/>
      <c r="BI183" s="19" t="s">
        <v>160</v>
      </c>
      <c r="BJ183" s="19" t="s">
        <v>159</v>
      </c>
      <c r="BK183" s="19" t="s">
        <v>156</v>
      </c>
      <c r="BL183" s="19" t="s">
        <v>435</v>
      </c>
      <c r="BM183" s="19" t="s">
        <v>162</v>
      </c>
      <c r="BN183" s="19" t="s">
        <v>157</v>
      </c>
      <c r="BO183" s="19" t="s">
        <v>233</v>
      </c>
      <c r="BP183" s="19" t="s">
        <v>234</v>
      </c>
      <c r="BQ183" s="19" t="s">
        <v>275</v>
      </c>
      <c r="BR183" s="19" t="s">
        <v>276</v>
      </c>
      <c r="BS183" s="19" t="s">
        <v>277</v>
      </c>
      <c r="BT183" s="19" t="s">
        <v>245</v>
      </c>
      <c r="BU183" s="19" t="s">
        <v>246</v>
      </c>
      <c r="BV183" s="34"/>
      <c r="BW183" s="34"/>
    </row>
    <row r="184" spans="1:75" s="42" customFormat="1" ht="18.75" x14ac:dyDescent="0.3">
      <c r="A184" s="20"/>
      <c r="B184" s="130"/>
      <c r="C184" s="1495" t="s">
        <v>62</v>
      </c>
      <c r="D184" s="1496"/>
      <c r="E184" s="1496"/>
      <c r="F184" s="1496"/>
      <c r="G184" s="1496"/>
      <c r="H184" s="1496"/>
      <c r="I184" s="1496"/>
      <c r="J184" s="1496"/>
      <c r="K184" s="1497"/>
      <c r="L184" s="169"/>
      <c r="M184" s="20"/>
      <c r="N184" s="20"/>
      <c r="O184" s="1495" t="s">
        <v>372</v>
      </c>
      <c r="P184" s="1496"/>
      <c r="Q184" s="1496"/>
      <c r="R184" s="1496"/>
      <c r="S184" s="1496"/>
      <c r="T184" s="1497"/>
      <c r="U184" s="20"/>
      <c r="V184" s="1597" t="s">
        <v>345</v>
      </c>
      <c r="W184" s="1598"/>
      <c r="X184" s="1598"/>
      <c r="Y184" s="1598"/>
      <c r="Z184" s="1598"/>
      <c r="AA184" s="1598"/>
      <c r="AB184" s="1598"/>
      <c r="AC184" s="1599"/>
      <c r="AD184" s="20"/>
      <c r="AE184" s="20"/>
      <c r="AF184" s="131"/>
      <c r="AG184" s="129" t="s">
        <v>110</v>
      </c>
      <c r="AH184" s="129" t="s">
        <v>111</v>
      </c>
      <c r="AI184" s="20"/>
      <c r="AJ184" s="101"/>
      <c r="AK184" s="20"/>
      <c r="AL184" s="131"/>
      <c r="AM184" s="131"/>
      <c r="AN184" s="131"/>
      <c r="AO184" s="131"/>
      <c r="AP184" s="129" t="s">
        <v>434</v>
      </c>
      <c r="AQ184" s="129" t="s">
        <v>160</v>
      </c>
      <c r="AR184" s="129" t="s">
        <v>515</v>
      </c>
      <c r="AS184" s="1552" t="s">
        <v>265</v>
      </c>
      <c r="AT184" s="1553"/>
      <c r="AU184" s="1553"/>
      <c r="AV184" s="1553"/>
      <c r="AW184" s="1553"/>
      <c r="AX184" s="1554"/>
      <c r="AY184" s="314"/>
      <c r="AZ184" s="1592" t="s">
        <v>376</v>
      </c>
      <c r="BA184" s="1593"/>
      <c r="BB184" s="1584" t="s">
        <v>267</v>
      </c>
      <c r="BC184" s="1585"/>
      <c r="BD184" s="1585"/>
      <c r="BE184" s="1585"/>
      <c r="BF184" s="328"/>
      <c r="BG184" s="20"/>
      <c r="BH184" s="20"/>
      <c r="BI184" s="1552" t="s">
        <v>265</v>
      </c>
      <c r="BJ184" s="1553"/>
      <c r="BK184" s="1553"/>
      <c r="BL184" s="1553"/>
      <c r="BM184" s="1553"/>
      <c r="BN184" s="1554"/>
      <c r="BO184" s="314"/>
      <c r="BP184" s="1592" t="s">
        <v>376</v>
      </c>
      <c r="BQ184" s="1593"/>
      <c r="BR184" s="1584" t="s">
        <v>267</v>
      </c>
      <c r="BS184" s="1585"/>
      <c r="BT184" s="1585"/>
      <c r="BU184" s="1585"/>
      <c r="BV184" s="329" t="s">
        <v>614</v>
      </c>
      <c r="BW184" s="34"/>
    </row>
    <row r="185" spans="1:75" s="42" customFormat="1" ht="18.75" x14ac:dyDescent="0.3">
      <c r="A185" s="20"/>
      <c r="B185" s="130"/>
      <c r="C185" s="1586" t="s">
        <v>307</v>
      </c>
      <c r="D185" s="1587"/>
      <c r="E185" s="1587"/>
      <c r="F185" s="1587"/>
      <c r="G185" s="1587"/>
      <c r="H185" s="1587"/>
      <c r="I185" s="1587"/>
      <c r="J185" s="1587"/>
      <c r="K185" s="1588"/>
      <c r="L185" s="169"/>
      <c r="M185" s="20"/>
      <c r="N185" s="20"/>
      <c r="O185" s="144"/>
      <c r="P185" s="17" t="s">
        <v>102</v>
      </c>
      <c r="Q185" s="17"/>
      <c r="R185" s="17"/>
      <c r="S185" s="17"/>
      <c r="T185" s="191"/>
      <c r="U185" s="20"/>
      <c r="V185" s="1589" t="s">
        <v>102</v>
      </c>
      <c r="W185" s="1590"/>
      <c r="X185" s="1590"/>
      <c r="Y185" s="1590"/>
      <c r="Z185" s="1590"/>
      <c r="AA185" s="1590"/>
      <c r="AB185" s="1590"/>
      <c r="AC185" s="1591"/>
      <c r="AD185" s="20"/>
      <c r="AE185" s="20"/>
      <c r="AF185" s="210" t="s">
        <v>92</v>
      </c>
      <c r="AG185" s="129"/>
      <c r="AH185" s="91"/>
      <c r="AI185" s="20"/>
      <c r="AJ185" s="94"/>
      <c r="AK185" s="89"/>
      <c r="AL185" s="128"/>
      <c r="AM185" s="129" t="s">
        <v>64</v>
      </c>
      <c r="AN185" s="129" t="s">
        <v>65</v>
      </c>
      <c r="AO185" s="129" t="s">
        <v>374</v>
      </c>
      <c r="AP185" s="129" t="s">
        <v>110</v>
      </c>
      <c r="AQ185" s="129" t="s">
        <v>111</v>
      </c>
      <c r="AR185" s="129" t="s">
        <v>103</v>
      </c>
      <c r="AS185" s="129" t="s">
        <v>50</v>
      </c>
      <c r="AT185" s="129" t="s">
        <v>380</v>
      </c>
      <c r="AU185" s="129" t="s">
        <v>21</v>
      </c>
      <c r="AV185" s="129" t="s">
        <v>21</v>
      </c>
      <c r="AW185" s="129" t="s">
        <v>22</v>
      </c>
      <c r="AX185" s="129" t="s">
        <v>22</v>
      </c>
      <c r="AY185" s="129" t="s">
        <v>26</v>
      </c>
      <c r="AZ185" s="129" t="s">
        <v>19</v>
      </c>
      <c r="BA185" s="129" t="s">
        <v>214</v>
      </c>
      <c r="BB185" s="129" t="s">
        <v>266</v>
      </c>
      <c r="BC185" s="129" t="s">
        <v>18</v>
      </c>
      <c r="BD185" s="129" t="s">
        <v>24</v>
      </c>
      <c r="BE185" s="129" t="s">
        <v>22</v>
      </c>
      <c r="BF185" s="129" t="s">
        <v>611</v>
      </c>
      <c r="BG185" s="20"/>
      <c r="BH185" s="20"/>
      <c r="BI185" s="129" t="s">
        <v>50</v>
      </c>
      <c r="BJ185" s="129" t="s">
        <v>380</v>
      </c>
      <c r="BK185" s="129" t="s">
        <v>21</v>
      </c>
      <c r="BL185" s="129" t="s">
        <v>21</v>
      </c>
      <c r="BM185" s="129" t="s">
        <v>22</v>
      </c>
      <c r="BN185" s="129" t="s">
        <v>22</v>
      </c>
      <c r="BO185" s="129" t="s">
        <v>26</v>
      </c>
      <c r="BP185" s="129" t="s">
        <v>19</v>
      </c>
      <c r="BQ185" s="129" t="s">
        <v>214</v>
      </c>
      <c r="BR185" s="129" t="s">
        <v>266</v>
      </c>
      <c r="BS185" s="129" t="s">
        <v>18</v>
      </c>
      <c r="BT185" s="129" t="s">
        <v>24</v>
      </c>
      <c r="BU185" s="129" t="s">
        <v>22</v>
      </c>
      <c r="BV185" s="129" t="s">
        <v>613</v>
      </c>
      <c r="BW185" s="34"/>
    </row>
    <row r="186" spans="1:75" s="42" customFormat="1" ht="18.75" x14ac:dyDescent="0.3">
      <c r="A186" s="20"/>
      <c r="B186" s="173"/>
      <c r="C186" s="88"/>
      <c r="D186" s="90">
        <v>2016</v>
      </c>
      <c r="E186" s="90">
        <v>2015</v>
      </c>
      <c r="F186" s="89"/>
      <c r="G186" s="89"/>
      <c r="H186" s="89"/>
      <c r="I186" s="89"/>
      <c r="J186" s="90">
        <v>2016</v>
      </c>
      <c r="K186" s="91">
        <v>2015</v>
      </c>
      <c r="L186" s="174"/>
      <c r="M186" s="20"/>
      <c r="N186" s="20"/>
      <c r="O186" s="192"/>
      <c r="P186" s="193"/>
      <c r="Q186" s="193"/>
      <c r="R186" s="193"/>
      <c r="S186" s="200" t="s">
        <v>371</v>
      </c>
      <c r="T186" s="194"/>
      <c r="U186" s="20"/>
      <c r="V186" s="202"/>
      <c r="W186" s="20"/>
      <c r="X186" s="20"/>
      <c r="Y186" s="20"/>
      <c r="Z186" s="201"/>
      <c r="AA186" s="201" t="s">
        <v>181</v>
      </c>
      <c r="AB186" s="201"/>
      <c r="AC186" s="203"/>
      <c r="AD186" s="20"/>
      <c r="AE186" s="207" t="s">
        <v>112</v>
      </c>
      <c r="AF186" s="53" t="s">
        <v>370</v>
      </c>
      <c r="AG186" s="60">
        <v>120</v>
      </c>
      <c r="AH186" s="55"/>
      <c r="AI186" s="34"/>
      <c r="AJ186" s="94"/>
      <c r="AK186" s="145"/>
      <c r="AL186" s="146"/>
      <c r="AM186" s="91">
        <v>2016</v>
      </c>
      <c r="AN186" s="91">
        <v>2015</v>
      </c>
      <c r="AO186" s="129" t="s">
        <v>103</v>
      </c>
      <c r="AP186" s="170"/>
      <c r="AQ186" s="170"/>
      <c r="AR186" s="142" t="s">
        <v>104</v>
      </c>
      <c r="AS186" s="142" t="s">
        <v>121</v>
      </c>
      <c r="AT186" s="142" t="s">
        <v>377</v>
      </c>
      <c r="AU186" s="142" t="s">
        <v>347</v>
      </c>
      <c r="AV186" s="142" t="s">
        <v>378</v>
      </c>
      <c r="AW186" s="142" t="s">
        <v>379</v>
      </c>
      <c r="AX186" s="142" t="s">
        <v>377</v>
      </c>
      <c r="AY186" s="142" t="s">
        <v>268</v>
      </c>
      <c r="AZ186" s="142" t="s">
        <v>337</v>
      </c>
      <c r="BA186" s="142" t="s">
        <v>337</v>
      </c>
      <c r="BB186" s="142" t="s">
        <v>375</v>
      </c>
      <c r="BC186" s="142" t="s">
        <v>375</v>
      </c>
      <c r="BD186" s="142" t="s">
        <v>126</v>
      </c>
      <c r="BE186" s="142" t="s">
        <v>350</v>
      </c>
      <c r="BF186" s="142" t="s">
        <v>612</v>
      </c>
      <c r="BG186" s="20"/>
      <c r="BH186" s="20"/>
      <c r="BI186" s="142" t="s">
        <v>121</v>
      </c>
      <c r="BJ186" s="142" t="s">
        <v>377</v>
      </c>
      <c r="BK186" s="142" t="s">
        <v>347</v>
      </c>
      <c r="BL186" s="142" t="s">
        <v>378</v>
      </c>
      <c r="BM186" s="142" t="s">
        <v>379</v>
      </c>
      <c r="BN186" s="142" t="s">
        <v>377</v>
      </c>
      <c r="BO186" s="142" t="s">
        <v>268</v>
      </c>
      <c r="BP186" s="142" t="s">
        <v>337</v>
      </c>
      <c r="BQ186" s="142" t="s">
        <v>337</v>
      </c>
      <c r="BR186" s="142" t="s">
        <v>375</v>
      </c>
      <c r="BS186" s="142" t="s">
        <v>375</v>
      </c>
      <c r="BT186" s="142" t="s">
        <v>126</v>
      </c>
      <c r="BU186" s="142" t="s">
        <v>350</v>
      </c>
      <c r="BV186" s="142" t="s">
        <v>612</v>
      </c>
      <c r="BW186" s="34"/>
    </row>
    <row r="187" spans="1:75" s="42" customFormat="1" ht="18.75" x14ac:dyDescent="0.3">
      <c r="A187" s="20"/>
      <c r="B187" s="173"/>
      <c r="C187" s="92" t="s">
        <v>56</v>
      </c>
      <c r="D187" s="41" t="s">
        <v>371</v>
      </c>
      <c r="E187" s="41" t="s">
        <v>371</v>
      </c>
      <c r="F187" s="26" t="s">
        <v>59</v>
      </c>
      <c r="G187" s="26"/>
      <c r="H187" s="26"/>
      <c r="I187" s="26"/>
      <c r="J187" s="41" t="s">
        <v>371</v>
      </c>
      <c r="K187" s="41" t="s">
        <v>371</v>
      </c>
      <c r="L187" s="174"/>
      <c r="M187" s="20"/>
      <c r="N187" s="175"/>
      <c r="O187" s="195"/>
      <c r="P187" s="131" t="s">
        <v>9</v>
      </c>
      <c r="Q187" s="131"/>
      <c r="R187" s="175"/>
      <c r="S187" s="175">
        <v>20500</v>
      </c>
      <c r="T187" s="196"/>
      <c r="U187" s="175"/>
      <c r="V187" s="202"/>
      <c r="W187" s="20"/>
      <c r="X187" s="20"/>
      <c r="Y187" s="20"/>
      <c r="Z187" s="201" t="s">
        <v>96</v>
      </c>
      <c r="AA187" s="201" t="s">
        <v>182</v>
      </c>
      <c r="AB187" s="201" t="s">
        <v>98</v>
      </c>
      <c r="AC187" s="203"/>
      <c r="AD187" s="20"/>
      <c r="AE187" s="188" t="s">
        <v>113</v>
      </c>
      <c r="AF187" s="71" t="s">
        <v>241</v>
      </c>
      <c r="AG187" s="79"/>
      <c r="AH187" s="70">
        <f>+AG186</f>
        <v>120</v>
      </c>
      <c r="AI187" s="34"/>
      <c r="AJ187" s="94"/>
      <c r="AK187" s="130"/>
      <c r="AL187" s="53" t="s">
        <v>1</v>
      </c>
      <c r="AM187" s="55">
        <f t="shared" ref="AM187:AN190" si="0">+D189</f>
        <v>1000</v>
      </c>
      <c r="AN187" s="55">
        <f t="shared" si="0"/>
        <v>800</v>
      </c>
      <c r="AO187" s="80">
        <f>+AN187-AM187</f>
        <v>-200</v>
      </c>
      <c r="AP187" s="171">
        <f t="shared" ref="AP187:AP212" ca="1" si="1">SUMIF(AF:AH,AL187,AG:AG)</f>
        <v>0</v>
      </c>
      <c r="AQ187" s="171">
        <f t="shared" ref="AQ187:AQ212" ca="1" si="2">SUMIF(AF:AH,AL187,AH:AH)</f>
        <v>0</v>
      </c>
      <c r="AR187" s="60">
        <f t="shared" ref="AR187:AR212" ca="1" si="3">+AO187+AQ187-AP187</f>
        <v>-200</v>
      </c>
      <c r="AS187" s="80"/>
      <c r="AT187" s="80"/>
      <c r="AU187" s="80"/>
      <c r="AV187" s="80"/>
      <c r="AW187" s="80"/>
      <c r="AX187" s="80"/>
      <c r="AY187" s="80"/>
      <c r="AZ187" s="80"/>
      <c r="BA187" s="80"/>
      <c r="BB187" s="80"/>
      <c r="BC187" s="80"/>
      <c r="BD187" s="80"/>
      <c r="BE187" s="80"/>
      <c r="BF187" s="80"/>
      <c r="BG187" s="20"/>
      <c r="BH187" s="20"/>
      <c r="BI187" s="155">
        <f t="shared" ref="BI187:BV187" ca="1" si="4">+AS213</f>
        <v>19980</v>
      </c>
      <c r="BJ187" s="155">
        <f t="shared" ca="1" si="4"/>
        <v>1400</v>
      </c>
      <c r="BK187" s="139">
        <f t="shared" ca="1" si="4"/>
        <v>-1660</v>
      </c>
      <c r="BL187" s="139">
        <f t="shared" ca="1" si="4"/>
        <v>-1450</v>
      </c>
      <c r="BM187" s="139">
        <f t="shared" ca="1" si="4"/>
        <v>-612</v>
      </c>
      <c r="BN187" s="139">
        <f t="shared" ca="1" si="4"/>
        <v>-215</v>
      </c>
      <c r="BO187" s="139">
        <f t="shared" ca="1" si="4"/>
        <v>-850</v>
      </c>
      <c r="BP187" s="139">
        <f t="shared" ca="1" si="4"/>
        <v>-1596</v>
      </c>
      <c r="BQ187" s="139">
        <f t="shared" ca="1" si="4"/>
        <v>20</v>
      </c>
      <c r="BR187" s="139">
        <f t="shared" si="4"/>
        <v>2000</v>
      </c>
      <c r="BS187" s="139">
        <f t="shared" ca="1" si="4"/>
        <v>-860</v>
      </c>
      <c r="BT187" s="139">
        <f t="shared" ca="1" si="4"/>
        <v>160</v>
      </c>
      <c r="BU187" s="139">
        <f t="shared" ca="1" si="4"/>
        <v>-15617</v>
      </c>
      <c r="BV187" s="139">
        <f t="shared" ca="1" si="4"/>
        <v>-500</v>
      </c>
      <c r="BW187" s="34"/>
    </row>
    <row r="188" spans="1:75" s="42" customFormat="1" ht="18.75" x14ac:dyDescent="0.3">
      <c r="A188" s="20"/>
      <c r="B188" s="173"/>
      <c r="C188" s="92" t="s">
        <v>57</v>
      </c>
      <c r="D188" s="35"/>
      <c r="E188" s="35"/>
      <c r="F188" s="26" t="s">
        <v>61</v>
      </c>
      <c r="G188" s="26"/>
      <c r="H188" s="26"/>
      <c r="I188" s="26"/>
      <c r="J188" s="26"/>
      <c r="K188" s="93"/>
      <c r="L188" s="176"/>
      <c r="M188" s="20"/>
      <c r="N188" s="175"/>
      <c r="O188" s="195"/>
      <c r="P188" s="131" t="s">
        <v>10</v>
      </c>
      <c r="Q188" s="131"/>
      <c r="R188" s="175"/>
      <c r="S188" s="179">
        <v>-1460</v>
      </c>
      <c r="T188" s="196"/>
      <c r="U188" s="175"/>
      <c r="V188" s="202"/>
      <c r="W188" s="20"/>
      <c r="X188" s="20"/>
      <c r="Y188" s="20"/>
      <c r="Z188" s="201" t="s">
        <v>97</v>
      </c>
      <c r="AA188" s="201" t="s">
        <v>183</v>
      </c>
      <c r="AB188" s="201" t="s">
        <v>274</v>
      </c>
      <c r="AC188" s="203" t="s">
        <v>40</v>
      </c>
      <c r="AD188" s="20"/>
      <c r="AE188" s="20"/>
      <c r="AF188" s="20"/>
      <c r="AG188" s="34"/>
      <c r="AH188" s="34"/>
      <c r="AI188" s="34"/>
      <c r="AJ188" s="94"/>
      <c r="AK188" s="130" t="s">
        <v>259</v>
      </c>
      <c r="AL188" s="53" t="s">
        <v>370</v>
      </c>
      <c r="AM188" s="55">
        <f t="shared" si="0"/>
        <v>2000</v>
      </c>
      <c r="AN188" s="55">
        <f t="shared" si="0"/>
        <v>1600</v>
      </c>
      <c r="AO188" s="60">
        <f t="shared" ref="AO188:AO212" si="5">+AN188-AM188</f>
        <v>-400</v>
      </c>
      <c r="AP188" s="171">
        <f t="shared" ca="1" si="1"/>
        <v>120</v>
      </c>
      <c r="AQ188" s="171">
        <f t="shared" ca="1" si="2"/>
        <v>0</v>
      </c>
      <c r="AR188" s="60">
        <f t="shared" ca="1" si="3"/>
        <v>-520</v>
      </c>
      <c r="AS188" s="60">
        <f ca="1">+AR188</f>
        <v>-520</v>
      </c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34">
        <f ca="1">AR188-SUM(AS188:BF188)</f>
        <v>0</v>
      </c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34"/>
      <c r="BW188" s="34"/>
    </row>
    <row r="189" spans="1:75" s="42" customFormat="1" ht="18.75" x14ac:dyDescent="0.3">
      <c r="A189" s="20"/>
      <c r="B189" s="173"/>
      <c r="C189" s="94" t="s">
        <v>1</v>
      </c>
      <c r="D189" s="95">
        <v>1000</v>
      </c>
      <c r="E189" s="95">
        <v>800</v>
      </c>
      <c r="F189" s="20" t="s">
        <v>369</v>
      </c>
      <c r="G189" s="20"/>
      <c r="H189" s="20"/>
      <c r="I189" s="20"/>
      <c r="J189" s="95">
        <v>1620</v>
      </c>
      <c r="K189" s="96">
        <v>2900</v>
      </c>
      <c r="L189" s="176" t="s">
        <v>259</v>
      </c>
      <c r="M189" s="20"/>
      <c r="N189" s="132"/>
      <c r="O189" s="195"/>
      <c r="P189" s="181" t="s">
        <v>13</v>
      </c>
      <c r="Q189" s="181"/>
      <c r="R189" s="175"/>
      <c r="S189" s="180">
        <f>+S187+S188</f>
        <v>19040</v>
      </c>
      <c r="T189" s="198"/>
      <c r="U189" s="132"/>
      <c r="V189" s="202"/>
      <c r="W189" s="20"/>
      <c r="X189" s="20"/>
      <c r="Y189" s="20"/>
      <c r="Z189" s="201" t="s">
        <v>371</v>
      </c>
      <c r="AA189" s="201" t="s">
        <v>371</v>
      </c>
      <c r="AB189" s="201" t="s">
        <v>371</v>
      </c>
      <c r="AC189" s="203" t="s">
        <v>371</v>
      </c>
      <c r="AD189" s="20"/>
      <c r="AE189" s="20"/>
      <c r="AF189" s="20"/>
      <c r="AG189" s="160" t="s">
        <v>110</v>
      </c>
      <c r="AH189" s="160" t="s">
        <v>111</v>
      </c>
      <c r="AI189" s="163"/>
      <c r="AJ189" s="94"/>
      <c r="AK189" s="130" t="s">
        <v>259</v>
      </c>
      <c r="AL189" s="53" t="str">
        <f>+C191</f>
        <v>Intereses por cobrar</v>
      </c>
      <c r="AM189" s="55">
        <f t="shared" si="0"/>
        <v>200</v>
      </c>
      <c r="AN189" s="55">
        <f t="shared" si="0"/>
        <v>1400</v>
      </c>
      <c r="AO189" s="60">
        <f t="shared" si="5"/>
        <v>1200</v>
      </c>
      <c r="AP189" s="171">
        <f t="shared" ca="1" si="1"/>
        <v>0</v>
      </c>
      <c r="AQ189" s="171">
        <f t="shared" ca="1" si="2"/>
        <v>0</v>
      </c>
      <c r="AR189" s="60">
        <f t="shared" ca="1" si="3"/>
        <v>1200</v>
      </c>
      <c r="AS189" s="60"/>
      <c r="AT189" s="60">
        <f ca="1">+AR189</f>
        <v>1200</v>
      </c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34">
        <f t="shared" ref="BG189:BG212" ca="1" si="6">AR189-SUM(AS189:BF189)</f>
        <v>0</v>
      </c>
      <c r="BH189" s="20"/>
      <c r="BI189" s="20"/>
      <c r="BJ189" s="20"/>
      <c r="BK189" s="16" t="s">
        <v>368</v>
      </c>
      <c r="BL189" s="17"/>
      <c r="BM189" s="17"/>
      <c r="BN189" s="17"/>
      <c r="BO189" s="17"/>
      <c r="BP189" s="17"/>
      <c r="BQ189" s="17"/>
      <c r="BR189" s="17"/>
      <c r="BS189" s="20"/>
      <c r="BT189" s="20"/>
      <c r="BU189" s="20"/>
      <c r="BV189" s="34"/>
      <c r="BW189" s="34"/>
    </row>
    <row r="190" spans="1:75" s="42" customFormat="1" ht="18.75" x14ac:dyDescent="0.3">
      <c r="A190" s="20"/>
      <c r="B190" s="173" t="s">
        <v>259</v>
      </c>
      <c r="C190" s="94" t="s">
        <v>370</v>
      </c>
      <c r="D190" s="95">
        <v>2000</v>
      </c>
      <c r="E190" s="95">
        <v>1600</v>
      </c>
      <c r="F190" s="20" t="s">
        <v>5</v>
      </c>
      <c r="G190" s="20"/>
      <c r="H190" s="20"/>
      <c r="I190" s="20"/>
      <c r="J190" s="95">
        <v>350</v>
      </c>
      <c r="K190" s="96">
        <v>500</v>
      </c>
      <c r="L190" s="176" t="s">
        <v>259</v>
      </c>
      <c r="M190" s="20"/>
      <c r="N190" s="132"/>
      <c r="O190" s="195"/>
      <c r="P190" s="131"/>
      <c r="Q190" s="131"/>
      <c r="R190" s="175"/>
      <c r="S190" s="175"/>
      <c r="T190" s="196"/>
      <c r="U190" s="132"/>
      <c r="V190" s="202"/>
      <c r="W190" s="20"/>
      <c r="X190" s="20"/>
      <c r="Y190" s="20"/>
      <c r="Z190" s="201"/>
      <c r="AA190" s="201"/>
      <c r="AB190" s="201"/>
      <c r="AC190" s="203"/>
      <c r="AD190" s="20"/>
      <c r="AE190" s="20"/>
      <c r="AF190" s="210" t="s">
        <v>174</v>
      </c>
      <c r="AG190" s="60"/>
      <c r="AH190" s="55"/>
      <c r="AI190" s="34"/>
      <c r="AJ190" s="94"/>
      <c r="AK190" s="130" t="s">
        <v>259</v>
      </c>
      <c r="AL190" s="53" t="s">
        <v>2</v>
      </c>
      <c r="AM190" s="55">
        <f t="shared" si="0"/>
        <v>1700</v>
      </c>
      <c r="AN190" s="55">
        <f t="shared" si="0"/>
        <v>2780</v>
      </c>
      <c r="AO190" s="60">
        <f t="shared" si="5"/>
        <v>1080</v>
      </c>
      <c r="AP190" s="171">
        <f t="shared" ca="1" si="1"/>
        <v>300</v>
      </c>
      <c r="AQ190" s="171">
        <f t="shared" ca="1" si="2"/>
        <v>0</v>
      </c>
      <c r="AR190" s="60">
        <f t="shared" ca="1" si="3"/>
        <v>780</v>
      </c>
      <c r="AS190" s="60"/>
      <c r="AT190" s="60"/>
      <c r="AU190" s="60">
        <f ca="1">+AR190</f>
        <v>780</v>
      </c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/>
      <c r="BG190" s="34">
        <f t="shared" ca="1" si="6"/>
        <v>0</v>
      </c>
      <c r="BH190" s="20"/>
      <c r="BI190" s="20"/>
      <c r="BJ190" s="20"/>
      <c r="BK190" s="16" t="s">
        <v>382</v>
      </c>
      <c r="BL190" s="17"/>
      <c r="BM190" s="17"/>
      <c r="BN190" s="17"/>
      <c r="BO190" s="17"/>
      <c r="BP190" s="17"/>
      <c r="BQ190" s="17"/>
      <c r="BR190" s="17"/>
      <c r="BS190" s="20"/>
      <c r="BT190" s="20"/>
      <c r="BU190" s="20"/>
      <c r="BV190" s="34"/>
      <c r="BW190" s="34"/>
    </row>
    <row r="191" spans="1:75" s="42" customFormat="1" ht="18.75" x14ac:dyDescent="0.3">
      <c r="A191" s="20"/>
      <c r="B191" s="173" t="s">
        <v>259</v>
      </c>
      <c r="C191" s="94" t="s">
        <v>249</v>
      </c>
      <c r="D191" s="95">
        <v>200</v>
      </c>
      <c r="E191" s="95">
        <v>1400</v>
      </c>
      <c r="F191" s="20" t="s">
        <v>23</v>
      </c>
      <c r="G191" s="20"/>
      <c r="H191" s="20"/>
      <c r="I191" s="20"/>
      <c r="J191" s="95">
        <v>78</v>
      </c>
      <c r="K191" s="96">
        <v>90</v>
      </c>
      <c r="L191" s="176" t="s">
        <v>259</v>
      </c>
      <c r="M191" s="20"/>
      <c r="N191" s="180"/>
      <c r="O191" s="195"/>
      <c r="P191" s="131" t="s">
        <v>44</v>
      </c>
      <c r="Q191" s="131"/>
      <c r="R191" s="175"/>
      <c r="S191" s="132">
        <f>-1000-300</f>
        <v>-1300</v>
      </c>
      <c r="T191" s="197"/>
      <c r="U191" s="180"/>
      <c r="V191" s="150" t="s">
        <v>30</v>
      </c>
      <c r="W191" s="147"/>
      <c r="X191" s="147"/>
      <c r="Y191" s="147"/>
      <c r="Z191" s="147">
        <f>+K199</f>
        <v>1240</v>
      </c>
      <c r="AA191" s="147">
        <v>0</v>
      </c>
      <c r="AB191" s="147">
        <f>+K201</f>
        <v>2782</v>
      </c>
      <c r="AC191" s="151">
        <f t="shared" ref="AC191:AC196" si="7">SUM(Z191:AB191)</f>
        <v>4022</v>
      </c>
      <c r="AD191" s="20"/>
      <c r="AE191" s="207" t="s">
        <v>112</v>
      </c>
      <c r="AF191" s="53" t="s">
        <v>2</v>
      </c>
      <c r="AG191" s="60">
        <v>300</v>
      </c>
      <c r="AH191" s="55"/>
      <c r="AI191" s="34"/>
      <c r="AJ191" s="94"/>
      <c r="AK191" s="130"/>
      <c r="AL191" s="53" t="s">
        <v>150</v>
      </c>
      <c r="AM191" s="55">
        <f>+D196</f>
        <v>400</v>
      </c>
      <c r="AN191" s="55">
        <f>+E196</f>
        <v>300</v>
      </c>
      <c r="AO191" s="60">
        <f t="shared" si="5"/>
        <v>-100</v>
      </c>
      <c r="AP191" s="171">
        <f t="shared" ca="1" si="1"/>
        <v>0</v>
      </c>
      <c r="AQ191" s="171">
        <f t="shared" ca="1" si="2"/>
        <v>100</v>
      </c>
      <c r="AR191" s="60">
        <f t="shared" ca="1" si="3"/>
        <v>0</v>
      </c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34">
        <f t="shared" ca="1" si="6"/>
        <v>0</v>
      </c>
      <c r="BH191" s="20"/>
      <c r="BI191" s="20"/>
      <c r="BJ191" s="20"/>
      <c r="BK191" s="17" t="s">
        <v>102</v>
      </c>
      <c r="BL191" s="17"/>
      <c r="BM191" s="17"/>
      <c r="BN191" s="17"/>
      <c r="BO191" s="17"/>
      <c r="BP191" s="17"/>
      <c r="BQ191" s="17"/>
      <c r="BR191" s="17"/>
      <c r="BS191" s="20"/>
      <c r="BT191" s="20"/>
      <c r="BU191" s="20"/>
      <c r="BV191" s="34"/>
      <c r="BW191" s="34"/>
    </row>
    <row r="192" spans="1:75" s="42" customFormat="1" ht="18.75" x14ac:dyDescent="0.3">
      <c r="A192" s="20"/>
      <c r="B192" s="173" t="s">
        <v>259</v>
      </c>
      <c r="C192" s="94" t="s">
        <v>2</v>
      </c>
      <c r="D192" s="97">
        <v>1700</v>
      </c>
      <c r="E192" s="97">
        <v>2780</v>
      </c>
      <c r="F192" s="20" t="s">
        <v>251</v>
      </c>
      <c r="G192" s="20"/>
      <c r="H192" s="20"/>
      <c r="I192" s="20"/>
      <c r="J192" s="95">
        <v>118</v>
      </c>
      <c r="K192" s="96">
        <v>228</v>
      </c>
      <c r="L192" s="176" t="s">
        <v>259</v>
      </c>
      <c r="M192" s="20"/>
      <c r="N192" s="175"/>
      <c r="O192" s="195"/>
      <c r="P192" s="131" t="s">
        <v>38</v>
      </c>
      <c r="Q192" s="131"/>
      <c r="R192" s="175"/>
      <c r="S192" s="132">
        <f>-600-400</f>
        <v>-1000</v>
      </c>
      <c r="T192" s="197"/>
      <c r="U192" s="175"/>
      <c r="V192" s="152" t="s">
        <v>522</v>
      </c>
      <c r="W192" s="95"/>
      <c r="X192" s="95"/>
      <c r="Y192" s="95"/>
      <c r="Z192" s="127">
        <v>0</v>
      </c>
      <c r="AA192" s="127">
        <v>0</v>
      </c>
      <c r="AB192" s="127">
        <f>S201</f>
        <v>14885</v>
      </c>
      <c r="AC192" s="153">
        <f t="shared" si="7"/>
        <v>14885</v>
      </c>
      <c r="AD192" s="20"/>
      <c r="AE192" s="188" t="s">
        <v>113</v>
      </c>
      <c r="AF192" s="71" t="s">
        <v>264</v>
      </c>
      <c r="AG192" s="79"/>
      <c r="AH192" s="70">
        <f>+AG191</f>
        <v>300</v>
      </c>
      <c r="AI192" s="34"/>
      <c r="AJ192" s="94"/>
      <c r="AK192" s="130" t="s">
        <v>260</v>
      </c>
      <c r="AL192" s="211" t="s">
        <v>263</v>
      </c>
      <c r="AM192" s="55">
        <f>+D197</f>
        <v>3346</v>
      </c>
      <c r="AN192" s="55">
        <f>+E197</f>
        <v>2650</v>
      </c>
      <c r="AO192" s="60">
        <f t="shared" si="5"/>
        <v>-696</v>
      </c>
      <c r="AP192" s="171">
        <f t="shared" ca="1" si="1"/>
        <v>1000</v>
      </c>
      <c r="AQ192" s="171">
        <f t="shared" ca="1" si="2"/>
        <v>100</v>
      </c>
      <c r="AR192" s="60">
        <f t="shared" ca="1" si="3"/>
        <v>-1596</v>
      </c>
      <c r="AS192" s="60"/>
      <c r="AT192" s="60"/>
      <c r="AU192" s="60"/>
      <c r="AV192" s="60"/>
      <c r="AW192" s="60"/>
      <c r="AX192" s="60"/>
      <c r="AY192" s="60"/>
      <c r="AZ192" s="60">
        <f ca="1">+AR192</f>
        <v>-1596</v>
      </c>
      <c r="BA192" s="60"/>
      <c r="BB192" s="60"/>
      <c r="BC192" s="60"/>
      <c r="BD192" s="60"/>
      <c r="BE192" s="60"/>
      <c r="BF192" s="60"/>
      <c r="BG192" s="34">
        <f t="shared" ca="1" si="6"/>
        <v>0</v>
      </c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35" t="s">
        <v>371</v>
      </c>
      <c r="BS192" s="20"/>
      <c r="BT192" s="20"/>
      <c r="BU192" s="20"/>
      <c r="BV192" s="34"/>
      <c r="BW192" s="34"/>
    </row>
    <row r="193" spans="1:75" s="42" customFormat="1" ht="18.75" x14ac:dyDescent="0.3">
      <c r="A193" s="20"/>
      <c r="B193" s="173"/>
      <c r="C193" s="92"/>
      <c r="D193" s="99">
        <f>SUM(D189:D192)</f>
        <v>4900</v>
      </c>
      <c r="E193" s="99">
        <f>SUM(E189:E192)</f>
        <v>6580</v>
      </c>
      <c r="F193" s="20" t="s">
        <v>6</v>
      </c>
      <c r="G193" s="20"/>
      <c r="H193" s="20"/>
      <c r="I193" s="20"/>
      <c r="J193" s="97">
        <f>190+2590</f>
        <v>2780</v>
      </c>
      <c r="K193" s="98">
        <f>190+1600</f>
        <v>1790</v>
      </c>
      <c r="L193" s="176" t="s">
        <v>261</v>
      </c>
      <c r="M193" s="20"/>
      <c r="N193" s="132"/>
      <c r="O193" s="195"/>
      <c r="P193" s="131" t="s">
        <v>12</v>
      </c>
      <c r="Q193" s="131"/>
      <c r="R193" s="180"/>
      <c r="S193" s="132">
        <v>-850</v>
      </c>
      <c r="T193" s="197"/>
      <c r="U193" s="132"/>
      <c r="V193" s="152" t="s">
        <v>270</v>
      </c>
      <c r="W193" s="95"/>
      <c r="X193" s="95"/>
      <c r="Y193" s="95"/>
      <c r="Z193" s="127">
        <v>0</v>
      </c>
      <c r="AA193" s="127">
        <f>+J200</f>
        <v>70</v>
      </c>
      <c r="AB193" s="127"/>
      <c r="AC193" s="153">
        <f t="shared" si="7"/>
        <v>70</v>
      </c>
      <c r="AD193" s="20"/>
      <c r="AE193" s="20"/>
      <c r="AF193" s="20"/>
      <c r="AG193" s="34"/>
      <c r="AH193" s="34"/>
      <c r="AI193" s="34"/>
      <c r="AJ193" s="94"/>
      <c r="AK193" s="133" t="s">
        <v>259</v>
      </c>
      <c r="AL193" s="53" t="s">
        <v>369</v>
      </c>
      <c r="AM193" s="55">
        <f t="shared" ref="AM193:AN197" si="8">-J189</f>
        <v>-1620</v>
      </c>
      <c r="AN193" s="55">
        <f t="shared" si="8"/>
        <v>-2900</v>
      </c>
      <c r="AO193" s="60">
        <f t="shared" si="5"/>
        <v>-1280</v>
      </c>
      <c r="AP193" s="171">
        <f t="shared" ca="1" si="1"/>
        <v>0</v>
      </c>
      <c r="AQ193" s="171">
        <f t="shared" ca="1" si="2"/>
        <v>0</v>
      </c>
      <c r="AR193" s="60">
        <f t="shared" ca="1" si="3"/>
        <v>-1280</v>
      </c>
      <c r="AS193" s="60"/>
      <c r="AT193" s="60"/>
      <c r="AU193" s="60">
        <f ca="1">+AR193</f>
        <v>-1280</v>
      </c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60"/>
      <c r="BG193" s="34">
        <f t="shared" ca="1" si="6"/>
        <v>0</v>
      </c>
      <c r="BH193" s="20"/>
      <c r="BI193" s="20"/>
      <c r="BJ193" s="20"/>
      <c r="BK193" s="26" t="s">
        <v>51</v>
      </c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34"/>
      <c r="BW193" s="34"/>
    </row>
    <row r="194" spans="1:75" s="42" customFormat="1" ht="18.75" x14ac:dyDescent="0.3">
      <c r="A194" s="20"/>
      <c r="B194" s="173"/>
      <c r="C194" s="92"/>
      <c r="D194" s="95"/>
      <c r="E194" s="95"/>
      <c r="F194" s="20"/>
      <c r="G194" s="20"/>
      <c r="H194" s="20"/>
      <c r="I194" s="20"/>
      <c r="J194" s="183">
        <f>SUM(J189:J193)</f>
        <v>4946</v>
      </c>
      <c r="K194" s="184">
        <f>SUM(K189:K193)</f>
        <v>5508</v>
      </c>
      <c r="L194" s="173"/>
      <c r="M194" s="20"/>
      <c r="N194" s="132"/>
      <c r="O194" s="195"/>
      <c r="P194" s="131" t="s">
        <v>241</v>
      </c>
      <c r="Q194" s="131"/>
      <c r="R194" s="131"/>
      <c r="S194" s="179">
        <v>-100</v>
      </c>
      <c r="T194" s="197"/>
      <c r="U194" s="132"/>
      <c r="V194" s="152" t="s">
        <v>271</v>
      </c>
      <c r="W194" s="99"/>
      <c r="X194" s="99"/>
      <c r="Y194" s="99"/>
      <c r="Z194" s="127">
        <f>+AG212</f>
        <v>150</v>
      </c>
      <c r="AA194" s="127">
        <v>0</v>
      </c>
      <c r="AB194" s="127">
        <v>0</v>
      </c>
      <c r="AC194" s="153">
        <f t="shared" si="7"/>
        <v>150</v>
      </c>
      <c r="AD194" s="20"/>
      <c r="AE194" s="20"/>
      <c r="AF194" s="20"/>
      <c r="AG194" s="160" t="s">
        <v>110</v>
      </c>
      <c r="AH194" s="160" t="s">
        <v>111</v>
      </c>
      <c r="AI194" s="163"/>
      <c r="AJ194" s="94"/>
      <c r="AK194" s="133" t="s">
        <v>259</v>
      </c>
      <c r="AL194" s="53" t="s">
        <v>5</v>
      </c>
      <c r="AM194" s="55">
        <f t="shared" si="8"/>
        <v>-350</v>
      </c>
      <c r="AN194" s="55">
        <f t="shared" si="8"/>
        <v>-500</v>
      </c>
      <c r="AO194" s="60">
        <f t="shared" si="5"/>
        <v>-150</v>
      </c>
      <c r="AP194" s="171">
        <f t="shared" ca="1" si="1"/>
        <v>0</v>
      </c>
      <c r="AQ194" s="171">
        <f t="shared" ca="1" si="2"/>
        <v>0</v>
      </c>
      <c r="AR194" s="60">
        <f t="shared" ca="1" si="3"/>
        <v>-150</v>
      </c>
      <c r="AS194" s="60"/>
      <c r="AT194" s="60"/>
      <c r="AU194" s="60"/>
      <c r="AV194" s="60">
        <f ca="1">+AR194</f>
        <v>-150</v>
      </c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34">
        <f t="shared" ca="1" si="6"/>
        <v>0</v>
      </c>
      <c r="BH194" s="20"/>
      <c r="BI194" s="20"/>
      <c r="BJ194" s="20"/>
      <c r="BK194" s="20" t="s">
        <v>248</v>
      </c>
      <c r="BL194" s="20"/>
      <c r="BM194" s="20"/>
      <c r="BN194" s="20"/>
      <c r="BO194" s="20"/>
      <c r="BP194" s="20"/>
      <c r="BQ194" s="20"/>
      <c r="BR194" s="34">
        <f ca="1">+BI187</f>
        <v>19980</v>
      </c>
      <c r="BS194" s="20"/>
      <c r="BT194" s="20"/>
      <c r="BU194" s="20"/>
      <c r="BV194" s="34"/>
      <c r="BW194" s="34"/>
    </row>
    <row r="195" spans="1:75" s="42" customFormat="1" ht="18.75" x14ac:dyDescent="0.3">
      <c r="A195" s="20"/>
      <c r="B195" s="173"/>
      <c r="C195" s="92" t="s">
        <v>58</v>
      </c>
      <c r="D195" s="95"/>
      <c r="E195" s="95"/>
      <c r="F195" s="26" t="s">
        <v>60</v>
      </c>
      <c r="G195" s="26"/>
      <c r="H195" s="26"/>
      <c r="I195" s="26"/>
      <c r="J195" s="20"/>
      <c r="K195" s="124"/>
      <c r="L195" s="176"/>
      <c r="M195" s="20"/>
      <c r="N195" s="132"/>
      <c r="O195" s="195"/>
      <c r="P195" s="181" t="s">
        <v>14</v>
      </c>
      <c r="Q195" s="181"/>
      <c r="R195" s="175"/>
      <c r="S195" s="180">
        <f>SUM(S189:S194)</f>
        <v>15790</v>
      </c>
      <c r="T195" s="198"/>
      <c r="U195" s="132"/>
      <c r="V195" s="152" t="s">
        <v>381</v>
      </c>
      <c r="W195" s="99"/>
      <c r="X195" s="99"/>
      <c r="Y195" s="99"/>
      <c r="Z195" s="127">
        <f>-AB195</f>
        <v>50</v>
      </c>
      <c r="AA195" s="127">
        <v>0</v>
      </c>
      <c r="AB195" s="34">
        <v>-50</v>
      </c>
      <c r="AC195" s="153">
        <f t="shared" si="7"/>
        <v>0</v>
      </c>
      <c r="AD195" s="20"/>
      <c r="AE195" s="20"/>
      <c r="AF195" s="210" t="s">
        <v>150</v>
      </c>
      <c r="AG195" s="78"/>
      <c r="AH195" s="69"/>
      <c r="AI195" s="34"/>
      <c r="AJ195" s="94"/>
      <c r="AK195" s="133" t="s">
        <v>259</v>
      </c>
      <c r="AL195" s="53" t="s">
        <v>23</v>
      </c>
      <c r="AM195" s="55">
        <f t="shared" si="8"/>
        <v>-78</v>
      </c>
      <c r="AN195" s="55">
        <f t="shared" si="8"/>
        <v>-90</v>
      </c>
      <c r="AO195" s="60">
        <f t="shared" si="5"/>
        <v>-12</v>
      </c>
      <c r="AP195" s="171">
        <f t="shared" ca="1" si="1"/>
        <v>0</v>
      </c>
      <c r="AQ195" s="171">
        <f t="shared" ca="1" si="2"/>
        <v>0</v>
      </c>
      <c r="AR195" s="60">
        <f t="shared" ca="1" si="3"/>
        <v>-12</v>
      </c>
      <c r="AS195" s="60"/>
      <c r="AT195" s="60"/>
      <c r="AU195" s="60"/>
      <c r="AV195" s="60"/>
      <c r="AW195" s="60">
        <f ca="1">+AR195</f>
        <v>-12</v>
      </c>
      <c r="AX195" s="60"/>
      <c r="AY195" s="60"/>
      <c r="AZ195" s="60"/>
      <c r="BA195" s="60"/>
      <c r="BB195" s="60"/>
      <c r="BC195" s="60"/>
      <c r="BD195" s="60"/>
      <c r="BE195" s="60"/>
      <c r="BF195" s="60"/>
      <c r="BG195" s="34">
        <f t="shared" ca="1" si="6"/>
        <v>0</v>
      </c>
      <c r="BH195" s="20"/>
      <c r="BI195" s="20"/>
      <c r="BJ195" s="20"/>
      <c r="BK195" s="20" t="s">
        <v>254</v>
      </c>
      <c r="BL195" s="20"/>
      <c r="BM195" s="20"/>
      <c r="BN195" s="20"/>
      <c r="BO195" s="20"/>
      <c r="BP195" s="20"/>
      <c r="BQ195" s="20"/>
      <c r="BR195" s="34">
        <f ca="1">+BJ187</f>
        <v>1400</v>
      </c>
      <c r="BS195" s="20"/>
      <c r="BT195" s="20"/>
      <c r="BU195" s="20"/>
      <c r="BV195" s="34"/>
      <c r="BW195" s="34"/>
    </row>
    <row r="196" spans="1:75" s="42" customFormat="1" ht="18.75" x14ac:dyDescent="0.3">
      <c r="A196" s="20"/>
      <c r="B196" s="173"/>
      <c r="C196" s="94" t="s">
        <v>150</v>
      </c>
      <c r="D196" s="95">
        <v>400</v>
      </c>
      <c r="E196" s="95">
        <v>300</v>
      </c>
      <c r="F196" s="20" t="s">
        <v>150</v>
      </c>
      <c r="G196" s="20"/>
      <c r="H196" s="20"/>
      <c r="I196" s="20"/>
      <c r="J196" s="97">
        <v>30</v>
      </c>
      <c r="K196" s="98">
        <v>0</v>
      </c>
      <c r="L196" s="176"/>
      <c r="M196" s="20"/>
      <c r="N196" s="132"/>
      <c r="O196" s="195"/>
      <c r="P196" s="131" t="s">
        <v>250</v>
      </c>
      <c r="Q196" s="131"/>
      <c r="R196" s="175"/>
      <c r="S196" s="175">
        <v>200</v>
      </c>
      <c r="T196" s="196"/>
      <c r="U196" s="132"/>
      <c r="V196" s="152" t="s">
        <v>272</v>
      </c>
      <c r="W196" s="99"/>
      <c r="X196" s="99"/>
      <c r="Y196" s="99"/>
      <c r="Z196" s="127">
        <f>210-50</f>
        <v>160</v>
      </c>
      <c r="AA196" s="127">
        <v>0</v>
      </c>
      <c r="AB196" s="127">
        <v>0</v>
      </c>
      <c r="AC196" s="153">
        <f t="shared" si="7"/>
        <v>160</v>
      </c>
      <c r="AD196" s="20"/>
      <c r="AE196" s="207" t="s">
        <v>113</v>
      </c>
      <c r="AF196" s="53" t="s">
        <v>15</v>
      </c>
      <c r="AG196" s="60">
        <f>+AH197</f>
        <v>100</v>
      </c>
      <c r="AH196" s="55"/>
      <c r="AI196" s="34"/>
      <c r="AJ196" s="94"/>
      <c r="AK196" s="133" t="s">
        <v>259</v>
      </c>
      <c r="AL196" s="53" t="s">
        <v>251</v>
      </c>
      <c r="AM196" s="55">
        <f t="shared" si="8"/>
        <v>-118</v>
      </c>
      <c r="AN196" s="55">
        <f t="shared" si="8"/>
        <v>-228</v>
      </c>
      <c r="AO196" s="60">
        <f t="shared" si="5"/>
        <v>-110</v>
      </c>
      <c r="AP196" s="171">
        <f t="shared" ca="1" si="1"/>
        <v>0</v>
      </c>
      <c r="AQ196" s="171">
        <f t="shared" ca="1" si="2"/>
        <v>0</v>
      </c>
      <c r="AR196" s="60">
        <f t="shared" ca="1" si="3"/>
        <v>-110</v>
      </c>
      <c r="AS196" s="60"/>
      <c r="AT196" s="60"/>
      <c r="AU196" s="60"/>
      <c r="AV196" s="60"/>
      <c r="AW196" s="60"/>
      <c r="AX196" s="60">
        <f ca="1">+AR196</f>
        <v>-110</v>
      </c>
      <c r="AY196" s="60"/>
      <c r="AZ196" s="60"/>
      <c r="BA196" s="60"/>
      <c r="BB196" s="60"/>
      <c r="BC196" s="60"/>
      <c r="BD196" s="60"/>
      <c r="BE196" s="60"/>
      <c r="BF196" s="60"/>
      <c r="BG196" s="34">
        <f t="shared" ca="1" si="6"/>
        <v>0</v>
      </c>
      <c r="BH196" s="20"/>
      <c r="BI196" s="20"/>
      <c r="BJ196" s="20"/>
      <c r="BK196" s="20" t="s">
        <v>138</v>
      </c>
      <c r="BL196" s="20"/>
      <c r="BM196" s="20"/>
      <c r="BN196" s="20"/>
      <c r="BO196" s="20"/>
      <c r="BP196" s="20"/>
      <c r="BQ196" s="20"/>
      <c r="BR196" s="34">
        <f ca="1">+BK187</f>
        <v>-1660</v>
      </c>
      <c r="BS196" s="20"/>
      <c r="BT196" s="20"/>
      <c r="BU196" s="20"/>
      <c r="BV196" s="34"/>
      <c r="BW196" s="34"/>
    </row>
    <row r="197" spans="1:75" s="42" customFormat="1" ht="18.75" x14ac:dyDescent="0.3">
      <c r="A197" s="20"/>
      <c r="B197" s="173" t="s">
        <v>260</v>
      </c>
      <c r="C197" s="94" t="s">
        <v>373</v>
      </c>
      <c r="D197" s="97">
        <f>3346</f>
        <v>3346</v>
      </c>
      <c r="E197" s="97">
        <v>2650</v>
      </c>
      <c r="F197" s="26" t="s">
        <v>55</v>
      </c>
      <c r="G197" s="26"/>
      <c r="H197" s="26"/>
      <c r="I197" s="26"/>
      <c r="J197" s="185">
        <f>+J194+J196</f>
        <v>4976</v>
      </c>
      <c r="K197" s="186">
        <f>+K194+K196</f>
        <v>5508</v>
      </c>
      <c r="L197" s="176"/>
      <c r="M197" s="20"/>
      <c r="N197" s="180"/>
      <c r="O197" s="195"/>
      <c r="P197" s="131" t="s">
        <v>45</v>
      </c>
      <c r="Q197" s="131"/>
      <c r="R197" s="175"/>
      <c r="S197" s="132">
        <v>-105</v>
      </c>
      <c r="T197" s="196"/>
      <c r="U197" s="180"/>
      <c r="V197" s="152" t="s">
        <v>273</v>
      </c>
      <c r="W197" s="95"/>
      <c r="X197" s="95"/>
      <c r="Y197" s="95"/>
      <c r="Z197" s="148">
        <v>0</v>
      </c>
      <c r="AA197" s="148">
        <v>0</v>
      </c>
      <c r="AB197" s="32">
        <v>-15617</v>
      </c>
      <c r="AC197" s="70">
        <f>+AB197</f>
        <v>-15617</v>
      </c>
      <c r="AD197" s="20"/>
      <c r="AE197" s="188" t="s">
        <v>112</v>
      </c>
      <c r="AF197" s="71" t="s">
        <v>150</v>
      </c>
      <c r="AG197" s="79"/>
      <c r="AH197" s="70">
        <f>+D196-E196</f>
        <v>100</v>
      </c>
      <c r="AI197" s="34"/>
      <c r="AJ197" s="94"/>
      <c r="AK197" s="133" t="s">
        <v>261</v>
      </c>
      <c r="AL197" s="211" t="s">
        <v>95</v>
      </c>
      <c r="AM197" s="55">
        <f t="shared" si="8"/>
        <v>-2780</v>
      </c>
      <c r="AN197" s="60">
        <f t="shared" si="8"/>
        <v>-1790</v>
      </c>
      <c r="AO197" s="60">
        <f t="shared" si="5"/>
        <v>990</v>
      </c>
      <c r="AP197" s="171">
        <f t="shared" ca="1" si="1"/>
        <v>0</v>
      </c>
      <c r="AQ197" s="171">
        <f t="shared" ca="1" si="2"/>
        <v>150</v>
      </c>
      <c r="AR197" s="60">
        <f t="shared" ca="1" si="3"/>
        <v>1140</v>
      </c>
      <c r="AS197" s="60"/>
      <c r="AT197" s="60"/>
      <c r="AU197" s="60"/>
      <c r="AV197" s="60"/>
      <c r="AW197" s="60"/>
      <c r="AX197" s="60"/>
      <c r="AY197" s="60"/>
      <c r="AZ197" s="60"/>
      <c r="BA197" s="60"/>
      <c r="BB197" s="60">
        <v>2000</v>
      </c>
      <c r="BC197" s="60">
        <f ca="1">+AR197-BB197</f>
        <v>-860</v>
      </c>
      <c r="BD197" s="60"/>
      <c r="BE197" s="60"/>
      <c r="BF197" s="60"/>
      <c r="BG197" s="34">
        <f t="shared" ca="1" si="6"/>
        <v>0</v>
      </c>
      <c r="BH197" s="20"/>
      <c r="BI197" s="20"/>
      <c r="BJ197" s="20"/>
      <c r="BK197" s="20" t="s">
        <v>279</v>
      </c>
      <c r="BL197" s="20"/>
      <c r="BM197" s="20"/>
      <c r="BN197" s="20"/>
      <c r="BO197" s="20"/>
      <c r="BP197" s="20"/>
      <c r="BQ197" s="20"/>
      <c r="BR197" s="34">
        <f ca="1">+BL187</f>
        <v>-1450</v>
      </c>
      <c r="BS197" s="20"/>
      <c r="BU197" s="20"/>
      <c r="BV197" s="34"/>
      <c r="BW197" s="34"/>
    </row>
    <row r="198" spans="1:75" s="42" customFormat="1" ht="18.75" x14ac:dyDescent="0.3">
      <c r="A198" s="20"/>
      <c r="B198" s="173"/>
      <c r="C198" s="94"/>
      <c r="D198" s="185">
        <f>+D196+D197</f>
        <v>3746</v>
      </c>
      <c r="E198" s="185">
        <f>+E196+E197</f>
        <v>2950</v>
      </c>
      <c r="F198" s="20"/>
      <c r="G198" s="20"/>
      <c r="H198" s="20"/>
      <c r="I198" s="20"/>
      <c r="J198" s="20"/>
      <c r="K198" s="184"/>
      <c r="L198" s="176"/>
      <c r="M198" s="20"/>
      <c r="N198" s="180"/>
      <c r="O198" s="195"/>
      <c r="P198" s="320" t="s">
        <v>532</v>
      </c>
      <c r="Q198" s="320"/>
      <c r="R198" s="321"/>
      <c r="S198" s="322">
        <v>-500</v>
      </c>
      <c r="T198" s="197"/>
      <c r="U198" s="180"/>
      <c r="V198" s="150" t="s">
        <v>32</v>
      </c>
      <c r="W198" s="127"/>
      <c r="X198" s="127"/>
      <c r="Y198" s="127"/>
      <c r="Z198" s="204">
        <f>SUM(Z191:Z197)</f>
        <v>1600</v>
      </c>
      <c r="AA198" s="204">
        <f>SUM(AA191:AA197)</f>
        <v>70</v>
      </c>
      <c r="AB198" s="204">
        <f>SUM(AB191:AB197)</f>
        <v>2000</v>
      </c>
      <c r="AC198" s="205">
        <f>SUM(AC191:AC197)</f>
        <v>3670</v>
      </c>
      <c r="AD198" s="20"/>
      <c r="AE198" s="20"/>
      <c r="AF198" s="20"/>
      <c r="AG198" s="34"/>
      <c r="AH198" s="34"/>
      <c r="AI198" s="34"/>
      <c r="AJ198" s="94"/>
      <c r="AK198" s="133"/>
      <c r="AL198" s="53" t="s">
        <v>433</v>
      </c>
      <c r="AM198" s="55">
        <f>-J196</f>
        <v>-30</v>
      </c>
      <c r="AN198" s="60">
        <f>-K196</f>
        <v>0</v>
      </c>
      <c r="AO198" s="60">
        <f t="shared" si="5"/>
        <v>30</v>
      </c>
      <c r="AP198" s="171">
        <f t="shared" ca="1" si="1"/>
        <v>30</v>
      </c>
      <c r="AQ198" s="171">
        <f t="shared" ca="1" si="2"/>
        <v>0</v>
      </c>
      <c r="AR198" s="60">
        <f t="shared" ca="1" si="3"/>
        <v>0</v>
      </c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34">
        <f t="shared" ca="1" si="6"/>
        <v>0</v>
      </c>
      <c r="BH198" s="20"/>
      <c r="BI198" s="20"/>
      <c r="BJ198" s="20"/>
      <c r="BK198" s="20" t="s">
        <v>137</v>
      </c>
      <c r="BL198" s="20"/>
      <c r="BM198" s="20"/>
      <c r="BN198" s="20"/>
      <c r="BO198" s="20"/>
      <c r="BP198" s="20"/>
      <c r="BQ198" s="20"/>
      <c r="BR198" s="34">
        <f ca="1">+BM187</f>
        <v>-612</v>
      </c>
      <c r="BS198" s="20"/>
      <c r="BT198" s="20"/>
      <c r="BU198" s="20"/>
      <c r="BV198" s="34"/>
      <c r="BW198" s="34"/>
    </row>
    <row r="199" spans="1:75" s="42" customFormat="1" ht="18.75" x14ac:dyDescent="0.3">
      <c r="A199" s="20"/>
      <c r="B199" s="173"/>
      <c r="C199" s="94"/>
      <c r="D199" s="99"/>
      <c r="E199" s="99"/>
      <c r="F199" s="20" t="s">
        <v>7</v>
      </c>
      <c r="G199" s="20"/>
      <c r="H199" s="20"/>
      <c r="I199" s="20"/>
      <c r="J199" s="95">
        <v>1600</v>
      </c>
      <c r="K199" s="96">
        <v>1240</v>
      </c>
      <c r="L199" s="176" t="s">
        <v>261</v>
      </c>
      <c r="M199" s="20"/>
      <c r="N199" s="175"/>
      <c r="O199" s="195"/>
      <c r="P199" s="181" t="s">
        <v>89</v>
      </c>
      <c r="Q199" s="181"/>
      <c r="R199" s="175"/>
      <c r="S199" s="180">
        <f>SUM(S195:S198)</f>
        <v>15385</v>
      </c>
      <c r="T199" s="198"/>
      <c r="U199" s="175"/>
      <c r="V199" s="106"/>
      <c r="W199" s="101"/>
      <c r="X199" s="101"/>
      <c r="Y199" s="101"/>
      <c r="Z199" s="97"/>
      <c r="AA199" s="97"/>
      <c r="AB199" s="97"/>
      <c r="AC199" s="98"/>
      <c r="AD199" s="20"/>
      <c r="AE199" s="20"/>
      <c r="AF199" s="20"/>
      <c r="AG199" s="160" t="s">
        <v>110</v>
      </c>
      <c r="AH199" s="160" t="s">
        <v>111</v>
      </c>
      <c r="AI199" s="163"/>
      <c r="AJ199" s="94"/>
      <c r="AK199" s="133" t="s">
        <v>261</v>
      </c>
      <c r="AL199" s="53" t="s">
        <v>7</v>
      </c>
      <c r="AM199" s="55">
        <f>-J199</f>
        <v>-1600</v>
      </c>
      <c r="AN199" s="55">
        <f>-K199</f>
        <v>-1240</v>
      </c>
      <c r="AO199" s="60">
        <f t="shared" si="5"/>
        <v>360</v>
      </c>
      <c r="AP199" s="171">
        <f t="shared" ca="1" si="1"/>
        <v>200</v>
      </c>
      <c r="AQ199" s="171">
        <f t="shared" ca="1" si="2"/>
        <v>0</v>
      </c>
      <c r="AR199" s="60">
        <f t="shared" ca="1" si="3"/>
        <v>160</v>
      </c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>
        <f ca="1">+AR199</f>
        <v>160</v>
      </c>
      <c r="BE199" s="60"/>
      <c r="BF199" s="60"/>
      <c r="BG199" s="34">
        <f t="shared" ca="1" si="6"/>
        <v>0</v>
      </c>
      <c r="BH199" s="20"/>
      <c r="BI199" s="20"/>
      <c r="BJ199" s="20"/>
      <c r="BK199" s="20" t="s">
        <v>269</v>
      </c>
      <c r="BL199" s="20"/>
      <c r="BM199" s="20"/>
      <c r="BN199" s="20"/>
      <c r="BO199" s="20"/>
      <c r="BP199" s="20"/>
      <c r="BQ199" s="20"/>
      <c r="BR199" s="34">
        <f ca="1">+BN187</f>
        <v>-215</v>
      </c>
      <c r="BS199" s="20"/>
      <c r="BT199" s="20"/>
      <c r="BU199" s="20"/>
      <c r="BV199" s="20"/>
      <c r="BW199" s="20"/>
    </row>
    <row r="200" spans="1:75" s="42" customFormat="1" ht="18.75" x14ac:dyDescent="0.3">
      <c r="A200" s="20"/>
      <c r="B200" s="173"/>
      <c r="C200" s="94"/>
      <c r="D200" s="20"/>
      <c r="E200" s="20"/>
      <c r="F200" s="20" t="s">
        <v>185</v>
      </c>
      <c r="G200" s="20"/>
      <c r="H200" s="20"/>
      <c r="I200" s="20"/>
      <c r="J200" s="95">
        <v>70</v>
      </c>
      <c r="K200" s="96">
        <v>0</v>
      </c>
      <c r="L200" s="176" t="s">
        <v>261</v>
      </c>
      <c r="M200" s="20"/>
      <c r="N200" s="132"/>
      <c r="O200" s="195"/>
      <c r="P200" s="131" t="s">
        <v>15</v>
      </c>
      <c r="Q200" s="131"/>
      <c r="R200" s="175"/>
      <c r="S200" s="179">
        <v>-500</v>
      </c>
      <c r="T200" s="197"/>
      <c r="U200" s="132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10" t="s">
        <v>149</v>
      </c>
      <c r="AG200" s="78"/>
      <c r="AH200" s="69"/>
      <c r="AI200" s="34"/>
      <c r="AJ200" s="94"/>
      <c r="AK200" s="133" t="s">
        <v>261</v>
      </c>
      <c r="AL200" s="53" t="s">
        <v>185</v>
      </c>
      <c r="AM200" s="55">
        <f>-J200</f>
        <v>-70</v>
      </c>
      <c r="AN200" s="55">
        <f>-K200</f>
        <v>0</v>
      </c>
      <c r="AO200" s="60">
        <f t="shared" si="5"/>
        <v>70</v>
      </c>
      <c r="AP200" s="171">
        <f t="shared" ca="1" si="1"/>
        <v>70</v>
      </c>
      <c r="AQ200" s="171">
        <f t="shared" ca="1" si="2"/>
        <v>0</v>
      </c>
      <c r="AR200" s="60">
        <f t="shared" ca="1" si="3"/>
        <v>0</v>
      </c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34">
        <f t="shared" ca="1" si="6"/>
        <v>0</v>
      </c>
      <c r="BH200" s="20"/>
      <c r="BI200" s="20"/>
      <c r="BJ200" s="20"/>
      <c r="BK200" s="20" t="s">
        <v>278</v>
      </c>
      <c r="BL200" s="20"/>
      <c r="BM200" s="20"/>
      <c r="BN200" s="20"/>
      <c r="BO200" s="20"/>
      <c r="BP200" s="20"/>
      <c r="BQ200" s="20"/>
      <c r="BR200" s="34">
        <f ca="1">+BO187</f>
        <v>-850</v>
      </c>
      <c r="BS200" s="20"/>
      <c r="BT200" s="20"/>
      <c r="BU200" s="20"/>
      <c r="BV200" s="20"/>
      <c r="BW200" s="20"/>
    </row>
    <row r="201" spans="1:75" s="42" customFormat="1" ht="18.75" x14ac:dyDescent="0.3">
      <c r="A201" s="20"/>
      <c r="B201" s="173"/>
      <c r="C201" s="94"/>
      <c r="D201" s="20"/>
      <c r="E201" s="20"/>
      <c r="F201" s="20" t="s">
        <v>8</v>
      </c>
      <c r="G201" s="20"/>
      <c r="H201" s="20"/>
      <c r="I201" s="20"/>
      <c r="J201" s="97">
        <v>2000</v>
      </c>
      <c r="K201" s="98">
        <v>2782</v>
      </c>
      <c r="L201" s="176" t="s">
        <v>261</v>
      </c>
      <c r="M201" s="20"/>
      <c r="N201" s="180"/>
      <c r="O201" s="195"/>
      <c r="P201" s="181" t="s">
        <v>16</v>
      </c>
      <c r="Q201" s="181"/>
      <c r="R201" s="175"/>
      <c r="S201" s="187">
        <f>+S199+S200</f>
        <v>14885</v>
      </c>
      <c r="T201" s="198"/>
      <c r="U201" s="180"/>
      <c r="V201" s="20"/>
      <c r="W201" s="20"/>
      <c r="X201" s="20"/>
      <c r="Y201" s="20"/>
      <c r="Z201" s="20"/>
      <c r="AA201" s="20"/>
      <c r="AB201" s="20"/>
      <c r="AC201" s="20"/>
      <c r="AD201" s="20"/>
      <c r="AE201" s="207" t="s">
        <v>112</v>
      </c>
      <c r="AF201" s="211" t="s">
        <v>263</v>
      </c>
      <c r="AG201" s="60">
        <f>+AH202</f>
        <v>1000</v>
      </c>
      <c r="AH201" s="55"/>
      <c r="AI201" s="34"/>
      <c r="AJ201" s="94"/>
      <c r="AK201" s="133" t="s">
        <v>261</v>
      </c>
      <c r="AL201" s="53" t="s">
        <v>8</v>
      </c>
      <c r="AM201" s="55">
        <f>+-(AB198-AB192)</f>
        <v>12885</v>
      </c>
      <c r="AN201" s="55">
        <f>-K201</f>
        <v>-2782</v>
      </c>
      <c r="AO201" s="60">
        <f t="shared" si="5"/>
        <v>-15667</v>
      </c>
      <c r="AP201" s="171">
        <f t="shared" ca="1" si="1"/>
        <v>0</v>
      </c>
      <c r="AQ201" s="171">
        <f t="shared" ca="1" si="2"/>
        <v>50</v>
      </c>
      <c r="AR201" s="60">
        <f t="shared" ca="1" si="3"/>
        <v>-15617</v>
      </c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>
        <f ca="1">+AR201</f>
        <v>-15617</v>
      </c>
      <c r="BF201" s="60"/>
      <c r="BG201" s="34">
        <f t="shared" ca="1" si="6"/>
        <v>0</v>
      </c>
      <c r="BH201" s="20"/>
      <c r="BI201" s="20"/>
      <c r="BJ201" s="20"/>
      <c r="BK201" s="16" t="s">
        <v>516</v>
      </c>
      <c r="BL201" s="17"/>
      <c r="BM201" s="17"/>
      <c r="BN201" s="17"/>
      <c r="BO201" s="17"/>
      <c r="BP201" s="17"/>
      <c r="BQ201" s="16" t="s">
        <v>64</v>
      </c>
      <c r="BR201" s="48">
        <f ca="1">SUM(BR194:BR200)</f>
        <v>16593</v>
      </c>
      <c r="BS201" s="20"/>
      <c r="BT201" s="20"/>
      <c r="BU201" s="20"/>
      <c r="BV201" s="20"/>
      <c r="BW201" s="20"/>
    </row>
    <row r="202" spans="1:75" s="42" customFormat="1" ht="18.75" x14ac:dyDescent="0.3">
      <c r="A202" s="20"/>
      <c r="B202" s="173"/>
      <c r="C202" s="94"/>
      <c r="D202" s="20"/>
      <c r="E202" s="20"/>
      <c r="F202" s="26" t="s">
        <v>81</v>
      </c>
      <c r="G202" s="26"/>
      <c r="H202" s="26"/>
      <c r="I202" s="26"/>
      <c r="J202" s="97">
        <f>SUM(J199:J201)</f>
        <v>3670</v>
      </c>
      <c r="K202" s="98">
        <f>SUM(K199:K201)</f>
        <v>4022</v>
      </c>
      <c r="L202" s="176"/>
      <c r="M202" s="20"/>
      <c r="N202" s="132"/>
      <c r="O202" s="199"/>
      <c r="P202" s="101"/>
      <c r="Q202" s="101"/>
      <c r="R202" s="101"/>
      <c r="S202" s="101"/>
      <c r="T202" s="125"/>
      <c r="U202" s="132"/>
      <c r="V202" s="20"/>
      <c r="W202" s="20"/>
      <c r="X202" s="20"/>
      <c r="Y202" s="20"/>
      <c r="Z202" s="20"/>
      <c r="AA202" s="20"/>
      <c r="AB202" s="20"/>
      <c r="AC202" s="20"/>
      <c r="AD202" s="20"/>
      <c r="AE202" s="188" t="s">
        <v>113</v>
      </c>
      <c r="AF202" s="212" t="s">
        <v>69</v>
      </c>
      <c r="AG202" s="79"/>
      <c r="AH202" s="79">
        <f>+-S192</f>
        <v>1000</v>
      </c>
      <c r="AI202" s="63"/>
      <c r="AJ202" s="94"/>
      <c r="AK202" s="130" t="s">
        <v>259</v>
      </c>
      <c r="AL202" s="53" t="s">
        <v>9</v>
      </c>
      <c r="AM202" s="55">
        <f>-S187</f>
        <v>-20500</v>
      </c>
      <c r="AN202" s="55"/>
      <c r="AO202" s="60">
        <f t="shared" si="5"/>
        <v>20500</v>
      </c>
      <c r="AP202" s="171">
        <f t="shared" ca="1" si="1"/>
        <v>0</v>
      </c>
      <c r="AQ202" s="171">
        <f t="shared" ca="1" si="2"/>
        <v>0</v>
      </c>
      <c r="AR202" s="60">
        <f t="shared" ca="1" si="3"/>
        <v>20500</v>
      </c>
      <c r="AS202" s="60">
        <f ca="1">+AR202</f>
        <v>20500</v>
      </c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/>
      <c r="BF202" s="60"/>
      <c r="BG202" s="34">
        <f t="shared" ca="1" si="6"/>
        <v>0</v>
      </c>
      <c r="BH202" s="20"/>
      <c r="BI202" s="20"/>
      <c r="BJ202" s="20"/>
      <c r="BK202" s="26" t="s">
        <v>52</v>
      </c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</row>
    <row r="203" spans="1:75" s="42" customFormat="1" ht="18.75" x14ac:dyDescent="0.3">
      <c r="A203" s="20"/>
      <c r="B203" s="173"/>
      <c r="C203" s="92" t="s">
        <v>54</v>
      </c>
      <c r="D203" s="185">
        <f>+D193+D198</f>
        <v>8646</v>
      </c>
      <c r="E203" s="185">
        <f>+E193+E198</f>
        <v>9530</v>
      </c>
      <c r="F203" s="26" t="s">
        <v>82</v>
      </c>
      <c r="G203" s="26"/>
      <c r="H203" s="26"/>
      <c r="I203" s="26"/>
      <c r="J203" s="185">
        <f>+J197+J202</f>
        <v>8646</v>
      </c>
      <c r="K203" s="186">
        <f>+K197+K202</f>
        <v>9530</v>
      </c>
      <c r="L203" s="176"/>
      <c r="M203" s="20"/>
      <c r="N203" s="180"/>
      <c r="O203" s="20"/>
      <c r="P203" s="20"/>
      <c r="Q203" s="20"/>
      <c r="R203" s="20"/>
      <c r="S203" s="20"/>
      <c r="T203" s="20"/>
      <c r="U203" s="18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94"/>
      <c r="AK203" s="130" t="s">
        <v>259</v>
      </c>
      <c r="AL203" s="53" t="s">
        <v>264</v>
      </c>
      <c r="AM203" s="55"/>
      <c r="AN203" s="55"/>
      <c r="AO203" s="60"/>
      <c r="AP203" s="171">
        <f t="shared" ca="1" si="1"/>
        <v>0</v>
      </c>
      <c r="AQ203" s="171">
        <f t="shared" ca="1" si="2"/>
        <v>300</v>
      </c>
      <c r="AR203" s="60">
        <f t="shared" ca="1" si="3"/>
        <v>300</v>
      </c>
      <c r="AS203" s="60"/>
      <c r="AT203" s="60"/>
      <c r="AU203" s="60">
        <f ca="1">+AR203</f>
        <v>300</v>
      </c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34">
        <f t="shared" ca="1" si="6"/>
        <v>0</v>
      </c>
      <c r="BH203" s="20"/>
      <c r="BI203" s="20"/>
      <c r="BJ203" s="20"/>
      <c r="BK203" s="20" t="s">
        <v>280</v>
      </c>
      <c r="BL203" s="20"/>
      <c r="BM203" s="20"/>
      <c r="BN203" s="20"/>
      <c r="BO203" s="20"/>
      <c r="BP203" s="20"/>
      <c r="BQ203" s="20"/>
      <c r="BR203" s="34">
        <f ca="1">+BP187</f>
        <v>-1596</v>
      </c>
      <c r="BS203" s="20"/>
      <c r="BT203" s="20"/>
      <c r="BU203" s="20"/>
      <c r="BV203" s="20"/>
      <c r="BW203" s="20"/>
    </row>
    <row r="204" spans="1:75" s="42" customFormat="1" ht="18.75" x14ac:dyDescent="0.3">
      <c r="A204" s="20"/>
      <c r="B204" s="188"/>
      <c r="C204" s="106"/>
      <c r="D204" s="101"/>
      <c r="E204" s="101"/>
      <c r="F204" s="101"/>
      <c r="G204" s="101"/>
      <c r="H204" s="101"/>
      <c r="I204" s="101"/>
      <c r="J204" s="101"/>
      <c r="K204" s="107"/>
      <c r="L204" s="189"/>
      <c r="M204" s="20"/>
      <c r="N204" s="20"/>
      <c r="O204" s="7"/>
      <c r="P204" s="7"/>
      <c r="Q204" s="7"/>
      <c r="R204" s="7"/>
      <c r="S204" s="7"/>
      <c r="T204" s="7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160" t="s">
        <v>110</v>
      </c>
      <c r="AH204" s="160" t="s">
        <v>111</v>
      </c>
      <c r="AI204" s="163"/>
      <c r="AJ204" s="94"/>
      <c r="AK204" s="130" t="s">
        <v>259</v>
      </c>
      <c r="AL204" s="53" t="s">
        <v>253</v>
      </c>
      <c r="AM204" s="55">
        <f>-S188</f>
        <v>1460</v>
      </c>
      <c r="AN204" s="55"/>
      <c r="AO204" s="60">
        <f t="shared" si="5"/>
        <v>-1460</v>
      </c>
      <c r="AP204" s="171">
        <f t="shared" ca="1" si="1"/>
        <v>0</v>
      </c>
      <c r="AQ204" s="171">
        <f t="shared" ca="1" si="2"/>
        <v>0</v>
      </c>
      <c r="AR204" s="60">
        <f t="shared" ca="1" si="3"/>
        <v>-1460</v>
      </c>
      <c r="AS204" s="60"/>
      <c r="AT204" s="60"/>
      <c r="AU204" s="60">
        <f ca="1">+AR204</f>
        <v>-1460</v>
      </c>
      <c r="AV204" s="60"/>
      <c r="AW204" s="60"/>
      <c r="AX204" s="60"/>
      <c r="AY204" s="60"/>
      <c r="AZ204" s="60"/>
      <c r="BA204" s="60"/>
      <c r="BB204" s="60"/>
      <c r="BC204" s="60"/>
      <c r="BD204" s="60"/>
      <c r="BE204" s="60"/>
      <c r="BF204" s="60"/>
      <c r="BG204" s="34">
        <f t="shared" ca="1" si="6"/>
        <v>0</v>
      </c>
      <c r="BH204" s="20"/>
      <c r="BI204" s="20"/>
      <c r="BJ204" s="20"/>
      <c r="BK204" s="20" t="s">
        <v>281</v>
      </c>
      <c r="BL204" s="20"/>
      <c r="BM204" s="20"/>
      <c r="BN204" s="20"/>
      <c r="BO204" s="20"/>
      <c r="BP204" s="20"/>
      <c r="BQ204" s="20"/>
      <c r="BR204" s="34">
        <f ca="1">+BQ187</f>
        <v>20</v>
      </c>
      <c r="BS204" s="20"/>
      <c r="BT204" s="20"/>
      <c r="BU204" s="20"/>
      <c r="BV204" s="20"/>
      <c r="BW204" s="20"/>
    </row>
    <row r="205" spans="1:75" s="42" customFormat="1" ht="18.75" x14ac:dyDescent="0.3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7"/>
      <c r="N205" s="20"/>
      <c r="O205" s="7"/>
      <c r="P205" s="7"/>
      <c r="Q205" s="7"/>
      <c r="R205" s="7"/>
      <c r="S205" s="7"/>
      <c r="T205" s="7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10" t="s">
        <v>242</v>
      </c>
      <c r="AG205" s="78"/>
      <c r="AH205" s="69"/>
      <c r="AI205" s="34"/>
      <c r="AJ205" s="94"/>
      <c r="AK205" s="130" t="s">
        <v>259</v>
      </c>
      <c r="AL205" s="53" t="s">
        <v>11</v>
      </c>
      <c r="AM205" s="55">
        <f>-S191</f>
        <v>1300</v>
      </c>
      <c r="AN205" s="55"/>
      <c r="AO205" s="60">
        <f t="shared" si="5"/>
        <v>-1300</v>
      </c>
      <c r="AP205" s="171">
        <f t="shared" ca="1" si="1"/>
        <v>0</v>
      </c>
      <c r="AQ205" s="171">
        <f t="shared" ca="1" si="2"/>
        <v>0</v>
      </c>
      <c r="AR205" s="60">
        <f t="shared" ca="1" si="3"/>
        <v>-1300</v>
      </c>
      <c r="AS205" s="60"/>
      <c r="AT205" s="60"/>
      <c r="AU205" s="60"/>
      <c r="AV205" s="60">
        <f ca="1">+AR205</f>
        <v>-1300</v>
      </c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34">
        <f t="shared" ca="1" si="6"/>
        <v>0</v>
      </c>
      <c r="BH205" s="20"/>
      <c r="BI205" s="20"/>
      <c r="BJ205" s="20"/>
      <c r="BK205" s="16" t="s">
        <v>517</v>
      </c>
      <c r="BL205" s="17"/>
      <c r="BM205" s="17"/>
      <c r="BN205" s="17"/>
      <c r="BO205" s="17"/>
      <c r="BP205" s="17"/>
      <c r="BQ205" s="16" t="s">
        <v>65</v>
      </c>
      <c r="BR205" s="48">
        <f ca="1">+BR203+BR204</f>
        <v>-1576</v>
      </c>
      <c r="BS205" s="20"/>
      <c r="BT205" s="20"/>
      <c r="BU205" s="20"/>
      <c r="BV205" s="20"/>
      <c r="BW205" s="20"/>
    </row>
    <row r="206" spans="1:75" s="42" customFormat="1" ht="18.75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20"/>
      <c r="W206" s="20"/>
      <c r="X206" s="20"/>
      <c r="Y206" s="20"/>
      <c r="Z206" s="20"/>
      <c r="AA206" s="20"/>
      <c r="AB206" s="20"/>
      <c r="AC206" s="20"/>
      <c r="AD206" s="20"/>
      <c r="AE206" s="207" t="s">
        <v>262</v>
      </c>
      <c r="AF206" s="211" t="s">
        <v>185</v>
      </c>
      <c r="AG206" s="60">
        <f>+AA198</f>
        <v>70</v>
      </c>
      <c r="AH206" s="55"/>
      <c r="AI206" s="34"/>
      <c r="AJ206" s="94"/>
      <c r="AK206" s="130"/>
      <c r="AL206" s="211" t="s">
        <v>69</v>
      </c>
      <c r="AM206" s="55">
        <f>-S192</f>
        <v>1000</v>
      </c>
      <c r="AN206" s="55"/>
      <c r="AO206" s="60">
        <f t="shared" si="5"/>
        <v>-1000</v>
      </c>
      <c r="AP206" s="171">
        <f t="shared" ca="1" si="1"/>
        <v>0</v>
      </c>
      <c r="AQ206" s="171">
        <f t="shared" ca="1" si="2"/>
        <v>1000</v>
      </c>
      <c r="AR206" s="60">
        <f t="shared" ca="1" si="3"/>
        <v>0</v>
      </c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60"/>
      <c r="BG206" s="34">
        <f t="shared" ca="1" si="6"/>
        <v>0</v>
      </c>
      <c r="BH206" s="20"/>
      <c r="BI206" s="20"/>
      <c r="BJ206" s="20"/>
      <c r="BK206" s="26" t="s">
        <v>74</v>
      </c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</row>
    <row r="207" spans="1:75" s="42" customFormat="1" ht="18.75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188" t="s">
        <v>112</v>
      </c>
      <c r="AF207" s="211" t="s">
        <v>433</v>
      </c>
      <c r="AG207" s="60">
        <v>30</v>
      </c>
      <c r="AH207" s="55"/>
      <c r="AI207" s="34"/>
      <c r="AJ207" s="163"/>
      <c r="AK207" s="130" t="s">
        <v>259</v>
      </c>
      <c r="AL207" s="53" t="s">
        <v>12</v>
      </c>
      <c r="AM207" s="55">
        <f>-S193</f>
        <v>850</v>
      </c>
      <c r="AN207" s="55"/>
      <c r="AO207" s="60">
        <f t="shared" si="5"/>
        <v>-850</v>
      </c>
      <c r="AP207" s="171">
        <f t="shared" ca="1" si="1"/>
        <v>0</v>
      </c>
      <c r="AQ207" s="171">
        <f t="shared" ca="1" si="2"/>
        <v>0</v>
      </c>
      <c r="AR207" s="60">
        <f t="shared" ca="1" si="3"/>
        <v>-850</v>
      </c>
      <c r="AS207" s="60"/>
      <c r="AT207" s="60"/>
      <c r="AU207" s="60"/>
      <c r="AV207" s="60"/>
      <c r="AW207" s="60"/>
      <c r="AX207" s="60"/>
      <c r="AY207" s="60">
        <f ca="1">+AR207</f>
        <v>-850</v>
      </c>
      <c r="AZ207" s="60"/>
      <c r="BA207" s="60"/>
      <c r="BB207" s="60"/>
      <c r="BC207" s="60"/>
      <c r="BD207" s="60"/>
      <c r="BE207" s="60"/>
      <c r="BF207" s="60"/>
      <c r="BG207" s="34">
        <f t="shared" ca="1" si="6"/>
        <v>0</v>
      </c>
      <c r="BH207" s="20"/>
      <c r="BI207" s="20"/>
      <c r="BJ207" s="20"/>
      <c r="BK207" s="20" t="s">
        <v>282</v>
      </c>
      <c r="BL207" s="20"/>
      <c r="BM207" s="20"/>
      <c r="BN207" s="20"/>
      <c r="BO207" s="20"/>
      <c r="BP207" s="20"/>
      <c r="BQ207" s="20"/>
      <c r="BR207" s="34">
        <f>+BR187</f>
        <v>2000</v>
      </c>
      <c r="BS207" s="20"/>
      <c r="BT207" s="20"/>
      <c r="BU207" s="20"/>
      <c r="BV207" s="20"/>
      <c r="BW207" s="20"/>
    </row>
    <row r="208" spans="1:75" ht="18.75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188" t="s">
        <v>112</v>
      </c>
      <c r="AF208" s="71" t="s">
        <v>263</v>
      </c>
      <c r="AG208" s="79"/>
      <c r="AH208" s="70">
        <f>+AG206+AG207</f>
        <v>100</v>
      </c>
      <c r="AI208" s="34"/>
      <c r="AJ208" s="163"/>
      <c r="AK208" s="130" t="s">
        <v>259</v>
      </c>
      <c r="AL208" s="53" t="s">
        <v>241</v>
      </c>
      <c r="AM208" s="55">
        <f>-S194</f>
        <v>100</v>
      </c>
      <c r="AN208" s="55"/>
      <c r="AO208" s="60">
        <f t="shared" si="5"/>
        <v>-100</v>
      </c>
      <c r="AP208" s="171">
        <f t="shared" ca="1" si="1"/>
        <v>0</v>
      </c>
      <c r="AQ208" s="171">
        <f t="shared" ca="1" si="2"/>
        <v>120</v>
      </c>
      <c r="AR208" s="60">
        <f t="shared" ca="1" si="3"/>
        <v>20</v>
      </c>
      <c r="AS208" s="60"/>
      <c r="AT208" s="60"/>
      <c r="AU208" s="60"/>
      <c r="AV208" s="60"/>
      <c r="AW208" s="60"/>
      <c r="AX208" s="60"/>
      <c r="AY208" s="60"/>
      <c r="AZ208" s="60"/>
      <c r="BA208" s="60">
        <f ca="1">+AR208</f>
        <v>20</v>
      </c>
      <c r="BB208" s="60"/>
      <c r="BC208" s="60"/>
      <c r="BD208" s="60"/>
      <c r="BE208" s="60"/>
      <c r="BF208" s="60"/>
      <c r="BG208" s="34">
        <f t="shared" ca="1" si="6"/>
        <v>0</v>
      </c>
      <c r="BH208" s="20"/>
      <c r="BI208" s="20"/>
      <c r="BJ208" s="20"/>
      <c r="BK208" s="20" t="s">
        <v>140</v>
      </c>
      <c r="BL208" s="20"/>
      <c r="BM208" s="20"/>
      <c r="BN208" s="20"/>
      <c r="BO208" s="20"/>
      <c r="BP208" s="20"/>
      <c r="BQ208" s="20"/>
      <c r="BR208" s="34">
        <f ca="1">+BS187</f>
        <v>-860</v>
      </c>
      <c r="BS208" s="20"/>
      <c r="BT208" s="20"/>
      <c r="BU208" s="20"/>
      <c r="BV208" s="20"/>
      <c r="BW208" s="20"/>
    </row>
    <row r="209" spans="1:75" ht="18.75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3"/>
      <c r="P209" s="3"/>
      <c r="Q209" s="3"/>
      <c r="R209" s="3"/>
      <c r="S209" s="3"/>
      <c r="T209" s="3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20"/>
      <c r="AF209" s="20"/>
      <c r="AG209" s="34"/>
      <c r="AH209" s="34"/>
      <c r="AI209" s="34"/>
      <c r="AJ209" s="163"/>
      <c r="AK209" s="130" t="s">
        <v>259</v>
      </c>
      <c r="AL209" s="53" t="s">
        <v>250</v>
      </c>
      <c r="AM209" s="55">
        <f>-S196</f>
        <v>-200</v>
      </c>
      <c r="AN209" s="55"/>
      <c r="AO209" s="60">
        <f t="shared" si="5"/>
        <v>200</v>
      </c>
      <c r="AP209" s="171">
        <f t="shared" ca="1" si="1"/>
        <v>0</v>
      </c>
      <c r="AQ209" s="171">
        <f t="shared" ca="1" si="2"/>
        <v>0</v>
      </c>
      <c r="AR209" s="60">
        <f t="shared" ca="1" si="3"/>
        <v>200</v>
      </c>
      <c r="AS209" s="60"/>
      <c r="AT209" s="60">
        <f ca="1">+AR209</f>
        <v>200</v>
      </c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34">
        <f t="shared" ca="1" si="6"/>
        <v>0</v>
      </c>
      <c r="BH209" s="20"/>
      <c r="BI209" s="20"/>
      <c r="BJ209" s="20"/>
      <c r="BK209" s="20" t="s">
        <v>283</v>
      </c>
      <c r="BL209" s="20"/>
      <c r="BM209" s="20"/>
      <c r="BN209" s="20"/>
      <c r="BO209" s="20"/>
      <c r="BP209" s="20"/>
      <c r="BQ209" s="20"/>
      <c r="BR209" s="34">
        <f ca="1">+BT187</f>
        <v>160</v>
      </c>
      <c r="BS209" s="20"/>
      <c r="BT209" s="20"/>
      <c r="BU209" s="20"/>
      <c r="BV209" s="20"/>
      <c r="BW209" s="20"/>
    </row>
    <row r="210" spans="1:75" ht="18.75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3"/>
      <c r="N210" s="7"/>
      <c r="O210" s="3"/>
      <c r="P210" s="3"/>
      <c r="Q210" s="3"/>
      <c r="R210" s="3"/>
      <c r="S210" s="3"/>
      <c r="T210" s="3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20"/>
      <c r="AF210" s="20"/>
      <c r="AG210" s="160" t="s">
        <v>110</v>
      </c>
      <c r="AH210" s="160" t="s">
        <v>111</v>
      </c>
      <c r="AI210" s="163"/>
      <c r="AJ210" s="163"/>
      <c r="AK210" s="130" t="s">
        <v>259</v>
      </c>
      <c r="AL210" s="53" t="s">
        <v>45</v>
      </c>
      <c r="AM210" s="55">
        <f>-S197</f>
        <v>105</v>
      </c>
      <c r="AN210" s="55"/>
      <c r="AO210" s="60">
        <f t="shared" si="5"/>
        <v>-105</v>
      </c>
      <c r="AP210" s="171">
        <f t="shared" ca="1" si="1"/>
        <v>0</v>
      </c>
      <c r="AQ210" s="171">
        <f t="shared" ca="1" si="2"/>
        <v>0</v>
      </c>
      <c r="AR210" s="60">
        <f t="shared" ca="1" si="3"/>
        <v>-105</v>
      </c>
      <c r="AS210" s="60"/>
      <c r="AT210" s="60"/>
      <c r="AU210" s="60"/>
      <c r="AV210" s="60"/>
      <c r="AW210" s="60"/>
      <c r="AX210" s="60">
        <f ca="1">+AR210</f>
        <v>-105</v>
      </c>
      <c r="AY210" s="60"/>
      <c r="AZ210" s="60"/>
      <c r="BA210" s="60"/>
      <c r="BB210" s="60"/>
      <c r="BC210" s="60"/>
      <c r="BD210" s="60"/>
      <c r="BE210" s="60"/>
      <c r="BF210" s="60"/>
      <c r="BG210" s="34">
        <f t="shared" ca="1" si="6"/>
        <v>0</v>
      </c>
      <c r="BH210" s="20"/>
      <c r="BI210" s="20"/>
      <c r="BJ210" s="20"/>
      <c r="BK210" s="20" t="s">
        <v>142</v>
      </c>
      <c r="BL210" s="20"/>
      <c r="BM210" s="20"/>
      <c r="BN210" s="20"/>
      <c r="BO210" s="20"/>
      <c r="BP210" s="20"/>
      <c r="BQ210" s="20"/>
      <c r="BR210" s="34">
        <f ca="1">+BU187</f>
        <v>-15617</v>
      </c>
      <c r="BS210" s="20"/>
      <c r="BT210" s="20"/>
      <c r="BU210" s="20"/>
      <c r="BV210" s="20"/>
      <c r="BW210" s="20"/>
    </row>
    <row r="211" spans="1:75" ht="18.75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7"/>
      <c r="W211" s="7"/>
      <c r="X211" s="7"/>
      <c r="Y211" s="7"/>
      <c r="Z211" s="7"/>
      <c r="AA211" s="7"/>
      <c r="AB211" s="7"/>
      <c r="AC211" s="7"/>
      <c r="AD211" s="7"/>
      <c r="AE211" s="20"/>
      <c r="AF211" s="210" t="s">
        <v>243</v>
      </c>
      <c r="AG211" s="78"/>
      <c r="AH211" s="69"/>
      <c r="AI211" s="34"/>
      <c r="AJ211" s="163"/>
      <c r="AK211" s="130" t="s">
        <v>259</v>
      </c>
      <c r="AL211" s="323" t="s">
        <v>532</v>
      </c>
      <c r="AM211" s="324">
        <f>-S198</f>
        <v>500</v>
      </c>
      <c r="AN211" s="324"/>
      <c r="AO211" s="325">
        <f t="shared" si="5"/>
        <v>-500</v>
      </c>
      <c r="AP211" s="326">
        <f t="shared" ca="1" si="1"/>
        <v>0</v>
      </c>
      <c r="AQ211" s="326">
        <f t="shared" ca="1" si="2"/>
        <v>0</v>
      </c>
      <c r="AR211" s="325">
        <f t="shared" ca="1" si="3"/>
        <v>-500</v>
      </c>
      <c r="AS211" s="325"/>
      <c r="AT211" s="325"/>
      <c r="AU211" s="325"/>
      <c r="AV211" s="325"/>
      <c r="AW211" s="325"/>
      <c r="AX211" s="325"/>
      <c r="AY211" s="325"/>
      <c r="AZ211" s="325"/>
      <c r="BA211" s="325"/>
      <c r="BB211" s="325"/>
      <c r="BC211" s="325"/>
      <c r="BD211" s="325"/>
      <c r="BE211" s="325"/>
      <c r="BF211" s="325">
        <f ca="1">+AR211</f>
        <v>-500</v>
      </c>
      <c r="BG211" s="327">
        <f t="shared" ca="1" si="6"/>
        <v>0</v>
      </c>
      <c r="BH211" s="20"/>
      <c r="BI211" s="20"/>
      <c r="BJ211" s="20"/>
      <c r="BK211" s="16" t="s">
        <v>436</v>
      </c>
      <c r="BL211" s="17"/>
      <c r="BM211" s="17"/>
      <c r="BN211" s="17"/>
      <c r="BO211" s="17"/>
      <c r="BP211" s="17"/>
      <c r="BQ211" s="16" t="s">
        <v>66</v>
      </c>
      <c r="BR211" s="48">
        <f ca="1">SUM(BR207:BR210)</f>
        <v>-14317</v>
      </c>
      <c r="BS211" s="20"/>
      <c r="BT211" s="20"/>
      <c r="BU211" s="20"/>
      <c r="BV211" s="20"/>
      <c r="BW211" s="20"/>
    </row>
    <row r="212" spans="1:75" ht="18.75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207" t="s">
        <v>112</v>
      </c>
      <c r="AF212" s="211" t="s">
        <v>7</v>
      </c>
      <c r="AG212" s="60">
        <v>150</v>
      </c>
      <c r="AH212" s="55"/>
      <c r="AI212" s="34"/>
      <c r="AJ212" s="141"/>
      <c r="AK212" s="134" t="s">
        <v>259</v>
      </c>
      <c r="AL212" s="71" t="s">
        <v>15</v>
      </c>
      <c r="AM212" s="70">
        <f>-S200</f>
        <v>500</v>
      </c>
      <c r="AN212" s="70"/>
      <c r="AO212" s="79">
        <f t="shared" si="5"/>
        <v>-500</v>
      </c>
      <c r="AP212" s="171">
        <f t="shared" ca="1" si="1"/>
        <v>100</v>
      </c>
      <c r="AQ212" s="171">
        <f t="shared" ca="1" si="2"/>
        <v>0</v>
      </c>
      <c r="AR212" s="60">
        <f t="shared" ca="1" si="3"/>
        <v>-600</v>
      </c>
      <c r="AS212" s="60"/>
      <c r="AT212" s="60"/>
      <c r="AU212" s="60"/>
      <c r="AV212" s="60"/>
      <c r="AW212" s="60">
        <f ca="1">+AR212</f>
        <v>-600</v>
      </c>
      <c r="AX212" s="60"/>
      <c r="AY212" s="60"/>
      <c r="AZ212" s="60"/>
      <c r="BA212" s="60"/>
      <c r="BB212" s="60"/>
      <c r="BC212" s="60"/>
      <c r="BD212" s="60"/>
      <c r="BE212" s="60"/>
      <c r="BF212" s="60"/>
      <c r="BG212" s="34">
        <f t="shared" ca="1" si="6"/>
        <v>0</v>
      </c>
      <c r="BH212" s="20"/>
      <c r="BI212" s="20"/>
      <c r="BJ212" s="20"/>
      <c r="BK212" s="330" t="s">
        <v>615</v>
      </c>
      <c r="BL212" s="328"/>
      <c r="BM212" s="328"/>
      <c r="BN212" s="328"/>
      <c r="BO212" s="328"/>
      <c r="BP212" s="328"/>
      <c r="BQ212" s="330" t="s">
        <v>67</v>
      </c>
      <c r="BR212" s="331">
        <f ca="1">+BF213</f>
        <v>-500</v>
      </c>
      <c r="BS212" s="26" t="s">
        <v>618</v>
      </c>
      <c r="BT212" s="20"/>
      <c r="BU212" s="20"/>
      <c r="BV212" s="20"/>
      <c r="BW212" s="20"/>
    </row>
    <row r="213" spans="1:75" ht="18.75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188" t="s">
        <v>112</v>
      </c>
      <c r="AF213" s="212" t="s">
        <v>95</v>
      </c>
      <c r="AG213" s="79"/>
      <c r="AH213" s="70">
        <f>+AG212</f>
        <v>150</v>
      </c>
      <c r="AI213" s="34"/>
      <c r="AJ213" s="20"/>
      <c r="AK213" s="20"/>
      <c r="AL213" s="20"/>
      <c r="AM213" s="208">
        <f t="shared" ref="AM213:BF213" si="9">SUM(AM187:AM212)</f>
        <v>0</v>
      </c>
      <c r="AN213" s="208">
        <f t="shared" si="9"/>
        <v>0</v>
      </c>
      <c r="AO213" s="209">
        <f t="shared" si="9"/>
        <v>0</v>
      </c>
      <c r="AP213" s="155">
        <f t="shared" ca="1" si="9"/>
        <v>1820</v>
      </c>
      <c r="AQ213" s="155">
        <f t="shared" ca="1" si="9"/>
        <v>1820</v>
      </c>
      <c r="AR213" s="292">
        <f t="shared" ca="1" si="9"/>
        <v>0</v>
      </c>
      <c r="AS213" s="292">
        <f t="shared" ca="1" si="9"/>
        <v>19980</v>
      </c>
      <c r="AT213" s="292">
        <f t="shared" ca="1" si="9"/>
        <v>1400</v>
      </c>
      <c r="AU213" s="292">
        <f t="shared" ca="1" si="9"/>
        <v>-1660</v>
      </c>
      <c r="AV213" s="292">
        <f t="shared" ca="1" si="9"/>
        <v>-1450</v>
      </c>
      <c r="AW213" s="292">
        <f t="shared" ca="1" si="9"/>
        <v>-612</v>
      </c>
      <c r="AX213" s="292">
        <f t="shared" ca="1" si="9"/>
        <v>-215</v>
      </c>
      <c r="AY213" s="292">
        <f t="shared" ca="1" si="9"/>
        <v>-850</v>
      </c>
      <c r="AZ213" s="292">
        <f t="shared" ca="1" si="9"/>
        <v>-1596</v>
      </c>
      <c r="BA213" s="292">
        <f t="shared" ca="1" si="9"/>
        <v>20</v>
      </c>
      <c r="BB213" s="292">
        <f t="shared" si="9"/>
        <v>2000</v>
      </c>
      <c r="BC213" s="292">
        <f t="shared" ca="1" si="9"/>
        <v>-860</v>
      </c>
      <c r="BD213" s="292">
        <f t="shared" ca="1" si="9"/>
        <v>160</v>
      </c>
      <c r="BE213" s="292">
        <f t="shared" ca="1" si="9"/>
        <v>-15617</v>
      </c>
      <c r="BF213" s="292">
        <f t="shared" ca="1" si="9"/>
        <v>-500</v>
      </c>
      <c r="BH213" s="20"/>
      <c r="BI213" s="20"/>
      <c r="BJ213" s="20"/>
      <c r="BK213" s="16" t="s">
        <v>286</v>
      </c>
      <c r="BL213" s="17"/>
      <c r="BM213" s="17"/>
      <c r="BN213" s="17"/>
      <c r="BO213" s="17"/>
      <c r="BP213" s="17"/>
      <c r="BQ213" s="16" t="s">
        <v>386</v>
      </c>
      <c r="BR213" s="48">
        <f ca="1">+BR201+BR205+BR211+BR212</f>
        <v>200</v>
      </c>
      <c r="BS213" s="20"/>
      <c r="BT213" s="20"/>
      <c r="BU213" s="20"/>
      <c r="BV213" s="20"/>
      <c r="BW213" s="20"/>
    </row>
    <row r="214" spans="1:75" ht="18.75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4"/>
      <c r="AF214" s="34"/>
      <c r="AG214" s="34"/>
      <c r="AH214" s="34"/>
      <c r="AI214" s="34"/>
      <c r="AJ214" s="20"/>
      <c r="AK214" s="20"/>
      <c r="AL214" s="20"/>
      <c r="AM214" s="20"/>
      <c r="AN214" s="20"/>
      <c r="AO214" s="20"/>
      <c r="AP214" s="20"/>
      <c r="AQ214" s="262"/>
      <c r="AR214" s="20"/>
      <c r="AS214" s="75"/>
      <c r="AT214" s="75"/>
      <c r="AU214" s="75"/>
      <c r="AV214" s="75"/>
      <c r="AW214" s="75"/>
      <c r="AX214" s="75"/>
      <c r="AY214" s="75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16" t="s">
        <v>284</v>
      </c>
      <c r="BL214" s="17"/>
      <c r="BM214" s="17"/>
      <c r="BN214" s="17"/>
      <c r="BO214" s="17"/>
      <c r="BP214" s="17"/>
      <c r="BQ214" s="17"/>
      <c r="BR214" s="48">
        <f>+E189</f>
        <v>800</v>
      </c>
      <c r="BS214" s="20"/>
      <c r="BT214" s="20"/>
      <c r="BU214" s="20"/>
      <c r="BV214" s="20"/>
      <c r="BW214" s="20"/>
    </row>
    <row r="215" spans="1:75" ht="18.75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20"/>
      <c r="AF215" s="20"/>
      <c r="AG215" s="160" t="s">
        <v>110</v>
      </c>
      <c r="AH215" s="160" t="s">
        <v>111</v>
      </c>
      <c r="AI215" s="163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16" t="s">
        <v>285</v>
      </c>
      <c r="BL215" s="17"/>
      <c r="BM215" s="17"/>
      <c r="BN215" s="17"/>
      <c r="BO215" s="17"/>
      <c r="BP215" s="17"/>
      <c r="BQ215" s="17"/>
      <c r="BR215" s="48">
        <f ca="1">+BR213+BR214</f>
        <v>1000</v>
      </c>
      <c r="BS215" s="20"/>
      <c r="BT215" s="20"/>
      <c r="BU215" s="20"/>
      <c r="BV215" s="20"/>
      <c r="BW215" s="20"/>
    </row>
    <row r="216" spans="1:75" ht="18.75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20"/>
      <c r="AF216" s="210" t="s">
        <v>244</v>
      </c>
      <c r="AG216" s="60"/>
      <c r="AH216" s="55"/>
      <c r="AI216" s="34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</row>
    <row r="217" spans="1:75" ht="18.75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207" t="s">
        <v>112</v>
      </c>
      <c r="AF217" s="211" t="s">
        <v>7</v>
      </c>
      <c r="AG217" s="60">
        <v>50</v>
      </c>
      <c r="AH217" s="55"/>
      <c r="AI217" s="34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</row>
    <row r="218" spans="1:75" ht="18.75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188" t="s">
        <v>112</v>
      </c>
      <c r="AF218" s="212" t="s">
        <v>8</v>
      </c>
      <c r="AG218" s="79"/>
      <c r="AH218" s="70">
        <f>+AG217</f>
        <v>50</v>
      </c>
      <c r="AI218" s="34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</row>
    <row r="219" spans="1:75" ht="18.75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20"/>
      <c r="AF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</row>
    <row r="220" spans="1:75" ht="18.75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20"/>
      <c r="AF220" s="20"/>
      <c r="AG220" s="155">
        <f>SUM(AG186:AG218)</f>
        <v>1820</v>
      </c>
      <c r="AH220" s="155">
        <f>SUM(AH186:AH218)</f>
        <v>1820</v>
      </c>
      <c r="AJ220" s="3"/>
      <c r="AK220" s="3"/>
      <c r="AL220" s="3"/>
      <c r="AM220" s="3"/>
      <c r="AN220" s="3"/>
      <c r="AO220" s="3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</row>
    <row r="221" spans="1:75" ht="18.75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4">
        <f>+J203-D203</f>
        <v>0</v>
      </c>
      <c r="K221" s="4">
        <f>+K203-E203</f>
        <v>0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20"/>
      <c r="AF221" s="20"/>
      <c r="AG221" s="34"/>
      <c r="AH221" s="34"/>
      <c r="AI221" s="34"/>
      <c r="AJ221" s="3"/>
      <c r="AK221" s="3"/>
      <c r="AL221" s="3"/>
      <c r="AM221" s="3"/>
      <c r="AN221" s="3"/>
      <c r="AO221" s="3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</row>
    <row r="222" spans="1:75" ht="18.75" hidden="1" x14ac:dyDescent="0.3">
      <c r="O222" s="3"/>
      <c r="P222" s="3"/>
      <c r="Q222" s="3"/>
      <c r="R222" s="3"/>
      <c r="S222" s="3"/>
      <c r="T222" s="3"/>
      <c r="AE222"/>
      <c r="AF222"/>
      <c r="AG222"/>
      <c r="AH222"/>
      <c r="AI222"/>
      <c r="AJ222" s="3"/>
      <c r="AK222" s="3"/>
      <c r="AL222" s="3"/>
      <c r="AM222" s="3"/>
      <c r="AN222" s="3"/>
      <c r="AO222" s="3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77"/>
      <c r="BI222"/>
      <c r="BJ222"/>
      <c r="BK222" s="20"/>
      <c r="BL222" s="20"/>
      <c r="BM222" s="20"/>
      <c r="BN222" s="20"/>
      <c r="BO222" s="20"/>
      <c r="BP222" s="20"/>
      <c r="BQ222" s="20"/>
      <c r="BR222" s="20"/>
      <c r="BV222"/>
      <c r="BW222"/>
    </row>
    <row r="223" spans="1:75" ht="18.75" hidden="1" x14ac:dyDescent="0.3">
      <c r="AE223"/>
      <c r="AF223"/>
      <c r="AG223"/>
      <c r="AH223"/>
      <c r="AI223"/>
      <c r="AK223" s="3"/>
      <c r="AL223" s="3"/>
      <c r="AM223" s="3"/>
      <c r="AN223" s="3"/>
      <c r="AO223" s="3"/>
      <c r="AP223"/>
      <c r="AQ223"/>
      <c r="AR223" s="276"/>
      <c r="AS223" s="276"/>
      <c r="AT223" s="276"/>
      <c r="AU223" s="276"/>
      <c r="AV223" s="276"/>
      <c r="AW223" s="276"/>
      <c r="AX223" s="276"/>
      <c r="AY223" s="276"/>
      <c r="AZ223" s="276"/>
      <c r="BA223" s="276"/>
      <c r="BB223" s="276"/>
      <c r="BC223" s="276"/>
      <c r="BD223" s="276"/>
      <c r="BE223" s="276"/>
      <c r="BF223" s="276"/>
      <c r="BG223" s="276"/>
      <c r="BH223"/>
      <c r="BI223"/>
      <c r="BJ223"/>
      <c r="BK223"/>
      <c r="BL223"/>
      <c r="BM223"/>
      <c r="BN223"/>
      <c r="BO223"/>
      <c r="BP223"/>
      <c r="BQ223"/>
      <c r="BR223"/>
      <c r="BV223"/>
      <c r="BW223"/>
    </row>
    <row r="224" spans="1:75" ht="18.75" hidden="1" x14ac:dyDescent="0.3">
      <c r="AE224"/>
      <c r="AF224"/>
      <c r="AG224"/>
      <c r="AH224"/>
      <c r="AI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V224"/>
      <c r="BW224"/>
    </row>
    <row r="225" spans="1:75" ht="18.75" hidden="1" x14ac:dyDescent="0.3">
      <c r="AE225"/>
      <c r="AF225"/>
      <c r="AG225"/>
      <c r="AH225"/>
      <c r="AI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V225"/>
      <c r="BW225"/>
    </row>
    <row r="226" spans="1:75" ht="18.75" hidden="1" x14ac:dyDescent="0.3">
      <c r="AE226"/>
      <c r="AF226"/>
      <c r="AG226"/>
      <c r="AH226"/>
      <c r="AI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V226"/>
      <c r="BW226"/>
    </row>
    <row r="227" spans="1:75" ht="18.75" hidden="1" x14ac:dyDescent="0.3">
      <c r="AE227"/>
      <c r="AF227"/>
      <c r="AG227"/>
      <c r="AH227"/>
      <c r="AI227"/>
      <c r="AK227"/>
      <c r="AL227"/>
      <c r="AM227"/>
      <c r="AN227"/>
      <c r="AO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V227"/>
      <c r="BW227"/>
    </row>
    <row r="228" spans="1:75" ht="18.75" hidden="1" x14ac:dyDescent="0.3">
      <c r="AE228"/>
      <c r="AF228"/>
      <c r="AG228"/>
      <c r="AH228"/>
      <c r="AI228"/>
      <c r="AK228"/>
      <c r="AL228"/>
      <c r="AM228"/>
      <c r="AN228"/>
      <c r="AO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V228"/>
      <c r="BW228"/>
    </row>
    <row r="229" spans="1:75" ht="18.75" hidden="1" x14ac:dyDescent="0.3">
      <c r="AE229"/>
      <c r="AF229"/>
      <c r="AG229"/>
      <c r="AH229"/>
      <c r="AI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V229"/>
      <c r="BW229"/>
    </row>
    <row r="230" spans="1:75" ht="18.75" hidden="1" x14ac:dyDescent="0.3">
      <c r="AE230"/>
      <c r="AF230"/>
      <c r="AG230"/>
      <c r="AH230"/>
      <c r="AI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V230"/>
      <c r="BW230"/>
    </row>
    <row r="231" spans="1:75" ht="18.75" hidden="1" x14ac:dyDescent="0.3">
      <c r="AE231"/>
      <c r="AF231"/>
      <c r="AG231"/>
      <c r="AH231"/>
      <c r="AI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V231"/>
      <c r="BW231"/>
    </row>
    <row r="232" spans="1:75" ht="18.75" hidden="1" x14ac:dyDescent="0.3">
      <c r="AE232"/>
      <c r="AF232"/>
      <c r="AG232"/>
      <c r="AH232"/>
      <c r="AI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V232"/>
      <c r="BW232"/>
    </row>
    <row r="233" spans="1:75" ht="18.75" hidden="1" x14ac:dyDescent="0.3">
      <c r="AE233"/>
      <c r="AF233"/>
      <c r="AG233"/>
      <c r="AH233"/>
      <c r="AI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V233"/>
      <c r="BW233"/>
    </row>
    <row r="234" spans="1:75" ht="18.75" hidden="1" x14ac:dyDescent="0.3">
      <c r="AE234"/>
      <c r="AF234"/>
      <c r="AG234"/>
      <c r="AH234"/>
      <c r="AI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V234"/>
      <c r="BW234"/>
    </row>
    <row r="235" spans="1:75" ht="18.75" hidden="1" x14ac:dyDescent="0.3">
      <c r="AE235"/>
      <c r="AF235"/>
      <c r="AG235"/>
      <c r="AH235"/>
      <c r="AI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V235"/>
      <c r="BW235"/>
    </row>
    <row r="236" spans="1:75" ht="18.75" hidden="1" x14ac:dyDescent="0.3">
      <c r="AE236"/>
      <c r="AF236"/>
      <c r="AG236"/>
      <c r="AH236"/>
      <c r="AI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V236"/>
      <c r="BW236"/>
    </row>
    <row r="237" spans="1:75" ht="18.75" hidden="1" x14ac:dyDescent="0.3">
      <c r="AE237"/>
      <c r="AF237"/>
      <c r="AG237"/>
      <c r="AH237"/>
      <c r="AI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V237"/>
      <c r="BW237"/>
    </row>
    <row r="238" spans="1:75" ht="18.75" hidden="1" x14ac:dyDescent="0.3">
      <c r="AE238"/>
      <c r="AF238"/>
      <c r="AG238"/>
      <c r="AH238"/>
      <c r="AI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V238"/>
      <c r="BW238"/>
    </row>
    <row r="239" spans="1:75" s="42" customFormat="1" ht="18.75" hidden="1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V239"/>
      <c r="BW239"/>
    </row>
    <row r="240" spans="1:75" s="42" customFormat="1" ht="18.75" hidden="1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V240"/>
      <c r="BW240"/>
    </row>
    <row r="241" spans="1:75" s="42" customFormat="1" ht="18.75" hidden="1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V241"/>
      <c r="BW241"/>
    </row>
    <row r="242" spans="1:75" s="42" customFormat="1" ht="18.75" hidden="1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V242"/>
      <c r="BW242"/>
    </row>
    <row r="243" spans="1:75" s="42" customFormat="1" ht="18.75" hidden="1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V243"/>
      <c r="BW243"/>
    </row>
    <row r="244" spans="1:75" s="42" customFormat="1" ht="18.75" hidden="1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V244"/>
      <c r="BW244"/>
    </row>
    <row r="245" spans="1:75" s="42" customFormat="1" ht="18.75" hidden="1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V245"/>
      <c r="BW245"/>
    </row>
    <row r="246" spans="1:75" s="42" customFormat="1" ht="18.75" hidden="1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V246"/>
      <c r="BW246"/>
    </row>
    <row r="247" spans="1:75" s="42" customFormat="1" ht="18.75" hidden="1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V247"/>
      <c r="BW247"/>
    </row>
    <row r="248" spans="1:75" s="42" customFormat="1" ht="18.75" hidden="1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V248"/>
      <c r="BW248"/>
    </row>
    <row r="249" spans="1:75" s="42" customFormat="1" ht="18.75" hidden="1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V249"/>
      <c r="BW249"/>
    </row>
    <row r="250" spans="1:75" s="42" customFormat="1" ht="18.75" hidden="1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V250"/>
      <c r="BW250"/>
    </row>
    <row r="251" spans="1:75" s="42" customFormat="1" ht="18.75" hidden="1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V251"/>
      <c r="BW251"/>
    </row>
    <row r="252" spans="1:75" s="42" customFormat="1" ht="18.75" hidden="1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J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V252"/>
      <c r="BW252"/>
    </row>
    <row r="253" spans="1:75" s="42" customFormat="1" ht="18.75" hidden="1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J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V253"/>
      <c r="BW253"/>
    </row>
    <row r="254" spans="1:75" s="42" customFormat="1" ht="18.75" hidden="1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J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V254"/>
      <c r="BW254"/>
    </row>
    <row r="255" spans="1:75" s="42" customFormat="1" ht="18.75" hidden="1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J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V255"/>
      <c r="BW255"/>
    </row>
    <row r="256" spans="1:75" s="42" customFormat="1" ht="18.75" hidden="1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J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V256"/>
      <c r="BW256"/>
    </row>
    <row r="257" spans="1:75" s="42" customFormat="1" ht="18.75" hidden="1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J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V257"/>
      <c r="BW257"/>
    </row>
    <row r="258" spans="1:75" s="42" customFormat="1" ht="18.75" hidden="1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J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V258"/>
      <c r="BW258"/>
    </row>
    <row r="259" spans="1:75" s="42" customFormat="1" ht="18.75" hidden="1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J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V259"/>
      <c r="BW259"/>
    </row>
    <row r="260" spans="1:75" s="42" customFormat="1" ht="18.75" hidden="1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J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V260"/>
      <c r="BW260"/>
    </row>
    <row r="261" spans="1:75" s="42" customFormat="1" ht="18.75" hidden="1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J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V261"/>
      <c r="BW261"/>
    </row>
    <row r="262" spans="1:75" s="42" customFormat="1" ht="18.75" hidden="1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J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V262"/>
      <c r="BW262"/>
    </row>
    <row r="263" spans="1:75" s="42" customFormat="1" ht="18.75" hidden="1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J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V263"/>
      <c r="BW263"/>
    </row>
    <row r="264" spans="1:75" s="42" customFormat="1" ht="18.75" hidden="1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J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V264"/>
      <c r="BW264"/>
    </row>
    <row r="265" spans="1:75" s="42" customFormat="1" ht="18.75" hidden="1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J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V265"/>
      <c r="BW265"/>
    </row>
    <row r="266" spans="1:75" s="42" customFormat="1" ht="18.75" hidden="1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J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V266"/>
      <c r="BW266"/>
    </row>
    <row r="267" spans="1:75" s="42" customFormat="1" ht="18.75" hidden="1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J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V267"/>
      <c r="BW267"/>
    </row>
    <row r="268" spans="1:75" s="42" customFormat="1" ht="18.75" hidden="1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J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V268"/>
      <c r="BW268"/>
    </row>
    <row r="269" spans="1:75" s="42" customFormat="1" ht="18.75" hidden="1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J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V269"/>
      <c r="BW269"/>
    </row>
    <row r="270" spans="1:75" s="42" customFormat="1" ht="18.75" hidden="1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J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V270"/>
      <c r="BW270"/>
    </row>
    <row r="271" spans="1:75" ht="18.75" hidden="1" x14ac:dyDescent="0.3"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V271"/>
      <c r="BW271"/>
    </row>
    <row r="272" spans="1:75" ht="18.75" hidden="1" x14ac:dyDescent="0.3"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V272"/>
      <c r="BW272"/>
    </row>
    <row r="273" spans="44:75" ht="18.75" hidden="1" x14ac:dyDescent="0.3"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V273"/>
      <c r="BW273"/>
    </row>
    <row r="274" spans="44:75" ht="18.75" hidden="1" x14ac:dyDescent="0.3"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V274"/>
      <c r="BW274"/>
    </row>
    <row r="275" spans="44:75" ht="18.75" hidden="1" x14ac:dyDescent="0.3"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K275"/>
      <c r="BL275"/>
      <c r="BM275"/>
      <c r="BN275"/>
      <c r="BO275"/>
      <c r="BP275"/>
      <c r="BQ275"/>
      <c r="BR275"/>
      <c r="BV275"/>
      <c r="BW275"/>
    </row>
    <row r="276" spans="44:75" ht="18.75" hidden="1" x14ac:dyDescent="0.3"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V276"/>
      <c r="BW276"/>
    </row>
    <row r="277" spans="44:75" ht="18.75" hidden="1" x14ac:dyDescent="0.3"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</row>
    <row r="278" spans="44:75" ht="18.75" hidden="1" x14ac:dyDescent="0.3"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</row>
    <row r="279" spans="44:75" ht="18.75" hidden="1" x14ac:dyDescent="0.3"/>
    <row r="280" spans="44:75" ht="18.75" hidden="1" x14ac:dyDescent="0.3"/>
    <row r="281" spans="44:75" ht="18.75" hidden="1" x14ac:dyDescent="0.3"/>
    <row r="282" spans="44:75" ht="18.75" hidden="1" x14ac:dyDescent="0.3"/>
    <row r="283" spans="44:75" ht="18.75" hidden="1" x14ac:dyDescent="0.3"/>
    <row r="284" spans="44:75" ht="18.75" hidden="1" x14ac:dyDescent="0.3"/>
  </sheetData>
  <mergeCells count="15">
    <mergeCell ref="BR184:BU184"/>
    <mergeCell ref="C185:K185"/>
    <mergeCell ref="V185:AC185"/>
    <mergeCell ref="AP183:AQ183"/>
    <mergeCell ref="AS184:AX184"/>
    <mergeCell ref="AZ184:BA184"/>
    <mergeCell ref="BB184:BE184"/>
    <mergeCell ref="BI184:BN184"/>
    <mergeCell ref="BP184:BQ184"/>
    <mergeCell ref="C183:K183"/>
    <mergeCell ref="O183:T183"/>
    <mergeCell ref="V183:AC183"/>
    <mergeCell ref="C184:K184"/>
    <mergeCell ref="O184:T184"/>
    <mergeCell ref="V184:AC18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8314-CED1-4CD6-97D6-A318321B6F97}">
  <sheetPr>
    <tabColor theme="1"/>
  </sheetPr>
  <dimension ref="A1:P21"/>
  <sheetViews>
    <sheetView zoomScale="130" zoomScaleNormal="130" workbookViewId="0">
      <selection activeCell="J10" sqref="J10"/>
    </sheetView>
  </sheetViews>
  <sheetFormatPr baseColWidth="10" defaultColWidth="0" defaultRowHeight="14.25" zeroHeight="1" x14ac:dyDescent="0.2"/>
  <cols>
    <col min="1" max="1" width="4.140625" style="362" customWidth="1"/>
    <col min="2" max="3" width="12.85546875" style="362" customWidth="1"/>
    <col min="4" max="4" width="11.7109375" style="362" customWidth="1"/>
    <col min="5" max="5" width="2" style="362" customWidth="1"/>
    <col min="6" max="6" width="6.140625" style="362" customWidth="1"/>
    <col min="7" max="9" width="9.7109375" style="362" customWidth="1"/>
    <col min="10" max="10" width="2" style="362" customWidth="1"/>
    <col min="11" max="11" width="5.28515625" style="362" customWidth="1"/>
    <col min="12" max="12" width="9.7109375" style="362" customWidth="1"/>
    <col min="13" max="13" width="11.28515625" style="362" customWidth="1"/>
    <col min="14" max="14" width="10.5703125" style="362" customWidth="1"/>
    <col min="15" max="15" width="9.7109375" style="362" customWidth="1"/>
    <col min="16" max="16" width="11.42578125" style="362" customWidth="1"/>
    <col min="17" max="16384" width="11.42578125" style="362" hidden="1"/>
  </cols>
  <sheetData>
    <row r="1" spans="1:16" x14ac:dyDescent="0.2">
      <c r="A1" s="370" t="s">
        <v>652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</row>
    <row r="2" spans="1:16" x14ac:dyDescent="0.2">
      <c r="A2" s="369"/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</row>
    <row r="3" spans="1:16" x14ac:dyDescent="0.2">
      <c r="A3" s="377" t="s">
        <v>158</v>
      </c>
      <c r="B3" s="377" t="s">
        <v>160</v>
      </c>
      <c r="C3" s="377" t="s">
        <v>159</v>
      </c>
      <c r="D3" s="377" t="s">
        <v>156</v>
      </c>
      <c r="E3" s="377" t="s">
        <v>161</v>
      </c>
      <c r="F3" s="377" t="s">
        <v>277</v>
      </c>
      <c r="G3" s="377" t="s">
        <v>245</v>
      </c>
      <c r="H3" s="377" t="s">
        <v>246</v>
      </c>
      <c r="I3" s="377" t="s">
        <v>640</v>
      </c>
      <c r="J3" s="377" t="s">
        <v>161</v>
      </c>
      <c r="K3" s="377" t="s">
        <v>162</v>
      </c>
      <c r="L3" s="377" t="s">
        <v>157</v>
      </c>
      <c r="M3" s="377" t="s">
        <v>233</v>
      </c>
      <c r="N3" s="377" t="s">
        <v>234</v>
      </c>
      <c r="O3" s="377" t="s">
        <v>275</v>
      </c>
      <c r="P3" s="369"/>
    </row>
    <row r="4" spans="1:16" x14ac:dyDescent="0.2">
      <c r="A4" s="377">
        <v>4</v>
      </c>
      <c r="B4" s="372" t="s">
        <v>627</v>
      </c>
      <c r="C4" s="372"/>
      <c r="D4" s="372"/>
      <c r="E4" s="371"/>
      <c r="F4" s="373" t="s">
        <v>650</v>
      </c>
      <c r="G4" s="374"/>
      <c r="H4" s="374"/>
      <c r="I4" s="374"/>
      <c r="J4" s="371"/>
      <c r="K4" s="373" t="s">
        <v>636</v>
      </c>
      <c r="L4" s="374"/>
      <c r="M4" s="374"/>
      <c r="N4" s="374"/>
      <c r="O4" s="374"/>
      <c r="P4" s="369"/>
    </row>
    <row r="5" spans="1:16" x14ac:dyDescent="0.2">
      <c r="A5" s="377">
        <f>+A4+1</f>
        <v>5</v>
      </c>
      <c r="B5" s="365" t="s">
        <v>202</v>
      </c>
      <c r="C5" s="365"/>
      <c r="D5" s="364">
        <v>100000</v>
      </c>
      <c r="E5" s="371"/>
      <c r="F5" s="372" t="s">
        <v>638</v>
      </c>
      <c r="G5" s="374" t="s">
        <v>653</v>
      </c>
      <c r="H5" s="374" t="s">
        <v>651</v>
      </c>
      <c r="I5" s="374" t="s">
        <v>632</v>
      </c>
      <c r="J5" s="371"/>
      <c r="K5" s="372" t="s">
        <v>638</v>
      </c>
      <c r="L5" s="374" t="s">
        <v>620</v>
      </c>
      <c r="M5" s="374" t="s">
        <v>631</v>
      </c>
      <c r="N5" s="374" t="s">
        <v>632</v>
      </c>
      <c r="O5" s="374" t="s">
        <v>621</v>
      </c>
      <c r="P5" s="369"/>
    </row>
    <row r="6" spans="1:16" x14ac:dyDescent="0.2">
      <c r="A6" s="377">
        <f t="shared" ref="A6:A19" si="0">+A5+1</f>
        <v>6</v>
      </c>
      <c r="B6" s="365" t="s">
        <v>628</v>
      </c>
      <c r="C6" s="365"/>
      <c r="D6" s="366">
        <v>0.01</v>
      </c>
      <c r="E6" s="371"/>
      <c r="F6" s="364">
        <v>1</v>
      </c>
      <c r="G6" s="364">
        <f t="shared" ref="G6:G17" si="1">-IPMT($D$6,F6,$F$17,$D$5,0,0)</f>
        <v>1000</v>
      </c>
      <c r="H6" s="364">
        <f t="shared" ref="H6:H17" si="2">-PPMT($D$6,F6,$F$17,$D$5,0,0)</f>
        <v>7884.8788678341689</v>
      </c>
      <c r="I6" s="364">
        <f>+G6+H6</f>
        <v>8884.8788678341698</v>
      </c>
      <c r="J6" s="371"/>
      <c r="K6" s="364">
        <v>1</v>
      </c>
      <c r="L6" s="364">
        <f>+D5</f>
        <v>100000</v>
      </c>
      <c r="M6" s="364">
        <f>+L6*$D$6</f>
        <v>1000</v>
      </c>
      <c r="N6" s="364">
        <f>-$D$8</f>
        <v>-8884.878867834168</v>
      </c>
      <c r="O6" s="364">
        <f>SUM(L6:N6)</f>
        <v>92115.121132165834</v>
      </c>
      <c r="P6" s="369"/>
    </row>
    <row r="7" spans="1:16" x14ac:dyDescent="0.2">
      <c r="A7" s="377">
        <f t="shared" si="0"/>
        <v>7</v>
      </c>
      <c r="B7" s="365" t="s">
        <v>629</v>
      </c>
      <c r="C7" s="365"/>
      <c r="D7" s="365">
        <v>12</v>
      </c>
      <c r="E7" s="371"/>
      <c r="F7" s="364">
        <f>+F6+1</f>
        <v>2</v>
      </c>
      <c r="G7" s="364">
        <f t="shared" si="1"/>
        <v>921.15121132165837</v>
      </c>
      <c r="H7" s="364">
        <f t="shared" si="2"/>
        <v>7963.7276565125112</v>
      </c>
      <c r="I7" s="364">
        <f t="shared" ref="I7:I18" si="3">+G7+H7</f>
        <v>8884.8788678341698</v>
      </c>
      <c r="J7" s="371"/>
      <c r="K7" s="364">
        <f>+K6+1</f>
        <v>2</v>
      </c>
      <c r="L7" s="364">
        <f>+O6</f>
        <v>92115.121132165834</v>
      </c>
      <c r="M7" s="364">
        <f>+L7*$D$6</f>
        <v>921.15121132165837</v>
      </c>
      <c r="N7" s="364">
        <f>-$D$8</f>
        <v>-8884.878867834168</v>
      </c>
      <c r="O7" s="364">
        <f>SUM(L7:N7)</f>
        <v>84151.393475653327</v>
      </c>
      <c r="P7" s="369"/>
    </row>
    <row r="8" spans="1:16" x14ac:dyDescent="0.2">
      <c r="A8" s="377">
        <f t="shared" si="0"/>
        <v>8</v>
      </c>
      <c r="B8" s="365" t="s">
        <v>630</v>
      </c>
      <c r="C8" s="365"/>
      <c r="D8" s="364">
        <f>PMT(D6,D7,-D5,0,0)</f>
        <v>8884.878867834168</v>
      </c>
      <c r="E8" s="371"/>
      <c r="F8" s="364">
        <f t="shared" ref="F8:F17" si="4">+F7+1</f>
        <v>3</v>
      </c>
      <c r="G8" s="364">
        <f t="shared" si="1"/>
        <v>841.5139347565331</v>
      </c>
      <c r="H8" s="364">
        <f t="shared" si="2"/>
        <v>8043.3649330776352</v>
      </c>
      <c r="I8" s="364">
        <f t="shared" si="3"/>
        <v>8884.878867834168</v>
      </c>
      <c r="J8" s="371"/>
      <c r="K8" s="364">
        <f t="shared" ref="K8:K17" si="5">+K7+1</f>
        <v>3</v>
      </c>
      <c r="L8" s="364">
        <f t="shared" ref="L8:L17" si="6">+O7</f>
        <v>84151.393475653327</v>
      </c>
      <c r="M8" s="364">
        <f t="shared" ref="M8:M17" si="7">+L8*$D$6</f>
        <v>841.51393475653333</v>
      </c>
      <c r="N8" s="364">
        <f t="shared" ref="N8:N17" si="8">-$D$8</f>
        <v>-8884.878867834168</v>
      </c>
      <c r="O8" s="364">
        <f t="shared" ref="O8:O17" si="9">SUM(L8:N8)</f>
        <v>76108.028542575688</v>
      </c>
      <c r="P8" s="369"/>
    </row>
    <row r="9" spans="1:16" x14ac:dyDescent="0.2">
      <c r="A9" s="377">
        <f t="shared" si="0"/>
        <v>9</v>
      </c>
      <c r="B9" s="365" t="s">
        <v>633</v>
      </c>
      <c r="C9" s="365"/>
      <c r="D9" s="367" t="s">
        <v>634</v>
      </c>
      <c r="E9" s="371"/>
      <c r="F9" s="364">
        <f t="shared" si="4"/>
        <v>4</v>
      </c>
      <c r="G9" s="364">
        <f t="shared" si="1"/>
        <v>761.08028542575676</v>
      </c>
      <c r="H9" s="364">
        <f t="shared" si="2"/>
        <v>8123.7985824084117</v>
      </c>
      <c r="I9" s="364">
        <f t="shared" si="3"/>
        <v>8884.878867834168</v>
      </c>
      <c r="J9" s="371"/>
      <c r="K9" s="364">
        <f t="shared" si="5"/>
        <v>4</v>
      </c>
      <c r="L9" s="364">
        <f t="shared" si="6"/>
        <v>76108.028542575688</v>
      </c>
      <c r="M9" s="364">
        <f t="shared" si="7"/>
        <v>761.08028542575687</v>
      </c>
      <c r="N9" s="364">
        <f t="shared" si="8"/>
        <v>-8884.878867834168</v>
      </c>
      <c r="O9" s="364">
        <f t="shared" si="9"/>
        <v>67984.229960167286</v>
      </c>
      <c r="P9" s="369"/>
    </row>
    <row r="10" spans="1:16" x14ac:dyDescent="0.2">
      <c r="A10" s="377">
        <f t="shared" si="0"/>
        <v>10</v>
      </c>
      <c r="B10" s="382" t="s">
        <v>655</v>
      </c>
      <c r="C10" s="371"/>
      <c r="D10" s="376" t="s">
        <v>654</v>
      </c>
      <c r="E10" s="371"/>
      <c r="F10" s="364">
        <f t="shared" si="4"/>
        <v>5</v>
      </c>
      <c r="G10" s="364">
        <f t="shared" si="1"/>
        <v>679.84229960167261</v>
      </c>
      <c r="H10" s="364">
        <f t="shared" si="2"/>
        <v>8205.0365682324955</v>
      </c>
      <c r="I10" s="364">
        <f t="shared" si="3"/>
        <v>8884.878867834168</v>
      </c>
      <c r="J10" s="371"/>
      <c r="K10" s="364">
        <f t="shared" si="5"/>
        <v>5</v>
      </c>
      <c r="L10" s="364">
        <f t="shared" si="6"/>
        <v>67984.229960167286</v>
      </c>
      <c r="M10" s="364">
        <f t="shared" si="7"/>
        <v>679.84229960167283</v>
      </c>
      <c r="N10" s="364">
        <f t="shared" si="8"/>
        <v>-8884.878867834168</v>
      </c>
      <c r="O10" s="364">
        <f t="shared" si="9"/>
        <v>59779.193391934794</v>
      </c>
      <c r="P10" s="369"/>
    </row>
    <row r="11" spans="1:16" x14ac:dyDescent="0.2">
      <c r="A11" s="377">
        <f t="shared" si="0"/>
        <v>11</v>
      </c>
      <c r="B11" s="382" t="s">
        <v>658</v>
      </c>
      <c r="C11" s="371"/>
      <c r="D11" s="376"/>
      <c r="E11" s="371"/>
      <c r="F11" s="364">
        <f t="shared" si="4"/>
        <v>6</v>
      </c>
      <c r="G11" s="364">
        <f t="shared" si="1"/>
        <v>597.79193391934757</v>
      </c>
      <c r="H11" s="364">
        <f t="shared" si="2"/>
        <v>8287.0869339148194</v>
      </c>
      <c r="I11" s="364">
        <f t="shared" si="3"/>
        <v>8884.8788678341662</v>
      </c>
      <c r="J11" s="371"/>
      <c r="K11" s="364">
        <f>+K10+1</f>
        <v>6</v>
      </c>
      <c r="L11" s="364">
        <f>+O10</f>
        <v>59779.193391934794</v>
      </c>
      <c r="M11" s="364">
        <f t="shared" si="7"/>
        <v>597.79193391934791</v>
      </c>
      <c r="N11" s="364">
        <f t="shared" si="8"/>
        <v>-8884.878867834168</v>
      </c>
      <c r="O11" s="364">
        <f t="shared" si="9"/>
        <v>51492.106458019975</v>
      </c>
      <c r="P11" s="369"/>
    </row>
    <row r="12" spans="1:16" x14ac:dyDescent="0.2">
      <c r="A12" s="377">
        <f t="shared" si="0"/>
        <v>12</v>
      </c>
      <c r="B12" s="371"/>
      <c r="C12" s="371"/>
      <c r="D12" s="376" t="s">
        <v>656</v>
      </c>
      <c r="E12" s="371"/>
      <c r="F12" s="364">
        <f t="shared" si="4"/>
        <v>7</v>
      </c>
      <c r="G12" s="364">
        <f t="shared" si="1"/>
        <v>514.92106458019941</v>
      </c>
      <c r="H12" s="364">
        <f t="shared" si="2"/>
        <v>8369.9578032539685</v>
      </c>
      <c r="I12" s="364">
        <f t="shared" si="3"/>
        <v>8884.878867834168</v>
      </c>
      <c r="J12" s="371"/>
      <c r="K12" s="364">
        <f t="shared" si="5"/>
        <v>7</v>
      </c>
      <c r="L12" s="364">
        <f t="shared" si="6"/>
        <v>51492.106458019975</v>
      </c>
      <c r="M12" s="364">
        <f t="shared" si="7"/>
        <v>514.92106458019975</v>
      </c>
      <c r="N12" s="364">
        <f t="shared" si="8"/>
        <v>-8884.878867834168</v>
      </c>
      <c r="O12" s="364">
        <f t="shared" si="9"/>
        <v>43122.14865476601</v>
      </c>
      <c r="P12" s="369"/>
    </row>
    <row r="13" spans="1:16" x14ac:dyDescent="0.2">
      <c r="A13" s="377">
        <f t="shared" si="0"/>
        <v>13</v>
      </c>
      <c r="B13" s="382" t="s">
        <v>657</v>
      </c>
      <c r="C13" s="371"/>
      <c r="D13" s="376"/>
      <c r="E13" s="371"/>
      <c r="F13" s="364">
        <f t="shared" si="4"/>
        <v>8</v>
      </c>
      <c r="G13" s="364">
        <f t="shared" si="1"/>
        <v>431.22148654765965</v>
      </c>
      <c r="H13" s="364">
        <f t="shared" si="2"/>
        <v>8453.6573812865081</v>
      </c>
      <c r="I13" s="364">
        <f t="shared" si="3"/>
        <v>8884.878867834168</v>
      </c>
      <c r="J13" s="371"/>
      <c r="K13" s="364">
        <f t="shared" si="5"/>
        <v>8</v>
      </c>
      <c r="L13" s="364">
        <f t="shared" si="6"/>
        <v>43122.14865476601</v>
      </c>
      <c r="M13" s="364">
        <f t="shared" si="7"/>
        <v>431.22148654766011</v>
      </c>
      <c r="N13" s="364">
        <f t="shared" si="8"/>
        <v>-8884.878867834168</v>
      </c>
      <c r="O13" s="364">
        <f t="shared" si="9"/>
        <v>34668.491273479507</v>
      </c>
      <c r="P13" s="369"/>
    </row>
    <row r="14" spans="1:16" x14ac:dyDescent="0.2">
      <c r="A14" s="377">
        <f t="shared" si="0"/>
        <v>14</v>
      </c>
      <c r="B14" s="375"/>
      <c r="C14" s="371"/>
      <c r="D14" s="376" t="s">
        <v>659</v>
      </c>
      <c r="E14" s="371"/>
      <c r="F14" s="364">
        <f t="shared" si="4"/>
        <v>9</v>
      </c>
      <c r="G14" s="364">
        <f t="shared" si="1"/>
        <v>346.68491273479458</v>
      </c>
      <c r="H14" s="364">
        <f t="shared" si="2"/>
        <v>8538.1939550993739</v>
      </c>
      <c r="I14" s="364">
        <f t="shared" si="3"/>
        <v>8884.878867834168</v>
      </c>
      <c r="J14" s="371"/>
      <c r="K14" s="364">
        <f t="shared" si="5"/>
        <v>9</v>
      </c>
      <c r="L14" s="364">
        <f t="shared" si="6"/>
        <v>34668.491273479507</v>
      </c>
      <c r="M14" s="364">
        <f t="shared" si="7"/>
        <v>346.68491273479509</v>
      </c>
      <c r="N14" s="364">
        <f t="shared" si="8"/>
        <v>-8884.878867834168</v>
      </c>
      <c r="O14" s="364">
        <f t="shared" si="9"/>
        <v>26130.297318380137</v>
      </c>
      <c r="P14" s="369"/>
    </row>
    <row r="15" spans="1:16" x14ac:dyDescent="0.2">
      <c r="A15" s="377">
        <f t="shared" si="0"/>
        <v>15</v>
      </c>
      <c r="B15" s="371"/>
      <c r="C15" s="371"/>
      <c r="D15" s="371"/>
      <c r="E15" s="371"/>
      <c r="F15" s="364">
        <f t="shared" si="4"/>
        <v>10</v>
      </c>
      <c r="G15" s="364">
        <f t="shared" si="1"/>
        <v>261.30297318380082</v>
      </c>
      <c r="H15" s="364">
        <f t="shared" si="2"/>
        <v>8623.5758946503684</v>
      </c>
      <c r="I15" s="364">
        <f t="shared" si="3"/>
        <v>8884.8788678341698</v>
      </c>
      <c r="J15" s="371"/>
      <c r="K15" s="364">
        <f t="shared" si="5"/>
        <v>10</v>
      </c>
      <c r="L15" s="364">
        <f t="shared" si="6"/>
        <v>26130.297318380137</v>
      </c>
      <c r="M15" s="364">
        <f t="shared" si="7"/>
        <v>261.30297318380138</v>
      </c>
      <c r="N15" s="364">
        <f t="shared" si="8"/>
        <v>-8884.878867834168</v>
      </c>
      <c r="O15" s="364">
        <f t="shared" si="9"/>
        <v>17506.721423729767</v>
      </c>
      <c r="P15" s="369"/>
    </row>
    <row r="16" spans="1:16" x14ac:dyDescent="0.2">
      <c r="A16" s="377">
        <f t="shared" si="0"/>
        <v>16</v>
      </c>
      <c r="B16" s="371"/>
      <c r="C16" s="371"/>
      <c r="D16" s="371"/>
      <c r="E16" s="371"/>
      <c r="F16" s="364">
        <f t="shared" si="4"/>
        <v>11</v>
      </c>
      <c r="G16" s="364">
        <f t="shared" si="1"/>
        <v>175.06721423729715</v>
      </c>
      <c r="H16" s="364">
        <f t="shared" si="2"/>
        <v>8709.8116535968711</v>
      </c>
      <c r="I16" s="364">
        <f t="shared" si="3"/>
        <v>8884.878867834168</v>
      </c>
      <c r="J16" s="371"/>
      <c r="K16" s="364">
        <f t="shared" si="5"/>
        <v>11</v>
      </c>
      <c r="L16" s="364">
        <f t="shared" si="6"/>
        <v>17506.721423729767</v>
      </c>
      <c r="M16" s="364">
        <f t="shared" si="7"/>
        <v>175.06721423729766</v>
      </c>
      <c r="N16" s="364">
        <f t="shared" si="8"/>
        <v>-8884.878867834168</v>
      </c>
      <c r="O16" s="364">
        <f t="shared" si="9"/>
        <v>8796.9097701328956</v>
      </c>
      <c r="P16" s="369"/>
    </row>
    <row r="17" spans="1:16" x14ac:dyDescent="0.2">
      <c r="A17" s="377">
        <f t="shared" si="0"/>
        <v>17</v>
      </c>
      <c r="B17" s="371"/>
      <c r="C17" s="371"/>
      <c r="D17" s="371"/>
      <c r="E17" s="371"/>
      <c r="F17" s="364">
        <f t="shared" si="4"/>
        <v>12</v>
      </c>
      <c r="G17" s="364">
        <f t="shared" si="1"/>
        <v>87.969097701328408</v>
      </c>
      <c r="H17" s="364">
        <f t="shared" si="2"/>
        <v>8796.909770132841</v>
      </c>
      <c r="I17" s="364">
        <f t="shared" si="3"/>
        <v>8884.8788678341698</v>
      </c>
      <c r="J17" s="371"/>
      <c r="K17" s="364">
        <f t="shared" si="5"/>
        <v>12</v>
      </c>
      <c r="L17" s="364">
        <f t="shared" si="6"/>
        <v>8796.9097701328956</v>
      </c>
      <c r="M17" s="364">
        <f t="shared" si="7"/>
        <v>87.969097701328963</v>
      </c>
      <c r="N17" s="364">
        <f t="shared" si="8"/>
        <v>-8884.878867834168</v>
      </c>
      <c r="O17" s="364">
        <f t="shared" si="9"/>
        <v>5.6388671509921551E-11</v>
      </c>
      <c r="P17" s="369"/>
    </row>
    <row r="18" spans="1:16" x14ac:dyDescent="0.2">
      <c r="A18" s="377">
        <f t="shared" si="0"/>
        <v>18</v>
      </c>
      <c r="B18" s="371"/>
      <c r="C18" s="371"/>
      <c r="D18" s="371"/>
      <c r="E18" s="371"/>
      <c r="F18" s="381" t="s">
        <v>304</v>
      </c>
      <c r="G18" s="381">
        <f>SUM(G6:G17)</f>
        <v>6618.5464140100494</v>
      </c>
      <c r="H18" s="381">
        <f>SUM(H6:H17)</f>
        <v>99999.999999999971</v>
      </c>
      <c r="I18" s="381">
        <f t="shared" si="3"/>
        <v>106618.54641401002</v>
      </c>
      <c r="J18" s="371"/>
      <c r="K18" s="381" t="s">
        <v>304</v>
      </c>
      <c r="L18" s="381"/>
      <c r="M18" s="381">
        <f t="shared" ref="M18:N18" si="10">SUM(M6:M17)</f>
        <v>6618.5464140100512</v>
      </c>
      <c r="N18" s="381">
        <f t="shared" si="10"/>
        <v>-106618.54641401001</v>
      </c>
      <c r="O18" s="381"/>
      <c r="P18" s="369"/>
    </row>
    <row r="19" spans="1:16" x14ac:dyDescent="0.2">
      <c r="A19" s="377">
        <f t="shared" si="0"/>
        <v>19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</row>
    <row r="20" spans="1:16" x14ac:dyDescent="0.2"/>
    <row r="21" spans="1:16" x14ac:dyDescent="0.2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D5F50-6CE3-4631-AFB3-82AB55319CE1}">
  <sheetPr>
    <tabColor theme="1"/>
  </sheetPr>
  <dimension ref="A1:N29"/>
  <sheetViews>
    <sheetView zoomScale="115" zoomScaleNormal="115" workbookViewId="0">
      <selection activeCell="J10" sqref="J10"/>
    </sheetView>
  </sheetViews>
  <sheetFormatPr baseColWidth="10" defaultColWidth="0" defaultRowHeight="14.25" zeroHeight="1" x14ac:dyDescent="0.2"/>
  <cols>
    <col min="1" max="1" width="4.140625" style="362" customWidth="1"/>
    <col min="2" max="3" width="12.85546875" style="362" customWidth="1"/>
    <col min="4" max="4" width="11.7109375" style="362" customWidth="1"/>
    <col min="5" max="5" width="6.140625" style="362" customWidth="1"/>
    <col min="6" max="8" width="9.7109375" style="362" customWidth="1"/>
    <col min="9" max="9" width="3.7109375" style="362" customWidth="1"/>
    <col min="10" max="12" width="11.28515625" style="362" customWidth="1"/>
    <col min="13" max="13" width="9.7109375" style="362" customWidth="1"/>
    <col min="14" max="14" width="11.42578125" style="362" customWidth="1"/>
    <col min="15" max="16384" width="11.42578125" style="362" hidden="1"/>
  </cols>
  <sheetData>
    <row r="1" spans="1:14" x14ac:dyDescent="0.2">
      <c r="A1" s="370" t="s">
        <v>677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x14ac:dyDescent="0.2">
      <c r="A2" s="369"/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1:14" x14ac:dyDescent="0.2">
      <c r="A3" s="369"/>
      <c r="B3" s="369"/>
      <c r="C3" s="400" t="s">
        <v>683</v>
      </c>
      <c r="D3" s="401"/>
      <c r="E3" s="401"/>
      <c r="F3" s="401"/>
      <c r="G3" s="401"/>
      <c r="H3" s="401"/>
      <c r="I3" s="402" t="s">
        <v>314</v>
      </c>
      <c r="J3" s="401" t="s">
        <v>678</v>
      </c>
      <c r="K3" s="401"/>
      <c r="L3" s="369"/>
      <c r="M3" s="369"/>
      <c r="N3" s="369"/>
    </row>
    <row r="4" spans="1:14" x14ac:dyDescent="0.2">
      <c r="A4" s="369"/>
      <c r="B4" s="369"/>
      <c r="C4" s="396" t="s">
        <v>679</v>
      </c>
      <c r="D4" s="397"/>
      <c r="E4" s="397"/>
      <c r="F4" s="397"/>
      <c r="G4" s="397"/>
      <c r="H4" s="397"/>
      <c r="I4" s="397"/>
      <c r="J4" s="397"/>
      <c r="K4" s="397"/>
      <c r="L4" s="369"/>
      <c r="M4" s="369"/>
      <c r="N4" s="369"/>
    </row>
    <row r="5" spans="1:14" x14ac:dyDescent="0.2">
      <c r="A5" s="369"/>
      <c r="B5" s="369"/>
      <c r="C5" s="398" t="s">
        <v>680</v>
      </c>
      <c r="D5" s="399"/>
      <c r="E5" s="399"/>
      <c r="F5" s="399"/>
      <c r="G5" s="399"/>
      <c r="H5" s="399"/>
      <c r="I5" s="399"/>
      <c r="J5" s="399"/>
      <c r="K5" s="399"/>
      <c r="L5" s="369"/>
      <c r="M5" s="369"/>
      <c r="N5" s="369"/>
    </row>
    <row r="6" spans="1:14" x14ac:dyDescent="0.2">
      <c r="A6" s="369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</row>
    <row r="7" spans="1:14" x14ac:dyDescent="0.2">
      <c r="A7" s="369"/>
      <c r="B7" s="369"/>
      <c r="C7" s="403" t="s">
        <v>681</v>
      </c>
      <c r="D7" s="404"/>
      <c r="E7" s="404"/>
      <c r="F7" s="404"/>
      <c r="G7" s="404"/>
      <c r="H7" s="404"/>
      <c r="I7" s="405" t="s">
        <v>314</v>
      </c>
      <c r="J7" s="404" t="s">
        <v>682</v>
      </c>
      <c r="K7" s="404"/>
      <c r="L7" s="369"/>
      <c r="M7" s="369"/>
      <c r="N7" s="369"/>
    </row>
    <row r="8" spans="1:14" x14ac:dyDescent="0.2">
      <c r="A8" s="369"/>
      <c r="B8" s="369"/>
      <c r="C8" s="406" t="s">
        <v>679</v>
      </c>
      <c r="D8" s="407"/>
      <c r="E8" s="407"/>
      <c r="F8" s="407"/>
      <c r="G8" s="407"/>
      <c r="H8" s="407"/>
      <c r="I8" s="407"/>
      <c r="J8" s="407"/>
      <c r="K8" s="407"/>
      <c r="L8" s="369"/>
      <c r="M8" s="369"/>
      <c r="N8" s="369"/>
    </row>
    <row r="9" spans="1:14" x14ac:dyDescent="0.2">
      <c r="A9" s="369"/>
      <c r="B9" s="369"/>
      <c r="C9" s="408" t="s">
        <v>680</v>
      </c>
      <c r="D9" s="409"/>
      <c r="E9" s="409"/>
      <c r="F9" s="409"/>
      <c r="G9" s="409"/>
      <c r="H9" s="409"/>
      <c r="I9" s="409"/>
      <c r="J9" s="409"/>
      <c r="K9" s="409"/>
      <c r="L9" s="369"/>
      <c r="M9" s="369"/>
      <c r="N9" s="369"/>
    </row>
    <row r="10" spans="1:14" ht="15" thickBot="1" x14ac:dyDescent="0.25">
      <c r="A10" s="369"/>
      <c r="B10" s="369"/>
      <c r="C10" s="369"/>
      <c r="D10" s="369"/>
      <c r="E10" s="369"/>
      <c r="F10" s="369"/>
      <c r="G10" s="369"/>
      <c r="H10" s="369"/>
      <c r="I10" s="369"/>
      <c r="J10" s="369"/>
      <c r="K10" s="369"/>
      <c r="L10" s="369"/>
      <c r="M10" s="369"/>
      <c r="N10" s="369"/>
    </row>
    <row r="11" spans="1:14" x14ac:dyDescent="0.2">
      <c r="A11" s="369"/>
      <c r="B11" s="383" t="s">
        <v>30</v>
      </c>
      <c r="C11" s="383"/>
      <c r="D11" s="381">
        <v>100000</v>
      </c>
      <c r="E11" s="369"/>
      <c r="F11" s="413"/>
      <c r="G11" s="414"/>
      <c r="H11" s="414"/>
      <c r="I11" s="414"/>
      <c r="J11" s="414"/>
      <c r="K11" s="415"/>
      <c r="L11" s="411" t="s">
        <v>17</v>
      </c>
      <c r="M11" s="369"/>
      <c r="N11" s="369"/>
    </row>
    <row r="12" spans="1:14" ht="15" thickBot="1" x14ac:dyDescent="0.25">
      <c r="A12" s="369"/>
      <c r="B12" s="435" t="s">
        <v>247</v>
      </c>
      <c r="C12" s="435"/>
      <c r="D12" s="380">
        <v>900000</v>
      </c>
      <c r="E12" s="369"/>
      <c r="F12" s="416"/>
      <c r="G12" s="417"/>
      <c r="H12" s="417"/>
      <c r="I12" s="417"/>
      <c r="J12" s="418">
        <v>2020</v>
      </c>
      <c r="K12" s="419">
        <v>2019</v>
      </c>
      <c r="L12" s="412" t="s">
        <v>121</v>
      </c>
      <c r="M12" s="369"/>
      <c r="N12" s="369"/>
    </row>
    <row r="13" spans="1:14" x14ac:dyDescent="0.2">
      <c r="A13" s="369"/>
      <c r="B13" s="435" t="s">
        <v>462</v>
      </c>
      <c r="C13" s="435"/>
      <c r="D13" s="380">
        <f>+D12*18%</f>
        <v>162000</v>
      </c>
      <c r="E13" s="369"/>
      <c r="F13" s="420" t="s">
        <v>685</v>
      </c>
      <c r="G13" s="421"/>
      <c r="H13" s="421"/>
      <c r="I13" s="421"/>
      <c r="J13" s="422" t="s">
        <v>3</v>
      </c>
      <c r="K13" s="423" t="s">
        <v>3</v>
      </c>
      <c r="L13" s="424" t="s">
        <v>3</v>
      </c>
      <c r="M13" s="369"/>
      <c r="N13" s="369"/>
    </row>
    <row r="14" spans="1:14" x14ac:dyDescent="0.2">
      <c r="A14" s="369"/>
      <c r="B14" s="435" t="s">
        <v>684</v>
      </c>
      <c r="C14" s="435"/>
      <c r="D14" s="380">
        <v>-920000</v>
      </c>
      <c r="E14" s="369"/>
      <c r="F14" s="425" t="s">
        <v>1</v>
      </c>
      <c r="G14" s="426"/>
      <c r="H14" s="426"/>
      <c r="I14" s="426"/>
      <c r="J14" s="429">
        <v>10000</v>
      </c>
      <c r="K14" s="430">
        <v>15000</v>
      </c>
      <c r="L14" s="428"/>
      <c r="M14" s="369"/>
      <c r="N14" s="369"/>
    </row>
    <row r="15" spans="1:14" x14ac:dyDescent="0.2">
      <c r="A15" s="369"/>
      <c r="B15" s="383" t="s">
        <v>32</v>
      </c>
      <c r="C15" s="383"/>
      <c r="D15" s="381">
        <f>SUM(D11:D14)</f>
        <v>242000</v>
      </c>
      <c r="E15" s="369"/>
      <c r="F15" s="425" t="s">
        <v>252</v>
      </c>
      <c r="G15" s="426"/>
      <c r="H15" s="426"/>
      <c r="I15" s="426"/>
      <c r="J15" s="429">
        <v>242000</v>
      </c>
      <c r="K15" s="430">
        <v>100000</v>
      </c>
      <c r="L15" s="431">
        <f>+K15-J15</f>
        <v>-142000</v>
      </c>
      <c r="M15" s="369"/>
      <c r="N15" s="369"/>
    </row>
    <row r="16" spans="1:14" x14ac:dyDescent="0.2">
      <c r="A16" s="369"/>
      <c r="B16" s="369"/>
      <c r="C16" s="369"/>
      <c r="D16" s="369"/>
      <c r="E16" s="369"/>
      <c r="F16" s="425" t="s">
        <v>674</v>
      </c>
      <c r="G16" s="426"/>
      <c r="H16" s="426"/>
      <c r="I16" s="426"/>
      <c r="J16" s="429">
        <v>45000</v>
      </c>
      <c r="K16" s="430">
        <v>60000</v>
      </c>
      <c r="L16" s="431"/>
      <c r="M16" s="369"/>
      <c r="N16" s="369"/>
    </row>
    <row r="17" spans="1:14" x14ac:dyDescent="0.2">
      <c r="A17" s="369"/>
      <c r="B17" s="369"/>
      <c r="C17" s="369"/>
      <c r="D17" s="369"/>
      <c r="E17" s="369"/>
      <c r="F17" s="425" t="s">
        <v>635</v>
      </c>
      <c r="G17" s="426"/>
      <c r="H17" s="426"/>
      <c r="I17" s="426"/>
      <c r="J17" s="426"/>
      <c r="K17" s="427"/>
      <c r="L17" s="428"/>
      <c r="M17" s="369"/>
      <c r="N17" s="369"/>
    </row>
    <row r="18" spans="1:14" x14ac:dyDescent="0.2">
      <c r="A18" s="369"/>
      <c r="B18" s="369"/>
      <c r="C18" s="369"/>
      <c r="D18" s="369"/>
      <c r="E18" s="369"/>
      <c r="F18" s="425" t="s">
        <v>4</v>
      </c>
      <c r="G18" s="426"/>
      <c r="H18" s="426"/>
      <c r="I18" s="426"/>
      <c r="J18" s="429">
        <v>-62000</v>
      </c>
      <c r="K18" s="430">
        <v>-80000</v>
      </c>
      <c r="L18" s="428"/>
      <c r="M18" s="369"/>
      <c r="N18" s="369"/>
    </row>
    <row r="19" spans="1:14" x14ac:dyDescent="0.2">
      <c r="A19" s="369"/>
      <c r="B19" s="369"/>
      <c r="C19" s="369"/>
      <c r="D19" s="369"/>
      <c r="E19" s="369"/>
      <c r="F19" s="425" t="s">
        <v>635</v>
      </c>
      <c r="G19" s="426"/>
      <c r="H19" s="426"/>
      <c r="I19" s="426"/>
      <c r="J19" s="426"/>
      <c r="K19" s="427"/>
      <c r="L19" s="428"/>
      <c r="M19" s="369"/>
      <c r="N19" s="369"/>
    </row>
    <row r="20" spans="1:14" x14ac:dyDescent="0.2">
      <c r="A20" s="369"/>
      <c r="B20" s="369"/>
      <c r="C20" s="369"/>
      <c r="D20" s="369"/>
      <c r="E20" s="369"/>
      <c r="F20" s="425" t="s">
        <v>9</v>
      </c>
      <c r="G20" s="426"/>
      <c r="H20" s="426"/>
      <c r="I20" s="426"/>
      <c r="J20" s="429">
        <v>-900000</v>
      </c>
      <c r="K20" s="427"/>
      <c r="L20" s="431">
        <f>+(K20-J20)*(1+18%)</f>
        <v>1062000</v>
      </c>
      <c r="M20" s="369"/>
      <c r="N20" s="369"/>
    </row>
    <row r="21" spans="1:14" x14ac:dyDescent="0.2">
      <c r="A21" s="369"/>
      <c r="B21" s="369"/>
      <c r="C21" s="369"/>
      <c r="D21" s="369"/>
      <c r="E21" s="369"/>
      <c r="F21" s="425" t="s">
        <v>10</v>
      </c>
      <c r="G21" s="426"/>
      <c r="H21" s="426"/>
      <c r="I21" s="426"/>
      <c r="J21" s="429">
        <v>400000</v>
      </c>
      <c r="K21" s="427"/>
      <c r="L21" s="428"/>
      <c r="M21" s="369"/>
      <c r="N21" s="369"/>
    </row>
    <row r="22" spans="1:14" x14ac:dyDescent="0.2">
      <c r="A22" s="369"/>
      <c r="B22" s="369"/>
      <c r="C22" s="369"/>
      <c r="D22" s="369"/>
      <c r="E22" s="369"/>
      <c r="F22" s="425" t="s">
        <v>635</v>
      </c>
      <c r="G22" s="426"/>
      <c r="H22" s="426"/>
      <c r="I22" s="426"/>
      <c r="J22" s="426"/>
      <c r="K22" s="427"/>
      <c r="L22" s="428"/>
      <c r="M22" s="369"/>
      <c r="N22" s="369"/>
    </row>
    <row r="23" spans="1:14" ht="15" thickBot="1" x14ac:dyDescent="0.25">
      <c r="A23" s="369"/>
      <c r="B23" s="369"/>
      <c r="C23" s="369"/>
      <c r="D23" s="369"/>
      <c r="E23" s="369"/>
      <c r="F23" s="425" t="s">
        <v>635</v>
      </c>
      <c r="G23" s="426"/>
      <c r="H23" s="426"/>
      <c r="I23" s="426"/>
      <c r="J23" s="426"/>
      <c r="K23" s="427"/>
      <c r="L23" s="428"/>
      <c r="M23" s="369"/>
      <c r="N23" s="369"/>
    </row>
    <row r="24" spans="1:14" ht="15" thickBot="1" x14ac:dyDescent="0.25">
      <c r="A24" s="369"/>
      <c r="B24" s="369"/>
      <c r="C24" s="369"/>
      <c r="D24" s="369"/>
      <c r="E24" s="369"/>
      <c r="F24" s="432" t="s">
        <v>635</v>
      </c>
      <c r="G24" s="433"/>
      <c r="H24" s="433"/>
      <c r="I24" s="433"/>
      <c r="J24" s="433"/>
      <c r="K24" s="434"/>
      <c r="L24" s="410">
        <f>SUM(L15:L23)</f>
        <v>920000</v>
      </c>
      <c r="M24" s="369"/>
      <c r="N24" s="369"/>
    </row>
    <row r="25" spans="1:14" x14ac:dyDescent="0.2">
      <c r="A25" s="369"/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</row>
    <row r="26" spans="1:14" x14ac:dyDescent="0.2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N26" s="369"/>
    </row>
    <row r="27" spans="1:14" x14ac:dyDescent="0.2">
      <c r="A27" s="369"/>
      <c r="B27" s="369"/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N27" s="369"/>
    </row>
    <row r="28" spans="1:14" x14ac:dyDescent="0.2">
      <c r="A28" s="369"/>
      <c r="B28" s="369"/>
      <c r="C28" s="369"/>
      <c r="D28" s="369"/>
      <c r="E28" s="369"/>
      <c r="F28" s="369"/>
      <c r="G28" s="369"/>
      <c r="H28" s="369"/>
      <c r="I28" s="369"/>
      <c r="J28" s="369"/>
      <c r="K28" s="369"/>
      <c r="L28" s="369"/>
      <c r="M28" s="369"/>
      <c r="N28" s="369"/>
    </row>
    <row r="29" spans="1:14" x14ac:dyDescent="0.2">
      <c r="A29" s="369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96B1-AF94-4653-B50A-FC97EA4C14B0}">
  <sheetPr>
    <tabColor theme="1"/>
  </sheetPr>
  <dimension ref="A1:J31"/>
  <sheetViews>
    <sheetView zoomScale="115" zoomScaleNormal="115" workbookViewId="0">
      <selection activeCell="J10" sqref="J10"/>
    </sheetView>
  </sheetViews>
  <sheetFormatPr baseColWidth="10" defaultColWidth="0" defaultRowHeight="14.25" zeroHeight="1" x14ac:dyDescent="0.2"/>
  <cols>
    <col min="1" max="1" width="4.140625" style="362" customWidth="1"/>
    <col min="2" max="2" width="12.85546875" style="362" customWidth="1"/>
    <col min="3" max="7" width="12.7109375" style="362" customWidth="1"/>
    <col min="8" max="8" width="13.7109375" style="362" bestFit="1" customWidth="1"/>
    <col min="9" max="9" width="12.7109375" style="362" customWidth="1"/>
    <col min="10" max="10" width="2.28515625" style="362" bestFit="1" customWidth="1"/>
    <col min="11" max="16384" width="11.42578125" style="362" hidden="1"/>
  </cols>
  <sheetData>
    <row r="1" spans="1:10" x14ac:dyDescent="0.2">
      <c r="A1" s="370" t="s">
        <v>686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0" x14ac:dyDescent="0.2">
      <c r="A2" s="370"/>
      <c r="C2" s="369"/>
      <c r="D2" s="369"/>
      <c r="E2" s="369"/>
      <c r="F2" s="369"/>
      <c r="G2" s="369"/>
      <c r="H2" s="369"/>
      <c r="I2" s="369"/>
      <c r="J2" s="369"/>
    </row>
    <row r="3" spans="1:10" x14ac:dyDescent="0.2">
      <c r="A3" s="369"/>
      <c r="B3" s="369"/>
      <c r="C3" s="438" t="s">
        <v>674</v>
      </c>
      <c r="D3" s="439"/>
      <c r="E3" s="439"/>
      <c r="F3" s="440" t="s">
        <v>252</v>
      </c>
      <c r="G3" s="441"/>
      <c r="H3" s="442"/>
      <c r="I3" s="369"/>
      <c r="J3" s="369"/>
    </row>
    <row r="4" spans="1:10" x14ac:dyDescent="0.2">
      <c r="A4" s="369"/>
      <c r="B4" s="369"/>
      <c r="C4" s="436" t="s">
        <v>30</v>
      </c>
      <c r="D4" s="383"/>
      <c r="E4" s="381">
        <v>60000</v>
      </c>
      <c r="F4" s="436" t="s">
        <v>30</v>
      </c>
      <c r="G4" s="383"/>
      <c r="H4" s="443">
        <v>80000</v>
      </c>
      <c r="I4" s="369"/>
      <c r="J4" s="369"/>
    </row>
    <row r="5" spans="1:10" x14ac:dyDescent="0.2">
      <c r="A5" s="369"/>
      <c r="B5" s="369"/>
      <c r="C5" s="437"/>
      <c r="D5" s="435"/>
      <c r="E5" s="380"/>
      <c r="F5" s="437" t="s">
        <v>34</v>
      </c>
      <c r="G5" s="435"/>
      <c r="H5" s="444">
        <f>+E6</f>
        <v>385000</v>
      </c>
      <c r="I5" s="369"/>
      <c r="J5" s="369"/>
    </row>
    <row r="6" spans="1:10" x14ac:dyDescent="0.2">
      <c r="A6" s="369"/>
      <c r="B6" s="369"/>
      <c r="C6" s="437" t="s">
        <v>34</v>
      </c>
      <c r="D6" s="435"/>
      <c r="E6" s="380">
        <v>385000</v>
      </c>
      <c r="F6" s="437" t="s">
        <v>462</v>
      </c>
      <c r="G6" s="435"/>
      <c r="H6" s="444">
        <f>+H5*18%</f>
        <v>69300</v>
      </c>
      <c r="I6" s="369"/>
      <c r="J6" s="369"/>
    </row>
    <row r="7" spans="1:10" x14ac:dyDescent="0.2">
      <c r="A7" s="369"/>
      <c r="B7" s="369"/>
      <c r="C7" s="437" t="s">
        <v>687</v>
      </c>
      <c r="D7" s="435"/>
      <c r="E7" s="380">
        <v>-400000</v>
      </c>
      <c r="F7" s="437" t="s">
        <v>43</v>
      </c>
      <c r="G7" s="435"/>
      <c r="H7" s="444">
        <f>-475000+2700</f>
        <v>-472300</v>
      </c>
      <c r="I7" s="369"/>
      <c r="J7" s="369"/>
    </row>
    <row r="8" spans="1:10" x14ac:dyDescent="0.2">
      <c r="A8" s="369"/>
      <c r="B8" s="369"/>
      <c r="C8" s="445" t="s">
        <v>32</v>
      </c>
      <c r="D8" s="446"/>
      <c r="E8" s="447">
        <f>SUM(E4:E7)</f>
        <v>45000</v>
      </c>
      <c r="F8" s="445" t="s">
        <v>32</v>
      </c>
      <c r="G8" s="446"/>
      <c r="H8" s="448">
        <v>62000</v>
      </c>
      <c r="I8" s="369"/>
      <c r="J8" s="369"/>
    </row>
    <row r="9" spans="1:10" x14ac:dyDescent="0.2">
      <c r="A9" s="369"/>
      <c r="B9" s="369"/>
      <c r="C9" s="369"/>
      <c r="D9" s="369"/>
      <c r="E9" s="369"/>
      <c r="F9" s="369"/>
      <c r="G9" s="369"/>
      <c r="H9" s="369"/>
      <c r="I9" s="369"/>
      <c r="J9" s="369"/>
    </row>
    <row r="10" spans="1:10" x14ac:dyDescent="0.2">
      <c r="A10" s="369"/>
      <c r="B10" s="369"/>
      <c r="C10" s="449" t="s">
        <v>688</v>
      </c>
      <c r="D10" s="383"/>
      <c r="E10" s="383"/>
      <c r="F10" s="383"/>
      <c r="G10" s="383"/>
      <c r="H10" s="369"/>
      <c r="I10" s="369"/>
      <c r="J10" s="369"/>
    </row>
    <row r="11" spans="1:10" x14ac:dyDescent="0.2">
      <c r="A11" s="369"/>
      <c r="B11" s="369"/>
      <c r="C11" s="429" t="s">
        <v>689</v>
      </c>
      <c r="D11" s="429"/>
      <c r="E11" s="429"/>
      <c r="F11" s="429"/>
      <c r="G11" s="429">
        <f>(E4-E8)*(1+18%)</f>
        <v>17700</v>
      </c>
      <c r="H11" s="369"/>
      <c r="I11" s="369"/>
      <c r="J11" s="369"/>
    </row>
    <row r="12" spans="1:10" x14ac:dyDescent="0.2">
      <c r="A12" s="369"/>
      <c r="B12" s="369"/>
      <c r="C12" s="429" t="s">
        <v>256</v>
      </c>
      <c r="D12" s="429"/>
      <c r="E12" s="429"/>
      <c r="F12" s="429"/>
      <c r="G12" s="429">
        <f>+H8-H4</f>
        <v>-18000</v>
      </c>
      <c r="H12" s="369"/>
      <c r="I12" s="369"/>
      <c r="J12" s="369"/>
    </row>
    <row r="13" spans="1:10" x14ac:dyDescent="0.2">
      <c r="A13" s="369"/>
      <c r="B13" s="369"/>
      <c r="C13" s="429" t="s">
        <v>690</v>
      </c>
      <c r="D13" s="429"/>
      <c r="E13" s="429"/>
      <c r="F13" s="429"/>
      <c r="G13" s="429">
        <f>+E7*(1+18%)</f>
        <v>-472000</v>
      </c>
      <c r="H13" s="369"/>
      <c r="I13" s="369"/>
      <c r="J13" s="369"/>
    </row>
    <row r="14" spans="1:10" x14ac:dyDescent="0.2">
      <c r="A14" s="369"/>
      <c r="B14" s="369"/>
      <c r="C14" s="381"/>
      <c r="D14" s="381"/>
      <c r="E14" s="381"/>
      <c r="F14" s="381"/>
      <c r="G14" s="381">
        <f>SUM(G11:G13)</f>
        <v>-472300</v>
      </c>
      <c r="H14" s="369"/>
      <c r="I14" s="369"/>
      <c r="J14" s="369"/>
    </row>
    <row r="15" spans="1:10" ht="15" thickBot="1" x14ac:dyDescent="0.25">
      <c r="A15" s="369"/>
      <c r="B15" s="369"/>
      <c r="C15" s="369"/>
      <c r="D15" s="369"/>
      <c r="E15" s="369"/>
      <c r="F15" s="369"/>
      <c r="G15" s="369"/>
      <c r="H15" s="369"/>
      <c r="I15" s="369"/>
      <c r="J15" s="369"/>
    </row>
    <row r="16" spans="1:10" ht="15" hidden="1" thickBot="1" x14ac:dyDescent="0.25">
      <c r="A16" s="369"/>
      <c r="B16" s="369"/>
      <c r="C16" s="369"/>
      <c r="D16" s="369"/>
      <c r="E16" s="369"/>
      <c r="F16" s="369"/>
      <c r="G16" s="369"/>
      <c r="H16" s="369"/>
      <c r="I16" s="369"/>
      <c r="J16" s="369"/>
    </row>
    <row r="17" spans="1:10" x14ac:dyDescent="0.2">
      <c r="A17" s="369"/>
      <c r="B17" s="369"/>
      <c r="C17" s="413"/>
      <c r="D17" s="414"/>
      <c r="E17" s="414"/>
      <c r="F17" s="414"/>
      <c r="G17" s="415"/>
      <c r="H17" s="411" t="s">
        <v>21</v>
      </c>
      <c r="I17" s="369"/>
      <c r="J17" s="369"/>
    </row>
    <row r="18" spans="1:10" ht="15" thickBot="1" x14ac:dyDescent="0.25">
      <c r="A18" s="369"/>
      <c r="B18" s="369"/>
      <c r="C18" s="416"/>
      <c r="D18" s="417"/>
      <c r="E18" s="417"/>
      <c r="F18" s="418">
        <v>2020</v>
      </c>
      <c r="G18" s="419">
        <v>2019</v>
      </c>
      <c r="H18" s="412" t="s">
        <v>130</v>
      </c>
      <c r="I18" s="369"/>
      <c r="J18" s="369"/>
    </row>
    <row r="19" spans="1:10" x14ac:dyDescent="0.2">
      <c r="A19" s="369"/>
      <c r="B19" s="369"/>
      <c r="C19" s="420" t="s">
        <v>685</v>
      </c>
      <c r="D19" s="421"/>
      <c r="E19" s="421"/>
      <c r="F19" s="422" t="s">
        <v>3</v>
      </c>
      <c r="G19" s="423" t="s">
        <v>3</v>
      </c>
      <c r="H19" s="424" t="s">
        <v>3</v>
      </c>
      <c r="I19" s="369"/>
      <c r="J19" s="369"/>
    </row>
    <row r="20" spans="1:10" x14ac:dyDescent="0.2">
      <c r="A20" s="369"/>
      <c r="B20" s="369"/>
      <c r="C20" s="425" t="s">
        <v>1</v>
      </c>
      <c r="D20" s="426"/>
      <c r="E20" s="426"/>
      <c r="F20" s="429">
        <v>10000</v>
      </c>
      <c r="G20" s="430">
        <v>15000</v>
      </c>
      <c r="H20" s="428"/>
      <c r="I20" s="369"/>
      <c r="J20" s="369"/>
    </row>
    <row r="21" spans="1:10" x14ac:dyDescent="0.2">
      <c r="A21" s="369"/>
      <c r="B21" s="369"/>
      <c r="C21" s="425" t="s">
        <v>252</v>
      </c>
      <c r="D21" s="426"/>
      <c r="E21" s="426"/>
      <c r="F21" s="429">
        <v>242000</v>
      </c>
      <c r="G21" s="430">
        <v>100000</v>
      </c>
      <c r="H21" s="428"/>
      <c r="I21" s="369"/>
      <c r="J21" s="369"/>
    </row>
    <row r="22" spans="1:10" x14ac:dyDescent="0.2">
      <c r="A22" s="369"/>
      <c r="B22" s="369"/>
      <c r="C22" s="425" t="s">
        <v>674</v>
      </c>
      <c r="D22" s="426"/>
      <c r="E22" s="426"/>
      <c r="F22" s="429">
        <v>45000</v>
      </c>
      <c r="G22" s="430">
        <v>60000</v>
      </c>
      <c r="H22" s="431">
        <f>+(G22-F22)*(1+18%)</f>
        <v>17700</v>
      </c>
      <c r="I22" s="369"/>
      <c r="J22" s="369"/>
    </row>
    <row r="23" spans="1:10" x14ac:dyDescent="0.2">
      <c r="A23" s="369"/>
      <c r="B23" s="369"/>
      <c r="C23" s="425" t="s">
        <v>635</v>
      </c>
      <c r="D23" s="426"/>
      <c r="E23" s="426"/>
      <c r="F23" s="426"/>
      <c r="G23" s="427"/>
      <c r="H23" s="428"/>
      <c r="I23" s="369"/>
      <c r="J23" s="369"/>
    </row>
    <row r="24" spans="1:10" x14ac:dyDescent="0.2">
      <c r="A24" s="369"/>
      <c r="B24" s="369"/>
      <c r="C24" s="425" t="s">
        <v>4</v>
      </c>
      <c r="D24" s="426"/>
      <c r="E24" s="426"/>
      <c r="F24" s="429">
        <v>-62000</v>
      </c>
      <c r="G24" s="430">
        <v>-80000</v>
      </c>
      <c r="H24" s="431">
        <f>+G24-F24</f>
        <v>-18000</v>
      </c>
      <c r="I24" s="369"/>
      <c r="J24" s="369"/>
    </row>
    <row r="25" spans="1:10" x14ac:dyDescent="0.2">
      <c r="A25" s="369"/>
      <c r="B25" s="369"/>
      <c r="C25" s="425" t="s">
        <v>635</v>
      </c>
      <c r="D25" s="426"/>
      <c r="E25" s="426"/>
      <c r="F25" s="426"/>
      <c r="G25" s="427"/>
      <c r="H25" s="428"/>
      <c r="I25" s="369"/>
      <c r="J25" s="369"/>
    </row>
    <row r="26" spans="1:10" x14ac:dyDescent="0.2">
      <c r="A26" s="369"/>
      <c r="B26" s="369"/>
      <c r="C26" s="425" t="s">
        <v>9</v>
      </c>
      <c r="D26" s="426"/>
      <c r="E26" s="426"/>
      <c r="F26" s="429">
        <v>-900000</v>
      </c>
      <c r="G26" s="427"/>
      <c r="H26" s="428"/>
      <c r="I26" s="369"/>
      <c r="J26" s="369"/>
    </row>
    <row r="27" spans="1:10" x14ac:dyDescent="0.2">
      <c r="A27" s="369"/>
      <c r="B27" s="369"/>
      <c r="C27" s="425" t="s">
        <v>10</v>
      </c>
      <c r="D27" s="426"/>
      <c r="E27" s="426"/>
      <c r="F27" s="429">
        <v>400000</v>
      </c>
      <c r="G27" s="427"/>
      <c r="H27" s="431">
        <f>+(G27-F27)*(1+18%)</f>
        <v>-472000</v>
      </c>
      <c r="I27" s="369"/>
      <c r="J27" s="369"/>
    </row>
    <row r="28" spans="1:10" ht="15" thickBot="1" x14ac:dyDescent="0.25">
      <c r="A28" s="369"/>
      <c r="B28" s="369"/>
      <c r="C28" s="425" t="s">
        <v>635</v>
      </c>
      <c r="D28" s="426"/>
      <c r="E28" s="426"/>
      <c r="F28" s="426"/>
      <c r="G28" s="427"/>
      <c r="H28" s="428"/>
      <c r="I28" s="369"/>
      <c r="J28" s="369"/>
    </row>
    <row r="29" spans="1:10" ht="15" thickBot="1" x14ac:dyDescent="0.25">
      <c r="A29" s="369"/>
      <c r="B29" s="369"/>
      <c r="C29" s="432" t="s">
        <v>635</v>
      </c>
      <c r="D29" s="433"/>
      <c r="E29" s="433"/>
      <c r="F29" s="433"/>
      <c r="G29" s="434"/>
      <c r="H29" s="410">
        <f>SUM(H22:H28)</f>
        <v>-472300</v>
      </c>
      <c r="I29" s="369"/>
      <c r="J29" s="369"/>
    </row>
    <row r="30" spans="1:10" x14ac:dyDescent="0.2">
      <c r="A30" s="369"/>
      <c r="B30" s="369"/>
      <c r="C30" s="369"/>
      <c r="D30" s="369"/>
      <c r="E30" s="369"/>
      <c r="F30" s="369"/>
      <c r="G30" s="369"/>
      <c r="H30" s="369"/>
      <c r="I30" s="369"/>
      <c r="J30" s="369"/>
    </row>
    <row r="31" spans="1:10" x14ac:dyDescent="0.2">
      <c r="A31" s="369"/>
      <c r="B31" s="369"/>
      <c r="C31" s="369"/>
      <c r="D31" s="369"/>
      <c r="E31" s="369"/>
      <c r="F31" s="369"/>
      <c r="G31" s="369"/>
      <c r="H31" s="369"/>
      <c r="I31" s="369"/>
      <c r="J31" s="36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925B-A7D8-4D97-8E74-D657D12AF11D}">
  <sheetPr>
    <tabColor theme="1"/>
  </sheetPr>
  <dimension ref="A1:J28"/>
  <sheetViews>
    <sheetView zoomScaleNormal="100" workbookViewId="0">
      <selection activeCell="J10" sqref="J10"/>
    </sheetView>
  </sheetViews>
  <sheetFormatPr baseColWidth="10" defaultColWidth="0" defaultRowHeight="14.25" zeroHeight="1" x14ac:dyDescent="0.2"/>
  <cols>
    <col min="1" max="1" width="4.140625" style="362" customWidth="1"/>
    <col min="2" max="2" width="12.85546875" style="362" customWidth="1"/>
    <col min="3" max="7" width="12.7109375" style="362" customWidth="1"/>
    <col min="8" max="8" width="13.7109375" style="362" bestFit="1" customWidth="1"/>
    <col min="9" max="9" width="12.7109375" style="362" customWidth="1"/>
    <col min="10" max="10" width="2.28515625" style="362" bestFit="1" customWidth="1"/>
    <col min="11" max="16384" width="11.42578125" style="362" hidden="1"/>
  </cols>
  <sheetData>
    <row r="1" spans="1:10" x14ac:dyDescent="0.2">
      <c r="A1" s="370" t="s">
        <v>691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0" x14ac:dyDescent="0.2">
      <c r="A2" s="370"/>
      <c r="C2" s="369"/>
      <c r="D2" s="369"/>
      <c r="E2" s="369"/>
      <c r="F2" s="369"/>
      <c r="G2" s="369"/>
      <c r="H2" s="369"/>
      <c r="I2" s="369"/>
      <c r="J2" s="369"/>
    </row>
    <row r="3" spans="1:10" x14ac:dyDescent="0.2">
      <c r="A3" s="370"/>
      <c r="B3" s="369"/>
      <c r="C3" s="400" t="s">
        <v>692</v>
      </c>
      <c r="D3" s="401"/>
      <c r="E3" s="401"/>
      <c r="F3" s="401"/>
      <c r="G3" s="401"/>
      <c r="H3" s="401"/>
      <c r="I3" s="402"/>
      <c r="J3" s="369"/>
    </row>
    <row r="4" spans="1:10" x14ac:dyDescent="0.2">
      <c r="A4" s="370"/>
      <c r="B4" s="369"/>
      <c r="C4" s="396" t="s">
        <v>679</v>
      </c>
      <c r="D4" s="397"/>
      <c r="E4" s="397"/>
      <c r="F4" s="397"/>
      <c r="G4" s="397"/>
      <c r="H4" s="397"/>
      <c r="I4" s="397"/>
      <c r="J4" s="369"/>
    </row>
    <row r="5" spans="1:10" x14ac:dyDescent="0.2">
      <c r="A5" s="370"/>
      <c r="B5" s="369"/>
      <c r="C5" s="398" t="s">
        <v>680</v>
      </c>
      <c r="D5" s="399"/>
      <c r="E5" s="399"/>
      <c r="F5" s="399"/>
      <c r="G5" s="399"/>
      <c r="H5" s="399"/>
      <c r="I5" s="399"/>
      <c r="J5" s="369"/>
    </row>
    <row r="6" spans="1:10" x14ac:dyDescent="0.2">
      <c r="A6" s="370"/>
      <c r="C6" s="369"/>
      <c r="D6" s="369"/>
      <c r="E6" s="369"/>
      <c r="F6" s="369"/>
      <c r="G6" s="369"/>
      <c r="H6" s="369"/>
      <c r="I6" s="369"/>
      <c r="J6" s="369"/>
    </row>
    <row r="7" spans="1:10" x14ac:dyDescent="0.2">
      <c r="A7" s="369"/>
      <c r="B7" s="369"/>
      <c r="C7" s="440" t="s">
        <v>5</v>
      </c>
      <c r="D7" s="441"/>
      <c r="E7" s="441"/>
      <c r="F7" s="442"/>
      <c r="G7" s="369"/>
      <c r="H7" s="369"/>
      <c r="I7" s="369"/>
      <c r="J7" s="369"/>
    </row>
    <row r="8" spans="1:10" x14ac:dyDescent="0.2">
      <c r="A8" s="369"/>
      <c r="B8" s="369"/>
      <c r="C8" s="436" t="s">
        <v>30</v>
      </c>
      <c r="D8" s="383"/>
      <c r="E8" s="383"/>
      <c r="F8" s="443">
        <v>56000</v>
      </c>
      <c r="G8" s="369"/>
      <c r="H8" s="369"/>
      <c r="I8" s="369"/>
      <c r="J8" s="369"/>
    </row>
    <row r="9" spans="1:10" x14ac:dyDescent="0.2">
      <c r="A9" s="369"/>
      <c r="B9" s="369"/>
      <c r="C9" s="437" t="s">
        <v>693</v>
      </c>
      <c r="D9" s="435"/>
      <c r="E9" s="435"/>
      <c r="F9" s="444">
        <v>560000</v>
      </c>
      <c r="G9" s="369"/>
      <c r="H9" s="369"/>
      <c r="I9" s="369"/>
      <c r="J9" s="369"/>
    </row>
    <row r="10" spans="1:10" x14ac:dyDescent="0.2">
      <c r="A10" s="369"/>
      <c r="B10" s="369"/>
      <c r="C10" s="437" t="s">
        <v>694</v>
      </c>
      <c r="D10" s="435"/>
      <c r="E10" s="435"/>
      <c r="F10" s="444">
        <v>-553000</v>
      </c>
      <c r="G10" s="369"/>
      <c r="H10" s="369"/>
      <c r="I10" s="369"/>
      <c r="J10" s="369"/>
    </row>
    <row r="11" spans="1:10" x14ac:dyDescent="0.2">
      <c r="A11" s="369"/>
      <c r="B11" s="369"/>
      <c r="C11" s="445" t="s">
        <v>32</v>
      </c>
      <c r="D11" s="446"/>
      <c r="E11" s="446"/>
      <c r="F11" s="448">
        <f>SUM(F8:F10)</f>
        <v>63000</v>
      </c>
      <c r="G11" s="369"/>
      <c r="H11" s="369"/>
      <c r="I11" s="369"/>
      <c r="J11" s="369"/>
    </row>
    <row r="12" spans="1:10" ht="15" thickBot="1" x14ac:dyDescent="0.25">
      <c r="A12" s="369"/>
      <c r="B12" s="369"/>
      <c r="C12" s="369"/>
      <c r="D12" s="369"/>
      <c r="E12" s="369"/>
      <c r="F12" s="369"/>
      <c r="G12" s="369"/>
      <c r="H12" s="369"/>
      <c r="I12" s="369"/>
      <c r="J12" s="369"/>
    </row>
    <row r="13" spans="1:10" x14ac:dyDescent="0.2">
      <c r="A13" s="369"/>
      <c r="B13" s="369"/>
      <c r="C13" s="413"/>
      <c r="D13" s="414"/>
      <c r="E13" s="414"/>
      <c r="F13" s="414"/>
      <c r="G13" s="415"/>
      <c r="H13" s="411" t="s">
        <v>21</v>
      </c>
      <c r="I13" s="369"/>
      <c r="J13" s="369"/>
    </row>
    <row r="14" spans="1:10" ht="15" thickBot="1" x14ac:dyDescent="0.25">
      <c r="A14" s="369"/>
      <c r="B14" s="369"/>
      <c r="C14" s="416"/>
      <c r="D14" s="417"/>
      <c r="E14" s="417"/>
      <c r="F14" s="418">
        <v>2020</v>
      </c>
      <c r="G14" s="419">
        <v>2019</v>
      </c>
      <c r="H14" s="412" t="s">
        <v>695</v>
      </c>
      <c r="I14" s="369"/>
      <c r="J14" s="369"/>
    </row>
    <row r="15" spans="1:10" x14ac:dyDescent="0.2">
      <c r="A15" s="369"/>
      <c r="B15" s="369"/>
      <c r="C15" s="420" t="s">
        <v>685</v>
      </c>
      <c r="D15" s="421"/>
      <c r="E15" s="421"/>
      <c r="F15" s="422" t="s">
        <v>3</v>
      </c>
      <c r="G15" s="423" t="s">
        <v>3</v>
      </c>
      <c r="H15" s="424" t="s">
        <v>3</v>
      </c>
      <c r="I15" s="369"/>
      <c r="J15" s="369"/>
    </row>
    <row r="16" spans="1:10" x14ac:dyDescent="0.2">
      <c r="A16" s="369"/>
      <c r="B16" s="369"/>
      <c r="C16" s="425" t="s">
        <v>1</v>
      </c>
      <c r="D16" s="426"/>
      <c r="E16" s="426"/>
      <c r="F16" s="429">
        <v>10000</v>
      </c>
      <c r="G16" s="430">
        <v>15000</v>
      </c>
      <c r="H16" s="428"/>
      <c r="I16" s="369"/>
      <c r="J16" s="369"/>
    </row>
    <row r="17" spans="1:10" x14ac:dyDescent="0.2">
      <c r="A17" s="369"/>
      <c r="B17" s="369"/>
      <c r="C17" s="425" t="s">
        <v>252</v>
      </c>
      <c r="D17" s="426"/>
      <c r="E17" s="426"/>
      <c r="F17" s="429">
        <v>242000</v>
      </c>
      <c r="G17" s="430">
        <v>100000</v>
      </c>
      <c r="H17" s="428"/>
      <c r="I17" s="369"/>
      <c r="J17" s="369"/>
    </row>
    <row r="18" spans="1:10" x14ac:dyDescent="0.2">
      <c r="A18" s="369"/>
      <c r="B18" s="369"/>
      <c r="C18" s="425" t="s">
        <v>674</v>
      </c>
      <c r="D18" s="426"/>
      <c r="E18" s="426"/>
      <c r="F18" s="429">
        <v>45000</v>
      </c>
      <c r="G18" s="430">
        <v>60000</v>
      </c>
      <c r="H18" s="428"/>
      <c r="I18" s="369"/>
      <c r="J18" s="369"/>
    </row>
    <row r="19" spans="1:10" x14ac:dyDescent="0.2">
      <c r="A19" s="369"/>
      <c r="B19" s="369"/>
      <c r="C19" s="425" t="s">
        <v>635</v>
      </c>
      <c r="D19" s="426"/>
      <c r="E19" s="426"/>
      <c r="F19" s="426"/>
      <c r="G19" s="427"/>
      <c r="H19" s="428"/>
      <c r="I19" s="369"/>
      <c r="J19" s="369"/>
    </row>
    <row r="20" spans="1:10" x14ac:dyDescent="0.2">
      <c r="A20" s="369"/>
      <c r="B20" s="369"/>
      <c r="C20" s="425" t="s">
        <v>4</v>
      </c>
      <c r="D20" s="426"/>
      <c r="E20" s="426"/>
      <c r="F20" s="429">
        <v>-62000</v>
      </c>
      <c r="G20" s="430">
        <v>-80000</v>
      </c>
      <c r="H20" s="428"/>
      <c r="I20" s="369"/>
      <c r="J20" s="369"/>
    </row>
    <row r="21" spans="1:10" x14ac:dyDescent="0.2">
      <c r="A21" s="369"/>
      <c r="B21" s="369"/>
      <c r="C21" s="425" t="s">
        <v>5</v>
      </c>
      <c r="D21" s="426"/>
      <c r="E21" s="426"/>
      <c r="F21" s="429">
        <f>-F11</f>
        <v>-63000</v>
      </c>
      <c r="G21" s="430">
        <f>-F8</f>
        <v>-56000</v>
      </c>
      <c r="H21" s="431">
        <f>+G21-F21</f>
        <v>7000</v>
      </c>
      <c r="I21" s="369"/>
      <c r="J21" s="369"/>
    </row>
    <row r="22" spans="1:10" x14ac:dyDescent="0.2">
      <c r="A22" s="369"/>
      <c r="B22" s="369"/>
      <c r="C22" s="425" t="s">
        <v>635</v>
      </c>
      <c r="D22" s="426"/>
      <c r="E22" s="426"/>
      <c r="F22" s="426"/>
      <c r="G22" s="427"/>
      <c r="H22" s="428"/>
      <c r="I22" s="369"/>
      <c r="J22" s="369"/>
    </row>
    <row r="23" spans="1:10" x14ac:dyDescent="0.2">
      <c r="A23" s="369"/>
      <c r="B23" s="369"/>
      <c r="C23" s="425" t="s">
        <v>9</v>
      </c>
      <c r="D23" s="426"/>
      <c r="E23" s="426"/>
      <c r="F23" s="429">
        <v>-900000</v>
      </c>
      <c r="G23" s="427"/>
      <c r="H23" s="428"/>
      <c r="I23" s="369"/>
      <c r="J23" s="369"/>
    </row>
    <row r="24" spans="1:10" x14ac:dyDescent="0.2">
      <c r="A24" s="369"/>
      <c r="B24" s="369"/>
      <c r="C24" s="425" t="s">
        <v>10</v>
      </c>
      <c r="D24" s="426"/>
      <c r="E24" s="426"/>
      <c r="F24" s="429">
        <v>400000</v>
      </c>
      <c r="G24" s="427"/>
      <c r="H24" s="428"/>
      <c r="I24" s="369"/>
      <c r="J24" s="369"/>
    </row>
    <row r="25" spans="1:10" ht="15" thickBot="1" x14ac:dyDescent="0.25">
      <c r="A25" s="369"/>
      <c r="B25" s="369"/>
      <c r="C25" s="425" t="s">
        <v>44</v>
      </c>
      <c r="D25" s="426"/>
      <c r="E25" s="426"/>
      <c r="F25" s="429">
        <f>+F9</f>
        <v>560000</v>
      </c>
      <c r="G25" s="427"/>
      <c r="H25" s="431">
        <f>+G25-F25</f>
        <v>-560000</v>
      </c>
      <c r="I25" s="369"/>
      <c r="J25" s="369"/>
    </row>
    <row r="26" spans="1:10" ht="15" thickBot="1" x14ac:dyDescent="0.25">
      <c r="A26" s="369"/>
      <c r="B26" s="369"/>
      <c r="C26" s="432" t="s">
        <v>635</v>
      </c>
      <c r="D26" s="433"/>
      <c r="E26" s="433"/>
      <c r="F26" s="433"/>
      <c r="G26" s="434"/>
      <c r="H26" s="410">
        <f>SUM(H18:H25)</f>
        <v>-553000</v>
      </c>
      <c r="I26" s="369"/>
      <c r="J26" s="369"/>
    </row>
    <row r="27" spans="1:10" x14ac:dyDescent="0.2">
      <c r="A27" s="369"/>
      <c r="B27" s="369"/>
      <c r="C27" s="369"/>
      <c r="D27" s="369"/>
      <c r="E27" s="369"/>
      <c r="F27" s="369"/>
      <c r="G27" s="369"/>
      <c r="H27" s="369"/>
      <c r="I27" s="369"/>
      <c r="J27" s="369"/>
    </row>
    <row r="28" spans="1:10" x14ac:dyDescent="0.2">
      <c r="A28" s="369"/>
      <c r="B28" s="369"/>
      <c r="C28" s="369"/>
      <c r="D28" s="369"/>
      <c r="E28" s="369"/>
      <c r="F28" s="369"/>
      <c r="G28" s="369"/>
      <c r="H28" s="369"/>
      <c r="I28" s="369"/>
      <c r="J28" s="36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8FDB-1EB7-4C55-8F2F-5D136C880D15}">
  <sheetPr>
    <tabColor theme="1"/>
  </sheetPr>
  <dimension ref="A1:J39"/>
  <sheetViews>
    <sheetView zoomScale="115" zoomScaleNormal="115" workbookViewId="0">
      <selection activeCell="J10" sqref="J10"/>
    </sheetView>
  </sheetViews>
  <sheetFormatPr baseColWidth="10" defaultColWidth="0" defaultRowHeight="14.25" zeroHeight="1" x14ac:dyDescent="0.2"/>
  <cols>
    <col min="1" max="1" width="4.140625" style="362" customWidth="1"/>
    <col min="2" max="2" width="12.85546875" style="362" customWidth="1"/>
    <col min="3" max="7" width="12.7109375" style="362" customWidth="1"/>
    <col min="8" max="8" width="13.7109375" style="362" bestFit="1" customWidth="1"/>
    <col min="9" max="9" width="12.7109375" style="362" customWidth="1"/>
    <col min="10" max="10" width="2.28515625" style="362" bestFit="1" customWidth="1"/>
    <col min="11" max="16384" width="11.42578125" style="362" hidden="1"/>
  </cols>
  <sheetData>
    <row r="1" spans="1:10" x14ac:dyDescent="0.2">
      <c r="A1" s="370" t="s">
        <v>696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0" x14ac:dyDescent="0.2">
      <c r="A2" s="370"/>
      <c r="C2" s="369"/>
      <c r="D2" s="369"/>
      <c r="E2" s="369"/>
      <c r="F2" s="369"/>
      <c r="G2" s="369"/>
      <c r="H2" s="369"/>
      <c r="I2" s="369"/>
      <c r="J2" s="369"/>
    </row>
    <row r="3" spans="1:10" x14ac:dyDescent="0.2">
      <c r="A3" s="370"/>
      <c r="B3" s="369"/>
      <c r="C3" s="400" t="s">
        <v>697</v>
      </c>
      <c r="D3" s="401"/>
      <c r="E3" s="401"/>
      <c r="F3" s="401"/>
      <c r="G3" s="401"/>
      <c r="H3" s="401"/>
      <c r="I3" s="402"/>
      <c r="J3" s="369"/>
    </row>
    <row r="4" spans="1:10" x14ac:dyDescent="0.2">
      <c r="A4" s="370"/>
      <c r="B4" s="369"/>
      <c r="C4" s="396" t="s">
        <v>679</v>
      </c>
      <c r="D4" s="397"/>
      <c r="E4" s="397"/>
      <c r="F4" s="397"/>
      <c r="G4" s="397"/>
      <c r="H4" s="397"/>
      <c r="I4" s="397"/>
      <c r="J4" s="369"/>
    </row>
    <row r="5" spans="1:10" x14ac:dyDescent="0.2">
      <c r="A5" s="370"/>
      <c r="B5" s="369"/>
      <c r="C5" s="398" t="s">
        <v>680</v>
      </c>
      <c r="D5" s="399"/>
      <c r="E5" s="399"/>
      <c r="F5" s="399"/>
      <c r="G5" s="399"/>
      <c r="H5" s="399"/>
      <c r="I5" s="399"/>
      <c r="J5" s="369"/>
    </row>
    <row r="6" spans="1:10" x14ac:dyDescent="0.2">
      <c r="A6" s="370"/>
      <c r="C6" s="369"/>
      <c r="D6" s="369"/>
      <c r="E6" s="369"/>
      <c r="F6" s="369"/>
      <c r="G6" s="369"/>
      <c r="H6" s="369"/>
      <c r="I6" s="369"/>
      <c r="J6" s="369"/>
    </row>
    <row r="7" spans="1:10" x14ac:dyDescent="0.2">
      <c r="A7" s="369"/>
      <c r="B7" s="369"/>
      <c r="C7" s="440" t="s">
        <v>699</v>
      </c>
      <c r="D7" s="441"/>
      <c r="E7" s="441"/>
      <c r="F7" s="442"/>
      <c r="G7" s="369"/>
      <c r="H7" s="369"/>
      <c r="I7" s="369"/>
      <c r="J7" s="369"/>
    </row>
    <row r="8" spans="1:10" x14ac:dyDescent="0.2">
      <c r="A8" s="369"/>
      <c r="B8" s="369"/>
      <c r="C8" s="437" t="s">
        <v>698</v>
      </c>
      <c r="D8" s="435"/>
      <c r="E8" s="435"/>
      <c r="F8" s="444">
        <v>12000</v>
      </c>
      <c r="G8" s="369"/>
      <c r="H8" s="369"/>
      <c r="I8" s="369"/>
      <c r="J8" s="369"/>
    </row>
    <row r="9" spans="1:10" x14ac:dyDescent="0.2">
      <c r="A9" s="369"/>
      <c r="B9" s="369"/>
      <c r="C9" s="437" t="s">
        <v>700</v>
      </c>
      <c r="D9" s="435"/>
      <c r="E9" s="435"/>
      <c r="F9" s="444">
        <v>-15000</v>
      </c>
      <c r="G9" s="369"/>
      <c r="H9" s="369"/>
      <c r="I9" s="369"/>
      <c r="J9" s="369"/>
    </row>
    <row r="10" spans="1:10" x14ac:dyDescent="0.2">
      <c r="A10" s="369"/>
      <c r="B10" s="369"/>
      <c r="C10" s="437" t="s">
        <v>701</v>
      </c>
      <c r="D10" s="435"/>
      <c r="E10" s="435"/>
      <c r="F10" s="444">
        <v>130000</v>
      </c>
      <c r="G10" s="369"/>
      <c r="H10" s="369"/>
      <c r="I10" s="369"/>
      <c r="J10" s="369"/>
    </row>
    <row r="11" spans="1:10" x14ac:dyDescent="0.2">
      <c r="A11" s="369"/>
      <c r="B11" s="369"/>
      <c r="C11" s="445" t="s">
        <v>137</v>
      </c>
      <c r="D11" s="446"/>
      <c r="E11" s="446"/>
      <c r="F11" s="448">
        <f>SUM(F8:F10)</f>
        <v>127000</v>
      </c>
      <c r="G11" s="369"/>
      <c r="H11" s="369"/>
      <c r="I11" s="369"/>
      <c r="J11" s="369"/>
    </row>
    <row r="12" spans="1:10" ht="15" thickBot="1" x14ac:dyDescent="0.25">
      <c r="A12" s="369"/>
      <c r="B12" s="369"/>
      <c r="C12" s="369"/>
      <c r="D12" s="369"/>
      <c r="E12" s="369"/>
      <c r="F12" s="369"/>
      <c r="G12" s="369"/>
      <c r="H12" s="369"/>
      <c r="I12" s="369"/>
      <c r="J12" s="369"/>
    </row>
    <row r="13" spans="1:10" x14ac:dyDescent="0.2">
      <c r="A13" s="369"/>
      <c r="B13" s="369"/>
      <c r="C13" s="413"/>
      <c r="D13" s="414"/>
      <c r="E13" s="414"/>
      <c r="F13" s="414"/>
      <c r="G13" s="415"/>
      <c r="H13" s="411" t="s">
        <v>22</v>
      </c>
      <c r="I13" s="369"/>
      <c r="J13" s="369"/>
    </row>
    <row r="14" spans="1:10" ht="15" thickBot="1" x14ac:dyDescent="0.25">
      <c r="A14" s="369"/>
      <c r="B14" s="369"/>
      <c r="C14" s="416"/>
      <c r="D14" s="417"/>
      <c r="E14" s="417"/>
      <c r="F14" s="418">
        <v>2020</v>
      </c>
      <c r="G14" s="419">
        <v>2019</v>
      </c>
      <c r="H14" s="412" t="s">
        <v>703</v>
      </c>
      <c r="I14" s="369"/>
      <c r="J14" s="369"/>
    </row>
    <row r="15" spans="1:10" x14ac:dyDescent="0.2">
      <c r="A15" s="369"/>
      <c r="B15" s="369"/>
      <c r="C15" s="420" t="s">
        <v>685</v>
      </c>
      <c r="D15" s="421"/>
      <c r="E15" s="421"/>
      <c r="F15" s="422" t="s">
        <v>3</v>
      </c>
      <c r="G15" s="423" t="s">
        <v>3</v>
      </c>
      <c r="H15" s="424" t="s">
        <v>3</v>
      </c>
      <c r="I15" s="369"/>
      <c r="J15" s="369"/>
    </row>
    <row r="16" spans="1:10" x14ac:dyDescent="0.2">
      <c r="A16" s="369"/>
      <c r="B16" s="369"/>
      <c r="C16" s="425" t="s">
        <v>1</v>
      </c>
      <c r="D16" s="426"/>
      <c r="E16" s="426"/>
      <c r="F16" s="429">
        <v>10000</v>
      </c>
      <c r="G16" s="430">
        <v>15000</v>
      </c>
      <c r="H16" s="428"/>
      <c r="I16" s="369"/>
      <c r="J16" s="369"/>
    </row>
    <row r="17" spans="1:10" x14ac:dyDescent="0.2">
      <c r="A17" s="369"/>
      <c r="B17" s="369"/>
      <c r="C17" s="425" t="s">
        <v>252</v>
      </c>
      <c r="D17" s="426"/>
      <c r="E17" s="426"/>
      <c r="F17" s="429">
        <v>242000</v>
      </c>
      <c r="G17" s="430">
        <v>100000</v>
      </c>
      <c r="H17" s="428"/>
      <c r="I17" s="369"/>
      <c r="J17" s="369"/>
    </row>
    <row r="18" spans="1:10" x14ac:dyDescent="0.2">
      <c r="A18" s="369"/>
      <c r="B18" s="369"/>
      <c r="C18" s="425" t="s">
        <v>674</v>
      </c>
      <c r="D18" s="426"/>
      <c r="E18" s="426"/>
      <c r="F18" s="429">
        <v>45000</v>
      </c>
      <c r="G18" s="430">
        <v>60000</v>
      </c>
      <c r="H18" s="428"/>
      <c r="I18" s="369"/>
      <c r="J18" s="369"/>
    </row>
    <row r="19" spans="1:10" x14ac:dyDescent="0.2">
      <c r="A19" s="369"/>
      <c r="B19" s="369"/>
      <c r="C19" s="425" t="s">
        <v>635</v>
      </c>
      <c r="D19" s="426"/>
      <c r="E19" s="426"/>
      <c r="F19" s="426"/>
      <c r="G19" s="427"/>
      <c r="H19" s="428"/>
      <c r="I19" s="369"/>
      <c r="J19" s="369"/>
    </row>
    <row r="20" spans="1:10" x14ac:dyDescent="0.2">
      <c r="A20" s="369"/>
      <c r="B20" s="369"/>
      <c r="C20" s="425" t="s">
        <v>4</v>
      </c>
      <c r="D20" s="426"/>
      <c r="E20" s="426"/>
      <c r="F20" s="429">
        <v>-62000</v>
      </c>
      <c r="G20" s="430">
        <v>-80000</v>
      </c>
      <c r="H20" s="428"/>
      <c r="I20" s="369"/>
      <c r="J20" s="369"/>
    </row>
    <row r="21" spans="1:10" x14ac:dyDescent="0.2">
      <c r="A21" s="369"/>
      <c r="B21" s="369"/>
      <c r="C21" s="425" t="s">
        <v>5</v>
      </c>
      <c r="D21" s="426"/>
      <c r="E21" s="426"/>
      <c r="F21" s="429">
        <f>+'43'!F21</f>
        <v>-63000</v>
      </c>
      <c r="G21" s="430">
        <f>+'43'!G21</f>
        <v>-56000</v>
      </c>
      <c r="H21" s="428"/>
      <c r="I21" s="369"/>
      <c r="J21" s="369"/>
    </row>
    <row r="22" spans="1:10" x14ac:dyDescent="0.2">
      <c r="A22" s="369"/>
      <c r="B22" s="369"/>
      <c r="C22" s="425" t="s">
        <v>23</v>
      </c>
      <c r="D22" s="426"/>
      <c r="E22" s="426"/>
      <c r="F22" s="429">
        <f>F9</f>
        <v>-15000</v>
      </c>
      <c r="G22" s="430">
        <f>-F8</f>
        <v>-12000</v>
      </c>
      <c r="H22" s="431">
        <f>+G22-F22</f>
        <v>3000</v>
      </c>
      <c r="I22" s="369"/>
      <c r="J22" s="369"/>
    </row>
    <row r="23" spans="1:10" x14ac:dyDescent="0.2">
      <c r="A23" s="369"/>
      <c r="B23" s="369"/>
      <c r="C23" s="425" t="s">
        <v>635</v>
      </c>
      <c r="D23" s="426"/>
      <c r="E23" s="426"/>
      <c r="F23" s="426"/>
      <c r="G23" s="427"/>
      <c r="H23" s="428"/>
      <c r="I23" s="369"/>
      <c r="J23" s="369"/>
    </row>
    <row r="24" spans="1:10" x14ac:dyDescent="0.2">
      <c r="A24" s="369"/>
      <c r="B24" s="369"/>
      <c r="C24" s="425" t="s">
        <v>9</v>
      </c>
      <c r="D24" s="426"/>
      <c r="E24" s="426"/>
      <c r="F24" s="429">
        <v>-900000</v>
      </c>
      <c r="G24" s="427"/>
      <c r="H24" s="428"/>
      <c r="I24" s="369"/>
      <c r="J24" s="369"/>
    </row>
    <row r="25" spans="1:10" x14ac:dyDescent="0.2">
      <c r="A25" s="369"/>
      <c r="B25" s="369"/>
      <c r="C25" s="425" t="s">
        <v>10</v>
      </c>
      <c r="D25" s="426"/>
      <c r="E25" s="426"/>
      <c r="F25" s="429">
        <v>400000</v>
      </c>
      <c r="G25" s="427"/>
      <c r="H25" s="428"/>
      <c r="I25" s="369"/>
      <c r="J25" s="369"/>
    </row>
    <row r="26" spans="1:10" x14ac:dyDescent="0.2">
      <c r="A26" s="369"/>
      <c r="B26" s="369"/>
      <c r="C26" s="425" t="s">
        <v>44</v>
      </c>
      <c r="D26" s="426"/>
      <c r="E26" s="426"/>
      <c r="F26" s="429">
        <f>+'43'!F25</f>
        <v>560000</v>
      </c>
      <c r="G26" s="427"/>
      <c r="H26" s="428"/>
      <c r="I26" s="369"/>
      <c r="J26" s="369"/>
    </row>
    <row r="27" spans="1:10" x14ac:dyDescent="0.2">
      <c r="A27" s="369"/>
      <c r="B27" s="369"/>
      <c r="C27" s="425" t="s">
        <v>702</v>
      </c>
      <c r="D27" s="426"/>
      <c r="E27" s="426"/>
      <c r="F27" s="429">
        <f>F10</f>
        <v>130000</v>
      </c>
      <c r="G27" s="427"/>
      <c r="H27" s="431">
        <f>+G27-F27</f>
        <v>-130000</v>
      </c>
      <c r="I27" s="369"/>
      <c r="J27" s="369"/>
    </row>
    <row r="28" spans="1:10" ht="15" thickBot="1" x14ac:dyDescent="0.25">
      <c r="A28" s="369"/>
      <c r="B28" s="369"/>
      <c r="C28" s="425"/>
      <c r="D28" s="426"/>
      <c r="E28" s="426"/>
      <c r="F28" s="429"/>
      <c r="G28" s="427"/>
      <c r="H28" s="431"/>
      <c r="I28" s="369"/>
      <c r="J28" s="369"/>
    </row>
    <row r="29" spans="1:10" ht="15" thickBot="1" x14ac:dyDescent="0.25">
      <c r="A29" s="369"/>
      <c r="B29" s="369"/>
      <c r="C29" s="432" t="s">
        <v>635</v>
      </c>
      <c r="D29" s="433"/>
      <c r="E29" s="433"/>
      <c r="F29" s="433"/>
      <c r="G29" s="434"/>
      <c r="H29" s="410">
        <f>SUM(H18:H28)</f>
        <v>-127000</v>
      </c>
      <c r="I29" s="369"/>
      <c r="J29" s="369"/>
    </row>
    <row r="30" spans="1:10" x14ac:dyDescent="0.2">
      <c r="A30" s="369"/>
      <c r="B30" s="369"/>
      <c r="C30" s="369"/>
      <c r="D30" s="369"/>
      <c r="E30" s="369"/>
      <c r="F30" s="369"/>
      <c r="G30" s="369"/>
      <c r="H30" s="369"/>
      <c r="I30" s="369"/>
      <c r="J30" s="369"/>
    </row>
    <row r="31" spans="1:10" hidden="1" x14ac:dyDescent="0.2">
      <c r="A31" s="369"/>
      <c r="B31" s="369"/>
      <c r="C31" s="369"/>
      <c r="D31" s="369"/>
      <c r="E31" s="369"/>
      <c r="F31" s="369"/>
      <c r="G31" s="369"/>
      <c r="H31" s="369"/>
      <c r="I31" s="369"/>
      <c r="J31" s="369"/>
    </row>
    <row r="32" spans="1:10" hidden="1" x14ac:dyDescent="0.2">
      <c r="A32" s="369"/>
      <c r="B32" s="369"/>
      <c r="C32" s="369"/>
      <c r="D32" s="369"/>
      <c r="E32" s="369"/>
      <c r="F32" s="369"/>
      <c r="G32" s="369"/>
      <c r="H32" s="369"/>
      <c r="I32" s="369"/>
      <c r="J32" s="369"/>
    </row>
    <row r="33" spans="1:10" hidden="1" x14ac:dyDescent="0.2">
      <c r="A33" s="369"/>
      <c r="B33" s="369"/>
      <c r="C33" s="369"/>
      <c r="D33" s="369"/>
      <c r="E33" s="369"/>
      <c r="F33" s="369"/>
      <c r="G33" s="369"/>
      <c r="H33" s="369"/>
      <c r="I33" s="369"/>
      <c r="J33" s="369"/>
    </row>
    <row r="34" spans="1:10" hidden="1" x14ac:dyDescent="0.2">
      <c r="A34" s="369"/>
      <c r="B34" s="369"/>
      <c r="C34" s="369"/>
      <c r="D34" s="369"/>
      <c r="E34" s="369"/>
      <c r="F34" s="369"/>
      <c r="G34" s="369"/>
      <c r="H34" s="369"/>
      <c r="I34" s="369"/>
      <c r="J34" s="369"/>
    </row>
    <row r="35" spans="1:10" hidden="1" x14ac:dyDescent="0.2">
      <c r="A35" s="369"/>
      <c r="B35" s="369"/>
      <c r="C35" s="369"/>
      <c r="D35" s="369"/>
      <c r="E35" s="369"/>
      <c r="F35" s="369"/>
      <c r="G35" s="369"/>
      <c r="H35" s="369"/>
      <c r="I35" s="369"/>
      <c r="J35" s="369"/>
    </row>
    <row r="36" spans="1:10" hidden="1" x14ac:dyDescent="0.2">
      <c r="A36" s="369"/>
      <c r="B36" s="369"/>
      <c r="C36" s="369"/>
      <c r="D36" s="369"/>
      <c r="E36" s="369"/>
      <c r="F36" s="369"/>
      <c r="G36" s="369"/>
      <c r="H36" s="369"/>
      <c r="I36" s="369"/>
      <c r="J36" s="369"/>
    </row>
    <row r="37" spans="1:10" hidden="1" x14ac:dyDescent="0.2">
      <c r="A37" s="369"/>
      <c r="B37" s="369"/>
      <c r="C37" s="369"/>
      <c r="D37" s="369"/>
      <c r="E37" s="369"/>
      <c r="F37" s="369"/>
      <c r="G37" s="369"/>
      <c r="H37" s="369"/>
      <c r="I37" s="369"/>
      <c r="J37" s="369"/>
    </row>
    <row r="38" spans="1:10" hidden="1" x14ac:dyDescent="0.2">
      <c r="A38" s="369"/>
      <c r="B38" s="369"/>
      <c r="C38" s="369"/>
      <c r="D38" s="369"/>
      <c r="E38" s="369"/>
      <c r="F38" s="369"/>
      <c r="G38" s="369"/>
      <c r="H38" s="369"/>
      <c r="I38" s="369"/>
      <c r="J38" s="369"/>
    </row>
    <row r="39" spans="1:10" x14ac:dyDescent="0.2">
      <c r="A39" s="369"/>
      <c r="B39" s="369"/>
      <c r="C39" s="369"/>
      <c r="D39" s="369"/>
      <c r="E39" s="369"/>
      <c r="F39" s="369"/>
      <c r="G39" s="369"/>
      <c r="H39" s="369"/>
      <c r="I39" s="3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45</vt:i4>
      </vt:variant>
    </vt:vector>
  </HeadingPairs>
  <TitlesOfParts>
    <vt:vector size="45" baseType="lpstr">
      <vt:lpstr>INSTRUCCIONES</vt:lpstr>
      <vt:lpstr>EASY</vt:lpstr>
      <vt:lpstr>Hoja2</vt:lpstr>
      <vt:lpstr>27-28</vt:lpstr>
      <vt:lpstr>29</vt:lpstr>
      <vt:lpstr>40</vt:lpstr>
      <vt:lpstr>41</vt:lpstr>
      <vt:lpstr>43</vt:lpstr>
      <vt:lpstr>44</vt:lpstr>
      <vt:lpstr>46</vt:lpstr>
      <vt:lpstr>48-</vt:lpstr>
      <vt:lpstr>64-75</vt:lpstr>
      <vt:lpstr>64-75 (2)</vt:lpstr>
      <vt:lpstr>79-81</vt:lpstr>
      <vt:lpstr>-83-</vt:lpstr>
      <vt:lpstr>-85-</vt:lpstr>
      <vt:lpstr>79 (2)</vt:lpstr>
      <vt:lpstr>-89-</vt:lpstr>
      <vt:lpstr>-90-</vt:lpstr>
      <vt:lpstr>-92-</vt:lpstr>
      <vt:lpstr>-93-</vt:lpstr>
      <vt:lpstr>-94-</vt:lpstr>
      <vt:lpstr>-95-</vt:lpstr>
      <vt:lpstr>-96-</vt:lpstr>
      <vt:lpstr>-98-</vt:lpstr>
      <vt:lpstr>-99-</vt:lpstr>
      <vt:lpstr>-102-</vt:lpstr>
      <vt:lpstr>-103-</vt:lpstr>
      <vt:lpstr>104-119</vt:lpstr>
      <vt:lpstr>Hoja17</vt:lpstr>
      <vt:lpstr>120-129</vt:lpstr>
      <vt:lpstr>130-145</vt:lpstr>
      <vt:lpstr>146-164</vt:lpstr>
      <vt:lpstr>168</vt:lpstr>
      <vt:lpstr>169-170</vt:lpstr>
      <vt:lpstr>171-172</vt:lpstr>
      <vt:lpstr>173-174</vt:lpstr>
      <vt:lpstr>175</vt:lpstr>
      <vt:lpstr>177</vt:lpstr>
      <vt:lpstr>Varios1</vt:lpstr>
      <vt:lpstr>Varios2</vt:lpstr>
      <vt:lpstr>Varios 3</vt:lpstr>
      <vt:lpstr>Varios 4</vt:lpstr>
      <vt:lpstr>Bonus II</vt:lpstr>
      <vt:lpstr>Bonus  II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Volante</dc:creator>
  <cp:lastModifiedBy>Freddy Llanto</cp:lastModifiedBy>
  <cp:lastPrinted>2016-10-12T04:32:45Z</cp:lastPrinted>
  <dcterms:created xsi:type="dcterms:W3CDTF">2016-09-13T01:49:45Z</dcterms:created>
  <dcterms:modified xsi:type="dcterms:W3CDTF">2024-10-17T06:17:29Z</dcterms:modified>
</cp:coreProperties>
</file>