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DA436B1F-FF7D-4EFE-9C3F-81832E0253FB}" xr6:coauthVersionLast="47" xr6:coauthVersionMax="47" xr10:uidLastSave="{00000000-0000-0000-0000-000000000000}"/>
  <bookViews>
    <workbookView xWindow="-120" yWindow="-120" windowWidth="29040" windowHeight="15720" firstSheet="2" activeTab="16" xr2:uid="{00000000-000D-0000-FFFF-FFFF00000000}"/>
  </bookViews>
  <sheets>
    <sheet name="Menu" sheetId="1" r:id="rId1"/>
    <sheet name="Hoja4" sheetId="4" state="hidden" r:id="rId2"/>
    <sheet name="06ENE" sheetId="9" r:id="rId3"/>
    <sheet name="07ENE" sheetId="11" r:id="rId4"/>
    <sheet name="09ENE" sheetId="15" r:id="rId5"/>
    <sheet name="13ENE" sheetId="16" r:id="rId6"/>
    <sheet name="14ENE" sheetId="19" r:id="rId7"/>
    <sheet name="15ENE" sheetId="20" r:id="rId8"/>
    <sheet name="nic421" sheetId="21" state="hidden" r:id="rId9"/>
    <sheet name="17ENE" sheetId="23" r:id="rId10"/>
    <sheet name="27ENE" sheetId="24" r:id="rId11"/>
    <sheet name="28ENE" sheetId="25" r:id="rId12"/>
    <sheet name="29ENE" sheetId="26" r:id="rId13"/>
    <sheet name="29E" sheetId="27" r:id="rId14"/>
    <sheet name="0" sheetId="22" r:id="rId15"/>
    <sheet name="DIPLOMADO" sheetId="5" r:id="rId16"/>
    <sheet name="Click en" sheetId="3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27" l="1"/>
  <c r="K26" i="27"/>
  <c r="I24" i="27"/>
  <c r="J24" i="27" s="1"/>
  <c r="H25" i="27"/>
  <c r="I25" i="27" s="1"/>
  <c r="J25" i="27" s="1"/>
  <c r="K25" i="27" s="1"/>
  <c r="H24" i="27"/>
  <c r="G25" i="27"/>
  <c r="G26" i="27" s="1"/>
  <c r="G24" i="27"/>
  <c r="J19" i="27"/>
  <c r="I19" i="27"/>
  <c r="H19" i="27"/>
  <c r="G19" i="27"/>
  <c r="K19" i="27"/>
  <c r="J16" i="27"/>
  <c r="J18" i="27" s="1"/>
  <c r="J20" i="27" s="1"/>
  <c r="J17" i="27"/>
  <c r="J15" i="27"/>
  <c r="I15" i="27"/>
  <c r="H15" i="27"/>
  <c r="H18" i="27" s="1"/>
  <c r="H20" i="27" s="1"/>
  <c r="G15" i="27"/>
  <c r="G18" i="27"/>
  <c r="G20" i="27" s="1"/>
  <c r="I18" i="27"/>
  <c r="I20" i="27" s="1"/>
  <c r="H13" i="27"/>
  <c r="I13" i="27" s="1"/>
  <c r="J13" i="27" s="1"/>
  <c r="J10" i="27"/>
  <c r="I10" i="27"/>
  <c r="H10" i="27"/>
  <c r="G10" i="27"/>
  <c r="J9" i="27"/>
  <c r="I8" i="27"/>
  <c r="H8" i="27"/>
  <c r="G8" i="27"/>
  <c r="J8" i="27"/>
  <c r="J7" i="27"/>
  <c r="J6" i="27"/>
  <c r="J5" i="27"/>
  <c r="I5" i="27"/>
  <c r="H5" i="27"/>
  <c r="G5" i="27"/>
  <c r="I3" i="27"/>
  <c r="J3" i="27" s="1"/>
  <c r="H3" i="27"/>
  <c r="D23" i="27"/>
  <c r="B27" i="27"/>
  <c r="B28" i="27" s="1"/>
  <c r="B26" i="27"/>
  <c r="B25" i="27"/>
  <c r="C20" i="27"/>
  <c r="D21" i="27"/>
  <c r="C18" i="27"/>
  <c r="D19" i="27"/>
  <c r="D17" i="27"/>
  <c r="D14" i="27"/>
  <c r="D11" i="27"/>
  <c r="D8" i="27"/>
  <c r="D5" i="27"/>
  <c r="H98" i="26"/>
  <c r="F84" i="26"/>
  <c r="P75" i="26"/>
  <c r="G70" i="26"/>
  <c r="E84" i="26" s="1"/>
  <c r="G67" i="26"/>
  <c r="P65" i="26"/>
  <c r="P66" i="26" s="1"/>
  <c r="D53" i="26"/>
  <c r="E39" i="26"/>
  <c r="E49" i="26" s="1"/>
  <c r="K47" i="26" s="1"/>
  <c r="E36" i="26"/>
  <c r="L34" i="26" s="1"/>
  <c r="L35" i="26" s="1"/>
  <c r="L44" i="26"/>
  <c r="L17" i="26"/>
  <c r="E22" i="26"/>
  <c r="K20" i="26" s="1"/>
  <c r="E9" i="26"/>
  <c r="E18" i="26" s="1"/>
  <c r="E21" i="26" s="1"/>
  <c r="J177" i="25"/>
  <c r="I178" i="25"/>
  <c r="E189" i="25"/>
  <c r="E185" i="25"/>
  <c r="J176" i="25" s="1"/>
  <c r="J178" i="25" s="1"/>
  <c r="E178" i="25"/>
  <c r="I181" i="25" s="1"/>
  <c r="C158" i="25"/>
  <c r="B158" i="25"/>
  <c r="D158" i="25" s="1"/>
  <c r="E158" i="25" s="1"/>
  <c r="C152" i="25"/>
  <c r="I152" i="25" s="1"/>
  <c r="J153" i="25" s="1"/>
  <c r="H135" i="25"/>
  <c r="I136" i="25" s="1"/>
  <c r="D136" i="25"/>
  <c r="H127" i="25"/>
  <c r="I128" i="25" s="1"/>
  <c r="D128" i="25"/>
  <c r="C132" i="25" s="1"/>
  <c r="D126" i="25"/>
  <c r="D131" i="25" s="1"/>
  <c r="D133" i="25" s="1"/>
  <c r="D124" i="25"/>
  <c r="J75" i="25"/>
  <c r="I75" i="25"/>
  <c r="H75" i="25"/>
  <c r="G75" i="25"/>
  <c r="F75" i="25"/>
  <c r="E75" i="25"/>
  <c r="D75" i="25"/>
  <c r="C75" i="25"/>
  <c r="B75" i="25"/>
  <c r="D72" i="25"/>
  <c r="B85" i="25" s="1"/>
  <c r="C85" i="25" s="1"/>
  <c r="D85" i="25" s="1"/>
  <c r="D71" i="25"/>
  <c r="B76" i="25" s="1"/>
  <c r="C55" i="25"/>
  <c r="E55" i="25" s="1"/>
  <c r="F55" i="25" s="1"/>
  <c r="C54" i="25"/>
  <c r="E54" i="25" s="1"/>
  <c r="F54" i="25" s="1"/>
  <c r="G45" i="25"/>
  <c r="F47" i="25"/>
  <c r="F49" i="25" s="1"/>
  <c r="G49" i="25" s="1"/>
  <c r="F39" i="25"/>
  <c r="F40" i="25" s="1"/>
  <c r="F41" i="25" s="1"/>
  <c r="G38" i="25"/>
  <c r="G40" i="25" s="1"/>
  <c r="G41" i="25" s="1"/>
  <c r="C42" i="24"/>
  <c r="D42" i="24" s="1"/>
  <c r="E42" i="24" s="1"/>
  <c r="C41" i="24"/>
  <c r="D41" i="24" s="1"/>
  <c r="E41" i="24" s="1"/>
  <c r="C40" i="24"/>
  <c r="D40" i="24" s="1"/>
  <c r="E40" i="24" s="1"/>
  <c r="C39" i="24"/>
  <c r="D39" i="24"/>
  <c r="E39" i="24"/>
  <c r="C38" i="24"/>
  <c r="D38" i="24" s="1"/>
  <c r="E38" i="24" s="1"/>
  <c r="C37" i="24"/>
  <c r="C36" i="24"/>
  <c r="D37" i="24"/>
  <c r="E37" i="24"/>
  <c r="E35" i="24"/>
  <c r="D36" i="24"/>
  <c r="E36" i="24" s="1"/>
  <c r="D35" i="24"/>
  <c r="C35" i="24"/>
  <c r="H27" i="24"/>
  <c r="G27" i="24"/>
  <c r="F27" i="24"/>
  <c r="E27" i="24"/>
  <c r="D27" i="24"/>
  <c r="C27" i="24"/>
  <c r="B26" i="24"/>
  <c r="B27" i="24" s="1"/>
  <c r="B18" i="24"/>
  <c r="C18" i="24" s="1"/>
  <c r="D18" i="24" s="1"/>
  <c r="E18" i="24" s="1"/>
  <c r="F18" i="24" s="1"/>
  <c r="G18" i="24" s="1"/>
  <c r="H18" i="24" s="1"/>
  <c r="B17" i="24"/>
  <c r="C17" i="24" s="1"/>
  <c r="H14" i="24"/>
  <c r="G14" i="24"/>
  <c r="F14" i="24"/>
  <c r="E14" i="24"/>
  <c r="D14" i="24"/>
  <c r="C14" i="24"/>
  <c r="B13" i="24"/>
  <c r="B14" i="24" s="1"/>
  <c r="F68" i="23"/>
  <c r="E71" i="23" s="1"/>
  <c r="F72" i="23" s="1"/>
  <c r="E75" i="23" s="1"/>
  <c r="F76" i="23" s="1"/>
  <c r="E58" i="23"/>
  <c r="F59" i="23" s="1"/>
  <c r="E49" i="23"/>
  <c r="E48" i="23"/>
  <c r="J86" i="20"/>
  <c r="G86" i="20" s="1"/>
  <c r="E88" i="20"/>
  <c r="E89" i="20"/>
  <c r="E90" i="20"/>
  <c r="E91" i="20"/>
  <c r="E87" i="20"/>
  <c r="E86" i="20"/>
  <c r="G91" i="20"/>
  <c r="G90" i="20"/>
  <c r="G89" i="20"/>
  <c r="G88" i="20"/>
  <c r="G87" i="20"/>
  <c r="R109" i="20"/>
  <c r="G3" i="1"/>
  <c r="G119" i="16"/>
  <c r="H120" i="16" s="1"/>
  <c r="G109" i="16"/>
  <c r="G105" i="16"/>
  <c r="G98" i="16"/>
  <c r="G88" i="16"/>
  <c r="H63" i="16"/>
  <c r="H62" i="16"/>
  <c r="H61" i="16"/>
  <c r="H60" i="16"/>
  <c r="H59" i="16"/>
  <c r="K60" i="16"/>
  <c r="K61" i="16"/>
  <c r="K62" i="16"/>
  <c r="K63" i="16"/>
  <c r="K59" i="16"/>
  <c r="J60" i="16"/>
  <c r="J61" i="16"/>
  <c r="J62" i="16"/>
  <c r="J63" i="16"/>
  <c r="J59" i="16"/>
  <c r="E245" i="15"/>
  <c r="C238" i="15"/>
  <c r="D229" i="15"/>
  <c r="E229" i="15" s="1"/>
  <c r="F229" i="15" s="1"/>
  <c r="G229" i="15" s="1"/>
  <c r="H229" i="15" s="1"/>
  <c r="D208" i="15"/>
  <c r="E208" i="15" s="1"/>
  <c r="F208" i="15" s="1"/>
  <c r="F238" i="15" s="1"/>
  <c r="D206" i="15"/>
  <c r="E206" i="15" s="1"/>
  <c r="D197" i="15"/>
  <c r="E197" i="15" s="1"/>
  <c r="F197" i="15" s="1"/>
  <c r="G197" i="15" s="1"/>
  <c r="H197" i="15" s="1"/>
  <c r="H170" i="15"/>
  <c r="H211" i="15" s="1"/>
  <c r="G170" i="15"/>
  <c r="G211" i="15" s="1"/>
  <c r="F170" i="15"/>
  <c r="F211" i="15" s="1"/>
  <c r="E170" i="15"/>
  <c r="E211" i="15" s="1"/>
  <c r="D170" i="15"/>
  <c r="D211" i="15" s="1"/>
  <c r="C170" i="15"/>
  <c r="C211" i="15" s="1"/>
  <c r="D166" i="15"/>
  <c r="E166" i="15" s="1"/>
  <c r="F166" i="15" s="1"/>
  <c r="G166" i="15" s="1"/>
  <c r="H166" i="15" s="1"/>
  <c r="D173" i="15"/>
  <c r="E173" i="15" s="1"/>
  <c r="F173" i="15" s="1"/>
  <c r="G173" i="15" s="1"/>
  <c r="H173" i="15" s="1"/>
  <c r="A119" i="15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B102" i="15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E36" i="15"/>
  <c r="G101" i="15" s="1"/>
  <c r="B37" i="15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D22" i="15"/>
  <c r="D27" i="15" s="1"/>
  <c r="E28" i="15" s="1"/>
  <c r="C36" i="15" s="1"/>
  <c r="D42" i="11"/>
  <c r="E43" i="11"/>
  <c r="D39" i="11"/>
  <c r="E40" i="11" s="1"/>
  <c r="D36" i="11"/>
  <c r="E37" i="11" s="1"/>
  <c r="E34" i="11"/>
  <c r="D33" i="11"/>
  <c r="D30" i="11"/>
  <c r="E31" i="11"/>
  <c r="D27" i="11"/>
  <c r="E28" i="11" s="1"/>
  <c r="E25" i="11"/>
  <c r="D24" i="11"/>
  <c r="D21" i="11"/>
  <c r="G27" i="27" l="1"/>
  <c r="I27" i="27" s="1"/>
  <c r="J27" i="27" s="1"/>
  <c r="H26" i="27"/>
  <c r="H27" i="27" s="1"/>
  <c r="E100" i="26"/>
  <c r="E102" i="26" s="1"/>
  <c r="H102" i="26" s="1"/>
  <c r="H100" i="26" s="1"/>
  <c r="G76" i="26"/>
  <c r="G79" i="26" s="1"/>
  <c r="O77" i="26" s="1"/>
  <c r="G80" i="26"/>
  <c r="E85" i="26" s="1"/>
  <c r="D84" i="26"/>
  <c r="B53" i="26"/>
  <c r="C54" i="26"/>
  <c r="C53" i="26"/>
  <c r="E23" i="26"/>
  <c r="E45" i="26"/>
  <c r="K19" i="26"/>
  <c r="K21" i="26" s="1"/>
  <c r="D180" i="25"/>
  <c r="I182" i="25"/>
  <c r="J182" i="25" s="1"/>
  <c r="J183" i="25" s="1"/>
  <c r="J185" i="25" s="1"/>
  <c r="D153" i="25"/>
  <c r="I138" i="25"/>
  <c r="C142" i="25"/>
  <c r="C131" i="25"/>
  <c r="C141" i="25" s="1"/>
  <c r="C143" i="25" s="1"/>
  <c r="D141" i="25"/>
  <c r="D143" i="25" s="1"/>
  <c r="C133" i="25"/>
  <c r="E133" i="25" s="1"/>
  <c r="F133" i="25" s="1"/>
  <c r="C98" i="25"/>
  <c r="B98" i="25"/>
  <c r="D98" i="25"/>
  <c r="G42" i="25"/>
  <c r="F56" i="25"/>
  <c r="B77" i="25"/>
  <c r="C77" i="25" s="1"/>
  <c r="D77" i="25" s="1"/>
  <c r="G47" i="25"/>
  <c r="C76" i="25"/>
  <c r="B84" i="25"/>
  <c r="C19" i="24"/>
  <c r="C20" i="24" s="1"/>
  <c r="C30" i="24" s="1"/>
  <c r="D17" i="24"/>
  <c r="C31" i="24"/>
  <c r="B19" i="24"/>
  <c r="B20" i="24" s="1"/>
  <c r="B30" i="24" s="1"/>
  <c r="B31" i="24" s="1"/>
  <c r="E50" i="23"/>
  <c r="E51" i="23" s="1"/>
  <c r="G123" i="16"/>
  <c r="H124" i="16" s="1"/>
  <c r="L61" i="16"/>
  <c r="L59" i="16"/>
  <c r="L60" i="16"/>
  <c r="L62" i="16"/>
  <c r="D238" i="15"/>
  <c r="E238" i="15"/>
  <c r="G208" i="15"/>
  <c r="G238" i="15" s="1"/>
  <c r="F206" i="15"/>
  <c r="C175" i="15"/>
  <c r="D175" i="15" s="1"/>
  <c r="C168" i="15"/>
  <c r="A132" i="15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E37" i="15"/>
  <c r="D36" i="15"/>
  <c r="D101" i="15" s="1"/>
  <c r="E31" i="15"/>
  <c r="I26" i="27" l="1"/>
  <c r="J26" i="27" s="1"/>
  <c r="F86" i="26"/>
  <c r="O78" i="26"/>
  <c r="O79" i="26" s="1"/>
  <c r="O81" i="26" s="1"/>
  <c r="P81" i="26" s="1"/>
  <c r="G81" i="26"/>
  <c r="D55" i="26"/>
  <c r="E48" i="26"/>
  <c r="K46" i="26" s="1"/>
  <c r="K48" i="26" s="1"/>
  <c r="K50" i="26" s="1"/>
  <c r="L50" i="26" s="1"/>
  <c r="K25" i="26"/>
  <c r="L21" i="26"/>
  <c r="K23" i="26"/>
  <c r="L23" i="26" s="1"/>
  <c r="I183" i="25"/>
  <c r="I185" i="25" s="1"/>
  <c r="E143" i="25"/>
  <c r="F143" i="25" s="1"/>
  <c r="B78" i="25"/>
  <c r="B79" i="25" s="1"/>
  <c r="B100" i="25" s="1"/>
  <c r="C84" i="25"/>
  <c r="B86" i="25"/>
  <c r="B87" i="25" s="1"/>
  <c r="B88" i="25" s="1"/>
  <c r="B101" i="25" s="1"/>
  <c r="C78" i="25"/>
  <c r="C79" i="25" s="1"/>
  <c r="C100" i="25" s="1"/>
  <c r="D76" i="25"/>
  <c r="E17" i="24"/>
  <c r="D19" i="24"/>
  <c r="D20" i="24" s="1"/>
  <c r="D30" i="24" s="1"/>
  <c r="D31" i="24" s="1"/>
  <c r="G92" i="20"/>
  <c r="E92" i="20"/>
  <c r="G81" i="20" s="1"/>
  <c r="H208" i="15"/>
  <c r="H238" i="15" s="1"/>
  <c r="G206" i="15"/>
  <c r="F36" i="15"/>
  <c r="C37" i="15" s="1"/>
  <c r="D37" i="15" s="1"/>
  <c r="D102" i="15" s="1"/>
  <c r="E38" i="15"/>
  <c r="G102" i="15"/>
  <c r="E175" i="15"/>
  <c r="C101" i="15"/>
  <c r="H176" i="15"/>
  <c r="G176" i="15"/>
  <c r="F176" i="15"/>
  <c r="D176" i="15"/>
  <c r="E176" i="15"/>
  <c r="C176" i="15"/>
  <c r="D12" i="1"/>
  <c r="F13" i="9"/>
  <c r="P79" i="26" l="1"/>
  <c r="O83" i="26"/>
  <c r="K52" i="26"/>
  <c r="E50" i="26"/>
  <c r="L48" i="26"/>
  <c r="B105" i="25"/>
  <c r="B102" i="25"/>
  <c r="B104" i="25" s="1"/>
  <c r="E98" i="25"/>
  <c r="F98" i="25"/>
  <c r="E76" i="25"/>
  <c r="D78" i="25"/>
  <c r="D79" i="25" s="1"/>
  <c r="D100" i="25" s="1"/>
  <c r="C86" i="25"/>
  <c r="C87" i="25" s="1"/>
  <c r="C88" i="25" s="1"/>
  <c r="C101" i="25" s="1"/>
  <c r="C105" i="25" s="1"/>
  <c r="D84" i="25"/>
  <c r="E19" i="24"/>
  <c r="E20" i="24" s="1"/>
  <c r="E30" i="24" s="1"/>
  <c r="E31" i="24" s="1"/>
  <c r="F17" i="24"/>
  <c r="F209" i="15"/>
  <c r="G209" i="15"/>
  <c r="C177" i="15"/>
  <c r="C209" i="15"/>
  <c r="D177" i="15"/>
  <c r="D209" i="15"/>
  <c r="H209" i="15"/>
  <c r="E209" i="15"/>
  <c r="H206" i="15"/>
  <c r="E101" i="15"/>
  <c r="C102" i="15"/>
  <c r="E102" i="15" s="1"/>
  <c r="F175" i="15"/>
  <c r="E177" i="15"/>
  <c r="E39" i="15"/>
  <c r="G103" i="15"/>
  <c r="F37" i="15"/>
  <c r="C38" i="15" s="1"/>
  <c r="D87" i="4"/>
  <c r="M83" i="4"/>
  <c r="L83" i="4"/>
  <c r="K83" i="4"/>
  <c r="J83" i="4"/>
  <c r="J85" i="4" s="1"/>
  <c r="I83" i="4"/>
  <c r="I85" i="4" s="1"/>
  <c r="H83" i="4"/>
  <c r="H85" i="4" s="1"/>
  <c r="G83" i="4"/>
  <c r="G85" i="4" s="1"/>
  <c r="F83" i="4"/>
  <c r="F85" i="4" s="1"/>
  <c r="E83" i="4"/>
  <c r="E85" i="4" s="1"/>
  <c r="D83" i="4"/>
  <c r="M85" i="4"/>
  <c r="L85" i="4"/>
  <c r="K85" i="4"/>
  <c r="D85" i="4"/>
  <c r="M82" i="4"/>
  <c r="L82" i="4"/>
  <c r="K82" i="4"/>
  <c r="J82" i="4"/>
  <c r="I82" i="4"/>
  <c r="H82" i="4"/>
  <c r="G82" i="4"/>
  <c r="F82" i="4"/>
  <c r="E82" i="4"/>
  <c r="D82" i="4"/>
  <c r="E74" i="4"/>
  <c r="F74" i="4" s="1"/>
  <c r="G74" i="4" s="1"/>
  <c r="H74" i="4" s="1"/>
  <c r="I74" i="4" s="1"/>
  <c r="J74" i="4" s="1"/>
  <c r="K74" i="4" s="1"/>
  <c r="L74" i="4" s="1"/>
  <c r="M74" i="4" s="1"/>
  <c r="E71" i="4"/>
  <c r="D70" i="4"/>
  <c r="M68" i="4"/>
  <c r="L68" i="4"/>
  <c r="K68" i="4"/>
  <c r="J68" i="4"/>
  <c r="I68" i="4"/>
  <c r="H68" i="4"/>
  <c r="G68" i="4"/>
  <c r="F68" i="4"/>
  <c r="E68" i="4"/>
  <c r="D68" i="4"/>
  <c r="F66" i="4"/>
  <c r="F67" i="4" s="1"/>
  <c r="G65" i="4"/>
  <c r="H65" i="4" s="1"/>
  <c r="F65" i="4"/>
  <c r="E66" i="4"/>
  <c r="E67" i="4" s="1"/>
  <c r="E65" i="4"/>
  <c r="D66" i="4"/>
  <c r="D65" i="4"/>
  <c r="D67" i="4" s="1"/>
  <c r="E63" i="4"/>
  <c r="G13" i="4"/>
  <c r="D19" i="4" s="1"/>
  <c r="G10" i="4"/>
  <c r="E17" i="4"/>
  <c r="E19" i="4" s="1"/>
  <c r="D13" i="1"/>
  <c r="D14" i="1" s="1"/>
  <c r="D15" i="1" s="1"/>
  <c r="D17" i="1" s="1"/>
  <c r="D18" i="1" s="1"/>
  <c r="D19" i="1" s="1"/>
  <c r="D21" i="1" s="1"/>
  <c r="D22" i="1" s="1"/>
  <c r="D23" i="1" s="1"/>
  <c r="D25" i="1" s="1"/>
  <c r="D26" i="1" s="1"/>
  <c r="D27" i="1" s="1"/>
  <c r="D29" i="1" s="1"/>
  <c r="D30" i="1" s="1"/>
  <c r="D31" i="1" s="1"/>
  <c r="D32" i="1" s="1"/>
  <c r="D33" i="1" s="1"/>
  <c r="D34" i="1" s="1"/>
  <c r="D35" i="1" s="1"/>
  <c r="D37" i="1" s="1"/>
  <c r="D38" i="1" s="1"/>
  <c r="D39" i="1" s="1"/>
  <c r="D40" i="1" s="1"/>
  <c r="D41" i="1" s="1"/>
  <c r="D42" i="1" s="1"/>
  <c r="D44" i="1" s="1"/>
  <c r="D45" i="1" s="1"/>
  <c r="D46" i="1" s="1"/>
  <c r="D48" i="1" s="1"/>
  <c r="D49" i="1" s="1"/>
  <c r="D50" i="1" s="1"/>
  <c r="D51" i="1" s="1"/>
  <c r="D52" i="1" s="1"/>
  <c r="D54" i="1" s="1"/>
  <c r="D55" i="1" s="1"/>
  <c r="D56" i="1" s="1"/>
  <c r="D57" i="1" s="1"/>
  <c r="D58" i="1" s="1"/>
  <c r="D59" i="1" s="1"/>
  <c r="D60" i="1" s="1"/>
  <c r="D62" i="1" s="1"/>
  <c r="D63" i="1" s="1"/>
  <c r="D64" i="1" s="1"/>
  <c r="D66" i="1" s="1"/>
  <c r="D67" i="1" s="1"/>
  <c r="D68" i="1" s="1"/>
  <c r="D69" i="1" s="1"/>
  <c r="D71" i="1" s="1"/>
  <c r="D72" i="1" s="1"/>
  <c r="D73" i="1" s="1"/>
  <c r="D74" i="1" s="1"/>
  <c r="D76" i="1" s="1"/>
  <c r="D78" i="1" s="1"/>
  <c r="D79" i="1" s="1"/>
  <c r="D80" i="1" s="1"/>
  <c r="D81" i="1" s="1"/>
  <c r="D83" i="1" s="1"/>
  <c r="D84" i="1" s="1"/>
  <c r="D85" i="1" s="1"/>
  <c r="D87" i="1" s="1"/>
  <c r="D89" i="1" s="1"/>
  <c r="D90" i="1" s="1"/>
  <c r="D91" i="1" s="1"/>
  <c r="D92" i="1" s="1"/>
  <c r="D94" i="1" s="1"/>
  <c r="D95" i="1" s="1"/>
  <c r="D96" i="1" s="1"/>
  <c r="D97" i="1" s="1"/>
  <c r="D99" i="1" s="1"/>
  <c r="D100" i="1" s="1"/>
  <c r="D101" i="1" s="1"/>
  <c r="D103" i="1" s="1"/>
  <c r="D104" i="1" s="1"/>
  <c r="D105" i="1" s="1"/>
  <c r="D107" i="1" s="1"/>
  <c r="D108" i="1" s="1"/>
  <c r="D110" i="1" s="1"/>
  <c r="D111" i="1" s="1"/>
  <c r="D112" i="1" s="1"/>
  <c r="D114" i="1" s="1"/>
  <c r="D115" i="1" s="1"/>
  <c r="D116" i="1" s="1"/>
  <c r="D117" i="1" s="1"/>
  <c r="D119" i="1" s="1"/>
  <c r="D120" i="1" s="1"/>
  <c r="D121" i="1" s="1"/>
  <c r="D123" i="1" s="1"/>
  <c r="D124" i="1" s="1"/>
  <c r="D125" i="1" s="1"/>
  <c r="D127" i="1" s="1"/>
  <c r="D128" i="1" s="1"/>
  <c r="D129" i="1" s="1"/>
  <c r="D130" i="1" s="1"/>
  <c r="D131" i="1" s="1"/>
  <c r="D133" i="1" s="1"/>
  <c r="D134" i="1" s="1"/>
  <c r="D135" i="1" s="1"/>
  <c r="D136" i="1" s="1"/>
  <c r="D138" i="1" s="1"/>
  <c r="D139" i="1" s="1"/>
  <c r="D140" i="1" s="1"/>
  <c r="D141" i="1" s="1"/>
  <c r="D142" i="1" s="1"/>
  <c r="D143" i="1" s="1"/>
  <c r="D144" i="1" s="1"/>
  <c r="D146" i="1" s="1"/>
  <c r="D147" i="1" s="1"/>
  <c r="D148" i="1" s="1"/>
  <c r="D149" i="1" s="1"/>
  <c r="D150" i="1" s="1"/>
  <c r="D152" i="1" s="1"/>
  <c r="D153" i="1" s="1"/>
  <c r="D154" i="1" s="1"/>
  <c r="D155" i="1" s="1"/>
  <c r="D157" i="1" s="1"/>
  <c r="D158" i="1" s="1"/>
  <c r="D159" i="1" s="1"/>
  <c r="D160" i="1" s="1"/>
  <c r="D162" i="1" s="1"/>
  <c r="D163" i="1" s="1"/>
  <c r="D164" i="1" s="1"/>
  <c r="D166" i="1" s="1"/>
  <c r="D167" i="1" s="1"/>
  <c r="D168" i="1" s="1"/>
  <c r="D169" i="1" s="1"/>
  <c r="D171" i="1" s="1"/>
  <c r="D172" i="1" s="1"/>
  <c r="D173" i="1" s="1"/>
  <c r="D174" i="1" s="1"/>
  <c r="D175" i="1" s="1"/>
  <c r="D177" i="1" s="1"/>
  <c r="D178" i="1" s="1"/>
  <c r="D179" i="1" s="1"/>
  <c r="D180" i="1" s="1"/>
  <c r="D181" i="1" s="1"/>
  <c r="C102" i="25" l="1"/>
  <c r="C104" i="25" s="1"/>
  <c r="G98" i="25"/>
  <c r="D86" i="25"/>
  <c r="D87" i="25" s="1"/>
  <c r="D88" i="25" s="1"/>
  <c r="D101" i="25" s="1"/>
  <c r="D102" i="25" s="1"/>
  <c r="D104" i="25" s="1"/>
  <c r="E84" i="25"/>
  <c r="F76" i="25"/>
  <c r="E78" i="25"/>
  <c r="E79" i="25" s="1"/>
  <c r="E100" i="25" s="1"/>
  <c r="F19" i="24"/>
  <c r="F20" i="24" s="1"/>
  <c r="F30" i="24" s="1"/>
  <c r="F31" i="24" s="1"/>
  <c r="G17" i="24"/>
  <c r="C103" i="15"/>
  <c r="C104" i="15" s="1"/>
  <c r="E40" i="15"/>
  <c r="G104" i="15"/>
  <c r="G175" i="15"/>
  <c r="F177" i="15"/>
  <c r="D38" i="15"/>
  <c r="D103" i="15" s="1"/>
  <c r="I65" i="4"/>
  <c r="G66" i="4"/>
  <c r="G67" i="4"/>
  <c r="F63" i="4"/>
  <c r="E18" i="4"/>
  <c r="E20" i="4" s="1"/>
  <c r="E21" i="4" s="1"/>
  <c r="E22" i="4" s="1"/>
  <c r="F17" i="4"/>
  <c r="F18" i="4" s="1"/>
  <c r="D18" i="4"/>
  <c r="D20" i="4" s="1"/>
  <c r="D21" i="4" s="1"/>
  <c r="D105" i="25" l="1"/>
  <c r="H98" i="25"/>
  <c r="G76" i="25"/>
  <c r="F78" i="25"/>
  <c r="F79" i="25" s="1"/>
  <c r="F100" i="25" s="1"/>
  <c r="F84" i="25"/>
  <c r="E86" i="25"/>
  <c r="E87" i="25" s="1"/>
  <c r="E88" i="25" s="1"/>
  <c r="E101" i="25" s="1"/>
  <c r="E105" i="25" s="1"/>
  <c r="G19" i="24"/>
  <c r="G20" i="24" s="1"/>
  <c r="G30" i="24" s="1"/>
  <c r="G31" i="24" s="1"/>
  <c r="H17" i="24"/>
  <c r="H19" i="24" s="1"/>
  <c r="H20" i="24" s="1"/>
  <c r="H30" i="24" s="1"/>
  <c r="H31" i="24" s="1"/>
  <c r="E103" i="15"/>
  <c r="C105" i="15"/>
  <c r="H175" i="15"/>
  <c r="H177" i="15" s="1"/>
  <c r="G177" i="15"/>
  <c r="G105" i="15"/>
  <c r="E41" i="15"/>
  <c r="F38" i="15"/>
  <c r="C39" i="15" s="1"/>
  <c r="H67" i="4"/>
  <c r="I67" i="4"/>
  <c r="J65" i="4"/>
  <c r="D28" i="4"/>
  <c r="E29" i="4" s="1"/>
  <c r="F29" i="4" s="1"/>
  <c r="D22" i="4"/>
  <c r="G63" i="4"/>
  <c r="E32" i="4"/>
  <c r="D31" i="4" s="1"/>
  <c r="G17" i="4"/>
  <c r="F19" i="4"/>
  <c r="F20" i="4" s="1"/>
  <c r="F21" i="4" s="1"/>
  <c r="E102" i="25" l="1"/>
  <c r="E104" i="25" s="1"/>
  <c r="J98" i="25"/>
  <c r="I98" i="25"/>
  <c r="G84" i="25"/>
  <c r="F86" i="25"/>
  <c r="F87" i="25" s="1"/>
  <c r="F88" i="25" s="1"/>
  <c r="F101" i="25" s="1"/>
  <c r="F102" i="25" s="1"/>
  <c r="F104" i="25" s="1"/>
  <c r="G78" i="25"/>
  <c r="G79" i="25" s="1"/>
  <c r="G100" i="25" s="1"/>
  <c r="H76" i="25"/>
  <c r="E42" i="15"/>
  <c r="G106" i="15"/>
  <c r="C106" i="15"/>
  <c r="D39" i="15"/>
  <c r="D104" i="15" s="1"/>
  <c r="K65" i="4"/>
  <c r="J67" i="4"/>
  <c r="D34" i="4"/>
  <c r="E35" i="4" s="1"/>
  <c r="F22" i="4"/>
  <c r="H63" i="4"/>
  <c r="H17" i="4"/>
  <c r="G19" i="4"/>
  <c r="G18" i="4"/>
  <c r="G20" i="4" s="1"/>
  <c r="G21" i="4" s="1"/>
  <c r="G22" i="4" s="1"/>
  <c r="F32" i="4"/>
  <c r="F35" i="4" s="1"/>
  <c r="F105" i="25" l="1"/>
  <c r="H78" i="25"/>
  <c r="H79" i="25" s="1"/>
  <c r="H100" i="25" s="1"/>
  <c r="I76" i="25"/>
  <c r="H84" i="25"/>
  <c r="G86" i="25"/>
  <c r="G87" i="25" s="1"/>
  <c r="G88" i="25" s="1"/>
  <c r="G101" i="25" s="1"/>
  <c r="G102" i="25" s="1"/>
  <c r="G104" i="25" s="1"/>
  <c r="F39" i="15"/>
  <c r="C40" i="15" s="1"/>
  <c r="D40" i="15" s="1"/>
  <c r="D105" i="15" s="1"/>
  <c r="E105" i="15" s="1"/>
  <c r="E104" i="15"/>
  <c r="C107" i="15"/>
  <c r="G107" i="15"/>
  <c r="E43" i="15"/>
  <c r="L65" i="4"/>
  <c r="K67" i="4"/>
  <c r="I63" i="4"/>
  <c r="D37" i="4"/>
  <c r="E38" i="4" s="1"/>
  <c r="F38" i="4" s="1"/>
  <c r="I17" i="4"/>
  <c r="H18" i="4"/>
  <c r="H20" i="4" s="1"/>
  <c r="H21" i="4" s="1"/>
  <c r="H22" i="4" s="1"/>
  <c r="G105" i="25" l="1"/>
  <c r="I84" i="25"/>
  <c r="H86" i="25"/>
  <c r="H87" i="25" s="1"/>
  <c r="H88" i="25" s="1"/>
  <c r="H101" i="25" s="1"/>
  <c r="H102" i="25" s="1"/>
  <c r="H104" i="25" s="1"/>
  <c r="J76" i="25"/>
  <c r="J78" i="25" s="1"/>
  <c r="J79" i="25" s="1"/>
  <c r="J100" i="25" s="1"/>
  <c r="I78" i="25"/>
  <c r="I79" i="25" s="1"/>
  <c r="I100" i="25" s="1"/>
  <c r="E44" i="15"/>
  <c r="G108" i="15"/>
  <c r="C108" i="15"/>
  <c r="F40" i="15"/>
  <c r="C41" i="15" s="1"/>
  <c r="D41" i="15" s="1"/>
  <c r="L67" i="4"/>
  <c r="M65" i="4"/>
  <c r="M67" i="4" s="1"/>
  <c r="J63" i="4"/>
  <c r="J17" i="4"/>
  <c r="I18" i="4"/>
  <c r="I20" i="4" s="1"/>
  <c r="I21" i="4" s="1"/>
  <c r="D40" i="4"/>
  <c r="E41" i="4" s="1"/>
  <c r="H105" i="25" l="1"/>
  <c r="J84" i="25"/>
  <c r="J86" i="25" s="1"/>
  <c r="J87" i="25" s="1"/>
  <c r="I86" i="25"/>
  <c r="I87" i="25" s="1"/>
  <c r="I88" i="25" s="1"/>
  <c r="I101" i="25" s="1"/>
  <c r="I102" i="25" s="1"/>
  <c r="I104" i="25" s="1"/>
  <c r="C109" i="15"/>
  <c r="G109" i="15"/>
  <c r="E45" i="15"/>
  <c r="F41" i="15"/>
  <c r="C42" i="15" s="1"/>
  <c r="D106" i="15"/>
  <c r="D43" i="4"/>
  <c r="I22" i="4"/>
  <c r="K63" i="4"/>
  <c r="D46" i="4"/>
  <c r="E44" i="4"/>
  <c r="F40" i="4"/>
  <c r="F43" i="4" s="1"/>
  <c r="F46" i="4" s="1"/>
  <c r="K17" i="4"/>
  <c r="J18" i="4"/>
  <c r="J20" i="4" s="1"/>
  <c r="J21" i="4" s="1"/>
  <c r="J22" i="4" s="1"/>
  <c r="I105" i="25" l="1"/>
  <c r="J88" i="25"/>
  <c r="J101" i="25" s="1"/>
  <c r="E106" i="15"/>
  <c r="E46" i="15"/>
  <c r="G110" i="15"/>
  <c r="C110" i="15"/>
  <c r="D42" i="15"/>
  <c r="D107" i="15" s="1"/>
  <c r="E107" i="15" s="1"/>
  <c r="L63" i="4"/>
  <c r="L17" i="4"/>
  <c r="K18" i="4"/>
  <c r="K20" i="4" s="1"/>
  <c r="K21" i="4" s="1"/>
  <c r="K22" i="4" s="1"/>
  <c r="E47" i="4"/>
  <c r="D49" i="4"/>
  <c r="J105" i="25" l="1"/>
  <c r="J102" i="25"/>
  <c r="J104" i="25" s="1"/>
  <c r="C111" i="15"/>
  <c r="G111" i="15"/>
  <c r="E47" i="15"/>
  <c r="F42" i="15"/>
  <c r="C43" i="15" s="1"/>
  <c r="M63" i="4"/>
  <c r="F49" i="4"/>
  <c r="D52" i="4"/>
  <c r="E50" i="4"/>
  <c r="M17" i="4"/>
  <c r="M18" i="4" s="1"/>
  <c r="M20" i="4" s="1"/>
  <c r="M21" i="4" s="1"/>
  <c r="L18" i="4"/>
  <c r="L20" i="4" s="1"/>
  <c r="L21" i="4" s="1"/>
  <c r="L22" i="4" s="1"/>
  <c r="E48" i="15" l="1"/>
  <c r="G112" i="15"/>
  <c r="C112" i="15"/>
  <c r="D43" i="15"/>
  <c r="D108" i="15" s="1"/>
  <c r="E108" i="15" s="1"/>
  <c r="M22" i="4"/>
  <c r="F52" i="4"/>
  <c r="D55" i="4"/>
  <c r="E56" i="4" s="1"/>
  <c r="E53" i="4"/>
  <c r="F43" i="15" l="1"/>
  <c r="C44" i="15" s="1"/>
  <c r="D44" i="15" s="1"/>
  <c r="D109" i="15" s="1"/>
  <c r="E109" i="15" s="1"/>
  <c r="C113" i="15"/>
  <c r="G113" i="15"/>
  <c r="E49" i="15"/>
  <c r="F55" i="4"/>
  <c r="F44" i="15" l="1"/>
  <c r="C45" i="15" s="1"/>
  <c r="D45" i="15" s="1"/>
  <c r="D110" i="15" s="1"/>
  <c r="E110" i="15" s="1"/>
  <c r="E50" i="15"/>
  <c r="G114" i="15"/>
  <c r="C114" i="15"/>
  <c r="C115" i="15" l="1"/>
  <c r="E51" i="15"/>
  <c r="G115" i="15"/>
  <c r="F45" i="15"/>
  <c r="C46" i="15" s="1"/>
  <c r="D46" i="15" s="1"/>
  <c r="E52" i="15" l="1"/>
  <c r="G116" i="15"/>
  <c r="C116" i="15"/>
  <c r="F46" i="15"/>
  <c r="C47" i="15" s="1"/>
  <c r="D47" i="15" s="1"/>
  <c r="D111" i="15"/>
  <c r="E111" i="15" s="1"/>
  <c r="C117" i="15" l="1"/>
  <c r="E53" i="15"/>
  <c r="G117" i="15"/>
  <c r="F47" i="15"/>
  <c r="C48" i="15" s="1"/>
  <c r="D112" i="15"/>
  <c r="E112" i="15" s="1"/>
  <c r="E54" i="15" l="1"/>
  <c r="G118" i="15"/>
  <c r="C118" i="15"/>
  <c r="D48" i="15"/>
  <c r="D113" i="15" s="1"/>
  <c r="E113" i="15" s="1"/>
  <c r="C119" i="15" l="1"/>
  <c r="E55" i="15"/>
  <c r="G119" i="15"/>
  <c r="F48" i="15"/>
  <c r="C49" i="15" s="1"/>
  <c r="C120" i="15" l="1"/>
  <c r="E56" i="15"/>
  <c r="G120" i="15"/>
  <c r="D49" i="15"/>
  <c r="D114" i="15" s="1"/>
  <c r="E114" i="15" s="1"/>
  <c r="E57" i="15" l="1"/>
  <c r="G121" i="15"/>
  <c r="C121" i="15"/>
  <c r="F49" i="15"/>
  <c r="C50" i="15" s="1"/>
  <c r="D50" i="15" s="1"/>
  <c r="C122" i="15" l="1"/>
  <c r="E58" i="15"/>
  <c r="G122" i="15"/>
  <c r="F50" i="15"/>
  <c r="C51" i="15" s="1"/>
  <c r="D115" i="15"/>
  <c r="E115" i="15" s="1"/>
  <c r="E59" i="15" l="1"/>
  <c r="G123" i="15"/>
  <c r="C123" i="15"/>
  <c r="D51" i="15"/>
  <c r="D116" i="15" s="1"/>
  <c r="E116" i="15" s="1"/>
  <c r="E60" i="15" l="1"/>
  <c r="G124" i="15"/>
  <c r="C124" i="15"/>
  <c r="F51" i="15"/>
  <c r="C52" i="15" s="1"/>
  <c r="E61" i="15" l="1"/>
  <c r="G125" i="15"/>
  <c r="C125" i="15"/>
  <c r="D52" i="15"/>
  <c r="D117" i="15" s="1"/>
  <c r="E117" i="15" s="1"/>
  <c r="C126" i="15" l="1"/>
  <c r="E62" i="15"/>
  <c r="G126" i="15"/>
  <c r="F52" i="15"/>
  <c r="C53" i="15" s="1"/>
  <c r="D53" i="15" s="1"/>
  <c r="E63" i="15" l="1"/>
  <c r="G127" i="15"/>
  <c r="C127" i="15"/>
  <c r="F53" i="15"/>
  <c r="C54" i="15" s="1"/>
  <c r="D54" i="15" s="1"/>
  <c r="D118" i="15"/>
  <c r="E118" i="15" s="1"/>
  <c r="C128" i="15" l="1"/>
  <c r="E64" i="15"/>
  <c r="G128" i="15"/>
  <c r="F54" i="15"/>
  <c r="C55" i="15" s="1"/>
  <c r="D55" i="15" s="1"/>
  <c r="D119" i="15"/>
  <c r="E119" i="15" s="1"/>
  <c r="E65" i="15" l="1"/>
  <c r="G129" i="15"/>
  <c r="C129" i="15"/>
  <c r="F55" i="15"/>
  <c r="C56" i="15" s="1"/>
  <c r="D56" i="15" s="1"/>
  <c r="D120" i="15"/>
  <c r="E120" i="15" s="1"/>
  <c r="C130" i="15" l="1"/>
  <c r="E66" i="15"/>
  <c r="G130" i="15"/>
  <c r="F56" i="15"/>
  <c r="C57" i="15" s="1"/>
  <c r="D121" i="15"/>
  <c r="E121" i="15" s="1"/>
  <c r="E67" i="15" l="1"/>
  <c r="G131" i="15"/>
  <c r="C131" i="15"/>
  <c r="D57" i="15"/>
  <c r="D122" i="15" s="1"/>
  <c r="E122" i="15" s="1"/>
  <c r="C132" i="15" l="1"/>
  <c r="E68" i="15"/>
  <c r="G132" i="15"/>
  <c r="F57" i="15"/>
  <c r="C58" i="15" s="1"/>
  <c r="D58" i="15" s="1"/>
  <c r="E69" i="15" l="1"/>
  <c r="G133" i="15"/>
  <c r="C133" i="15"/>
  <c r="F58" i="15"/>
  <c r="C59" i="15" s="1"/>
  <c r="D59" i="15" s="1"/>
  <c r="D123" i="15"/>
  <c r="E123" i="15" s="1"/>
  <c r="C134" i="15" l="1"/>
  <c r="E70" i="15"/>
  <c r="G134" i="15"/>
  <c r="F59" i="15"/>
  <c r="C60" i="15" s="1"/>
  <c r="D124" i="15"/>
  <c r="E124" i="15" s="1"/>
  <c r="E71" i="15" l="1"/>
  <c r="G135" i="15"/>
  <c r="C135" i="15"/>
  <c r="D60" i="15"/>
  <c r="D125" i="15" s="1"/>
  <c r="E125" i="15" s="1"/>
  <c r="C136" i="15" l="1"/>
  <c r="E72" i="15"/>
  <c r="G136" i="15"/>
  <c r="F60" i="15"/>
  <c r="C61" i="15" s="1"/>
  <c r="E73" i="15" l="1"/>
  <c r="G137" i="15"/>
  <c r="C137" i="15"/>
  <c r="D61" i="15"/>
  <c r="D126" i="15" s="1"/>
  <c r="E126" i="15" s="1"/>
  <c r="C138" i="15" l="1"/>
  <c r="E74" i="15"/>
  <c r="G138" i="15"/>
  <c r="F61" i="15"/>
  <c r="C62" i="15" s="1"/>
  <c r="D62" i="15" s="1"/>
  <c r="E75" i="15" l="1"/>
  <c r="G139" i="15"/>
  <c r="C139" i="15"/>
  <c r="F62" i="15"/>
  <c r="C63" i="15" s="1"/>
  <c r="D63" i="15" s="1"/>
  <c r="D127" i="15"/>
  <c r="E127" i="15" s="1"/>
  <c r="C140" i="15" l="1"/>
  <c r="E76" i="15"/>
  <c r="G140" i="15"/>
  <c r="F63" i="15"/>
  <c r="C64" i="15" s="1"/>
  <c r="D64" i="15" s="1"/>
  <c r="D128" i="15"/>
  <c r="E128" i="15" s="1"/>
  <c r="E77" i="15" l="1"/>
  <c r="G141" i="15"/>
  <c r="C141" i="15"/>
  <c r="F64" i="15"/>
  <c r="C65" i="15" s="1"/>
  <c r="D65" i="15" s="1"/>
  <c r="D129" i="15"/>
  <c r="E129" i="15" s="1"/>
  <c r="C142" i="15" l="1"/>
  <c r="E78" i="15"/>
  <c r="G142" i="15"/>
  <c r="F65" i="15"/>
  <c r="C66" i="15" s="1"/>
  <c r="D130" i="15"/>
  <c r="E130" i="15" s="1"/>
  <c r="E79" i="15" l="1"/>
  <c r="G143" i="15"/>
  <c r="C143" i="15"/>
  <c r="D66" i="15"/>
  <c r="D131" i="15" s="1"/>
  <c r="E131" i="15" s="1"/>
  <c r="C144" i="15" l="1"/>
  <c r="E80" i="15"/>
  <c r="G144" i="15"/>
  <c r="F66" i="15"/>
  <c r="C67" i="15" s="1"/>
  <c r="E81" i="15" l="1"/>
  <c r="G145" i="15"/>
  <c r="C145" i="15"/>
  <c r="D67" i="15"/>
  <c r="D132" i="15" s="1"/>
  <c r="E132" i="15" s="1"/>
  <c r="C146" i="15" l="1"/>
  <c r="E82" i="15"/>
  <c r="G146" i="15"/>
  <c r="F67" i="15"/>
  <c r="C68" i="15" s="1"/>
  <c r="D68" i="15" s="1"/>
  <c r="E83" i="15" l="1"/>
  <c r="G147" i="15"/>
  <c r="C147" i="15"/>
  <c r="F68" i="15"/>
  <c r="C69" i="15" s="1"/>
  <c r="D69" i="15" s="1"/>
  <c r="D133" i="15"/>
  <c r="E133" i="15" s="1"/>
  <c r="C148" i="15" l="1"/>
  <c r="E84" i="15"/>
  <c r="G148" i="15"/>
  <c r="F69" i="15"/>
  <c r="C70" i="15" s="1"/>
  <c r="D134" i="15"/>
  <c r="E134" i="15" s="1"/>
  <c r="E85" i="15" l="1"/>
  <c r="G149" i="15"/>
  <c r="C149" i="15"/>
  <c r="D70" i="15"/>
  <c r="D135" i="15" s="1"/>
  <c r="E135" i="15" s="1"/>
  <c r="C150" i="15" l="1"/>
  <c r="E86" i="15"/>
  <c r="G150" i="15"/>
  <c r="F70" i="15"/>
  <c r="C71" i="15" s="1"/>
  <c r="D71" i="15" s="1"/>
  <c r="E87" i="15" l="1"/>
  <c r="G151" i="15"/>
  <c r="C151" i="15"/>
  <c r="F71" i="15"/>
  <c r="C72" i="15" s="1"/>
  <c r="D136" i="15"/>
  <c r="E136" i="15" s="1"/>
  <c r="C152" i="15" l="1"/>
  <c r="E88" i="15"/>
  <c r="G152" i="15"/>
  <c r="D72" i="15"/>
  <c r="D137" i="15" s="1"/>
  <c r="E137" i="15" s="1"/>
  <c r="E89" i="15" l="1"/>
  <c r="G153" i="15"/>
  <c r="C153" i="15"/>
  <c r="F72" i="15"/>
  <c r="C73" i="15" s="1"/>
  <c r="D73" i="15" s="1"/>
  <c r="C154" i="15" l="1"/>
  <c r="E90" i="15"/>
  <c r="G154" i="15"/>
  <c r="F73" i="15"/>
  <c r="C74" i="15" s="1"/>
  <c r="D74" i="15" s="1"/>
  <c r="D138" i="15"/>
  <c r="E138" i="15" s="1"/>
  <c r="C155" i="15" l="1"/>
  <c r="E91" i="15"/>
  <c r="G155" i="15"/>
  <c r="F74" i="15"/>
  <c r="C75" i="15" s="1"/>
  <c r="D75" i="15" s="1"/>
  <c r="D139" i="15"/>
  <c r="E139" i="15" s="1"/>
  <c r="E92" i="15" l="1"/>
  <c r="G156" i="15"/>
  <c r="C156" i="15"/>
  <c r="F75" i="15"/>
  <c r="C76" i="15" s="1"/>
  <c r="D76" i="15" s="1"/>
  <c r="D140" i="15"/>
  <c r="E140" i="15" s="1"/>
  <c r="E93" i="15" l="1"/>
  <c r="G157" i="15"/>
  <c r="C157" i="15"/>
  <c r="F76" i="15"/>
  <c r="C77" i="15" s="1"/>
  <c r="D77" i="15" s="1"/>
  <c r="D141" i="15"/>
  <c r="E141" i="15" s="1"/>
  <c r="E94" i="15" l="1"/>
  <c r="G158" i="15"/>
  <c r="C158" i="15"/>
  <c r="F77" i="15"/>
  <c r="C78" i="15" s="1"/>
  <c r="D78" i="15" s="1"/>
  <c r="D142" i="15"/>
  <c r="E142" i="15" s="1"/>
  <c r="C159" i="15" l="1"/>
  <c r="E95" i="15"/>
  <c r="G160" i="15" s="1"/>
  <c r="G159" i="15"/>
  <c r="F78" i="15"/>
  <c r="C79" i="15" s="1"/>
  <c r="D143" i="15"/>
  <c r="E143" i="15" s="1"/>
  <c r="G161" i="15" l="1"/>
  <c r="C160" i="15"/>
  <c r="D79" i="15"/>
  <c r="D144" i="15" s="1"/>
  <c r="E144" i="15" s="1"/>
  <c r="C161" i="15" l="1"/>
  <c r="F79" i="15"/>
  <c r="C80" i="15" s="1"/>
  <c r="D80" i="15" s="1"/>
  <c r="F80" i="15" l="1"/>
  <c r="C81" i="15" s="1"/>
  <c r="D145" i="15"/>
  <c r="E145" i="15" s="1"/>
  <c r="D81" i="15" l="1"/>
  <c r="D146" i="15" s="1"/>
  <c r="E146" i="15" s="1"/>
  <c r="F81" i="15" l="1"/>
  <c r="C82" i="15" s="1"/>
  <c r="D82" i="15" s="1"/>
  <c r="F82" i="15" l="1"/>
  <c r="C83" i="15" s="1"/>
  <c r="D83" i="15" s="1"/>
  <c r="D147" i="15"/>
  <c r="E147" i="15" s="1"/>
  <c r="F83" i="15" l="1"/>
  <c r="C84" i="15" s="1"/>
  <c r="D148" i="15"/>
  <c r="E148" i="15" s="1"/>
  <c r="D84" i="15" l="1"/>
  <c r="D149" i="15" s="1"/>
  <c r="E149" i="15" s="1"/>
  <c r="F84" i="15" l="1"/>
  <c r="C85" i="15" s="1"/>
  <c r="D85" i="15" s="1"/>
  <c r="D150" i="15" s="1"/>
  <c r="E150" i="15" s="1"/>
  <c r="F85" i="15" l="1"/>
  <c r="C86" i="15" s="1"/>
  <c r="D86" i="15" s="1"/>
  <c r="D151" i="15" s="1"/>
  <c r="E151" i="15" s="1"/>
  <c r="F86" i="15" l="1"/>
  <c r="C87" i="15" s="1"/>
  <c r="D87" i="15" s="1"/>
  <c r="D152" i="15" s="1"/>
  <c r="E152" i="15" s="1"/>
  <c r="F87" i="15" l="1"/>
  <c r="C88" i="15" s="1"/>
  <c r="D88" i="15" s="1"/>
  <c r="D153" i="15" s="1"/>
  <c r="E153" i="15" s="1"/>
  <c r="F88" i="15" l="1"/>
  <c r="C89" i="15" s="1"/>
  <c r="D89" i="15" s="1"/>
  <c r="F89" i="15" l="1"/>
  <c r="C90" i="15" s="1"/>
  <c r="D154" i="15"/>
  <c r="E154" i="15" s="1"/>
  <c r="D90" i="15" l="1"/>
  <c r="D155" i="15" s="1"/>
  <c r="E155" i="15" s="1"/>
  <c r="F90" i="15" l="1"/>
  <c r="C91" i="15" s="1"/>
  <c r="D91" i="15" s="1"/>
  <c r="D156" i="15" s="1"/>
  <c r="E156" i="15" s="1"/>
  <c r="F91" i="15" l="1"/>
  <c r="C92" i="15" s="1"/>
  <c r="D92" i="15" s="1"/>
  <c r="D157" i="15" s="1"/>
  <c r="E157" i="15" s="1"/>
  <c r="F92" i="15" l="1"/>
  <c r="C93" i="15" s="1"/>
  <c r="D93" i="15" l="1"/>
  <c r="D158" i="15" s="1"/>
  <c r="E158" i="15" s="1"/>
  <c r="F93" i="15" l="1"/>
  <c r="C94" i="15" s="1"/>
  <c r="D94" i="15" s="1"/>
  <c r="F94" i="15" l="1"/>
  <c r="C95" i="15" s="1"/>
  <c r="D95" i="15" s="1"/>
  <c r="D159" i="15"/>
  <c r="E159" i="15" s="1"/>
  <c r="F95" i="15" l="1"/>
  <c r="D160" i="15"/>
  <c r="C169" i="15" l="1"/>
  <c r="G169" i="15"/>
  <c r="G210" i="15" s="1"/>
  <c r="D169" i="15"/>
  <c r="D210" i="15" s="1"/>
  <c r="H169" i="15"/>
  <c r="H210" i="15" s="1"/>
  <c r="F169" i="15"/>
  <c r="F210" i="15" s="1"/>
  <c r="E169" i="15"/>
  <c r="E210" i="15" s="1"/>
  <c r="D161" i="15"/>
  <c r="E160" i="15"/>
  <c r="E161" i="15" s="1"/>
  <c r="F212" i="15" l="1"/>
  <c r="F214" i="15" s="1"/>
  <c r="H212" i="15"/>
  <c r="H214" i="15" s="1"/>
  <c r="E212" i="15"/>
  <c r="E214" i="15" s="1"/>
  <c r="D212" i="15"/>
  <c r="D214" i="15" s="1"/>
  <c r="G212" i="15"/>
  <c r="G214" i="15" s="1"/>
  <c r="G239" i="15" s="1"/>
  <c r="C171" i="15"/>
  <c r="C179" i="15" s="1"/>
  <c r="C183" i="15" s="1"/>
  <c r="C186" i="15" s="1"/>
  <c r="D187" i="15" s="1"/>
  <c r="C199" i="15" s="1"/>
  <c r="C210" i="15"/>
  <c r="G241" i="15" l="1"/>
  <c r="G243" i="15"/>
  <c r="C221" i="15"/>
  <c r="D239" i="15"/>
  <c r="C225" i="15"/>
  <c r="D226" i="15" s="1"/>
  <c r="E239" i="15"/>
  <c r="G225" i="15"/>
  <c r="H226" i="15" s="1"/>
  <c r="H239" i="15"/>
  <c r="G217" i="15"/>
  <c r="H218" i="15" s="1"/>
  <c r="F239" i="15"/>
  <c r="G221" i="15"/>
  <c r="H222" i="15" s="1"/>
  <c r="C212" i="15"/>
  <c r="C214" i="15" s="1"/>
  <c r="D168" i="15"/>
  <c r="D171" i="15" s="1"/>
  <c r="E168" i="15" s="1"/>
  <c r="E171" i="15" s="1"/>
  <c r="D241" i="15" l="1"/>
  <c r="D243" i="15"/>
  <c r="F241" i="15"/>
  <c r="F243" i="15"/>
  <c r="E241" i="15"/>
  <c r="E243" i="15"/>
  <c r="H241" i="15"/>
  <c r="H243" i="15"/>
  <c r="C217" i="15"/>
  <c r="D218" i="15" s="1"/>
  <c r="C239" i="15"/>
  <c r="D222" i="15"/>
  <c r="D179" i="15"/>
  <c r="D183" i="15" s="1"/>
  <c r="F168" i="15"/>
  <c r="F171" i="15" s="1"/>
  <c r="E179" i="15"/>
  <c r="E183" i="15" s="1"/>
  <c r="C241" i="15" l="1"/>
  <c r="C243" i="15"/>
  <c r="C190" i="15"/>
  <c r="D191" i="15" s="1"/>
  <c r="D199" i="15" s="1"/>
  <c r="C194" i="15"/>
  <c r="D195" i="15" s="1"/>
  <c r="E199" i="15" s="1"/>
  <c r="G168" i="15"/>
  <c r="G171" i="15" s="1"/>
  <c r="F179" i="15"/>
  <c r="F183" i="15" s="1"/>
  <c r="H186" i="15" l="1"/>
  <c r="G187" i="15" s="1"/>
  <c r="F199" i="15" s="1"/>
  <c r="H168" i="15"/>
  <c r="H171" i="15" s="1"/>
  <c r="H179" i="15" s="1"/>
  <c r="H183" i="15" s="1"/>
  <c r="G179" i="15"/>
  <c r="G183" i="15" s="1"/>
  <c r="H190" i="15" l="1"/>
  <c r="G191" i="15" s="1"/>
  <c r="G199" i="15" s="1"/>
  <c r="H194" i="15"/>
  <c r="G195" i="15" s="1"/>
  <c r="H199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Freddy Llanto</author>
  </authors>
  <commentList>
    <comment ref="H86" authorId="0" shapeId="0" xr:uid="{2E7E73D2-85FB-44FF-B9EF-45C9A5742732}">
      <text>
        <r>
          <rPr>
            <b/>
            <sz val="9"/>
            <color indexed="81"/>
            <rFont val="Tahoma"/>
            <family val="2"/>
          </rPr>
          <t>Según Reg Venta
de Enero 2025</t>
        </r>
      </text>
    </comment>
  </commentList>
</comments>
</file>

<file path=xl/sharedStrings.xml><?xml version="1.0" encoding="utf-8"?>
<sst xmlns="http://schemas.openxmlformats.org/spreadsheetml/2006/main" count="1090" uniqueCount="624">
  <si>
    <t>NIC 2</t>
  </si>
  <si>
    <t>NIC 7</t>
  </si>
  <si>
    <t>NIC 8</t>
  </si>
  <si>
    <t>NIC 10</t>
  </si>
  <si>
    <t>NIC 12</t>
  </si>
  <si>
    <t>NIC 16</t>
  </si>
  <si>
    <t>NIC 19</t>
  </si>
  <si>
    <t>NIC 20</t>
  </si>
  <si>
    <t>NIC 21</t>
  </si>
  <si>
    <t>NIC 23</t>
  </si>
  <si>
    <t>NIC 24</t>
  </si>
  <si>
    <t>NIC 28</t>
  </si>
  <si>
    <t>NIC 29</t>
  </si>
  <si>
    <t>NIC 32</t>
  </si>
  <si>
    <t>NIC 33</t>
  </si>
  <si>
    <t>NIC 34</t>
  </si>
  <si>
    <t>NIC 36</t>
  </si>
  <si>
    <t>NIC 37</t>
  </si>
  <si>
    <t>NIC 38</t>
  </si>
  <si>
    <t>NIIF 1</t>
  </si>
  <si>
    <t>NIIF 2</t>
  </si>
  <si>
    <t>NIIF 3</t>
  </si>
  <si>
    <t>NIIF 5</t>
  </si>
  <si>
    <t>NIIF 6</t>
  </si>
  <si>
    <t>NIIF 7</t>
  </si>
  <si>
    <t>NIIF 8</t>
  </si>
  <si>
    <t>NIIF 9</t>
  </si>
  <si>
    <t>NIIF 10</t>
  </si>
  <si>
    <t>NIIF 11</t>
  </si>
  <si>
    <t>NIIF 12</t>
  </si>
  <si>
    <t>NIIF 13</t>
  </si>
  <si>
    <t>NIIF 15</t>
  </si>
  <si>
    <t>NIIF 16</t>
  </si>
  <si>
    <t>NIIF 18</t>
  </si>
  <si>
    <t>Distribución del costo de los co productos</t>
  </si>
  <si>
    <t>Distribución del costo de los sub productos</t>
  </si>
  <si>
    <t>Calculo del VNR de la materia prima</t>
  </si>
  <si>
    <t>Calculo del VNR de los productos terminados</t>
  </si>
  <si>
    <t>Qué hacer con la diferencia de cambio</t>
  </si>
  <si>
    <t>Flujos de préstamos: principal e intereses con costo amortizado</t>
  </si>
  <si>
    <t>Técnica según el movimiento de la cuenta</t>
  </si>
  <si>
    <t>Cambio de politica contable con ESF modificado</t>
  </si>
  <si>
    <t>Corrección de errores con ESF modificado</t>
  </si>
  <si>
    <t>Párrafo de transición (disposiciones transitorias)</t>
  </si>
  <si>
    <t>Eventos con ajustes</t>
  </si>
  <si>
    <t>Eventos sin ajustes</t>
  </si>
  <si>
    <t>Control interno para los eventos posteriores</t>
  </si>
  <si>
    <t>La tasa media del impuesto a la renta</t>
  </si>
  <si>
    <t>La tasa efectiva del impuesto a la renta</t>
  </si>
  <si>
    <t>El impuesto diferido de la NIIF 16</t>
  </si>
  <si>
    <t>El impuesto diferido de la NIC 16</t>
  </si>
  <si>
    <t>La diferencia temporaria por comenda funcional</t>
  </si>
  <si>
    <t>La matemática del impuesto diferido</t>
  </si>
  <si>
    <t>El método pensante del impuesto diferido</t>
  </si>
  <si>
    <t>Costo de retiro con provisiones</t>
  </si>
  <si>
    <t>Mantenimientos mayores</t>
  </si>
  <si>
    <t>El overhaul</t>
  </si>
  <si>
    <t>La depreciación por componentes</t>
  </si>
  <si>
    <t>El modelo de revaluación</t>
  </si>
  <si>
    <t>Transacciones no monetarias</t>
  </si>
  <si>
    <t>Las ausencias retribuidas no revocables</t>
  </si>
  <si>
    <t>Las ausencias retribuidas revocables</t>
  </si>
  <si>
    <t>El método de la unidad de crédito proyectada</t>
  </si>
  <si>
    <t>Subsidios relacionados con activos fijos</t>
  </si>
  <si>
    <t>Subsidios relacionados con ingresos</t>
  </si>
  <si>
    <t>Subsidios de préstamos a tasas ridiculamente bajas</t>
  </si>
  <si>
    <t>El método del patrimonio</t>
  </si>
  <si>
    <t>El método del resultado</t>
  </si>
  <si>
    <t>Partidas monetarias</t>
  </si>
  <si>
    <t>Partidas no monetarias</t>
  </si>
  <si>
    <t>Inversiones en acciones en dolares</t>
  </si>
  <si>
    <t>Anticipos en dolares</t>
  </si>
  <si>
    <t>La moneda funcional y los estados financieros</t>
  </si>
  <si>
    <t>La conversión de moneda local a moneda funcional</t>
  </si>
  <si>
    <t>La conversión de moneda funcional a moneda de reporte</t>
  </si>
  <si>
    <t>La diferencia de cambio que es costo financiero</t>
  </si>
  <si>
    <t>Un caso de capitalizacion con costo amortizado</t>
  </si>
  <si>
    <t>La diferencia temporaria del costo financiero</t>
  </si>
  <si>
    <t>Una persona con similar relacion afectiva</t>
  </si>
  <si>
    <t>La lista de las revelaciones requeridas</t>
  </si>
  <si>
    <t>Composición del grupo empresarial</t>
  </si>
  <si>
    <t xml:space="preserve"> Situacion de vinculacion y no vinculacion</t>
  </si>
  <si>
    <t>El método de la PP</t>
  </si>
  <si>
    <t>Evaluacion de la participacion directa e indirecta</t>
  </si>
  <si>
    <t>Efectos de las deudas convertibles</t>
  </si>
  <si>
    <t>Interrupcion de l método de la PP</t>
  </si>
  <si>
    <t>Procedimiento del ajuste por inflación</t>
  </si>
  <si>
    <t>Costos de transaccion en emision de Bonos</t>
  </si>
  <si>
    <t>Costos de transaccion en emision de Acciones</t>
  </si>
  <si>
    <t>Acciones que son Deudas</t>
  </si>
  <si>
    <t>Instrumentos financieros hibridos</t>
  </si>
  <si>
    <t>El calculo del promedio ponderado</t>
  </si>
  <si>
    <t>El ajuste retroactivo de las acciones</t>
  </si>
  <si>
    <t>El uso de la UPA para valorizar empresas</t>
  </si>
  <si>
    <t>Comparar EEFF de Buenaventura</t>
  </si>
  <si>
    <t>La WACC y su razonabilidad</t>
  </si>
  <si>
    <t>Como se recupera la inversion en PPE</t>
  </si>
  <si>
    <t>Orden de prelación del deterioro</t>
  </si>
  <si>
    <t>Errores al determinar la UGE</t>
  </si>
  <si>
    <t>Provision por retiro de activos</t>
  </si>
  <si>
    <t>Provision por obligaciones implicitas</t>
  </si>
  <si>
    <t>Provision por contratos onerosos</t>
  </si>
  <si>
    <t>Las provisiones y la estadistica</t>
  </si>
  <si>
    <t>Se pueden revaluar los intangibles</t>
  </si>
  <si>
    <t>La investigación y el desarrollo</t>
  </si>
  <si>
    <t>El valor razonable de los intangibles</t>
  </si>
  <si>
    <t>Vinculo con la NIIF 16</t>
  </si>
  <si>
    <t>Valor razonable de un centro comercial</t>
  </si>
  <si>
    <t>Inversión inmobiliaria parcial y materialidad</t>
  </si>
  <si>
    <t>La tecnica de la adopcion de NIIF</t>
  </si>
  <si>
    <t>Es obligatoria la revaluación?</t>
  </si>
  <si>
    <t>PBA que se liquida en efectivo</t>
  </si>
  <si>
    <t>PBA que se liquida en acciones</t>
  </si>
  <si>
    <t>Pago de Bonos en forma de acciones emitidas</t>
  </si>
  <si>
    <t>La distribución del Pago</t>
  </si>
  <si>
    <t>Una combinación sin acciones</t>
  </si>
  <si>
    <t>La compra de 100% de accones que no es combinación</t>
  </si>
  <si>
    <t>El proceso de compra de empresas</t>
  </si>
  <si>
    <t>Negocio en situacion de operación discontinua</t>
  </si>
  <si>
    <t>La reclasificacion del activo fijo</t>
  </si>
  <si>
    <t>Las condiciones para la reclasificación</t>
  </si>
  <si>
    <t>Listado de costos de exploracion</t>
  </si>
  <si>
    <t>Las actividades de exploracion</t>
  </si>
  <si>
    <t>El activo por exploración y su deterioro</t>
  </si>
  <si>
    <t>Sensibilidad al riesgo de tasa de interes</t>
  </si>
  <si>
    <t>Sensibilidad al riesgo de tasa de cambio</t>
  </si>
  <si>
    <t>Sensibilidad al riesgo de precio</t>
  </si>
  <si>
    <t>Riesgo de crédito</t>
  </si>
  <si>
    <t>Riesgo de liquidez</t>
  </si>
  <si>
    <t>Que es un segmento operativo</t>
  </si>
  <si>
    <t>La nota de ESF de los SO</t>
  </si>
  <si>
    <t>La nota de Resultados de los SO</t>
  </si>
  <si>
    <t>La materialidad según la NIIF 8</t>
  </si>
  <si>
    <t>La baja de activos financieros sin transferencia del derecho de cobro</t>
  </si>
  <si>
    <t>La baja del pasivo financiero por cambio en condiciones contractuales</t>
  </si>
  <si>
    <t>Cambios en condiciones contractuales de activos financieros</t>
  </si>
  <si>
    <t>El modelo del costo amortizado para pasivos</t>
  </si>
  <si>
    <t>Activos financieros medidos a valor razonable con cambios en ORI</t>
  </si>
  <si>
    <t>Inducción a los derivados financieros</t>
  </si>
  <si>
    <t>Inducción a la contabilidad de coberturas</t>
  </si>
  <si>
    <t>Cuando una controladora no debe consolidar</t>
  </si>
  <si>
    <t>Eliminacion de la inversión en subdiaria creada</t>
  </si>
  <si>
    <t>Eliminacion de la inversión en subdiaria adquirida</t>
  </si>
  <si>
    <t>Eliminacion de ganancia incorporada a un activo adquirido a relacionada</t>
  </si>
  <si>
    <t>Eliminacion de contrato de arrendamiento entre relacionadas</t>
  </si>
  <si>
    <t>Contabilidad de negocios conjuntos</t>
  </si>
  <si>
    <t>Contabilidad de operaciones conjuntas con contabilidad independiente</t>
  </si>
  <si>
    <t>Contabilidad de operaciones conjuntas sin contabilidad independiente</t>
  </si>
  <si>
    <t>Evaluación de la existencia de un negocio conjunto</t>
  </si>
  <si>
    <t>Participación de mas del 20% que no otorga influencia significativa</t>
  </si>
  <si>
    <t>Participación de menos del 20% que otorga influencia significativa</t>
  </si>
  <si>
    <t>Participación de mas del 50% que no otorga control</t>
  </si>
  <si>
    <t>Participación de menos del 50% que otorga control</t>
  </si>
  <si>
    <t>Caso de medición con el enfoque de mercado</t>
  </si>
  <si>
    <t>Caso de medición con el enfoque de costo</t>
  </si>
  <si>
    <t>Caso de medición con el enfoque de ingresos</t>
  </si>
  <si>
    <t>Un caso de venta de autos</t>
  </si>
  <si>
    <t>Un caso de venta de construccion</t>
  </si>
  <si>
    <t>Un caso de venta de ventas a supermercados</t>
  </si>
  <si>
    <t>Venta sin entrega (bill and hold)</t>
  </si>
  <si>
    <t>Caso clasico de arrendamiento</t>
  </si>
  <si>
    <t>Acerca del plazo del contrato</t>
  </si>
  <si>
    <t>Arrendamiento financiero cuando el arrendador es el fabricante</t>
  </si>
  <si>
    <t>Cambio en condiciones contractuales (reduccion)</t>
  </si>
  <si>
    <t>Contrato con pagos que se ajustan por inflacion</t>
  </si>
  <si>
    <t>La nueva presentacion del ER</t>
  </si>
  <si>
    <t>La medición del desempeño definida por la gerencia</t>
  </si>
  <si>
    <t>La administración del capital financiero</t>
  </si>
  <si>
    <t>El pasivo de corto plazo, los covenants y los eventos posteriores</t>
  </si>
  <si>
    <t>El costo amortizado y el corto plazo</t>
  </si>
  <si>
    <t>OD</t>
  </si>
  <si>
    <t>NORMA</t>
  </si>
  <si>
    <t>Tasa impositiva</t>
  </si>
  <si>
    <t>MAQUINARIA ADQUIRIDA EN LEASING</t>
  </si>
  <si>
    <t>COSTO</t>
  </si>
  <si>
    <t>El activo se depreciará en función de su vida útil</t>
  </si>
  <si>
    <t>TRATAMIENTO CONTABLE = NIC 16</t>
  </si>
  <si>
    <t>El activo se depreciará en el plazo del contrato</t>
  </si>
  <si>
    <t>PLAZO DEL CONTRATO EN AÑOS</t>
  </si>
  <si>
    <t>TRATAMIENTO TRIBUTARIO PERUANA</t>
  </si>
  <si>
    <t xml:space="preserve">Vida util en años = </t>
  </si>
  <si>
    <t>1 METODO: EL BALANCE (DE LOS GURUS)</t>
  </si>
  <si>
    <t>VALOR EN LIBROS</t>
  </si>
  <si>
    <t>BASE FISCAL</t>
  </si>
  <si>
    <t>D. TEMPORARIA</t>
  </si>
  <si>
    <t>VL &gt; BT =&gt; PASIVO IRD</t>
  </si>
  <si>
    <t>PASIVO IRD</t>
  </si>
  <si>
    <t>Registros contable:</t>
  </si>
  <si>
    <t>Pasivo IRD</t>
  </si>
  <si>
    <t>IRD en resultados</t>
  </si>
  <si>
    <t>D</t>
  </si>
  <si>
    <t>H</t>
  </si>
  <si>
    <t>Saldo</t>
  </si>
  <si>
    <t>Variaciones</t>
  </si>
  <si>
    <t>2 METODO: EL METODO GARECA</t>
  </si>
  <si>
    <t>CONCILIACION TRIBUTARIA</t>
  </si>
  <si>
    <t>UTILIDAD CONTABLE</t>
  </si>
  <si>
    <t>UTILIDAD TRIBUTARIA</t>
  </si>
  <si>
    <t>(+) Deprec NIC 16</t>
  </si>
  <si>
    <t>(-) Deprec TAX</t>
  </si>
  <si>
    <t>IMP POR PAGAR</t>
  </si>
  <si>
    <t>Gasto IR</t>
  </si>
  <si>
    <t>Imp por pagar</t>
  </si>
  <si>
    <t>ESTADO DE RESULTADOS</t>
  </si>
  <si>
    <t>VENTAAS</t>
  </si>
  <si>
    <t>COSTO DE VENTAS</t>
  </si>
  <si>
    <t>UTILIDAD BRUTA</t>
  </si>
  <si>
    <t>:</t>
  </si>
  <si>
    <t>UTILIDAD ANTES DE IMP</t>
  </si>
  <si>
    <t>IMPUESTO R.C.</t>
  </si>
  <si>
    <t>IMPUESTO R.D.</t>
  </si>
  <si>
    <t>UTILIDAD NETA</t>
  </si>
  <si>
    <t>COMO EL AMOR DE TU EX</t>
  </si>
  <si>
    <t>CONTACTO</t>
  </si>
  <si>
    <t>MISS YESICA ESTRADA</t>
  </si>
  <si>
    <t>+51 940 299 626</t>
  </si>
  <si>
    <t>wa.link/hc29do</t>
  </si>
  <si>
    <t>INSTRUMENTOS FINANCIEROS : REVELACIONES</t>
  </si>
  <si>
    <t>RIESGO DE CREDITO</t>
  </si>
  <si>
    <t>QUE RIESGOS LE PREOCUPA A LA NIIF 7?</t>
  </si>
  <si>
    <t>RIESGO DE LIQUIDEZ</t>
  </si>
  <si>
    <t>RIESGO DE MERCADO</t>
  </si>
  <si>
    <t>Riesgo de precio</t>
  </si>
  <si>
    <t>Riesgo de tasa de interés</t>
  </si>
  <si>
    <t>Riesgo de tasa de cambio</t>
  </si>
  <si>
    <t>Riesgo de no cobrar los A.F.</t>
  </si>
  <si>
    <t>Efectivo en el banco</t>
  </si>
  <si>
    <t>Cuentas por cobrar</t>
  </si>
  <si>
    <t>Bonos</t>
  </si>
  <si>
    <t>Préstamos por cobrar</t>
  </si>
  <si>
    <t>Depositos a plazo fijo</t>
  </si>
  <si>
    <t>Maximo exposición al riesgo</t>
  </si>
  <si>
    <t>¿COMO SE GESTIONA EL RIESGO?</t>
  </si>
  <si>
    <t>WCGW</t>
  </si>
  <si>
    <t>Revista</t>
  </si>
  <si>
    <t>Tktok</t>
  </si>
  <si>
    <t>x</t>
  </si>
  <si>
    <t>Quien debe adoptar las NIIF: El Contador</t>
  </si>
  <si>
    <t>Marco Conceptual</t>
  </si>
  <si>
    <t>NIC 40</t>
  </si>
  <si>
    <t>X</t>
  </si>
  <si>
    <t>ACCIONES QUE SON DEUDA</t>
  </si>
  <si>
    <t xml:space="preserve">NIC 32: </t>
  </si>
  <si>
    <t>INSTRUMENTOS FINANCIEROS</t>
  </si>
  <si>
    <t>INSTRUMENTOS PATRIMONIALES QUE SON PASIVOS FINANCIEROS</t>
  </si>
  <si>
    <t>marco conceptual: sustancia sobre forma</t>
  </si>
  <si>
    <t>¿VAMOS CON LOS NUMEROS?</t>
  </si>
  <si>
    <t>USD</t>
  </si>
  <si>
    <t>Plazo</t>
  </si>
  <si>
    <t>años</t>
  </si>
  <si>
    <t>Dividendos preferentes</t>
  </si>
  <si>
    <t>Aporte (acciones pref)</t>
  </si>
  <si>
    <t>Redimen en 5 años</t>
  </si>
  <si>
    <t>Efectivo</t>
  </si>
  <si>
    <r>
      <rPr>
        <b/>
        <sz val="11"/>
        <color theme="1"/>
        <rFont val="Calibri"/>
        <family val="2"/>
        <scheme val="minor"/>
      </rPr>
      <t xml:space="preserve">BAN BIF </t>
    </r>
    <r>
      <rPr>
        <sz val="11"/>
        <color theme="1"/>
        <rFont val="Calibri"/>
        <family val="2"/>
        <scheme val="minor"/>
      </rPr>
      <t>va a entrar como accionista a la institución</t>
    </r>
  </si>
  <si>
    <t>Prestamos por pagar</t>
  </si>
  <si>
    <t>Gasto financiero</t>
  </si>
  <si>
    <t>Prestamo por pagar</t>
  </si>
  <si>
    <t>IMPUESTOS DIFERIDOS CON LA NIIF 16</t>
  </si>
  <si>
    <t>Para Arrendatarios en Arrendamientos Operativos</t>
  </si>
  <si>
    <t>Tratamiento NIIF</t>
  </si>
  <si>
    <t>Tratamiento TAX</t>
  </si>
  <si>
    <t>Se debe reconocer un activo por derecho de uso</t>
  </si>
  <si>
    <t>Se debe reconocer un pasivo por arrendamiento</t>
  </si>
  <si>
    <t>Al inicio:</t>
  </si>
  <si>
    <t>Posteriormente:</t>
  </si>
  <si>
    <t>El activo se deprecia en el plazo del contrato</t>
  </si>
  <si>
    <t>El pasivo se mide al costo amortizado</t>
  </si>
  <si>
    <t>Los pagos acordados se reconocen como gasto</t>
  </si>
  <si>
    <t>Contrato</t>
  </si>
  <si>
    <t>meses</t>
  </si>
  <si>
    <t>Pago</t>
  </si>
  <si>
    <t>u.m.</t>
  </si>
  <si>
    <t>Tasa incremental</t>
  </si>
  <si>
    <t>mensual</t>
  </si>
  <si>
    <t>Valor presente</t>
  </si>
  <si>
    <t>Paso 1: Calcular el VP de los pagos acordados</t>
  </si>
  <si>
    <t>Paso 2: Registrar un activo y un pasivo</t>
  </si>
  <si>
    <t>ADU</t>
  </si>
  <si>
    <t>Pasivo por arrend</t>
  </si>
  <si>
    <t>Paso 3: El activo se deprecia</t>
  </si>
  <si>
    <t>Depreciación mensual</t>
  </si>
  <si>
    <t>Paso 4: El costo amortizado del pasivo</t>
  </si>
  <si>
    <t>SI</t>
  </si>
  <si>
    <t>GF</t>
  </si>
  <si>
    <t>PAGO</t>
  </si>
  <si>
    <t>SF</t>
  </si>
  <si>
    <t>EFECTOS EN EL RESUTLADO DEL EJERCICIO</t>
  </si>
  <si>
    <t>Depreciación</t>
  </si>
  <si>
    <t>NIIF</t>
  </si>
  <si>
    <t>TAX</t>
  </si>
  <si>
    <t>SUMA</t>
  </si>
  <si>
    <t>METODO DE LOS GURUS</t>
  </si>
  <si>
    <t>Activo DU</t>
  </si>
  <si>
    <t>Dep acum</t>
  </si>
  <si>
    <t>VL ADU</t>
  </si>
  <si>
    <t>Pasivo por Arrd.</t>
  </si>
  <si>
    <t>S.inicial</t>
  </si>
  <si>
    <t>(+) GF</t>
  </si>
  <si>
    <t>(-) Pagos</t>
  </si>
  <si>
    <t>S.Final</t>
  </si>
  <si>
    <t>Pasivo Neto</t>
  </si>
  <si>
    <t>Activo IRD</t>
  </si>
  <si>
    <t>Año 2023</t>
  </si>
  <si>
    <t>Año 2024</t>
  </si>
  <si>
    <t>Año 2025</t>
  </si>
  <si>
    <t>Año 2026</t>
  </si>
  <si>
    <t>Año 2027</t>
  </si>
  <si>
    <t>Año 2028</t>
  </si>
  <si>
    <t>En Rtdos</t>
  </si>
  <si>
    <t>IR Diferido</t>
  </si>
  <si>
    <t>UTILIDAD CONT</t>
  </si>
  <si>
    <t>UTILIDAD TAX</t>
  </si>
  <si>
    <t>CONCILIACION</t>
  </si>
  <si>
    <t>(+) DEPREC</t>
  </si>
  <si>
    <t>(+) GASTO F</t>
  </si>
  <si>
    <t>(-) PAGO</t>
  </si>
  <si>
    <t>IMP X PAGAR</t>
  </si>
  <si>
    <t>Gsto IRC</t>
  </si>
  <si>
    <t>EST. DE RTDOS</t>
  </si>
  <si>
    <t>VENTAS</t>
  </si>
  <si>
    <t>COSTO DE VTAS</t>
  </si>
  <si>
    <t>IMP CORRIENTE</t>
  </si>
  <si>
    <t>IMP DIFERIDO</t>
  </si>
  <si>
    <t>Gasto</t>
  </si>
  <si>
    <t>PARTIDAS MONETARIAS</t>
  </si>
  <si>
    <t>PARTIDAS NO MONETARIAS</t>
  </si>
  <si>
    <t>IFRIC 22</t>
  </si>
  <si>
    <t>MANDATO PARA EL CIERRE CONTABLE</t>
  </si>
  <si>
    <t>MONEDA FUNCIONAL</t>
  </si>
  <si>
    <t>SOL</t>
  </si>
  <si>
    <t>MONEDA EXTRANJERA</t>
  </si>
  <si>
    <t>DÓLAR</t>
  </si>
  <si>
    <t>Factura por cobrar</t>
  </si>
  <si>
    <t>Fecha</t>
  </si>
  <si>
    <t>Equipo de computo</t>
  </si>
  <si>
    <t>Anticipo de clientes</t>
  </si>
  <si>
    <t>Anticipo a proveedores</t>
  </si>
  <si>
    <t>Venta</t>
  </si>
  <si>
    <t>TC Cierre</t>
  </si>
  <si>
    <t>Monet.</t>
  </si>
  <si>
    <t>No Mon</t>
  </si>
  <si>
    <t>TCi</t>
  </si>
  <si>
    <t>S/</t>
  </si>
  <si>
    <t>POR QUE HACEMOS EL AJUSTE DE LA DIFERENCIA DE CAMBIO?</t>
  </si>
  <si>
    <t>Lo hacemos para reflejar la exposición al riesgo que tiene la Empresa</t>
  </si>
  <si>
    <t>CXPAGAR</t>
  </si>
  <si>
    <t>CXCOBRAR</t>
  </si>
  <si>
    <t>CUAL ES EL RIESGO?</t>
  </si>
  <si>
    <t>Riesgo de flujo de caja: tener que sacar mas efectivo en moneda funcional que el recibido</t>
  </si>
  <si>
    <t>Riesgo de flujo de caja: tener que cobrar menos efectivo en moneda funcional que el entregado</t>
  </si>
  <si>
    <t>QUIENES ME EXPONEN AL RIESGO?</t>
  </si>
  <si>
    <t>LUCA PACHIOLI DEL PERU:</t>
  </si>
  <si>
    <t xml:space="preserve">SUELDO DE </t>
  </si>
  <si>
    <t>COMPRA AL CREDITO UNA APPLE MINI</t>
  </si>
  <si>
    <t>USD500</t>
  </si>
  <si>
    <t>TARJETA A 24 MESES</t>
  </si>
  <si>
    <t>PPE-EQUIPOS</t>
  </si>
  <si>
    <t>PNM</t>
  </si>
  <si>
    <t>PM</t>
  </si>
  <si>
    <t>EFECTIVO</t>
  </si>
  <si>
    <t>PRESTAMOS DINERO</t>
  </si>
  <si>
    <t>ANTICIPO DE CLIENTES</t>
  </si>
  <si>
    <t>ANTICIPO A PROVEEDOR</t>
  </si>
  <si>
    <t>TRAMPO SA</t>
  </si>
  <si>
    <t>EMPRESA PERUANA</t>
  </si>
  <si>
    <t>HA CREADO UNA EMPRESA EN ECUADOR (SUBSIDIARIA)</t>
  </si>
  <si>
    <t>PARA LO CUAL HA APORTADO USD1,000,000</t>
  </si>
  <si>
    <t>Inversiones en acciones</t>
  </si>
  <si>
    <t>Ganancia por var TC</t>
  </si>
  <si>
    <t>REVELACIONES SOBRE PARTICIPACIONES EN OTRAS ENTIDADES</t>
  </si>
  <si>
    <t>TRAMPO S.A. ====&gt; XX% DE TOXICA S.A.</t>
  </si>
  <si>
    <t>INVERSION PASIVA</t>
  </si>
  <si>
    <t>(friendzone)</t>
  </si>
  <si>
    <t>NIIF9</t>
  </si>
  <si>
    <t>INVERSION EN ASOCIADA</t>
  </si>
  <si>
    <t>(influencia significativa)</t>
  </si>
  <si>
    <t>INVERSION EN SUBSIDIARIA</t>
  </si>
  <si>
    <t>(control)</t>
  </si>
  <si>
    <t>GOLO S.A.</t>
  </si>
  <si>
    <t>TRAMPO S.A.</t>
  </si>
  <si>
    <t>VICTIMA S.A.</t>
  </si>
  <si>
    <t>(ES UN NEGOCIO CONJUNTO)</t>
  </si>
  <si>
    <t>CLINICA SAC</t>
  </si>
  <si>
    <t>UNIV 1-SAC</t>
  </si>
  <si>
    <t>UNIV 2-SAC</t>
  </si>
  <si>
    <t>No menos del 70%</t>
  </si>
  <si>
    <t>Estatuto</t>
  </si>
  <si>
    <t xml:space="preserve">SMCV </t>
  </si>
  <si>
    <t>CIA DE MINAS BUENAVENTURA SAA</t>
  </si>
  <si>
    <t>SOCIEDAD MINERA CERRO VERDE SA</t>
  </si>
  <si>
    <t>NIC2 INVENTARIOS</t>
  </si>
  <si>
    <t>MEDICION DEL VNR</t>
  </si>
  <si>
    <t>PRODUCTOS TERMINADOS</t>
  </si>
  <si>
    <t>PRODUCTOS EN PROCESO</t>
  </si>
  <si>
    <t>MATERIAS PRIMAS</t>
  </si>
  <si>
    <t>SUMINISTROS</t>
  </si>
  <si>
    <t>STOCK DE P.T.</t>
  </si>
  <si>
    <t>PT 001</t>
  </si>
  <si>
    <t>PT 002</t>
  </si>
  <si>
    <t>PT 003</t>
  </si>
  <si>
    <t>PT 004</t>
  </si>
  <si>
    <t>PT 005</t>
  </si>
  <si>
    <t>PT 006</t>
  </si>
  <si>
    <t>Q</t>
  </si>
  <si>
    <t>CU</t>
  </si>
  <si>
    <t>CT</t>
  </si>
  <si>
    <t>nic 41</t>
  </si>
  <si>
    <t>agricultroa</t>
  </si>
  <si>
    <t>31.12.2024</t>
  </si>
  <si>
    <t>VNR</t>
  </si>
  <si>
    <t>Precio</t>
  </si>
  <si>
    <t>Estimado</t>
  </si>
  <si>
    <t>Costos</t>
  </si>
  <si>
    <t>Term Prod</t>
  </si>
  <si>
    <t>(-)Costos</t>
  </si>
  <si>
    <t>Neces.</t>
  </si>
  <si>
    <t>Ejec la Vta</t>
  </si>
  <si>
    <t>AL 31 DE DICIEMBRE 2024</t>
  </si>
  <si>
    <t>Incrementales</t>
  </si>
  <si>
    <t>No incrementales</t>
  </si>
  <si>
    <t>transacciones: vender</t>
  </si>
  <si>
    <t>PEOCEDIMIENTO PARA CALCULAR EL VNR DE LOS PT</t>
  </si>
  <si>
    <t>1.-</t>
  </si>
  <si>
    <t>2.-</t>
  </si>
  <si>
    <t>3.-</t>
  </si>
  <si>
    <t>MEDICION DEL VALOR RAZONABLE</t>
  </si>
  <si>
    <r>
      <rPr>
        <b/>
        <sz val="14"/>
        <color theme="1"/>
        <rFont val="Calibri"/>
        <family val="2"/>
        <scheme val="minor"/>
      </rPr>
      <t xml:space="preserve">OBLIGA </t>
    </r>
    <r>
      <rPr>
        <sz val="14"/>
        <color theme="1"/>
        <rFont val="Calibri"/>
        <family val="2"/>
        <scheme val="minor"/>
      </rPr>
      <t>medir los Derivados Financieros a VR</t>
    </r>
  </si>
  <si>
    <r>
      <rPr>
        <b/>
        <sz val="14"/>
        <color theme="1"/>
        <rFont val="Calibri"/>
        <family val="2"/>
        <scheme val="minor"/>
      </rPr>
      <t xml:space="preserve">PERMITE </t>
    </r>
    <r>
      <rPr>
        <sz val="14"/>
        <color theme="1"/>
        <rFont val="Calibri"/>
        <family val="2"/>
        <scheme val="minor"/>
      </rPr>
      <t>medir los elementos de PPE a VR</t>
    </r>
  </si>
  <si>
    <t>INVENTARIOS</t>
  </si>
  <si>
    <t>A) PERMITE</t>
  </si>
  <si>
    <t>B) EXIGE</t>
  </si>
  <si>
    <t>C) N/A</t>
  </si>
  <si>
    <t>EFE</t>
  </si>
  <si>
    <t>Los ingresos por medición de VR de PPE son:</t>
  </si>
  <si>
    <t>c) Act de Financiamiento</t>
  </si>
  <si>
    <t>b) Act de Operación</t>
  </si>
  <si>
    <t>a) Act de Inversión</t>
  </si>
  <si>
    <t>d) N/A</t>
  </si>
  <si>
    <t>DEDUDAS FINANCIERAS</t>
  </si>
  <si>
    <t>PATRIMONIO</t>
  </si>
  <si>
    <t>ACTIVOS DE LD</t>
  </si>
  <si>
    <t>ACTIVOS OPERATIVOS</t>
  </si>
  <si>
    <t>PASIVOS OPERATIVOS</t>
  </si>
  <si>
    <t>financiamiento</t>
  </si>
  <si>
    <t>inversión</t>
  </si>
  <si>
    <t>operación</t>
  </si>
  <si>
    <t>un nuevo accionista, aporta un terreno USD3M,:</t>
  </si>
  <si>
    <t>IMP RENTA</t>
  </si>
  <si>
    <t>INVERSIONES INMOBILIARIA</t>
  </si>
  <si>
    <t>COSTO INICIAL</t>
  </si>
  <si>
    <t>VALOR RAZON</t>
  </si>
  <si>
    <t>VL</t>
  </si>
  <si>
    <t>BF</t>
  </si>
  <si>
    <t>DT</t>
  </si>
  <si>
    <t>IRD</t>
  </si>
  <si>
    <t>a) Activo</t>
  </si>
  <si>
    <t>b) Pasivo</t>
  </si>
  <si>
    <t>c) No genera ID por que el abogado me dijo</t>
  </si>
  <si>
    <t>Inversion inmbol</t>
  </si>
  <si>
    <t>Ganancia por med VR</t>
  </si>
  <si>
    <t>PPE</t>
  </si>
  <si>
    <t>TERRENO</t>
  </si>
  <si>
    <t>VR</t>
  </si>
  <si>
    <t>PATRIMONIO-ORI</t>
  </si>
  <si>
    <t>CAPITAL SOCIAL</t>
  </si>
  <si>
    <t>A) OPINION LIMPIA</t>
  </si>
  <si>
    <t>B) OPINION CALIFICADA</t>
  </si>
  <si>
    <t>NUEVO DIPLOMADO NIFI 100% PRACTICO</t>
  </si>
  <si>
    <t>COMENZAMOS EL 05 DE FEBRERO</t>
  </si>
  <si>
    <t>TEMA DE HOY: EL IMPUESTO DIFERIDO</t>
  </si>
  <si>
    <t>CUANDO SE RECONOCEN LOS INGRESOS</t>
  </si>
  <si>
    <t>POR VENTA DE BIENES A LARGO PLAZO?</t>
  </si>
  <si>
    <t>CUANDO SE TRANSFIERE EL CONTROL DEL ACTIVO</t>
  </si>
  <si>
    <t>LEY IMP RTA</t>
  </si>
  <si>
    <t>Año 1</t>
  </si>
  <si>
    <t>Año 2</t>
  </si>
  <si>
    <t>Año 3</t>
  </si>
  <si>
    <t>Año 4</t>
  </si>
  <si>
    <t>Año 5</t>
  </si>
  <si>
    <t>Año 6</t>
  </si>
  <si>
    <t>Año 7</t>
  </si>
  <si>
    <t>Costo Vta</t>
  </si>
  <si>
    <t>Margen</t>
  </si>
  <si>
    <t>A MEDIDA DE QUE SE HAGAN EXIGIBLES LOS COBROS</t>
  </si>
  <si>
    <t>Impuesto</t>
  </si>
  <si>
    <t>Estado de rtdos</t>
  </si>
  <si>
    <t>Corriente</t>
  </si>
  <si>
    <t>Utilidad</t>
  </si>
  <si>
    <t>Impuesto Rta:</t>
  </si>
  <si>
    <t>Diferido</t>
  </si>
  <si>
    <t xml:space="preserve">Ganancia </t>
  </si>
  <si>
    <t>Diferida</t>
  </si>
  <si>
    <t>Año 0</t>
  </si>
  <si>
    <t>PIRD</t>
  </si>
  <si>
    <t xml:space="preserve">NIC 12 </t>
  </si>
  <si>
    <t>CLASE GRATIS DE NIC 12 IMPUESTO A LA RENTA</t>
  </si>
  <si>
    <t>NI TU EX HIZO TANTO POR TI</t>
  </si>
  <si>
    <t>ESF</t>
  </si>
  <si>
    <t>PASIVOS</t>
  </si>
  <si>
    <t>VACACIONES POR PAGAR AL</t>
  </si>
  <si>
    <t>CONTADOR</t>
  </si>
  <si>
    <t>(Costo de compra =1,000,000)</t>
  </si>
  <si>
    <t>TERRENO/EDIFICIO, REVAL.</t>
  </si>
  <si>
    <t>Se pagará = Se liquidará en el futuro</t>
  </si>
  <si>
    <t>Se recupera la inversión</t>
  </si>
  <si>
    <t>TASA</t>
  </si>
  <si>
    <t>SUPUESTOS</t>
  </si>
  <si>
    <t>EL ACTIVO SE VENDE EN EL 2027</t>
  </si>
  <si>
    <t>EL PASIVO SE PAGA EN EL 2027</t>
  </si>
  <si>
    <t>VENTA</t>
  </si>
  <si>
    <t>COSTO DE VENTA</t>
  </si>
  <si>
    <t>IMPUESTO POR PAGAR</t>
  </si>
  <si>
    <t>MAYOR IMPUESTO EN EL FUTURO</t>
  </si>
  <si>
    <t>EL PASIVO LABORAL SE PAGA EN EL 2027</t>
  </si>
  <si>
    <t>(-) VACACIONES DEL CONTADOR</t>
  </si>
  <si>
    <t>Ahorro</t>
  </si>
  <si>
    <t>Tributario</t>
  </si>
  <si>
    <t>ACTIVO -PPE</t>
  </si>
  <si>
    <t>VACAC POR PAGAR</t>
  </si>
  <si>
    <t>COSTO:</t>
  </si>
  <si>
    <t>VU-NIC16</t>
  </si>
  <si>
    <t>AÑOS</t>
  </si>
  <si>
    <t>VU-TAX</t>
  </si>
  <si>
    <t>Dpe Anual</t>
  </si>
  <si>
    <t>UTILIDAD</t>
  </si>
  <si>
    <t>UAI</t>
  </si>
  <si>
    <t>Año 8</t>
  </si>
  <si>
    <t>Año 9</t>
  </si>
  <si>
    <t>U.TAX</t>
  </si>
  <si>
    <t>(+) Dep NIC16</t>
  </si>
  <si>
    <t>(-) Dep TAX</t>
  </si>
  <si>
    <t>IMP x PAGAR</t>
  </si>
  <si>
    <t>METODO DE LOS GURUS (METODO DEL BALANCE)</t>
  </si>
  <si>
    <t>V.LIBROS</t>
  </si>
  <si>
    <t>DIF TEMP.</t>
  </si>
  <si>
    <t>VAR P.I.D.</t>
  </si>
  <si>
    <t>GASTO DE VENTA</t>
  </si>
  <si>
    <t>GASTO DE ADMN</t>
  </si>
  <si>
    <t>UTILIDAD A.I.</t>
  </si>
  <si>
    <t xml:space="preserve">  CORRIENTE</t>
  </si>
  <si>
    <t xml:space="preserve">   DIFERIDO</t>
  </si>
  <si>
    <t>IMP RTA</t>
  </si>
  <si>
    <t>U.NETA</t>
  </si>
  <si>
    <t>Compra inventarios:</t>
  </si>
  <si>
    <t>Inventarios</t>
  </si>
  <si>
    <t>Costo de venta</t>
  </si>
  <si>
    <t>Deterio inventarios</t>
  </si>
  <si>
    <t>Inventario</t>
  </si>
  <si>
    <t>Deterioro acum</t>
  </si>
  <si>
    <t>NIC2</t>
  </si>
  <si>
    <t>AIRD</t>
  </si>
  <si>
    <t>Estimación</t>
  </si>
  <si>
    <t>IRD en resultado</t>
  </si>
  <si>
    <t>gurus</t>
  </si>
  <si>
    <t>COSTO  TERRENO</t>
  </si>
  <si>
    <t>ORI- EXCD DE REVALUACION</t>
  </si>
  <si>
    <t>VL &gt; BF =&gt; PASIVO IRD</t>
  </si>
  <si>
    <t>IMPUESTO A LA RENTA EN MEXICO</t>
  </si>
  <si>
    <t>a) se cobra</t>
  </si>
  <si>
    <t>b) se emite la factura</t>
  </si>
  <si>
    <t>c) se entrega el bien</t>
  </si>
  <si>
    <t>lo que ocurra primero</t>
  </si>
  <si>
    <t>Los ingresos se computan cuando</t>
  </si>
  <si>
    <t>Ventas</t>
  </si>
  <si>
    <t>Costo de ventaas</t>
  </si>
  <si>
    <t>Margen bruto</t>
  </si>
  <si>
    <t>Impuesto a la renta</t>
  </si>
  <si>
    <t>+51 959 818 593</t>
  </si>
  <si>
    <t>APRENDAMOS LA</t>
  </si>
  <si>
    <t>IMPUESTO A LAS GANANCIAS</t>
  </si>
  <si>
    <t>LA NORMA MAS</t>
  </si>
  <si>
    <t>FACIL DE TODAS</t>
  </si>
  <si>
    <t>DIPLOMADO NIIF 101% PRACTICO- INICIA 05 FEBRERO</t>
  </si>
  <si>
    <t>UTILIDAD ANTES DE IMPUESTOS</t>
  </si>
  <si>
    <t>XXXXXXX</t>
  </si>
  <si>
    <t>CORRIENTE</t>
  </si>
  <si>
    <t>DIFERIDO</t>
  </si>
  <si>
    <t>EFECTO COMBINADO = IMP A LA RENTA</t>
  </si>
  <si>
    <t>IMPUESTO:</t>
  </si>
  <si>
    <t>(+/-) DIFERENCIAS TEMPORALES</t>
  </si>
  <si>
    <t>(+/-) DIFERENCIAS PERMANENTES</t>
  </si>
  <si>
    <t>IMPTO CORRIENTE</t>
  </si>
  <si>
    <t>IMPTO DIFERIDO</t>
  </si>
  <si>
    <t>TASA EFECTIVA DEL IMPUESTO A RTA</t>
  </si>
  <si>
    <t>Tasa legal</t>
  </si>
  <si>
    <t>Efecto de DP</t>
  </si>
  <si>
    <t>Tasa Efectiva</t>
  </si>
  <si>
    <t>C1</t>
  </si>
  <si>
    <t>C2</t>
  </si>
  <si>
    <t>C3</t>
  </si>
  <si>
    <t>INVENTARIOS:</t>
  </si>
  <si>
    <t>V.L- =</t>
  </si>
  <si>
    <t>COSTO - DETERIORO ACUMULADO</t>
  </si>
  <si>
    <t>B.F. =</t>
  </si>
  <si>
    <t xml:space="preserve">COSTO </t>
  </si>
  <si>
    <t>(a)</t>
  </si>
  <si>
    <t>(b)</t>
  </si>
  <si>
    <t>(a-b)</t>
  </si>
  <si>
    <t>D.T. =</t>
  </si>
  <si>
    <t>DETERIORO ACUMULADO (CUENTA 29)</t>
  </si>
  <si>
    <t>Deterioro acumulado (Cuenta 29 para los peruvianos)</t>
  </si>
  <si>
    <t>Saldo inicial</t>
  </si>
  <si>
    <t>Saldo final</t>
  </si>
  <si>
    <t>(+) Deterioros del año</t>
  </si>
  <si>
    <t>IRD del año</t>
  </si>
  <si>
    <t>Inversion en acciones</t>
  </si>
  <si>
    <t>Ganancia por VR</t>
  </si>
  <si>
    <t>Venta de inversión</t>
  </si>
  <si>
    <t>Costo de enajneación</t>
  </si>
  <si>
    <t>C Venta</t>
  </si>
  <si>
    <t>utilidad</t>
  </si>
  <si>
    <t>impuesto</t>
  </si>
  <si>
    <t>Gasto imp renta</t>
  </si>
  <si>
    <t>Impuesto por pagar</t>
  </si>
  <si>
    <t>Ganancia VR</t>
  </si>
  <si>
    <t>Venta de Inv</t>
  </si>
  <si>
    <t>Imp Rta</t>
  </si>
  <si>
    <t>U Neta</t>
  </si>
  <si>
    <t>AÑO 2024</t>
  </si>
  <si>
    <t>AÑO 2025</t>
  </si>
  <si>
    <t>AÑO 2026</t>
  </si>
  <si>
    <t>AÑO 2027</t>
  </si>
  <si>
    <t>INV EN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</si>
</sst>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.000"/>
    <numFmt numFmtId="167" formatCode="0.000%"/>
  </numFmts>
  <fonts count="5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65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5"/>
      <color rgb="FF002060"/>
      <name val="Calibri"/>
      <family val="2"/>
      <scheme val="minor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79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1" fillId="3" borderId="0" xfId="0" applyFont="1" applyFill="1"/>
    <xf numFmtId="0" fontId="0" fillId="5" borderId="0" xfId="0" applyFill="1"/>
    <xf numFmtId="0" fontId="5" fillId="0" borderId="0" xfId="0" applyFont="1"/>
    <xf numFmtId="0" fontId="3" fillId="5" borderId="0" xfId="0" applyFont="1" applyFill="1"/>
    <xf numFmtId="0" fontId="5" fillId="3" borderId="0" xfId="0" applyFont="1" applyFill="1"/>
    <xf numFmtId="0" fontId="2" fillId="3" borderId="0" xfId="0" applyFont="1" applyFill="1"/>
    <xf numFmtId="0" fontId="2" fillId="7" borderId="0" xfId="0" applyFont="1" applyFill="1"/>
    <xf numFmtId="0" fontId="0" fillId="7" borderId="0" xfId="0" applyFill="1"/>
    <xf numFmtId="0" fontId="3" fillId="8" borderId="0" xfId="0" applyFont="1" applyFill="1"/>
    <xf numFmtId="0" fontId="2" fillId="9" borderId="1" xfId="0" applyFont="1" applyFill="1" applyBorder="1"/>
    <xf numFmtId="0" fontId="0" fillId="9" borderId="2" xfId="0" applyFill="1" applyBorder="1"/>
    <xf numFmtId="0" fontId="0" fillId="9" borderId="4" xfId="0" applyFill="1" applyBorder="1"/>
    <xf numFmtId="0" fontId="0" fillId="9" borderId="5" xfId="0" applyFill="1" applyBorder="1"/>
    <xf numFmtId="0" fontId="2" fillId="10" borderId="1" xfId="0" applyFont="1" applyFill="1" applyBorder="1"/>
    <xf numFmtId="0" fontId="0" fillId="10" borderId="2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1" borderId="1" xfId="0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7" xfId="0" applyFill="1" applyBorder="1"/>
    <xf numFmtId="0" fontId="0" fillId="11" borderId="0" xfId="0" applyFill="1"/>
    <xf numFmtId="3" fontId="0" fillId="11" borderId="8" xfId="0" applyNumberFormat="1" applyFill="1" applyBorder="1"/>
    <xf numFmtId="0" fontId="0" fillId="11" borderId="4" xfId="0" applyFill="1" applyBorder="1"/>
    <xf numFmtId="0" fontId="0" fillId="11" borderId="5" xfId="0" applyFill="1" applyBorder="1"/>
    <xf numFmtId="3" fontId="0" fillId="11" borderId="6" xfId="0" applyNumberFormat="1" applyFill="1" applyBorder="1"/>
    <xf numFmtId="0" fontId="0" fillId="11" borderId="9" xfId="0" applyFill="1" applyBorder="1"/>
    <xf numFmtId="0" fontId="0" fillId="11" borderId="10" xfId="0" applyFill="1" applyBorder="1"/>
    <xf numFmtId="10" fontId="0" fillId="11" borderId="11" xfId="0" applyNumberFormat="1" applyFill="1" applyBorder="1"/>
    <xf numFmtId="0" fontId="0" fillId="10" borderId="0" xfId="0" applyFill="1"/>
    <xf numFmtId="0" fontId="0" fillId="10" borderId="7" xfId="0" applyFill="1" applyBorder="1"/>
    <xf numFmtId="0" fontId="2" fillId="6" borderId="12" xfId="0" applyFont="1" applyFill="1" applyBorder="1"/>
    <xf numFmtId="0" fontId="0" fillId="6" borderId="13" xfId="0" applyFill="1" applyBorder="1"/>
    <xf numFmtId="0" fontId="2" fillId="0" borderId="0" xfId="0" applyFont="1" applyAlignment="1">
      <alignment horizontal="center"/>
    </xf>
    <xf numFmtId="0" fontId="0" fillId="10" borderId="15" xfId="0" applyFill="1" applyBorder="1"/>
    <xf numFmtId="164" fontId="9" fillId="10" borderId="16" xfId="1" applyNumberFormat="1" applyFont="1" applyFill="1" applyBorder="1"/>
    <xf numFmtId="164" fontId="9" fillId="10" borderId="17" xfId="1" applyNumberFormat="1" applyFont="1" applyFill="1" applyBorder="1"/>
    <xf numFmtId="164" fontId="9" fillId="12" borderId="15" xfId="1" applyNumberFormat="1" applyFont="1" applyFill="1" applyBorder="1"/>
    <xf numFmtId="164" fontId="9" fillId="12" borderId="17" xfId="1" applyNumberFormat="1" applyFont="1" applyFill="1" applyBorder="1"/>
    <xf numFmtId="164" fontId="0" fillId="0" borderId="0" xfId="0" applyNumberFormat="1"/>
    <xf numFmtId="164" fontId="9" fillId="0" borderId="0" xfId="0" applyNumberFormat="1" applyFont="1"/>
    <xf numFmtId="0" fontId="3" fillId="13" borderId="12" xfId="0" applyFont="1" applyFill="1" applyBorder="1"/>
    <xf numFmtId="0" fontId="3" fillId="13" borderId="13" xfId="0" applyFont="1" applyFill="1" applyBorder="1"/>
    <xf numFmtId="0" fontId="1" fillId="13" borderId="1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3" xfId="0" applyFont="1" applyFill="1" applyBorder="1"/>
    <xf numFmtId="164" fontId="10" fillId="7" borderId="13" xfId="0" applyNumberFormat="1" applyFont="1" applyFill="1" applyBorder="1"/>
    <xf numFmtId="164" fontId="10" fillId="7" borderId="14" xfId="0" applyNumberFormat="1" applyFont="1" applyFill="1" applyBorder="1"/>
    <xf numFmtId="164" fontId="9" fillId="11" borderId="0" xfId="0" applyNumberFormat="1" applyFont="1" applyFill="1"/>
    <xf numFmtId="164" fontId="10" fillId="0" borderId="0" xfId="0" applyNumberFormat="1" applyFont="1"/>
    <xf numFmtId="0" fontId="9" fillId="0" borderId="0" xfId="0" applyFont="1"/>
    <xf numFmtId="0" fontId="2" fillId="14" borderId="12" xfId="0" applyFont="1" applyFill="1" applyBorder="1"/>
    <xf numFmtId="0" fontId="0" fillId="14" borderId="13" xfId="0" applyFill="1" applyBorder="1"/>
    <xf numFmtId="0" fontId="0" fillId="14" borderId="14" xfId="0" applyFill="1" applyBorder="1"/>
    <xf numFmtId="0" fontId="11" fillId="8" borderId="0" xfId="0" applyFont="1" applyFill="1"/>
    <xf numFmtId="0" fontId="2" fillId="6" borderId="13" xfId="0" applyFont="1" applyFill="1" applyBorder="1"/>
    <xf numFmtId="164" fontId="10" fillId="6" borderId="13" xfId="0" applyNumberFormat="1" applyFont="1" applyFill="1" applyBorder="1"/>
    <xf numFmtId="0" fontId="2" fillId="11" borderId="0" xfId="0" applyFont="1" applyFill="1"/>
    <xf numFmtId="164" fontId="10" fillId="11" borderId="0" xfId="0" applyNumberFormat="1" applyFont="1" applyFill="1"/>
    <xf numFmtId="164" fontId="10" fillId="14" borderId="13" xfId="0" applyNumberFormat="1" applyFont="1" applyFill="1" applyBorder="1"/>
    <xf numFmtId="164" fontId="10" fillId="14" borderId="14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9" borderId="18" xfId="0" applyFill="1" applyBorder="1"/>
    <xf numFmtId="0" fontId="0" fillId="9" borderId="19" xfId="0" applyFill="1" applyBorder="1"/>
    <xf numFmtId="164" fontId="0" fillId="9" borderId="19" xfId="0" applyNumberFormat="1" applyFill="1" applyBorder="1"/>
    <xf numFmtId="0" fontId="0" fillId="9" borderId="20" xfId="0" applyFill="1" applyBorder="1"/>
    <xf numFmtId="0" fontId="0" fillId="9" borderId="21" xfId="0" applyFill="1" applyBorder="1"/>
    <xf numFmtId="0" fontId="0" fillId="9" borderId="22" xfId="0" applyFill="1" applyBorder="1"/>
    <xf numFmtId="164" fontId="0" fillId="9" borderId="23" xfId="0" applyNumberFormat="1" applyFill="1" applyBorder="1"/>
    <xf numFmtId="0" fontId="0" fillId="9" borderId="12" xfId="0" applyFill="1" applyBorder="1"/>
    <xf numFmtId="0" fontId="0" fillId="9" borderId="13" xfId="0" applyFill="1" applyBorder="1"/>
    <xf numFmtId="164" fontId="10" fillId="9" borderId="13" xfId="0" applyNumberFormat="1" applyFont="1" applyFill="1" applyBorder="1"/>
    <xf numFmtId="164" fontId="10" fillId="9" borderId="14" xfId="0" applyNumberFormat="1" applyFont="1" applyFill="1" applyBorder="1"/>
    <xf numFmtId="0" fontId="2" fillId="0" borderId="18" xfId="0" applyFont="1" applyBorder="1"/>
    <xf numFmtId="0" fontId="0" fillId="0" borderId="24" xfId="0" applyBorder="1"/>
    <xf numFmtId="0" fontId="0" fillId="0" borderId="25" xfId="0" applyBorder="1"/>
    <xf numFmtId="164" fontId="9" fillId="0" borderId="25" xfId="0" applyNumberFormat="1" applyFont="1" applyBorder="1"/>
    <xf numFmtId="9" fontId="2" fillId="0" borderId="0" xfId="0" applyNumberFormat="1" applyFont="1"/>
    <xf numFmtId="3" fontId="12" fillId="0" borderId="0" xfId="0" applyNumberFormat="1" applyFont="1"/>
    <xf numFmtId="3" fontId="12" fillId="0" borderId="25" xfId="0" applyNumberFormat="1" applyFont="1" applyBorder="1"/>
    <xf numFmtId="0" fontId="14" fillId="15" borderId="0" xfId="0" applyFont="1" applyFill="1"/>
    <xf numFmtId="0" fontId="15" fillId="15" borderId="0" xfId="0" applyFont="1" applyFill="1"/>
    <xf numFmtId="0" fontId="15" fillId="15" borderId="0" xfId="0" quotePrefix="1" applyFont="1" applyFill="1"/>
    <xf numFmtId="0" fontId="17" fillId="3" borderId="0" xfId="0" applyFont="1" applyFill="1"/>
    <xf numFmtId="0" fontId="17" fillId="13" borderId="0" xfId="0" applyFont="1" applyFill="1"/>
    <xf numFmtId="0" fontId="0" fillId="16" borderId="24" xfId="0" applyFill="1" applyBorder="1"/>
    <xf numFmtId="0" fontId="0" fillId="16" borderId="0" xfId="0" applyFill="1"/>
    <xf numFmtId="0" fontId="0" fillId="16" borderId="25" xfId="0" applyFill="1" applyBorder="1"/>
    <xf numFmtId="0" fontId="0" fillId="16" borderId="21" xfId="0" applyFill="1" applyBorder="1"/>
    <xf numFmtId="0" fontId="0" fillId="16" borderId="22" xfId="0" applyFill="1" applyBorder="1"/>
    <xf numFmtId="0" fontId="0" fillId="16" borderId="23" xfId="0" applyFill="1" applyBorder="1"/>
    <xf numFmtId="0" fontId="2" fillId="16" borderId="0" xfId="0" applyFont="1" applyFill="1"/>
    <xf numFmtId="0" fontId="0" fillId="14" borderId="0" xfId="0" applyFill="1"/>
    <xf numFmtId="0" fontId="13" fillId="16" borderId="0" xfId="0" applyFont="1" applyFill="1"/>
    <xf numFmtId="0" fontId="2" fillId="10" borderId="18" xfId="0" applyFont="1" applyFill="1" applyBorder="1"/>
    <xf numFmtId="0" fontId="0" fillId="10" borderId="19" xfId="0" applyFill="1" applyBorder="1"/>
    <xf numFmtId="0" fontId="0" fillId="10" borderId="20" xfId="0" applyFill="1" applyBorder="1"/>
    <xf numFmtId="0" fontId="13" fillId="16" borderId="0" xfId="0" applyFont="1" applyFill="1" applyAlignment="1">
      <alignment horizontal="left" indent="1"/>
    </xf>
    <xf numFmtId="3" fontId="0" fillId="16" borderId="25" xfId="0" applyNumberFormat="1" applyFill="1" applyBorder="1"/>
    <xf numFmtId="0" fontId="18" fillId="3" borderId="0" xfId="0" applyFont="1" applyFill="1"/>
    <xf numFmtId="0" fontId="2" fillId="16" borderId="24" xfId="0" applyFont="1" applyFill="1" applyBorder="1"/>
    <xf numFmtId="0" fontId="2" fillId="10" borderId="24" xfId="0" applyFont="1" applyFill="1" applyBorder="1"/>
    <xf numFmtId="0" fontId="19" fillId="10" borderId="0" xfId="0" applyFont="1" applyFill="1" applyAlignment="1">
      <alignment horizontal="left" indent="1"/>
    </xf>
    <xf numFmtId="0" fontId="19" fillId="10" borderId="0" xfId="0" applyFont="1" applyFill="1" applyAlignment="1">
      <alignment horizontal="right" indent="1"/>
    </xf>
    <xf numFmtId="3" fontId="2" fillId="10" borderId="25" xfId="0" applyNumberFormat="1" applyFont="1" applyFill="1" applyBorder="1"/>
    <xf numFmtId="0" fontId="13" fillId="11" borderId="0" xfId="0" applyFont="1" applyFill="1" applyAlignment="1">
      <alignment horizontal="left" indent="1"/>
    </xf>
    <xf numFmtId="3" fontId="0" fillId="11" borderId="25" xfId="0" applyNumberFormat="1" applyFill="1" applyBorder="1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0" fillId="7" borderId="0" xfId="0" applyFont="1" applyFill="1" applyAlignment="1">
      <alignment horizontal="center"/>
    </xf>
    <xf numFmtId="0" fontId="0" fillId="17" borderId="0" xfId="0" applyFill="1"/>
    <xf numFmtId="0" fontId="2" fillId="17" borderId="0" xfId="0" applyFont="1" applyFill="1"/>
    <xf numFmtId="0" fontId="0" fillId="12" borderId="0" xfId="0" applyFill="1"/>
    <xf numFmtId="0" fontId="2" fillId="12" borderId="0" xfId="0" applyFont="1" applyFill="1"/>
    <xf numFmtId="0" fontId="2" fillId="10" borderId="0" xfId="0" applyFont="1" applyFill="1"/>
    <xf numFmtId="0" fontId="0" fillId="18" borderId="0" xfId="0" applyFill="1"/>
    <xf numFmtId="3" fontId="0" fillId="18" borderId="0" xfId="0" applyNumberFormat="1" applyFill="1"/>
    <xf numFmtId="0" fontId="0" fillId="9" borderId="1" xfId="0" applyFill="1" applyBorder="1"/>
    <xf numFmtId="0" fontId="0" fillId="9" borderId="3" xfId="0" applyFill="1" applyBorder="1"/>
    <xf numFmtId="0" fontId="0" fillId="9" borderId="7" xfId="0" applyFill="1" applyBorder="1"/>
    <xf numFmtId="0" fontId="0" fillId="9" borderId="0" xfId="0" applyFill="1"/>
    <xf numFmtId="3" fontId="0" fillId="9" borderId="0" xfId="0" applyNumberFormat="1" applyFill="1"/>
    <xf numFmtId="0" fontId="0" fillId="9" borderId="8" xfId="0" applyFill="1" applyBorder="1"/>
    <xf numFmtId="9" fontId="0" fillId="9" borderId="8" xfId="0" applyNumberFormat="1" applyFill="1" applyBorder="1"/>
    <xf numFmtId="0" fontId="0" fillId="9" borderId="6" xfId="0" applyFill="1" applyBorder="1"/>
    <xf numFmtId="164" fontId="22" fillId="3" borderId="0" xfId="1" applyNumberFormat="1" applyFont="1" applyFill="1"/>
    <xf numFmtId="164" fontId="23" fillId="3" borderId="0" xfId="1" applyNumberFormat="1" applyFont="1" applyFill="1"/>
    <xf numFmtId="164" fontId="24" fillId="5" borderId="0" xfId="1" applyNumberFormat="1" applyFont="1" applyFill="1"/>
    <xf numFmtId="164" fontId="25" fillId="5" borderId="0" xfId="1" applyNumberFormat="1" applyFont="1" applyFill="1"/>
    <xf numFmtId="0" fontId="21" fillId="5" borderId="0" xfId="0" applyFont="1" applyFill="1"/>
    <xf numFmtId="164" fontId="22" fillId="3" borderId="0" xfId="1" applyNumberFormat="1" applyFont="1" applyFill="1" applyAlignment="1">
      <alignment horizontal="left" indent="1"/>
    </xf>
    <xf numFmtId="164" fontId="22" fillId="13" borderId="0" xfId="1" applyNumberFormat="1" applyFont="1" applyFill="1"/>
    <xf numFmtId="164" fontId="23" fillId="5" borderId="0" xfId="1" applyNumberFormat="1" applyFont="1" applyFill="1"/>
    <xf numFmtId="164" fontId="22" fillId="5" borderId="0" xfId="1" applyNumberFormat="1" applyFont="1" applyFill="1"/>
    <xf numFmtId="10" fontId="22" fillId="3" borderId="0" xfId="2" applyNumberFormat="1" applyFont="1" applyFill="1"/>
    <xf numFmtId="164" fontId="22" fillId="3" borderId="0" xfId="1" applyNumberFormat="1" applyFont="1" applyFill="1" applyAlignment="1">
      <alignment horizontal="center"/>
    </xf>
    <xf numFmtId="164" fontId="26" fillId="7" borderId="0" xfId="1" applyNumberFormat="1" applyFont="1" applyFill="1"/>
    <xf numFmtId="164" fontId="22" fillId="5" borderId="0" xfId="1" applyNumberFormat="1" applyFont="1" applyFill="1" applyAlignment="1">
      <alignment horizontal="center"/>
    </xf>
    <xf numFmtId="164" fontId="22" fillId="4" borderId="0" xfId="1" applyNumberFormat="1" applyFont="1" applyFill="1"/>
    <xf numFmtId="164" fontId="23" fillId="4" borderId="0" xfId="1" applyNumberFormat="1" applyFont="1" applyFill="1"/>
    <xf numFmtId="164" fontId="27" fillId="6" borderId="0" xfId="1" applyNumberFormat="1" applyFont="1" applyFill="1"/>
    <xf numFmtId="165" fontId="22" fillId="5" borderId="0" xfId="1" applyNumberFormat="1" applyFont="1" applyFill="1" applyAlignment="1">
      <alignment horizontal="center"/>
    </xf>
    <xf numFmtId="164" fontId="22" fillId="19" borderId="0" xfId="1" applyNumberFormat="1" applyFont="1" applyFill="1"/>
    <xf numFmtId="164" fontId="29" fillId="10" borderId="12" xfId="1" applyNumberFormat="1" applyFont="1" applyFill="1" applyBorder="1"/>
    <xf numFmtId="164" fontId="29" fillId="10" borderId="13" xfId="1" applyNumberFormat="1" applyFont="1" applyFill="1" applyBorder="1"/>
    <xf numFmtId="164" fontId="29" fillId="10" borderId="14" xfId="1" applyNumberFormat="1" applyFont="1" applyFill="1" applyBorder="1"/>
    <xf numFmtId="9" fontId="22" fillId="3" borderId="0" xfId="2" applyFont="1" applyFill="1" applyAlignment="1">
      <alignment horizontal="center"/>
    </xf>
    <xf numFmtId="164" fontId="22" fillId="3" borderId="18" xfId="1" applyNumberFormat="1" applyFont="1" applyFill="1" applyBorder="1"/>
    <xf numFmtId="164" fontId="22" fillId="3" borderId="19" xfId="1" applyNumberFormat="1" applyFont="1" applyFill="1" applyBorder="1"/>
    <xf numFmtId="164" fontId="22" fillId="3" borderId="19" xfId="1" applyNumberFormat="1" applyFont="1" applyFill="1" applyBorder="1" applyAlignment="1">
      <alignment horizontal="center"/>
    </xf>
    <xf numFmtId="164" fontId="22" fillId="3" borderId="20" xfId="1" applyNumberFormat="1" applyFont="1" applyFill="1" applyBorder="1" applyAlignment="1">
      <alignment horizontal="center"/>
    </xf>
    <xf numFmtId="164" fontId="22" fillId="3" borderId="24" xfId="1" applyNumberFormat="1" applyFont="1" applyFill="1" applyBorder="1"/>
    <xf numFmtId="164" fontId="22" fillId="3" borderId="0" xfId="1" applyNumberFormat="1" applyFont="1" applyFill="1" applyBorder="1"/>
    <xf numFmtId="164" fontId="22" fillId="3" borderId="25" xfId="1" applyNumberFormat="1" applyFont="1" applyFill="1" applyBorder="1"/>
    <xf numFmtId="164" fontId="22" fillId="3" borderId="0" xfId="1" applyNumberFormat="1" applyFont="1" applyFill="1" applyBorder="1" applyAlignment="1">
      <alignment horizontal="center"/>
    </xf>
    <xf numFmtId="164" fontId="22" fillId="3" borderId="25" xfId="1" applyNumberFormat="1" applyFont="1" applyFill="1" applyBorder="1" applyAlignment="1">
      <alignment horizontal="center"/>
    </xf>
    <xf numFmtId="164" fontId="22" fillId="3" borderId="21" xfId="1" applyNumberFormat="1" applyFont="1" applyFill="1" applyBorder="1"/>
    <xf numFmtId="164" fontId="22" fillId="3" borderId="22" xfId="1" applyNumberFormat="1" applyFont="1" applyFill="1" applyBorder="1"/>
    <xf numFmtId="164" fontId="22" fillId="3" borderId="23" xfId="1" applyNumberFormat="1" applyFont="1" applyFill="1" applyBorder="1"/>
    <xf numFmtId="164" fontId="22" fillId="4" borderId="18" xfId="1" applyNumberFormat="1" applyFont="1" applyFill="1" applyBorder="1"/>
    <xf numFmtId="164" fontId="22" fillId="4" borderId="19" xfId="1" applyNumberFormat="1" applyFont="1" applyFill="1" applyBorder="1"/>
    <xf numFmtId="165" fontId="22" fillId="5" borderId="19" xfId="1" applyNumberFormat="1" applyFont="1" applyFill="1" applyBorder="1" applyAlignment="1">
      <alignment horizontal="center"/>
    </xf>
    <xf numFmtId="165" fontId="22" fillId="5" borderId="20" xfId="1" applyNumberFormat="1" applyFont="1" applyFill="1" applyBorder="1" applyAlignment="1">
      <alignment horizontal="center"/>
    </xf>
    <xf numFmtId="164" fontId="22" fillId="19" borderId="21" xfId="1" applyNumberFormat="1" applyFont="1" applyFill="1" applyBorder="1"/>
    <xf numFmtId="164" fontId="22" fillId="19" borderId="22" xfId="1" applyNumberFormat="1" applyFont="1" applyFill="1" applyBorder="1"/>
    <xf numFmtId="164" fontId="22" fillId="19" borderId="12" xfId="1" applyNumberFormat="1" applyFont="1" applyFill="1" applyBorder="1"/>
    <xf numFmtId="164" fontId="22" fillId="19" borderId="13" xfId="1" applyNumberFormat="1" applyFont="1" applyFill="1" applyBorder="1"/>
    <xf numFmtId="164" fontId="22" fillId="19" borderId="14" xfId="1" applyNumberFormat="1" applyFont="1" applyFill="1" applyBorder="1"/>
    <xf numFmtId="9" fontId="22" fillId="3" borderId="0" xfId="2" applyFont="1" applyFill="1" applyBorder="1" applyAlignment="1">
      <alignment horizontal="center"/>
    </xf>
    <xf numFmtId="9" fontId="22" fillId="3" borderId="25" xfId="2" applyFont="1" applyFill="1" applyBorder="1" applyAlignment="1">
      <alignment horizontal="center"/>
    </xf>
    <xf numFmtId="164" fontId="22" fillId="17" borderId="18" xfId="1" applyNumberFormat="1" applyFont="1" applyFill="1" applyBorder="1"/>
    <xf numFmtId="164" fontId="22" fillId="17" borderId="19" xfId="1" applyNumberFormat="1" applyFont="1" applyFill="1" applyBorder="1"/>
    <xf numFmtId="164" fontId="22" fillId="17" borderId="0" xfId="1" applyNumberFormat="1" applyFont="1" applyFill="1" applyBorder="1"/>
    <xf numFmtId="164" fontId="22" fillId="19" borderId="18" xfId="1" applyNumberFormat="1" applyFont="1" applyFill="1" applyBorder="1"/>
    <xf numFmtId="164" fontId="22" fillId="19" borderId="19" xfId="1" applyNumberFormat="1" applyFont="1" applyFill="1" applyBorder="1"/>
    <xf numFmtId="9" fontId="22" fillId="19" borderId="19" xfId="2" applyFont="1" applyFill="1" applyBorder="1"/>
    <xf numFmtId="9" fontId="22" fillId="19" borderId="22" xfId="2" applyFont="1" applyFill="1" applyBorder="1"/>
    <xf numFmtId="9" fontId="22" fillId="17" borderId="0" xfId="2" applyFont="1" applyFill="1" applyBorder="1"/>
    <xf numFmtId="164" fontId="28" fillId="10" borderId="24" xfId="1" applyNumberFormat="1" applyFont="1" applyFill="1" applyBorder="1"/>
    <xf numFmtId="164" fontId="28" fillId="10" borderId="0" xfId="1" applyNumberFormat="1" applyFont="1" applyFill="1" applyBorder="1"/>
    <xf numFmtId="164" fontId="28" fillId="10" borderId="25" xfId="1" applyNumberFormat="1" applyFont="1" applyFill="1" applyBorder="1"/>
    <xf numFmtId="0" fontId="28" fillId="20" borderId="0" xfId="1" applyNumberFormat="1" applyFont="1" applyFill="1" applyBorder="1"/>
    <xf numFmtId="0" fontId="30" fillId="0" borderId="0" xfId="0" applyFont="1"/>
    <xf numFmtId="0" fontId="21" fillId="0" borderId="0" xfId="0" applyFont="1"/>
    <xf numFmtId="0" fontId="31" fillId="0" borderId="0" xfId="0" applyFont="1"/>
    <xf numFmtId="0" fontId="32" fillId="0" borderId="0" xfId="0" applyFont="1"/>
    <xf numFmtId="0" fontId="31" fillId="9" borderId="0" xfId="0" applyFont="1" applyFill="1"/>
    <xf numFmtId="0" fontId="24" fillId="5" borderId="0" xfId="0" applyFont="1" applyFill="1"/>
    <xf numFmtId="0" fontId="33" fillId="5" borderId="0" xfId="0" applyFont="1" applyFill="1"/>
    <xf numFmtId="3" fontId="30" fillId="0" borderId="0" xfId="0" applyNumberFormat="1" applyFont="1"/>
    <xf numFmtId="0" fontId="30" fillId="0" borderId="0" xfId="0" applyFont="1" applyAlignment="1">
      <alignment horizontal="center"/>
    </xf>
    <xf numFmtId="14" fontId="30" fillId="0" borderId="0" xfId="0" applyNumberFormat="1" applyFont="1"/>
    <xf numFmtId="0" fontId="35" fillId="0" borderId="0" xfId="0" applyFont="1"/>
    <xf numFmtId="0" fontId="35" fillId="18" borderId="0" xfId="0" applyFont="1" applyFill="1"/>
    <xf numFmtId="0" fontId="35" fillId="18" borderId="0" xfId="0" applyFont="1" applyFill="1" applyAlignment="1">
      <alignment horizontal="center"/>
    </xf>
    <xf numFmtId="0" fontId="30" fillId="21" borderId="0" xfId="0" applyFont="1" applyFill="1"/>
    <xf numFmtId="14" fontId="30" fillId="21" borderId="0" xfId="0" applyNumberFormat="1" applyFont="1" applyFill="1"/>
    <xf numFmtId="3" fontId="34" fillId="21" borderId="0" xfId="0" applyNumberFormat="1" applyFont="1" applyFill="1"/>
    <xf numFmtId="166" fontId="30" fillId="21" borderId="0" xfId="0" applyNumberFormat="1" applyFont="1" applyFill="1"/>
    <xf numFmtId="164" fontId="30" fillId="21" borderId="0" xfId="1" applyNumberFormat="1" applyFont="1" applyFill="1"/>
    <xf numFmtId="164" fontId="35" fillId="21" borderId="0" xfId="1" applyNumberFormat="1" applyFont="1" applyFill="1"/>
    <xf numFmtId="164" fontId="35" fillId="9" borderId="0" xfId="1" applyNumberFormat="1" applyFont="1" applyFill="1"/>
    <xf numFmtId="0" fontId="35" fillId="16" borderId="0" xfId="0" applyFont="1" applyFill="1"/>
    <xf numFmtId="3" fontId="35" fillId="0" borderId="0" xfId="0" applyNumberFormat="1" applyFont="1"/>
    <xf numFmtId="0" fontId="30" fillId="22" borderId="0" xfId="0" applyFont="1" applyFill="1"/>
    <xf numFmtId="0" fontId="35" fillId="22" borderId="0" xfId="0" applyFont="1" applyFill="1"/>
    <xf numFmtId="0" fontId="35" fillId="21" borderId="0" xfId="0" applyFont="1" applyFill="1"/>
    <xf numFmtId="14" fontId="35" fillId="21" borderId="0" xfId="0" applyNumberFormat="1" applyFont="1" applyFill="1"/>
    <xf numFmtId="166" fontId="35" fillId="21" borderId="0" xfId="0" applyNumberFormat="1" applyFont="1" applyFill="1"/>
    <xf numFmtId="0" fontId="30" fillId="12" borderId="0" xfId="0" applyFont="1" applyFill="1"/>
    <xf numFmtId="3" fontId="30" fillId="12" borderId="0" xfId="0" applyNumberFormat="1" applyFont="1" applyFill="1"/>
    <xf numFmtId="0" fontId="2" fillId="23" borderId="0" xfId="0" applyFont="1" applyFill="1"/>
    <xf numFmtId="0" fontId="0" fillId="23" borderId="0" xfId="0" applyFill="1"/>
    <xf numFmtId="9" fontId="0" fillId="23" borderId="0" xfId="0" applyNumberFormat="1" applyFill="1"/>
    <xf numFmtId="9" fontId="2" fillId="23" borderId="0" xfId="0" applyNumberFormat="1" applyFont="1" applyFill="1"/>
    <xf numFmtId="9" fontId="2" fillId="23" borderId="0" xfId="0" applyNumberFormat="1" applyFont="1" applyFill="1" applyAlignment="1">
      <alignment horizontal="left"/>
    </xf>
    <xf numFmtId="0" fontId="0" fillId="24" borderId="0" xfId="0" applyFill="1"/>
    <xf numFmtId="0" fontId="2" fillId="24" borderId="0" xfId="0" applyFont="1" applyFill="1"/>
    <xf numFmtId="0" fontId="36" fillId="24" borderId="0" xfId="0" applyFont="1" applyFill="1"/>
    <xf numFmtId="0" fontId="0" fillId="25" borderId="0" xfId="0" applyFill="1"/>
    <xf numFmtId="0" fontId="2" fillId="25" borderId="0" xfId="0" applyFont="1" applyFill="1"/>
    <xf numFmtId="0" fontId="36" fillId="25" borderId="0" xfId="0" applyFont="1" applyFill="1"/>
    <xf numFmtId="0" fontId="0" fillId="26" borderId="0" xfId="0" applyFill="1"/>
    <xf numFmtId="0" fontId="1" fillId="26" borderId="0" xfId="0" applyFont="1" applyFill="1"/>
    <xf numFmtId="0" fontId="37" fillId="26" borderId="0" xfId="0" applyFont="1" applyFill="1"/>
    <xf numFmtId="9" fontId="0" fillId="23" borderId="0" xfId="0" applyNumberFormat="1" applyFill="1" applyAlignment="1">
      <alignment horizontal="left"/>
    </xf>
    <xf numFmtId="9" fontId="2" fillId="25" borderId="0" xfId="0" applyNumberFormat="1" applyFont="1" applyFill="1"/>
    <xf numFmtId="9" fontId="1" fillId="26" borderId="0" xfId="0" applyNumberFormat="1" applyFont="1" applyFill="1"/>
    <xf numFmtId="0" fontId="1" fillId="26" borderId="26" xfId="0" applyFont="1" applyFill="1" applyBorder="1"/>
    <xf numFmtId="9" fontId="2" fillId="23" borderId="0" xfId="0" applyNumberFormat="1" applyFont="1" applyFill="1" applyAlignment="1">
      <alignment horizontal="center"/>
    </xf>
    <xf numFmtId="0" fontId="1" fillId="26" borderId="26" xfId="0" applyFont="1" applyFill="1" applyBorder="1" applyAlignment="1">
      <alignment horizontal="center"/>
    </xf>
    <xf numFmtId="0" fontId="2" fillId="23" borderId="18" xfId="0" applyFont="1" applyFill="1" applyBorder="1"/>
    <xf numFmtId="0" fontId="0" fillId="23" borderId="19" xfId="0" applyFill="1" applyBorder="1"/>
    <xf numFmtId="0" fontId="2" fillId="23" borderId="20" xfId="0" applyFont="1" applyFill="1" applyBorder="1"/>
    <xf numFmtId="0" fontId="0" fillId="23" borderId="24" xfId="0" applyFill="1" applyBorder="1"/>
    <xf numFmtId="0" fontId="0" fillId="23" borderId="25" xfId="0" applyFill="1" applyBorder="1"/>
    <xf numFmtId="9" fontId="2" fillId="23" borderId="24" xfId="0" applyNumberFormat="1" applyFont="1" applyFill="1" applyBorder="1"/>
    <xf numFmtId="167" fontId="2" fillId="23" borderId="0" xfId="0" applyNumberFormat="1" applyFont="1" applyFill="1"/>
    <xf numFmtId="0" fontId="2" fillId="23" borderId="25" xfId="0" applyFont="1" applyFill="1" applyBorder="1"/>
    <xf numFmtId="0" fontId="2" fillId="23" borderId="21" xfId="0" applyFont="1" applyFill="1" applyBorder="1"/>
    <xf numFmtId="0" fontId="0" fillId="23" borderId="22" xfId="0" applyFill="1" applyBorder="1"/>
    <xf numFmtId="0" fontId="0" fillId="23" borderId="23" xfId="0" applyFill="1" applyBorder="1"/>
    <xf numFmtId="0" fontId="38" fillId="5" borderId="0" xfId="0" applyFon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1" fillId="10" borderId="0" xfId="0" applyFont="1" applyFill="1"/>
    <xf numFmtId="0" fontId="39" fillId="10" borderId="0" xfId="0" applyFont="1" applyFill="1"/>
    <xf numFmtId="0" fontId="40" fillId="27" borderId="12" xfId="0" applyFont="1" applyFill="1" applyBorder="1"/>
    <xf numFmtId="0" fontId="40" fillId="27" borderId="13" xfId="0" applyFont="1" applyFill="1" applyBorder="1"/>
    <xf numFmtId="0" fontId="40" fillId="27" borderId="14" xfId="0" applyFont="1" applyFill="1" applyBorder="1"/>
    <xf numFmtId="0" fontId="40" fillId="0" borderId="0" xfId="0" applyFont="1" applyAlignment="1">
      <alignment horizontal="left"/>
    </xf>
    <xf numFmtId="0" fontId="41" fillId="18" borderId="0" xfId="0" applyFont="1" applyFill="1"/>
    <xf numFmtId="0" fontId="39" fillId="18" borderId="0" xfId="0" applyFont="1" applyFill="1"/>
    <xf numFmtId="0" fontId="39" fillId="0" borderId="19" xfId="0" applyFont="1" applyBorder="1"/>
    <xf numFmtId="0" fontId="39" fillId="0" borderId="20" xfId="0" applyFont="1" applyBorder="1"/>
    <xf numFmtId="0" fontId="39" fillId="0" borderId="24" xfId="0" applyFont="1" applyBorder="1"/>
    <xf numFmtId="10" fontId="39" fillId="0" borderId="25" xfId="0" applyNumberFormat="1" applyFont="1" applyBorder="1"/>
    <xf numFmtId="0" fontId="40" fillId="0" borderId="24" xfId="0" applyFont="1" applyBorder="1"/>
    <xf numFmtId="0" fontId="40" fillId="0" borderId="0" xfId="0" applyFont="1" applyAlignment="1">
      <alignment horizontal="right"/>
    </xf>
    <xf numFmtId="43" fontId="40" fillId="0" borderId="0" xfId="1" applyFont="1" applyBorder="1"/>
    <xf numFmtId="0" fontId="39" fillId="0" borderId="25" xfId="0" applyFont="1" applyBorder="1"/>
    <xf numFmtId="0" fontId="38" fillId="5" borderId="24" xfId="0" applyFont="1" applyFill="1" applyBorder="1"/>
    <xf numFmtId="0" fontId="1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40" fillId="16" borderId="0" xfId="0" applyFont="1" applyFill="1" applyAlignment="1">
      <alignment horizontal="center"/>
    </xf>
    <xf numFmtId="0" fontId="40" fillId="16" borderId="25" xfId="0" applyFont="1" applyFill="1" applyBorder="1" applyAlignment="1">
      <alignment horizontal="center"/>
    </xf>
    <xf numFmtId="0" fontId="38" fillId="5" borderId="0" xfId="0" applyFont="1" applyFill="1" applyAlignment="1">
      <alignment horizontal="center"/>
    </xf>
    <xf numFmtId="0" fontId="42" fillId="0" borderId="24" xfId="0" applyFont="1" applyBorder="1"/>
    <xf numFmtId="164" fontId="42" fillId="0" borderId="0" xfId="1" applyNumberFormat="1" applyFont="1" applyBorder="1"/>
    <xf numFmtId="2" fontId="42" fillId="18" borderId="0" xfId="0" applyNumberFormat="1" applyFont="1" applyFill="1"/>
    <xf numFmtId="43" fontId="42" fillId="0" borderId="0" xfId="1" applyFont="1" applyBorder="1"/>
    <xf numFmtId="43" fontId="40" fillId="18" borderId="0" xfId="1" applyFont="1" applyFill="1" applyBorder="1"/>
    <xf numFmtId="2" fontId="39" fillId="0" borderId="0" xfId="0" applyNumberFormat="1" applyFont="1"/>
    <xf numFmtId="164" fontId="39" fillId="0" borderId="0" xfId="1" applyNumberFormat="1" applyFont="1" applyBorder="1"/>
    <xf numFmtId="43" fontId="39" fillId="0" borderId="0" xfId="1" applyFont="1" applyBorder="1"/>
    <xf numFmtId="0" fontId="39" fillId="10" borderId="21" xfId="0" applyFont="1" applyFill="1" applyBorder="1"/>
    <xf numFmtId="0" fontId="39" fillId="10" borderId="22" xfId="0" applyFont="1" applyFill="1" applyBorder="1"/>
    <xf numFmtId="43" fontId="40" fillId="10" borderId="22" xfId="1" applyFont="1" applyFill="1" applyBorder="1"/>
    <xf numFmtId="0" fontId="39" fillId="0" borderId="22" xfId="0" applyFont="1" applyBorder="1"/>
    <xf numFmtId="0" fontId="39" fillId="0" borderId="23" xfId="0" applyFont="1" applyBorder="1"/>
    <xf numFmtId="0" fontId="39" fillId="18" borderId="19" xfId="0" applyFont="1" applyFill="1" applyBorder="1"/>
    <xf numFmtId="0" fontId="39" fillId="18" borderId="20" xfId="0" applyFont="1" applyFill="1" applyBorder="1"/>
    <xf numFmtId="0" fontId="39" fillId="18" borderId="24" xfId="0" applyFont="1" applyFill="1" applyBorder="1"/>
    <xf numFmtId="0" fontId="39" fillId="18" borderId="25" xfId="0" applyFont="1" applyFill="1" applyBorder="1"/>
    <xf numFmtId="0" fontId="39" fillId="18" borderId="21" xfId="0" applyFont="1" applyFill="1" applyBorder="1"/>
    <xf numFmtId="0" fontId="39" fillId="18" borderId="22" xfId="0" applyFont="1" applyFill="1" applyBorder="1"/>
    <xf numFmtId="0" fontId="39" fillId="18" borderId="23" xfId="0" applyFont="1" applyFill="1" applyBorder="1"/>
    <xf numFmtId="0" fontId="40" fillId="18" borderId="18" xfId="0" applyFont="1" applyFill="1" applyBorder="1"/>
    <xf numFmtId="0" fontId="3" fillId="3" borderId="0" xfId="0" applyFont="1" applyFill="1"/>
    <xf numFmtId="0" fontId="7" fillId="3" borderId="0" xfId="0" applyFont="1" applyFill="1"/>
    <xf numFmtId="0" fontId="44" fillId="6" borderId="0" xfId="0" applyFont="1" applyFill="1"/>
    <xf numFmtId="0" fontId="45" fillId="3" borderId="0" xfId="0" applyFont="1" applyFill="1"/>
    <xf numFmtId="0" fontId="39" fillId="7" borderId="0" xfId="0" applyFont="1" applyFill="1"/>
    <xf numFmtId="0" fontId="42" fillId="0" borderId="0" xfId="0" applyFont="1"/>
    <xf numFmtId="0" fontId="39" fillId="7" borderId="1" xfId="0" applyFont="1" applyFill="1" applyBorder="1"/>
    <xf numFmtId="0" fontId="39" fillId="7" borderId="2" xfId="0" applyFont="1" applyFill="1" applyBorder="1"/>
    <xf numFmtId="0" fontId="39" fillId="7" borderId="3" xfId="0" applyFont="1" applyFill="1" applyBorder="1"/>
    <xf numFmtId="0" fontId="39" fillId="7" borderId="7" xfId="0" applyFont="1" applyFill="1" applyBorder="1"/>
    <xf numFmtId="0" fontId="39" fillId="7" borderId="8" xfId="0" applyFont="1" applyFill="1" applyBorder="1"/>
    <xf numFmtId="0" fontId="39" fillId="12" borderId="7" xfId="0" applyFont="1" applyFill="1" applyBorder="1"/>
    <xf numFmtId="0" fontId="39" fillId="12" borderId="0" xfId="0" applyFont="1" applyFill="1"/>
    <xf numFmtId="0" fontId="39" fillId="12" borderId="8" xfId="0" applyFont="1" applyFill="1" applyBorder="1"/>
    <xf numFmtId="0" fontId="39" fillId="12" borderId="4" xfId="0" applyFont="1" applyFill="1" applyBorder="1"/>
    <xf numFmtId="0" fontId="39" fillId="12" borderId="5" xfId="0" applyFont="1" applyFill="1" applyBorder="1"/>
    <xf numFmtId="0" fontId="39" fillId="12" borderId="6" xfId="0" applyFont="1" applyFill="1" applyBorder="1"/>
    <xf numFmtId="0" fontId="39" fillId="12" borderId="1" xfId="0" applyFont="1" applyFill="1" applyBorder="1"/>
    <xf numFmtId="0" fontId="39" fillId="12" borderId="2" xfId="0" applyFont="1" applyFill="1" applyBorder="1"/>
    <xf numFmtId="0" fontId="39" fillId="12" borderId="3" xfId="0" applyFont="1" applyFill="1" applyBorder="1"/>
    <xf numFmtId="0" fontId="39" fillId="28" borderId="7" xfId="0" applyFont="1" applyFill="1" applyBorder="1"/>
    <xf numFmtId="0" fontId="39" fillId="28" borderId="0" xfId="0" applyFont="1" applyFill="1"/>
    <xf numFmtId="0" fontId="39" fillId="28" borderId="4" xfId="0" applyFont="1" applyFill="1" applyBorder="1"/>
    <xf numFmtId="0" fontId="39" fillId="28" borderId="5" xfId="0" applyFont="1" applyFill="1" applyBorder="1"/>
    <xf numFmtId="0" fontId="39" fillId="28" borderId="1" xfId="0" applyFont="1" applyFill="1" applyBorder="1"/>
    <xf numFmtId="0" fontId="39" fillId="28" borderId="2" xfId="0" applyFont="1" applyFill="1" applyBorder="1"/>
    <xf numFmtId="0" fontId="39" fillId="28" borderId="3" xfId="0" applyFont="1" applyFill="1" applyBorder="1"/>
    <xf numFmtId="0" fontId="39" fillId="28" borderId="8" xfId="0" applyFont="1" applyFill="1" applyBorder="1"/>
    <xf numFmtId="0" fontId="39" fillId="28" borderId="6" xfId="0" applyFont="1" applyFill="1" applyBorder="1"/>
    <xf numFmtId="0" fontId="41" fillId="12" borderId="0" xfId="0" applyFont="1" applyFill="1" applyAlignment="1">
      <alignment horizontal="center"/>
    </xf>
    <xf numFmtId="0" fontId="41" fillId="28" borderId="0" xfId="0" applyFont="1" applyFill="1"/>
    <xf numFmtId="0" fontId="47" fillId="0" borderId="0" xfId="0" applyFont="1"/>
    <xf numFmtId="0" fontId="48" fillId="0" borderId="0" xfId="0" applyFont="1"/>
    <xf numFmtId="0" fontId="40" fillId="0" borderId="18" xfId="0" applyFont="1" applyBorder="1"/>
    <xf numFmtId="0" fontId="40" fillId="0" borderId="21" xfId="0" applyFont="1" applyBorder="1"/>
    <xf numFmtId="0" fontId="40" fillId="10" borderId="18" xfId="0" applyFont="1" applyFill="1" applyBorder="1"/>
    <xf numFmtId="0" fontId="40" fillId="10" borderId="19" xfId="0" applyFont="1" applyFill="1" applyBorder="1"/>
    <xf numFmtId="0" fontId="39" fillId="25" borderId="24" xfId="0" applyFont="1" applyFill="1" applyBorder="1"/>
    <xf numFmtId="9" fontId="39" fillId="25" borderId="0" xfId="0" applyNumberFormat="1" applyFont="1" applyFill="1"/>
    <xf numFmtId="0" fontId="39" fillId="25" borderId="0" xfId="0" applyFont="1" applyFill="1"/>
    <xf numFmtId="0" fontId="41" fillId="0" borderId="24" xfId="0" applyFont="1" applyBorder="1"/>
    <xf numFmtId="0" fontId="39" fillId="14" borderId="24" xfId="0" applyFont="1" applyFill="1" applyBorder="1"/>
    <xf numFmtId="0" fontId="39" fillId="14" borderId="0" xfId="0" applyFont="1" applyFill="1"/>
    <xf numFmtId="0" fontId="39" fillId="14" borderId="0" xfId="0" applyFont="1" applyFill="1" applyAlignment="1">
      <alignment horizontal="center"/>
    </xf>
    <xf numFmtId="0" fontId="39" fillId="0" borderId="21" xfId="0" applyFont="1" applyBorder="1"/>
    <xf numFmtId="0" fontId="48" fillId="0" borderId="24" xfId="0" applyFont="1" applyBorder="1"/>
    <xf numFmtId="0" fontId="40" fillId="0" borderId="19" xfId="0" applyFont="1" applyBorder="1"/>
    <xf numFmtId="14" fontId="39" fillId="0" borderId="0" xfId="0" applyNumberFormat="1" applyFont="1"/>
    <xf numFmtId="3" fontId="39" fillId="0" borderId="0" xfId="0" applyNumberFormat="1" applyFont="1"/>
    <xf numFmtId="3" fontId="40" fillId="0" borderId="0" xfId="0" applyNumberFormat="1" applyFont="1"/>
    <xf numFmtId="0" fontId="40" fillId="10" borderId="0" xfId="0" applyFont="1" applyFill="1" applyAlignment="1">
      <alignment horizontal="center"/>
    </xf>
    <xf numFmtId="0" fontId="46" fillId="0" borderId="0" xfId="0" applyFont="1"/>
    <xf numFmtId="0" fontId="39" fillId="11" borderId="0" xfId="0" applyFont="1" applyFill="1"/>
    <xf numFmtId="3" fontId="39" fillId="7" borderId="0" xfId="0" applyNumberFormat="1" applyFont="1" applyFill="1"/>
    <xf numFmtId="0" fontId="1" fillId="5" borderId="0" xfId="0" applyFont="1" applyFill="1"/>
    <xf numFmtId="3" fontId="0" fillId="0" borderId="0" xfId="0" applyNumberFormat="1"/>
    <xf numFmtId="0" fontId="2" fillId="25" borderId="0" xfId="0" applyFont="1" applyFill="1" applyAlignment="1">
      <alignment horizontal="center"/>
    </xf>
    <xf numFmtId="0" fontId="2" fillId="9" borderId="0" xfId="0" applyFont="1" applyFill="1"/>
    <xf numFmtId="3" fontId="2" fillId="9" borderId="0" xfId="0" applyNumberFormat="1" applyFont="1" applyFill="1"/>
    <xf numFmtId="9" fontId="0" fillId="7" borderId="0" xfId="0" applyNumberFormat="1" applyFill="1"/>
    <xf numFmtId="0" fontId="13" fillId="0" borderId="0" xfId="0" applyFont="1" applyAlignment="1">
      <alignment horizontal="left" indent="2"/>
    </xf>
    <xf numFmtId="3" fontId="13" fillId="0" borderId="0" xfId="0" applyNumberFormat="1" applyFont="1"/>
    <xf numFmtId="0" fontId="49" fillId="0" borderId="0" xfId="0" applyFont="1" applyAlignment="1">
      <alignment horizontal="left" indent="2"/>
    </xf>
    <xf numFmtId="0" fontId="50" fillId="5" borderId="0" xfId="0" applyFont="1" applyFill="1"/>
    <xf numFmtId="0" fontId="50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51" fillId="5" borderId="0" xfId="0" applyNumberFormat="1" applyFont="1" applyFill="1"/>
    <xf numFmtId="3" fontId="49" fillId="10" borderId="0" xfId="0" applyNumberFormat="1" applyFont="1" applyFill="1"/>
    <xf numFmtId="0" fontId="52" fillId="10" borderId="0" xfId="0" applyFont="1" applyFill="1"/>
    <xf numFmtId="0" fontId="31" fillId="2" borderId="0" xfId="0" applyFont="1" applyFill="1"/>
    <xf numFmtId="0" fontId="40" fillId="0" borderId="0" xfId="0" applyFont="1" applyAlignment="1">
      <alignment horizontal="center"/>
    </xf>
    <xf numFmtId="0" fontId="40" fillId="0" borderId="24" xfId="0" applyFont="1" applyBorder="1" applyAlignment="1">
      <alignment horizontal="left"/>
    </xf>
    <xf numFmtId="0" fontId="39" fillId="9" borderId="24" xfId="0" applyFont="1" applyFill="1" applyBorder="1"/>
    <xf numFmtId="0" fontId="39" fillId="9" borderId="0" xfId="0" applyFont="1" applyFill="1"/>
    <xf numFmtId="3" fontId="39" fillId="9" borderId="25" xfId="0" applyNumberFormat="1" applyFont="1" applyFill="1" applyBorder="1"/>
    <xf numFmtId="0" fontId="39" fillId="9" borderId="21" xfId="0" applyFont="1" applyFill="1" applyBorder="1"/>
    <xf numFmtId="0" fontId="39" fillId="9" borderId="22" xfId="0" applyFont="1" applyFill="1" applyBorder="1"/>
    <xf numFmtId="3" fontId="39" fillId="9" borderId="23" xfId="0" applyNumberFormat="1" applyFont="1" applyFill="1" applyBorder="1"/>
    <xf numFmtId="0" fontId="40" fillId="7" borderId="18" xfId="0" applyFont="1" applyFill="1" applyBorder="1" applyAlignment="1">
      <alignment horizontal="left"/>
    </xf>
    <xf numFmtId="0" fontId="39" fillId="7" borderId="19" xfId="0" applyFont="1" applyFill="1" applyBorder="1"/>
    <xf numFmtId="0" fontId="40" fillId="7" borderId="20" xfId="0" applyFont="1" applyFill="1" applyBorder="1" applyAlignment="1">
      <alignment horizontal="center"/>
    </xf>
    <xf numFmtId="0" fontId="39" fillId="7" borderId="24" xfId="0" applyFont="1" applyFill="1" applyBorder="1"/>
    <xf numFmtId="0" fontId="39" fillId="7" borderId="25" xfId="0" applyFont="1" applyFill="1" applyBorder="1"/>
    <xf numFmtId="0" fontId="41" fillId="7" borderId="0" xfId="0" applyFont="1" applyFill="1"/>
    <xf numFmtId="9" fontId="40" fillId="0" borderId="0" xfId="0" applyNumberFormat="1" applyFont="1"/>
    <xf numFmtId="0" fontId="40" fillId="7" borderId="0" xfId="0" applyFont="1" applyFill="1"/>
    <xf numFmtId="9" fontId="40" fillId="7" borderId="0" xfId="0" applyNumberFormat="1" applyFont="1" applyFill="1"/>
    <xf numFmtId="0" fontId="39" fillId="29" borderId="0" xfId="0" applyFont="1" applyFill="1"/>
    <xf numFmtId="0" fontId="40" fillId="29" borderId="0" xfId="0" applyFont="1" applyFill="1"/>
    <xf numFmtId="0" fontId="40" fillId="29" borderId="0" xfId="0" applyFont="1" applyFill="1" applyAlignment="1">
      <alignment horizontal="center"/>
    </xf>
    <xf numFmtId="3" fontId="39" fillId="29" borderId="0" xfId="0" applyNumberFormat="1" applyFont="1" applyFill="1"/>
    <xf numFmtId="0" fontId="42" fillId="29" borderId="0" xfId="0" applyFont="1" applyFill="1" applyAlignment="1">
      <alignment horizontal="center"/>
    </xf>
    <xf numFmtId="3" fontId="40" fillId="29" borderId="0" xfId="0" applyNumberFormat="1" applyFont="1" applyFill="1"/>
    <xf numFmtId="3" fontId="40" fillId="6" borderId="0" xfId="0" applyNumberFormat="1" applyFont="1" applyFill="1"/>
    <xf numFmtId="0" fontId="39" fillId="27" borderId="13" xfId="0" applyFont="1" applyFill="1" applyBorder="1"/>
    <xf numFmtId="3" fontId="40" fillId="27" borderId="14" xfId="0" applyNumberFormat="1" applyFont="1" applyFill="1" applyBorder="1"/>
    <xf numFmtId="3" fontId="42" fillId="29" borderId="0" xfId="0" applyNumberFormat="1" applyFont="1" applyFill="1" applyAlignment="1">
      <alignment horizontal="center"/>
    </xf>
    <xf numFmtId="0" fontId="40" fillId="27" borderId="0" xfId="0" applyFont="1" applyFill="1"/>
    <xf numFmtId="0" fontId="40" fillId="7" borderId="0" xfId="0" applyFont="1" applyFill="1" applyAlignment="1">
      <alignment horizontal="center"/>
    </xf>
    <xf numFmtId="0" fontId="39" fillId="30" borderId="0" xfId="0" applyFont="1" applyFill="1"/>
    <xf numFmtId="3" fontId="39" fillId="30" borderId="0" xfId="0" applyNumberFormat="1" applyFont="1" applyFill="1"/>
    <xf numFmtId="3" fontId="40" fillId="30" borderId="0" xfId="0" applyNumberFormat="1" applyFont="1" applyFill="1"/>
    <xf numFmtId="3" fontId="40" fillId="7" borderId="0" xfId="0" applyNumberFormat="1" applyFont="1" applyFill="1"/>
    <xf numFmtId="3" fontId="39" fillId="18" borderId="0" xfId="0" applyNumberFormat="1" applyFont="1" applyFill="1"/>
    <xf numFmtId="0" fontId="40" fillId="18" borderId="0" xfId="0" applyFont="1" applyFill="1"/>
    <xf numFmtId="0" fontId="40" fillId="16" borderId="0" xfId="0" applyFont="1" applyFill="1"/>
    <xf numFmtId="3" fontId="40" fillId="16" borderId="0" xfId="0" applyNumberFormat="1" applyFont="1" applyFill="1"/>
    <xf numFmtId="3" fontId="42" fillId="16" borderId="0" xfId="0" applyNumberFormat="1" applyFont="1" applyFill="1"/>
    <xf numFmtId="0" fontId="42" fillId="16" borderId="12" xfId="0" applyFont="1" applyFill="1" applyBorder="1"/>
    <xf numFmtId="3" fontId="42" fillId="16" borderId="13" xfId="0" applyNumberFormat="1" applyFont="1" applyFill="1" applyBorder="1"/>
    <xf numFmtId="3" fontId="42" fillId="16" borderId="14" xfId="0" applyNumberFormat="1" applyFont="1" applyFill="1" applyBorder="1"/>
    <xf numFmtId="0" fontId="40" fillId="27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3" fontId="40" fillId="0" borderId="22" xfId="0" applyNumberFormat="1" applyFont="1" applyBorder="1"/>
    <xf numFmtId="3" fontId="40" fillId="0" borderId="23" xfId="0" applyNumberFormat="1" applyFont="1" applyBorder="1"/>
    <xf numFmtId="3" fontId="40" fillId="25" borderId="19" xfId="0" applyNumberFormat="1" applyFont="1" applyFill="1" applyBorder="1"/>
    <xf numFmtId="3" fontId="40" fillId="25" borderId="20" xfId="0" applyNumberFormat="1" applyFont="1" applyFill="1" applyBorder="1"/>
    <xf numFmtId="3" fontId="42" fillId="25" borderId="22" xfId="0" applyNumberFormat="1" applyFont="1" applyFill="1" applyBorder="1"/>
    <xf numFmtId="3" fontId="42" fillId="25" borderId="23" xfId="0" applyNumberFormat="1" applyFont="1" applyFill="1" applyBorder="1"/>
    <xf numFmtId="0" fontId="40" fillId="25" borderId="18" xfId="0" applyFont="1" applyFill="1" applyBorder="1"/>
    <xf numFmtId="0" fontId="42" fillId="25" borderId="21" xfId="0" applyFont="1" applyFill="1" applyBorder="1"/>
    <xf numFmtId="0" fontId="40" fillId="6" borderId="25" xfId="0" applyFont="1" applyFill="1" applyBorder="1" applyAlignment="1">
      <alignment horizontal="center"/>
    </xf>
    <xf numFmtId="3" fontId="39" fillId="0" borderId="25" xfId="0" applyNumberFormat="1" applyFont="1" applyBorder="1"/>
    <xf numFmtId="0" fontId="40" fillId="30" borderId="0" xfId="0" applyFont="1" applyFill="1"/>
    <xf numFmtId="3" fontId="53" fillId="16" borderId="0" xfId="0" applyNumberFormat="1" applyFont="1" applyFill="1"/>
    <xf numFmtId="10" fontId="40" fillId="0" borderId="0" xfId="2" applyNumberFormat="1" applyFont="1"/>
    <xf numFmtId="10" fontId="40" fillId="7" borderId="0" xfId="2" applyNumberFormat="1" applyFont="1" applyFill="1"/>
    <xf numFmtId="0" fontId="39" fillId="21" borderId="0" xfId="0" applyFont="1" applyFill="1"/>
    <xf numFmtId="3" fontId="39" fillId="21" borderId="0" xfId="0" applyNumberFormat="1" applyFont="1" applyFill="1"/>
    <xf numFmtId="3" fontId="40" fillId="10" borderId="0" xfId="0" applyNumberFormat="1" applyFont="1" applyFill="1"/>
    <xf numFmtId="3" fontId="39" fillId="29" borderId="19" xfId="0" applyNumberFormat="1" applyFont="1" applyFill="1" applyBorder="1"/>
    <xf numFmtId="0" fontId="39" fillId="29" borderId="19" xfId="0" applyFont="1" applyFill="1" applyBorder="1"/>
    <xf numFmtId="3" fontId="39" fillId="29" borderId="20" xfId="0" applyNumberFormat="1" applyFont="1" applyFill="1" applyBorder="1"/>
    <xf numFmtId="0" fontId="39" fillId="29" borderId="21" xfId="0" applyFont="1" applyFill="1" applyBorder="1"/>
    <xf numFmtId="0" fontId="39" fillId="29" borderId="22" xfId="0" applyFont="1" applyFill="1" applyBorder="1"/>
    <xf numFmtId="3" fontId="39" fillId="29" borderId="22" xfId="0" applyNumberFormat="1" applyFont="1" applyFill="1" applyBorder="1"/>
    <xf numFmtId="0" fontId="40" fillId="29" borderId="18" xfId="0" applyFont="1" applyFill="1" applyBorder="1"/>
    <xf numFmtId="3" fontId="40" fillId="29" borderId="19" xfId="0" applyNumberFormat="1" applyFont="1" applyFill="1" applyBorder="1"/>
    <xf numFmtId="3" fontId="40" fillId="29" borderId="22" xfId="0" applyNumberFormat="1" applyFont="1" applyFill="1" applyBorder="1"/>
    <xf numFmtId="3" fontId="40" fillId="29" borderId="23" xfId="0" applyNumberFormat="1" applyFont="1" applyFill="1" applyBorder="1"/>
    <xf numFmtId="3" fontId="40" fillId="29" borderId="26" xfId="0" applyNumberFormat="1" applyFont="1" applyFill="1" applyBorder="1"/>
    <xf numFmtId="0" fontId="11" fillId="5" borderId="0" xfId="0" applyFont="1" applyFill="1"/>
    <xf numFmtId="164" fontId="39" fillId="0" borderId="25" xfId="1" applyNumberFormat="1" applyFont="1" applyBorder="1"/>
    <xf numFmtId="0" fontId="39" fillId="7" borderId="18" xfId="0" applyFont="1" applyFill="1" applyBorder="1"/>
    <xf numFmtId="0" fontId="39" fillId="7" borderId="19" xfId="0" applyFont="1" applyFill="1" applyBorder="1" applyAlignment="1">
      <alignment horizontal="center"/>
    </xf>
    <xf numFmtId="0" fontId="39" fillId="7" borderId="20" xfId="0" applyFont="1" applyFill="1" applyBorder="1" applyAlignment="1">
      <alignment horizontal="center"/>
    </xf>
    <xf numFmtId="0" fontId="39" fillId="0" borderId="0" xfId="0" applyFont="1" applyAlignment="1">
      <alignment horizontal="left" indent="2"/>
    </xf>
    <xf numFmtId="14" fontId="39" fillId="7" borderId="18" xfId="0" applyNumberFormat="1" applyFont="1" applyFill="1" applyBorder="1"/>
    <xf numFmtId="3" fontId="39" fillId="7" borderId="25" xfId="0" applyNumberFormat="1" applyFont="1" applyFill="1" applyBorder="1"/>
    <xf numFmtId="14" fontId="39" fillId="7" borderId="24" xfId="0" applyNumberFormat="1" applyFont="1" applyFill="1" applyBorder="1"/>
    <xf numFmtId="0" fontId="39" fillId="7" borderId="0" xfId="0" applyFont="1" applyFill="1" applyAlignment="1">
      <alignment horizontal="center"/>
    </xf>
    <xf numFmtId="0" fontId="39" fillId="7" borderId="25" xfId="0" applyFont="1" applyFill="1" applyBorder="1" applyAlignment="1">
      <alignment horizontal="center"/>
    </xf>
    <xf numFmtId="0" fontId="40" fillId="7" borderId="12" xfId="0" applyFont="1" applyFill="1" applyBorder="1"/>
    <xf numFmtId="0" fontId="39" fillId="7" borderId="13" xfId="0" applyFont="1" applyFill="1" applyBorder="1"/>
    <xf numFmtId="0" fontId="39" fillId="7" borderId="14" xfId="0" applyFont="1" applyFill="1" applyBorder="1"/>
    <xf numFmtId="0" fontId="40" fillId="29" borderId="24" xfId="0" applyFont="1" applyFill="1" applyBorder="1"/>
    <xf numFmtId="0" fontId="40" fillId="29" borderId="25" xfId="0" applyFont="1" applyFill="1" applyBorder="1"/>
    <xf numFmtId="0" fontId="40" fillId="29" borderId="21" xfId="0" applyFont="1" applyFill="1" applyBorder="1"/>
    <xf numFmtId="0" fontId="40" fillId="29" borderId="22" xfId="0" applyFont="1" applyFill="1" applyBorder="1"/>
    <xf numFmtId="164" fontId="39" fillId="0" borderId="0" xfId="1" applyNumberFormat="1" applyFont="1"/>
    <xf numFmtId="164" fontId="40" fillId="29" borderId="0" xfId="0" applyNumberFormat="1" applyFont="1" applyFill="1"/>
    <xf numFmtId="164" fontId="40" fillId="10" borderId="0" xfId="0" applyNumberFormat="1" applyFont="1" applyFill="1"/>
    <xf numFmtId="164" fontId="42" fillId="0" borderId="0" xfId="0" applyNumberFormat="1" applyFont="1"/>
    <xf numFmtId="0" fontId="40" fillId="10" borderId="0" xfId="0" quotePrefix="1" applyFont="1" applyFill="1"/>
    <xf numFmtId="0" fontId="6" fillId="6" borderId="0" xfId="0" applyFont="1" applyFill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164" fontId="0" fillId="0" borderId="0" xfId="1" applyNumberFormat="1" applyFont="1"/>
    <xf numFmtId="0" fontId="54" fillId="17" borderId="0" xfId="0" applyFont="1" applyFill="1"/>
    <xf numFmtId="0" fontId="55" fillId="10" borderId="0" xfId="0" applyFont="1" applyFill="1"/>
    <xf numFmtId="0" fontId="35" fillId="2" borderId="0" xfId="0" applyFont="1" applyFill="1"/>
    <xf numFmtId="164" fontId="0" fillId="0" borderId="19" xfId="1" applyNumberFormat="1" applyFont="1" applyBorder="1"/>
    <xf numFmtId="164" fontId="0" fillId="0" borderId="20" xfId="1" applyNumberFormat="1" applyFont="1" applyBorder="1"/>
    <xf numFmtId="164" fontId="0" fillId="0" borderId="24" xfId="1" applyNumberFormat="1" applyFont="1" applyBorder="1"/>
    <xf numFmtId="164" fontId="0" fillId="0" borderId="0" xfId="1" applyNumberFormat="1" applyFont="1" applyBorder="1"/>
    <xf numFmtId="164" fontId="0" fillId="0" borderId="25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164" fontId="2" fillId="0" borderId="18" xfId="1" applyNumberFormat="1" applyFont="1" applyBorder="1"/>
    <xf numFmtId="164" fontId="2" fillId="0" borderId="24" xfId="1" applyNumberFormat="1" applyFont="1" applyBorder="1"/>
    <xf numFmtId="164" fontId="2" fillId="0" borderId="25" xfId="1" applyNumberFormat="1" applyFont="1" applyBorder="1"/>
    <xf numFmtId="164" fontId="2" fillId="0" borderId="0" xfId="1" applyNumberFormat="1" applyFont="1" applyBorder="1"/>
    <xf numFmtId="164" fontId="2" fillId="16" borderId="24" xfId="1" applyNumberFormat="1" applyFont="1" applyFill="1" applyBorder="1"/>
    <xf numFmtId="164" fontId="2" fillId="16" borderId="0" xfId="1" applyNumberFormat="1" applyFont="1" applyFill="1" applyBorder="1"/>
    <xf numFmtId="164" fontId="2" fillId="16" borderId="25" xfId="1" applyNumberFormat="1" applyFont="1" applyFill="1" applyBorder="1"/>
    <xf numFmtId="164" fontId="0" fillId="16" borderId="0" xfId="1" applyNumberFormat="1" applyFont="1" applyFill="1" applyBorder="1"/>
    <xf numFmtId="164" fontId="0" fillId="0" borderId="24" xfId="1" applyNumberFormat="1" applyFont="1" applyBorder="1" applyAlignment="1">
      <alignment horizontal="left" indent="1"/>
    </xf>
    <xf numFmtId="164" fontId="0" fillId="31" borderId="25" xfId="1" applyNumberFormat="1" applyFont="1" applyFill="1" applyBorder="1"/>
    <xf numFmtId="164" fontId="2" fillId="9" borderId="24" xfId="1" applyNumberFormat="1" applyFont="1" applyFill="1" applyBorder="1"/>
    <xf numFmtId="164" fontId="2" fillId="9" borderId="0" xfId="1" applyNumberFormat="1" applyFont="1" applyFill="1" applyBorder="1"/>
    <xf numFmtId="164" fontId="2" fillId="9" borderId="25" xfId="1" applyNumberFormat="1" applyFont="1" applyFill="1" applyBorder="1"/>
    <xf numFmtId="164" fontId="17" fillId="3" borderId="19" xfId="1" applyNumberFormat="1" applyFont="1" applyFill="1" applyBorder="1"/>
    <xf numFmtId="164" fontId="17" fillId="3" borderId="21" xfId="1" applyNumberFormat="1" applyFont="1" applyFill="1" applyBorder="1"/>
    <xf numFmtId="164" fontId="17" fillId="3" borderId="22" xfId="1" applyNumberFormat="1" applyFont="1" applyFill="1" applyBorder="1"/>
    <xf numFmtId="164" fontId="17" fillId="3" borderId="23" xfId="1" applyNumberFormat="1" applyFont="1" applyFill="1" applyBorder="1"/>
    <xf numFmtId="10" fontId="18" fillId="3" borderId="20" xfId="2" applyNumberFormat="1" applyFont="1" applyFill="1" applyBorder="1"/>
    <xf numFmtId="164" fontId="18" fillId="26" borderId="18" xfId="1" applyNumberFormat="1" applyFont="1" applyFill="1" applyBorder="1"/>
    <xf numFmtId="164" fontId="17" fillId="26" borderId="19" xfId="1" applyNumberFormat="1" applyFont="1" applyFill="1" applyBorder="1"/>
    <xf numFmtId="164" fontId="17" fillId="26" borderId="20" xfId="1" applyNumberFormat="1" applyFont="1" applyFill="1" applyBorder="1"/>
    <xf numFmtId="164" fontId="2" fillId="21" borderId="24" xfId="1" applyNumberFormat="1" applyFont="1" applyFill="1" applyBorder="1"/>
    <xf numFmtId="164" fontId="2" fillId="21" borderId="0" xfId="1" applyNumberFormat="1" applyFont="1" applyFill="1" applyBorder="1"/>
    <xf numFmtId="164" fontId="2" fillId="21" borderId="25" xfId="1" applyNumberFormat="1" applyFont="1" applyFill="1" applyBorder="1"/>
    <xf numFmtId="164" fontId="18" fillId="3" borderId="18" xfId="1" applyNumberFormat="1" applyFont="1" applyFill="1" applyBorder="1"/>
    <xf numFmtId="10" fontId="2" fillId="9" borderId="0" xfId="2" applyNumberFormat="1" applyFont="1" applyFill="1" applyBorder="1" applyAlignment="1">
      <alignment horizontal="center"/>
    </xf>
    <xf numFmtId="164" fontId="2" fillId="6" borderId="18" xfId="1" applyNumberFormat="1" applyFont="1" applyFill="1" applyBorder="1"/>
    <xf numFmtId="164" fontId="0" fillId="6" borderId="19" xfId="1" applyNumberFormat="1" applyFont="1" applyFill="1" applyBorder="1"/>
    <xf numFmtId="164" fontId="0" fillId="6" borderId="20" xfId="1" applyNumberFormat="1" applyFont="1" applyFill="1" applyBorder="1"/>
    <xf numFmtId="9" fontId="2" fillId="7" borderId="0" xfId="2" applyFont="1" applyFill="1"/>
    <xf numFmtId="164" fontId="0" fillId="0" borderId="25" xfId="1" applyNumberFormat="1" applyFont="1" applyBorder="1" applyAlignment="1">
      <alignment horizontal="right"/>
    </xf>
    <xf numFmtId="164" fontId="2" fillId="16" borderId="25" xfId="1" applyNumberFormat="1" applyFont="1" applyFill="1" applyBorder="1" applyAlignment="1">
      <alignment horizontal="right"/>
    </xf>
    <xf numFmtId="164" fontId="0" fillId="27" borderId="25" xfId="1" applyNumberFormat="1" applyFont="1" applyFill="1" applyBorder="1"/>
    <xf numFmtId="164" fontId="19" fillId="0" borderId="24" xfId="1" applyNumberFormat="1" applyFont="1" applyBorder="1"/>
    <xf numFmtId="164" fontId="49" fillId="0" borderId="24" xfId="1" applyNumberFormat="1" applyFont="1" applyBorder="1"/>
    <xf numFmtId="164" fontId="2" fillId="29" borderId="25" xfId="1" applyNumberFormat="1" applyFont="1" applyFill="1" applyBorder="1"/>
    <xf numFmtId="164" fontId="0" fillId="29" borderId="0" xfId="1" applyNumberFormat="1" applyFont="1" applyFill="1"/>
    <xf numFmtId="9" fontId="2" fillId="7" borderId="12" xfId="2" applyFont="1" applyFill="1" applyBorder="1"/>
    <xf numFmtId="164" fontId="0" fillId="29" borderId="14" xfId="1" applyNumberFormat="1" applyFont="1" applyFill="1" applyBorder="1"/>
    <xf numFmtId="164" fontId="2" fillId="0" borderId="0" xfId="1" applyNumberFormat="1" applyFont="1"/>
    <xf numFmtId="164" fontId="2" fillId="0" borderId="0" xfId="1" applyNumberFormat="1" applyFont="1" applyAlignment="1">
      <alignment horizontal="center"/>
    </xf>
    <xf numFmtId="164" fontId="2" fillId="7" borderId="26" xfId="1" applyNumberFormat="1" applyFont="1" applyFill="1" applyBorder="1"/>
    <xf numFmtId="164" fontId="2" fillId="7" borderId="19" xfId="1" applyNumberFormat="1" applyFont="1" applyFill="1" applyBorder="1"/>
    <xf numFmtId="164" fontId="2" fillId="7" borderId="22" xfId="1" applyNumberFormat="1" applyFont="1" applyFill="1" applyBorder="1"/>
    <xf numFmtId="164" fontId="1" fillId="32" borderId="18" xfId="1" applyNumberFormat="1" applyFont="1" applyFill="1" applyBorder="1"/>
    <xf numFmtId="164" fontId="1" fillId="32" borderId="20" xfId="1" applyNumberFormat="1" applyFont="1" applyFill="1" applyBorder="1"/>
    <xf numFmtId="164" fontId="1" fillId="32" borderId="25" xfId="1" applyNumberFormat="1" applyFont="1" applyFill="1" applyBorder="1"/>
    <xf numFmtId="164" fontId="2" fillId="0" borderId="18" xfId="1" applyNumberFormat="1" applyFont="1" applyBorder="1" applyAlignment="1">
      <alignment horizontal="center"/>
    </xf>
    <xf numFmtId="164" fontId="2" fillId="0" borderId="19" xfId="1" applyNumberFormat="1" applyFont="1" applyBorder="1" applyAlignment="1">
      <alignment horizontal="center"/>
    </xf>
    <xf numFmtId="164" fontId="2" fillId="10" borderId="24" xfId="1" applyNumberFormat="1" applyFont="1" applyFill="1" applyBorder="1"/>
    <xf numFmtId="164" fontId="0" fillId="10" borderId="0" xfId="1" applyNumberFormat="1" applyFont="1" applyFill="1" applyBorder="1"/>
    <xf numFmtId="164" fontId="2" fillId="10" borderId="12" xfId="1" applyNumberFormat="1" applyFont="1" applyFill="1" applyBorder="1"/>
    <xf numFmtId="164" fontId="0" fillId="10" borderId="13" xfId="1" applyNumberFormat="1" applyFont="1" applyFill="1" applyBorder="1"/>
    <xf numFmtId="164" fontId="2" fillId="29" borderId="14" xfId="1" applyNumberFormat="1" applyFont="1" applyFill="1" applyBorder="1"/>
    <xf numFmtId="164" fontId="2" fillId="0" borderId="21" xfId="1" applyNumberFormat="1" applyFont="1" applyBorder="1"/>
    <xf numFmtId="164" fontId="19" fillId="0" borderId="22" xfId="1" applyNumberFormat="1" applyFont="1" applyBorder="1"/>
    <xf numFmtId="164" fontId="2" fillId="10" borderId="13" xfId="1" applyNumberFormat="1" applyFont="1" applyFill="1" applyBorder="1"/>
    <xf numFmtId="164" fontId="2" fillId="10" borderId="14" xfId="1" applyNumberFormat="1" applyFont="1" applyFill="1" applyBorder="1"/>
    <xf numFmtId="9" fontId="2" fillId="0" borderId="0" xfId="2" applyFont="1" applyAlignment="1">
      <alignment horizontal="center"/>
    </xf>
    <xf numFmtId="164" fontId="2" fillId="25" borderId="26" xfId="1" applyNumberFormat="1" applyFont="1" applyFill="1" applyBorder="1"/>
    <xf numFmtId="164" fontId="2" fillId="7" borderId="0" xfId="1" applyNumberFormat="1" applyFont="1" applyFill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0" fillId="0" borderId="0" xfId="0" applyBorder="1"/>
    <xf numFmtId="3" fontId="0" fillId="0" borderId="0" xfId="0" applyNumberFormat="1" applyBorder="1"/>
    <xf numFmtId="0" fontId="0" fillId="0" borderId="5" xfId="0" applyBorder="1"/>
    <xf numFmtId="3" fontId="0" fillId="0" borderId="5" xfId="0" applyNumberFormat="1" applyBorder="1"/>
    <xf numFmtId="9" fontId="2" fillId="16" borderId="0" xfId="0" applyNumberFormat="1" applyFont="1" applyFill="1"/>
    <xf numFmtId="0" fontId="2" fillId="9" borderId="0" xfId="0" applyFont="1" applyFill="1" applyBorder="1" applyAlignment="1">
      <alignment horizontal="left"/>
    </xf>
    <xf numFmtId="0" fontId="0" fillId="9" borderId="0" xfId="0" applyFill="1" applyBorder="1"/>
    <xf numFmtId="0" fontId="2" fillId="9" borderId="0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3" fontId="0" fillId="0" borderId="2" xfId="0" applyNumberFormat="1" applyBorder="1"/>
    <xf numFmtId="0" fontId="0" fillId="0" borderId="5" xfId="0" applyFill="1" applyBorder="1"/>
    <xf numFmtId="3" fontId="19" fillId="0" borderId="0" xfId="0" applyNumberFormat="1" applyFont="1"/>
    <xf numFmtId="0" fontId="19" fillId="0" borderId="0" xfId="0" applyFont="1"/>
    <xf numFmtId="0" fontId="19" fillId="0" borderId="5" xfId="0" applyFont="1" applyBorder="1"/>
    <xf numFmtId="3" fontId="19" fillId="0" borderId="5" xfId="0" applyNumberFormat="1" applyFont="1" applyBorder="1"/>
    <xf numFmtId="0" fontId="19" fillId="0" borderId="0" xfId="0" applyFont="1" applyFill="1" applyBorder="1"/>
    <xf numFmtId="0" fontId="19" fillId="0" borderId="5" xfId="0" applyFont="1" applyFill="1" applyBorder="1"/>
    <xf numFmtId="3" fontId="0" fillId="24" borderId="0" xfId="0" applyNumberFormat="1" applyFill="1"/>
    <xf numFmtId="3" fontId="2" fillId="24" borderId="0" xfId="0" applyNumberFormat="1" applyFont="1" applyFill="1"/>
    <xf numFmtId="0" fontId="2" fillId="14" borderId="0" xfId="0" applyFont="1" applyFill="1" applyAlignment="1">
      <alignment horizontal="center"/>
    </xf>
    <xf numFmtId="3" fontId="2" fillId="12" borderId="0" xfId="0" applyNumberFormat="1" applyFont="1" applyFill="1"/>
    <xf numFmtId="0" fontId="2" fillId="9" borderId="2" xfId="0" applyFont="1" applyFill="1" applyBorder="1"/>
    <xf numFmtId="3" fontId="2" fillId="9" borderId="2" xfId="0" applyNumberFormat="1" applyFont="1" applyFill="1" applyBorder="1"/>
    <xf numFmtId="0" fontId="2" fillId="9" borderId="5" xfId="0" applyFont="1" applyFill="1" applyBorder="1"/>
    <xf numFmtId="3" fontId="2" fillId="9" borderId="5" xfId="0" applyNumberFormat="1" applyFont="1" applyFill="1" applyBorder="1"/>
    <xf numFmtId="0" fontId="2" fillId="14" borderId="0" xfId="0" applyFont="1" applyFill="1"/>
    <xf numFmtId="3" fontId="2" fillId="9" borderId="0" xfId="0" applyNumberFormat="1" applyFont="1" applyFill="1" applyBorder="1"/>
    <xf numFmtId="3" fontId="0" fillId="9" borderId="25" xfId="0" applyNumberFormat="1" applyFill="1" applyBorder="1"/>
    <xf numFmtId="0" fontId="0" fillId="0" borderId="21" xfId="0" applyBorder="1"/>
    <xf numFmtId="3" fontId="0" fillId="0" borderId="22" xfId="0" applyNumberFormat="1" applyBorder="1"/>
    <xf numFmtId="3" fontId="0" fillId="9" borderId="23" xfId="0" applyNumberFormat="1" applyFill="1" applyBorder="1"/>
    <xf numFmtId="0" fontId="0" fillId="9" borderId="0" xfId="0" applyFill="1" applyBorder="1" applyAlignment="1">
      <alignment horizontal="center"/>
    </xf>
    <xf numFmtId="0" fontId="52" fillId="9" borderId="0" xfId="0" quotePrefix="1" applyFont="1" applyFill="1"/>
    <xf numFmtId="0" fontId="56" fillId="9" borderId="0" xfId="0" applyFont="1" applyFill="1"/>
    <xf numFmtId="0" fontId="2" fillId="5" borderId="0" xfId="0" applyFont="1" applyFill="1"/>
    <xf numFmtId="0" fontId="16" fillId="5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466619</xdr:colOff>
      <xdr:row>8</xdr:row>
      <xdr:rowOff>153900</xdr:rowOff>
    </xdr:from>
    <xdr:to>
      <xdr:col>5</xdr:col>
      <xdr:colOff>84624</xdr:colOff>
      <xdr:row>10</xdr:row>
      <xdr:rowOff>57455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51829C66-6D78-06DA-0FCB-46A7061A2E4F}"/>
            </a:ext>
          </a:extLst>
        </xdr:cNvPr>
        <xdr:cNvSpPr/>
      </xdr:nvSpPr>
      <xdr:spPr>
        <a:xfrm>
          <a:off x="2752619" y="1738514"/>
          <a:ext cx="284755" cy="28455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372336</xdr:colOff>
      <xdr:row>87</xdr:row>
      <xdr:rowOff>103914</xdr:rowOff>
    </xdr:from>
    <xdr:to>
      <xdr:col>4</xdr:col>
      <xdr:colOff>47621</xdr:colOff>
      <xdr:row>89</xdr:row>
      <xdr:rowOff>119789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6BF6B1FE-3BEB-76CC-EFD9-85AB8F2E7D82}"/>
            </a:ext>
          </a:extLst>
        </xdr:cNvPr>
        <xdr:cNvSpPr/>
      </xdr:nvSpPr>
      <xdr:spPr>
        <a:xfrm>
          <a:off x="1991586" y="16963164"/>
          <a:ext cx="342035" cy="39687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95250</xdr:colOff>
      <xdr:row>8</xdr:row>
      <xdr:rowOff>112568</xdr:rowOff>
    </xdr:from>
    <xdr:to>
      <xdr:col>7</xdr:col>
      <xdr:colOff>346364</xdr:colOff>
      <xdr:row>10</xdr:row>
      <xdr:rowOff>86591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2C4C81CD-0434-28E8-BDB2-11E3C2518FE5}"/>
            </a:ext>
          </a:extLst>
        </xdr:cNvPr>
        <xdr:cNvSpPr/>
      </xdr:nvSpPr>
      <xdr:spPr>
        <a:xfrm>
          <a:off x="4312227" y="1697182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91786</xdr:colOff>
      <xdr:row>11</xdr:row>
      <xdr:rowOff>13854</xdr:rowOff>
    </xdr:from>
    <xdr:to>
      <xdr:col>7</xdr:col>
      <xdr:colOff>342900</xdr:colOff>
      <xdr:row>12</xdr:row>
      <xdr:rowOff>178377</xdr:rowOff>
    </xdr:to>
    <xdr:sp macro="" textlink="">
      <xdr:nvSpPr>
        <xdr:cNvPr id="5" name="Flecha: hacia arriba 4">
          <a:extLst>
            <a:ext uri="{FF2B5EF4-FFF2-40B4-BE49-F238E27FC236}">
              <a16:creationId xmlns:a16="http://schemas.microsoft.com/office/drawing/2014/main" id="{0FDC0E6C-1F40-47EA-9CDC-E6F33B9F680D}"/>
            </a:ext>
          </a:extLst>
        </xdr:cNvPr>
        <xdr:cNvSpPr/>
      </xdr:nvSpPr>
      <xdr:spPr>
        <a:xfrm rot="10800000">
          <a:off x="4308763" y="2178627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6</xdr:col>
      <xdr:colOff>753422</xdr:colOff>
      <xdr:row>21</xdr:row>
      <xdr:rowOff>38596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FC92C9-583B-4C53-7FD0-D77D9700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782747" cy="3553321"/>
        </a:xfrm>
        <a:prstGeom prst="rect">
          <a:avLst/>
        </a:prstGeom>
      </xdr:spPr>
    </xdr:pic>
    <xdr:clientData/>
  </xdr:twoCellAnchor>
  <xdr:twoCellAnchor>
    <xdr:from>
      <xdr:col>6</xdr:col>
      <xdr:colOff>395301</xdr:colOff>
      <xdr:row>54</xdr:row>
      <xdr:rowOff>85724</xdr:rowOff>
    </xdr:from>
    <xdr:to>
      <xdr:col>7</xdr:col>
      <xdr:colOff>423876</xdr:colOff>
      <xdr:row>57</xdr:row>
      <xdr:rowOff>61923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74B71C3E-250D-5A22-4EFA-962BD9B5F38B}"/>
            </a:ext>
          </a:extLst>
        </xdr:cNvPr>
        <xdr:cNvSpPr/>
      </xdr:nvSpPr>
      <xdr:spPr>
        <a:xfrm rot="16200000">
          <a:off x="5555464" y="12070561"/>
          <a:ext cx="690574" cy="93345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58</xdr:row>
      <xdr:rowOff>180974</xdr:rowOff>
    </xdr:from>
    <xdr:to>
      <xdr:col>7</xdr:col>
      <xdr:colOff>594636</xdr:colOff>
      <xdr:row>67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2824A1-E877-F6CE-983B-306F2334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239749"/>
          <a:ext cx="7585986" cy="2124076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59</xdr:row>
      <xdr:rowOff>152400</xdr:rowOff>
    </xdr:from>
    <xdr:to>
      <xdr:col>6</xdr:col>
      <xdr:colOff>19050</xdr:colOff>
      <xdr:row>59</xdr:row>
      <xdr:rowOff>152400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99A1A21-3070-A1C4-1E19-8E284C9D2023}"/>
            </a:ext>
          </a:extLst>
        </xdr:cNvPr>
        <xdr:cNvCxnSpPr/>
      </xdr:nvCxnSpPr>
      <xdr:spPr>
        <a:xfrm>
          <a:off x="2057400" y="13449300"/>
          <a:ext cx="300037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857248</xdr:colOff>
      <xdr:row>67</xdr:row>
      <xdr:rowOff>200024</xdr:rowOff>
    </xdr:from>
    <xdr:to>
      <xdr:col>4</xdr:col>
      <xdr:colOff>104774</xdr:colOff>
      <xdr:row>74</xdr:row>
      <xdr:rowOff>38098</xdr:rowOff>
    </xdr:to>
    <xdr:sp macro="" textlink="">
      <xdr:nvSpPr>
        <xdr:cNvPr id="9" name="Flecha: hacia arriba 8">
          <a:extLst>
            <a:ext uri="{FF2B5EF4-FFF2-40B4-BE49-F238E27FC236}">
              <a16:creationId xmlns:a16="http://schemas.microsoft.com/office/drawing/2014/main" id="{A9534F06-9A9B-4E9B-8818-A24129F31EB6}"/>
            </a:ext>
          </a:extLst>
        </xdr:cNvPr>
        <xdr:cNvSpPr/>
      </xdr:nvSpPr>
      <xdr:spPr>
        <a:xfrm rot="10800000">
          <a:off x="3695698" y="15401924"/>
          <a:ext cx="228601" cy="1504949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381000</xdr:colOff>
      <xdr:row>105</xdr:row>
      <xdr:rowOff>200025</xdr:rowOff>
    </xdr:from>
    <xdr:to>
      <xdr:col>3</xdr:col>
      <xdr:colOff>0</xdr:colOff>
      <xdr:row>109</xdr:row>
      <xdr:rowOff>0</xdr:rowOff>
    </xdr:to>
    <xdr:sp macro="" textlink="">
      <xdr:nvSpPr>
        <xdr:cNvPr id="11" name="Flecha: hacia arriba 10">
          <a:extLst>
            <a:ext uri="{FF2B5EF4-FFF2-40B4-BE49-F238E27FC236}">
              <a16:creationId xmlns:a16="http://schemas.microsoft.com/office/drawing/2014/main" id="{5A7A4E74-1636-B57B-1732-1B64DA673DAD}"/>
            </a:ext>
          </a:extLst>
        </xdr:cNvPr>
        <xdr:cNvSpPr/>
      </xdr:nvSpPr>
      <xdr:spPr>
        <a:xfrm rot="16200000">
          <a:off x="2476500" y="24584025"/>
          <a:ext cx="752475" cy="58102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110</xdr:row>
      <xdr:rowOff>57151</xdr:rowOff>
    </xdr:from>
    <xdr:to>
      <xdr:col>6</xdr:col>
      <xdr:colOff>914400</xdr:colOff>
      <xdr:row>118</xdr:row>
      <xdr:rowOff>164528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7721B9B-24FE-98A9-E317-ADE5C712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546051"/>
          <a:ext cx="6943725" cy="2012377"/>
        </a:xfrm>
        <a:prstGeom prst="rect">
          <a:avLst/>
        </a:prstGeom>
      </xdr:spPr>
    </xdr:pic>
    <xdr:clientData/>
  </xdr:twoCellAnchor>
  <xdr:twoCellAnchor>
    <xdr:from>
      <xdr:col>4</xdr:col>
      <xdr:colOff>104776</xdr:colOff>
      <xdr:row>150</xdr:row>
      <xdr:rowOff>219075</xdr:rowOff>
    </xdr:from>
    <xdr:to>
      <xdr:col>4</xdr:col>
      <xdr:colOff>600076</xdr:colOff>
      <xdr:row>152</xdr:row>
      <xdr:rowOff>200025</xdr:rowOff>
    </xdr:to>
    <xdr:sp macro="" textlink="">
      <xdr:nvSpPr>
        <xdr:cNvPr id="15" name="Flecha: a la derecha 14">
          <a:extLst>
            <a:ext uri="{FF2B5EF4-FFF2-40B4-BE49-F238E27FC236}">
              <a16:creationId xmlns:a16="http://schemas.microsoft.com/office/drawing/2014/main" id="{44A38C09-6606-4AB7-95E6-02299FB5FFEB}"/>
            </a:ext>
          </a:extLst>
        </xdr:cNvPr>
        <xdr:cNvSpPr/>
      </xdr:nvSpPr>
      <xdr:spPr>
        <a:xfrm>
          <a:off x="4210051" y="35290125"/>
          <a:ext cx="495300" cy="457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8</xdr:col>
      <xdr:colOff>942975</xdr:colOff>
      <xdr:row>170</xdr:row>
      <xdr:rowOff>200025</xdr:rowOff>
    </xdr:from>
    <xdr:to>
      <xdr:col>10</xdr:col>
      <xdr:colOff>180975</xdr:colOff>
      <xdr:row>172</xdr:row>
      <xdr:rowOff>171450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719741A1-8C7D-3829-54D9-792514CB18DC}"/>
            </a:ext>
          </a:extLst>
        </xdr:cNvPr>
        <xdr:cNvSpPr/>
      </xdr:nvSpPr>
      <xdr:spPr>
        <a:xfrm>
          <a:off x="8896350" y="40071675"/>
          <a:ext cx="1162050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41413</xdr:colOff>
      <xdr:row>47</xdr:row>
      <xdr:rowOff>24848</xdr:rowOff>
    </xdr:from>
    <xdr:to>
      <xdr:col>5</xdr:col>
      <xdr:colOff>306456</xdr:colOff>
      <xdr:row>48</xdr:row>
      <xdr:rowOff>57979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5AC0CD1E-E26E-5EAD-4F6D-76618AE91424}"/>
            </a:ext>
          </a:extLst>
        </xdr:cNvPr>
        <xdr:cNvSpPr/>
      </xdr:nvSpPr>
      <xdr:spPr>
        <a:xfrm>
          <a:off x="3636065" y="9558131"/>
          <a:ext cx="265043" cy="23191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738188</xdr:colOff>
      <xdr:row>19</xdr:row>
      <xdr:rowOff>15877</xdr:rowOff>
    </xdr:from>
    <xdr:to>
      <xdr:col>11</xdr:col>
      <xdr:colOff>333376</xdr:colOff>
      <xdr:row>20</xdr:row>
      <xdr:rowOff>182565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3C7F4709-E2AB-9257-9447-23B7C17F7E97}"/>
            </a:ext>
          </a:extLst>
        </xdr:cNvPr>
        <xdr:cNvSpPr/>
      </xdr:nvSpPr>
      <xdr:spPr>
        <a:xfrm rot="18126873">
          <a:off x="7881938" y="3635377"/>
          <a:ext cx="357188" cy="357188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27</xdr:row>
      <xdr:rowOff>239163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C8CC6-257D-8CE2-8A03-05D2B226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0" cy="7440063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714375</xdr:colOff>
      <xdr:row>0</xdr:row>
      <xdr:rowOff>0</xdr:rowOff>
    </xdr:from>
    <xdr:to>
      <xdr:col>18</xdr:col>
      <xdr:colOff>285750</xdr:colOff>
      <xdr:row>26</xdr:row>
      <xdr:rowOff>137440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A5EF76-AB08-7369-E6A0-A1E957D5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0"/>
          <a:ext cx="4857750" cy="7071640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0</xdr:row>
      <xdr:rowOff>0</xdr:rowOff>
    </xdr:from>
    <xdr:to>
      <xdr:col>25</xdr:col>
      <xdr:colOff>362673</xdr:colOff>
      <xdr:row>26</xdr:row>
      <xdr:rowOff>91379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6E3CF1-56E9-60D5-4D6A-9C4976CD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4125" y="0"/>
          <a:ext cx="4925148" cy="7025579"/>
        </a:xfrm>
        <a:prstGeom prst="rect">
          <a:avLst/>
        </a:prstGeom>
      </xdr:spPr>
    </xdr:pic>
    <xdr:clientData/>
  </xdr:twoCellAnchor>
  <xdr:twoCellAnchor>
    <xdr:from>
      <xdr:col>25</xdr:col>
      <xdr:colOff>714375</xdr:colOff>
      <xdr:row>15</xdr:row>
      <xdr:rowOff>247650</xdr:rowOff>
    </xdr:from>
    <xdr:to>
      <xdr:col>26</xdr:col>
      <xdr:colOff>676275</xdr:colOff>
      <xdr:row>17</xdr:row>
      <xdr:rowOff>190500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4E75504F-D1B9-6FAB-02EE-28DBF6519F13}"/>
            </a:ext>
          </a:extLst>
        </xdr:cNvPr>
        <xdr:cNvSpPr/>
      </xdr:nvSpPr>
      <xdr:spPr>
        <a:xfrm flipH="1">
          <a:off x="18059400" y="4248150"/>
          <a:ext cx="723900" cy="4762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34</xdr:row>
      <xdr:rowOff>76203</xdr:rowOff>
    </xdr:from>
    <xdr:to>
      <xdr:col>8</xdr:col>
      <xdr:colOff>433957</xdr:colOff>
      <xdr:row>55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8CEFD-47DB-6C93-572B-A79589F6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19878"/>
          <a:ext cx="6520432" cy="4095748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9</xdr:row>
      <xdr:rowOff>19050</xdr:rowOff>
    </xdr:from>
    <xdr:to>
      <xdr:col>2</xdr:col>
      <xdr:colOff>752475</xdr:colOff>
      <xdr:row>10</xdr:row>
      <xdr:rowOff>171450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2E2A2B8-CF33-5B56-21A1-F12A6567B911}"/>
            </a:ext>
          </a:extLst>
        </xdr:cNvPr>
        <xdr:cNvSpPr/>
      </xdr:nvSpPr>
      <xdr:spPr>
        <a:xfrm>
          <a:off x="1885950" y="600075"/>
          <a:ext cx="390525" cy="342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323240</xdr:colOff>
      <xdr:row>0</xdr:row>
      <xdr:rowOff>0</xdr:rowOff>
    </xdr:from>
    <xdr:to>
      <xdr:col>4</xdr:col>
      <xdr:colOff>618982</xdr:colOff>
      <xdr:row>31</xdr:row>
      <xdr:rowOff>10360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468E8E-A32E-14D8-48CB-BDE36245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240" y="0"/>
          <a:ext cx="3343742" cy="5961843"/>
        </a:xfrm>
        <a:prstGeom prst="rect">
          <a:avLst/>
        </a:prstGeom>
      </xdr:spPr>
    </xdr:pic>
    <xdr:clientData/>
  </xdr:twoCellAnchor>
  <xdr:twoCellAnchor>
    <xdr:from>
      <xdr:col>3</xdr:col>
      <xdr:colOff>446686</xdr:colOff>
      <xdr:row>15</xdr:row>
      <xdr:rowOff>137946</xdr:rowOff>
    </xdr:from>
    <xdr:to>
      <xdr:col>4</xdr:col>
      <xdr:colOff>243051</xdr:colOff>
      <xdr:row>17</xdr:row>
      <xdr:rowOff>52547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B5BBE489-9588-4A59-A33C-F98B61011386}"/>
            </a:ext>
          </a:extLst>
        </xdr:cNvPr>
        <xdr:cNvSpPr/>
      </xdr:nvSpPr>
      <xdr:spPr>
        <a:xfrm flipV="1">
          <a:off x="2732686" y="3041429"/>
          <a:ext cx="558365" cy="295601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131380</xdr:colOff>
      <xdr:row>47</xdr:row>
      <xdr:rowOff>37803</xdr:rowOff>
    </xdr:from>
    <xdr:to>
      <xdr:col>9</xdr:col>
      <xdr:colOff>420414</xdr:colOff>
      <xdr:row>68</xdr:row>
      <xdr:rowOff>100879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A630DDC-1007-3FAF-DFC1-9ADF9D85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380" y="9037286"/>
          <a:ext cx="7147034" cy="4405162"/>
        </a:xfrm>
        <a:prstGeom prst="rect">
          <a:avLst/>
        </a:prstGeom>
      </xdr:spPr>
    </xdr:pic>
    <xdr:clientData/>
  </xdr:twoCellAnchor>
  <xdr:twoCellAnchor>
    <xdr:from>
      <xdr:col>0</xdr:col>
      <xdr:colOff>676603</xdr:colOff>
      <xdr:row>15</xdr:row>
      <xdr:rowOff>139259</xdr:rowOff>
    </xdr:from>
    <xdr:to>
      <xdr:col>1</xdr:col>
      <xdr:colOff>402018</xdr:colOff>
      <xdr:row>17</xdr:row>
      <xdr:rowOff>53860</xdr:rowOff>
    </xdr:to>
    <xdr:sp macro="" textlink="">
      <xdr:nvSpPr>
        <xdr:cNvPr id="8" name="Flecha: hacia la izquierda 7">
          <a:extLst>
            <a:ext uri="{FF2B5EF4-FFF2-40B4-BE49-F238E27FC236}">
              <a16:creationId xmlns:a16="http://schemas.microsoft.com/office/drawing/2014/main" id="{CFE8F6BB-5380-4357-B42D-20386CF75807}"/>
            </a:ext>
          </a:extLst>
        </xdr:cNvPr>
        <xdr:cNvSpPr/>
      </xdr:nvSpPr>
      <xdr:spPr>
        <a:xfrm flipH="1" flipV="1">
          <a:off x="676603" y="3042742"/>
          <a:ext cx="487415" cy="295601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120315</xdr:colOff>
      <xdr:row>5</xdr:row>
      <xdr:rowOff>45118</xdr:rowOff>
    </xdr:from>
    <xdr:to>
      <xdr:col>1</xdr:col>
      <xdr:colOff>406065</xdr:colOff>
      <xdr:row>6</xdr:row>
      <xdr:rowOff>40105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02844BB-E9BD-9249-E727-2C8DBA1D22F5}"/>
            </a:ext>
          </a:extLst>
        </xdr:cNvPr>
        <xdr:cNvSpPr/>
      </xdr:nvSpPr>
      <xdr:spPr>
        <a:xfrm>
          <a:off x="521368" y="1007644"/>
          <a:ext cx="285750" cy="18548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21773</xdr:colOff>
      <xdr:row>4</xdr:row>
      <xdr:rowOff>81644</xdr:rowOff>
    </xdr:from>
    <xdr:to>
      <xdr:col>6</xdr:col>
      <xdr:colOff>391887</xdr:colOff>
      <xdr:row>8</xdr:row>
      <xdr:rowOff>153791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5E3DE-D096-4493-A920-0F74168C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3" y="653144"/>
          <a:ext cx="4180114" cy="834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12251</xdr:colOff>
      <xdr:row>9</xdr:row>
      <xdr:rowOff>99237</xdr:rowOff>
    </xdr:from>
    <xdr:to>
      <xdr:col>6</xdr:col>
      <xdr:colOff>381001</xdr:colOff>
      <xdr:row>14</xdr:row>
      <xdr:rowOff>88860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7A0F7E-97A1-411B-8DE5-EA540798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51" y="1623237"/>
          <a:ext cx="4178750" cy="94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147535</xdr:colOff>
      <xdr:row>26</xdr:row>
      <xdr:rowOff>51386</xdr:rowOff>
    </xdr:from>
    <xdr:to>
      <xdr:col>0</xdr:col>
      <xdr:colOff>381577</xdr:colOff>
      <xdr:row>27</xdr:row>
      <xdr:rowOff>89486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DEDADF68-972C-D5C8-8224-B40516807F62}"/>
            </a:ext>
          </a:extLst>
        </xdr:cNvPr>
        <xdr:cNvSpPr/>
      </xdr:nvSpPr>
      <xdr:spPr>
        <a:xfrm>
          <a:off x="147535" y="4720959"/>
          <a:ext cx="234042" cy="2286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198785</xdr:colOff>
      <xdr:row>181</xdr:row>
      <xdr:rowOff>41413</xdr:rowOff>
    </xdr:from>
    <xdr:to>
      <xdr:col>13</xdr:col>
      <xdr:colOff>472111</xdr:colOff>
      <xdr:row>184</xdr:row>
      <xdr:rowOff>33130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42A82732-0ACB-6136-87EC-08DCF0438824}"/>
            </a:ext>
          </a:extLst>
        </xdr:cNvPr>
        <xdr:cNvSpPr/>
      </xdr:nvSpPr>
      <xdr:spPr>
        <a:xfrm>
          <a:off x="7686263" y="45082239"/>
          <a:ext cx="4083326" cy="7620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5</xdr:col>
      <xdr:colOff>115959</xdr:colOff>
      <xdr:row>236</xdr:row>
      <xdr:rowOff>140806</xdr:rowOff>
    </xdr:from>
    <xdr:to>
      <xdr:col>5</xdr:col>
      <xdr:colOff>513524</xdr:colOff>
      <xdr:row>238</xdr:row>
      <xdr:rowOff>231914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B723AA13-9F71-77C0-D05B-3599942D53F6}"/>
            </a:ext>
          </a:extLst>
        </xdr:cNvPr>
        <xdr:cNvSpPr/>
      </xdr:nvSpPr>
      <xdr:spPr>
        <a:xfrm flipV="1">
          <a:off x="4621698" y="58980458"/>
          <a:ext cx="397565" cy="60463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4</xdr:row>
      <xdr:rowOff>0</xdr:rowOff>
    </xdr:from>
    <xdr:to>
      <xdr:col>7</xdr:col>
      <xdr:colOff>627630</xdr:colOff>
      <xdr:row>12</xdr:row>
      <xdr:rowOff>289010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7F9806-F4C9-207E-7520-EDEE7428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1181100"/>
          <a:ext cx="6105525" cy="26512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219075</xdr:rowOff>
    </xdr:from>
    <xdr:to>
      <xdr:col>7</xdr:col>
      <xdr:colOff>592448</xdr:colOff>
      <xdr:row>16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1A756A-A6FB-9E07-A5B7-230528BC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3762375"/>
          <a:ext cx="6032974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10768</xdr:colOff>
      <xdr:row>18</xdr:row>
      <xdr:rowOff>166894</xdr:rowOff>
    </xdr:from>
    <xdr:to>
      <xdr:col>7</xdr:col>
      <xdr:colOff>558746</xdr:colOff>
      <xdr:row>28</xdr:row>
      <xdr:rowOff>78270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E35006-1BC1-274D-3CFF-14957AC6F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2768" y="5534024"/>
          <a:ext cx="6026604" cy="289311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</xdr:row>
      <xdr:rowOff>19050</xdr:rowOff>
    </xdr:from>
    <xdr:to>
      <xdr:col>7</xdr:col>
      <xdr:colOff>618213</xdr:colOff>
      <xdr:row>37</xdr:row>
      <xdr:rowOff>245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BBC2BAB-D4E3-CF6D-D368-F42D6374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5" y="8582025"/>
          <a:ext cx="6011114" cy="1752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285750</xdr:rowOff>
    </xdr:from>
    <xdr:to>
      <xdr:col>7</xdr:col>
      <xdr:colOff>608699</xdr:colOff>
      <xdr:row>49</xdr:row>
      <xdr:rowOff>105286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20A02F-6D58-57AD-1C42-77295BA3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10325100"/>
          <a:ext cx="6087325" cy="3658111"/>
        </a:xfrm>
        <a:prstGeom prst="rect">
          <a:avLst/>
        </a:prstGeom>
      </xdr:spPr>
    </xdr:pic>
    <xdr:clientData/>
  </xdr:twoCellAnchor>
  <xdr:twoCellAnchor>
    <xdr:from>
      <xdr:col>8</xdr:col>
      <xdr:colOff>211620</xdr:colOff>
      <xdr:row>68</xdr:row>
      <xdr:rowOff>248063</xdr:rowOff>
    </xdr:from>
    <xdr:to>
      <xdr:col>9</xdr:col>
      <xdr:colOff>95249</xdr:colOff>
      <xdr:row>71</xdr:row>
      <xdr:rowOff>47624</xdr:rowOff>
    </xdr:to>
    <xdr:sp macro="" textlink="">
      <xdr:nvSpPr>
        <xdr:cNvPr id="7" name="Flecha: hacia la izquierda 6">
          <a:extLst>
            <a:ext uri="{FF2B5EF4-FFF2-40B4-BE49-F238E27FC236}">
              <a16:creationId xmlns:a16="http://schemas.microsoft.com/office/drawing/2014/main" id="{2B6D21CA-706D-1CD7-D300-DD3622A69FED}"/>
            </a:ext>
          </a:extLst>
        </xdr:cNvPr>
        <xdr:cNvSpPr/>
      </xdr:nvSpPr>
      <xdr:spPr>
        <a:xfrm rot="10800000" flipH="1">
          <a:off x="6164745" y="19898138"/>
          <a:ext cx="645629" cy="599661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4</xdr:col>
      <xdr:colOff>190500</xdr:colOff>
      <xdr:row>95</xdr:row>
      <xdr:rowOff>133350</xdr:rowOff>
    </xdr:from>
    <xdr:to>
      <xdr:col>6</xdr:col>
      <xdr:colOff>514350</xdr:colOff>
      <xdr:row>97</xdr:row>
      <xdr:rowOff>190500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7177ED5F-F6D4-7DF1-F6AD-970196253D27}"/>
            </a:ext>
          </a:extLst>
        </xdr:cNvPr>
        <xdr:cNvSpPr/>
      </xdr:nvSpPr>
      <xdr:spPr>
        <a:xfrm flipH="1">
          <a:off x="2733675" y="26984325"/>
          <a:ext cx="2209800" cy="5905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117231</xdr:colOff>
      <xdr:row>5</xdr:row>
      <xdr:rowOff>227134</xdr:rowOff>
    </xdr:from>
    <xdr:to>
      <xdr:col>8</xdr:col>
      <xdr:colOff>300403</xdr:colOff>
      <xdr:row>5</xdr:row>
      <xdr:rowOff>234461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3EB6CE6C-99DB-5438-5964-B63D867056A4}"/>
            </a:ext>
          </a:extLst>
        </xdr:cNvPr>
        <xdr:cNvCxnSpPr/>
      </xdr:nvCxnSpPr>
      <xdr:spPr>
        <a:xfrm flipV="1">
          <a:off x="1135673" y="1692519"/>
          <a:ext cx="5114192" cy="73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71804</xdr:colOff>
      <xdr:row>6</xdr:row>
      <xdr:rowOff>152399</xdr:rowOff>
    </xdr:from>
    <xdr:to>
      <xdr:col>8</xdr:col>
      <xdr:colOff>254976</xdr:colOff>
      <xdr:row>6</xdr:row>
      <xdr:rowOff>159726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88905680-421B-4186-BD95-031E976BAB0D}"/>
            </a:ext>
          </a:extLst>
        </xdr:cNvPr>
        <xdr:cNvCxnSpPr/>
      </xdr:nvCxnSpPr>
      <xdr:spPr>
        <a:xfrm flipV="1">
          <a:off x="1090246" y="1910861"/>
          <a:ext cx="5114192" cy="73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7326</xdr:colOff>
      <xdr:row>102</xdr:row>
      <xdr:rowOff>197827</xdr:rowOff>
    </xdr:from>
    <xdr:to>
      <xdr:col>1</xdr:col>
      <xdr:colOff>410307</xdr:colOff>
      <xdr:row>104</xdr:row>
      <xdr:rowOff>7326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ABF3EAF1-EBEE-CB36-36EA-961EAB12D88A}"/>
            </a:ext>
          </a:extLst>
        </xdr:cNvPr>
        <xdr:cNvSpPr/>
      </xdr:nvSpPr>
      <xdr:spPr>
        <a:xfrm>
          <a:off x="520211" y="28655596"/>
          <a:ext cx="402981" cy="33703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4</xdr:col>
      <xdr:colOff>827941</xdr:colOff>
      <xdr:row>107</xdr:row>
      <xdr:rowOff>7327</xdr:rowOff>
    </xdr:from>
    <xdr:to>
      <xdr:col>5</xdr:col>
      <xdr:colOff>109903</xdr:colOff>
      <xdr:row>108</xdr:row>
      <xdr:rowOff>80595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C16C7551-7A05-4DC8-AB83-47C21E1EF395}"/>
            </a:ext>
          </a:extLst>
        </xdr:cNvPr>
        <xdr:cNvSpPr/>
      </xdr:nvSpPr>
      <xdr:spPr>
        <a:xfrm>
          <a:off x="3626826" y="29783942"/>
          <a:ext cx="402981" cy="33703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111</xdr:row>
      <xdr:rowOff>43963</xdr:rowOff>
    </xdr:from>
    <xdr:to>
      <xdr:col>8</xdr:col>
      <xdr:colOff>378866</xdr:colOff>
      <xdr:row>120</xdr:row>
      <xdr:rowOff>161194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D9E2E76-1499-4443-B79B-EBEEAABE4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0875655"/>
          <a:ext cx="7280828" cy="2491154"/>
        </a:xfrm>
        <a:prstGeom prst="rect">
          <a:avLst/>
        </a:prstGeom>
        <a:ln w="28575">
          <a:solidFill>
            <a:srgbClr val="66FF99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473527</xdr:colOff>
      <xdr:row>3</xdr:row>
      <xdr:rowOff>190499</xdr:rowOff>
    </xdr:from>
    <xdr:to>
      <xdr:col>2</xdr:col>
      <xdr:colOff>57140</xdr:colOff>
      <xdr:row>19</xdr:row>
      <xdr:rowOff>16328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A86404-497D-7D09-6CE8-EECA8204B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527" y="783770"/>
          <a:ext cx="824584" cy="2971801"/>
        </a:xfrm>
        <a:prstGeom prst="rect">
          <a:avLst/>
        </a:prstGeom>
      </xdr:spPr>
    </xdr:pic>
    <xdr:clientData/>
  </xdr:twoCellAnchor>
  <xdr:twoCellAnchor>
    <xdr:from>
      <xdr:col>1</xdr:col>
      <xdr:colOff>16329</xdr:colOff>
      <xdr:row>15</xdr:row>
      <xdr:rowOff>185058</xdr:rowOff>
    </xdr:from>
    <xdr:to>
      <xdr:col>5</xdr:col>
      <xdr:colOff>723900</xdr:colOff>
      <xdr:row>15</xdr:row>
      <xdr:rowOff>185058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EB8FDE8-C702-D9E6-9D4A-3B291847505B}"/>
            </a:ext>
          </a:extLst>
        </xdr:cNvPr>
        <xdr:cNvCxnSpPr/>
      </xdr:nvCxnSpPr>
      <xdr:spPr>
        <a:xfrm>
          <a:off x="495300" y="3064329"/>
          <a:ext cx="3755571" cy="0"/>
        </a:xfrm>
        <a:prstGeom prst="line">
          <a:avLst/>
        </a:prstGeom>
        <a:ln w="3810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48986</xdr:colOff>
      <xdr:row>9</xdr:row>
      <xdr:rowOff>185055</xdr:rowOff>
    </xdr:from>
    <xdr:to>
      <xdr:col>5</xdr:col>
      <xdr:colOff>762000</xdr:colOff>
      <xdr:row>10</xdr:row>
      <xdr:rowOff>10886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80C1915-A684-49D3-BBE9-C2E68E0751F4}"/>
            </a:ext>
          </a:extLst>
        </xdr:cNvPr>
        <xdr:cNvCxnSpPr/>
      </xdr:nvCxnSpPr>
      <xdr:spPr>
        <a:xfrm flipV="1">
          <a:off x="527957" y="1921326"/>
          <a:ext cx="3761014" cy="16331"/>
        </a:xfrm>
        <a:prstGeom prst="line">
          <a:avLst/>
        </a:prstGeom>
        <a:ln w="3810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496097</xdr:colOff>
      <xdr:row>8</xdr:row>
      <xdr:rowOff>158164</xdr:rowOff>
    </xdr:from>
    <xdr:to>
      <xdr:col>7</xdr:col>
      <xdr:colOff>17128</xdr:colOff>
      <xdr:row>11</xdr:row>
      <xdr:rowOff>81964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56281C78-63E6-AC2E-82DE-BAA2CAF04D90}"/>
            </a:ext>
          </a:extLst>
        </xdr:cNvPr>
        <xdr:cNvSpPr/>
      </xdr:nvSpPr>
      <xdr:spPr>
        <a:xfrm flipH="1">
          <a:off x="4098788" y="1726988"/>
          <a:ext cx="1045031" cy="4953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kern="1200"/>
            <a:t>N.C. (NIIF11)</a:t>
          </a:r>
        </a:p>
      </xdr:txBody>
    </xdr:sp>
    <xdr:clientData/>
  </xdr:twoCellAnchor>
  <xdr:twoCellAnchor>
    <xdr:from>
      <xdr:col>1</xdr:col>
      <xdr:colOff>556193</xdr:colOff>
      <xdr:row>27</xdr:row>
      <xdr:rowOff>41639</xdr:rowOff>
    </xdr:from>
    <xdr:to>
      <xdr:col>3</xdr:col>
      <xdr:colOff>57210</xdr:colOff>
      <xdr:row>28</xdr:row>
      <xdr:rowOff>96068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62DC5DCE-856C-43A0-B653-E84DDBFD54FA}"/>
            </a:ext>
          </a:extLst>
        </xdr:cNvPr>
        <xdr:cNvSpPr/>
      </xdr:nvSpPr>
      <xdr:spPr>
        <a:xfrm rot="2405325">
          <a:off x="1035164" y="5304882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708592</xdr:colOff>
      <xdr:row>27</xdr:row>
      <xdr:rowOff>74295</xdr:rowOff>
    </xdr:from>
    <xdr:to>
      <xdr:col>5</xdr:col>
      <xdr:colOff>133409</xdr:colOff>
      <xdr:row>28</xdr:row>
      <xdr:rowOff>128724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1A215120-D5EC-443B-95F8-963AC3AE4EB7}"/>
            </a:ext>
          </a:extLst>
        </xdr:cNvPr>
        <xdr:cNvSpPr/>
      </xdr:nvSpPr>
      <xdr:spPr>
        <a:xfrm rot="8217500">
          <a:off x="2711563" y="533753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46006</xdr:colOff>
      <xdr:row>41</xdr:row>
      <xdr:rowOff>147455</xdr:rowOff>
    </xdr:from>
    <xdr:to>
      <xdr:col>3</xdr:col>
      <xdr:colOff>309023</xdr:colOff>
      <xdr:row>43</xdr:row>
      <xdr:rowOff>178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902415D8-B171-4767-B1CB-68DD2F4C2249}"/>
            </a:ext>
          </a:extLst>
        </xdr:cNvPr>
        <xdr:cNvSpPr/>
      </xdr:nvSpPr>
      <xdr:spPr>
        <a:xfrm rot="2405325">
          <a:off x="1284256" y="8081220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708592</xdr:colOff>
      <xdr:row>41</xdr:row>
      <xdr:rowOff>74295</xdr:rowOff>
    </xdr:from>
    <xdr:to>
      <xdr:col>5</xdr:col>
      <xdr:colOff>133409</xdr:colOff>
      <xdr:row>42</xdr:row>
      <xdr:rowOff>128724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567CD733-27C2-419A-96A9-5C142A1C9D55}"/>
            </a:ext>
          </a:extLst>
        </xdr:cNvPr>
        <xdr:cNvSpPr/>
      </xdr:nvSpPr>
      <xdr:spPr>
        <a:xfrm rot="8217500">
          <a:off x="2711563" y="533753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11206</xdr:colOff>
      <xdr:row>4</xdr:row>
      <xdr:rowOff>11207</xdr:rowOff>
    </xdr:from>
    <xdr:to>
      <xdr:col>0</xdr:col>
      <xdr:colOff>409015</xdr:colOff>
      <xdr:row>15</xdr:row>
      <xdr:rowOff>179296</xdr:rowOff>
    </xdr:to>
    <xdr:sp macro="" textlink="">
      <xdr:nvSpPr>
        <xdr:cNvPr id="14" name="Flecha: arriba y abajo 13">
          <a:extLst>
            <a:ext uri="{FF2B5EF4-FFF2-40B4-BE49-F238E27FC236}">
              <a16:creationId xmlns:a16="http://schemas.microsoft.com/office/drawing/2014/main" id="{E23B140A-3C56-7196-ED22-31FE3A3384E0}"/>
            </a:ext>
          </a:extLst>
        </xdr:cNvPr>
        <xdr:cNvSpPr/>
      </xdr:nvSpPr>
      <xdr:spPr>
        <a:xfrm>
          <a:off x="11206" y="795619"/>
          <a:ext cx="397809" cy="2297206"/>
        </a:xfrm>
        <a:prstGeom prst="up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0</xdr:colOff>
      <xdr:row>9</xdr:row>
      <xdr:rowOff>33618</xdr:rowOff>
    </xdr:from>
    <xdr:to>
      <xdr:col>1</xdr:col>
      <xdr:colOff>123265</xdr:colOff>
      <xdr:row>11</xdr:row>
      <xdr:rowOff>39220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B9E2116F-B633-B224-194B-C5D57BBDFF79}"/>
            </a:ext>
          </a:extLst>
        </xdr:cNvPr>
        <xdr:cNvSpPr txBox="1"/>
      </xdr:nvSpPr>
      <xdr:spPr>
        <a:xfrm>
          <a:off x="0" y="1792942"/>
          <a:ext cx="599515" cy="386602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900" b="1" kern="1200">
              <a:solidFill>
                <a:schemeClr val="bg1"/>
              </a:solidFill>
            </a:rPr>
            <a:t>NIC 24</a:t>
          </a:r>
        </a:p>
        <a:p>
          <a:r>
            <a:rPr lang="es-PE" sz="900" b="1" kern="1200">
              <a:solidFill>
                <a:schemeClr val="bg1"/>
              </a:solidFill>
            </a:rPr>
            <a:t>NIIF 12</a:t>
          </a:r>
        </a:p>
      </xdr:txBody>
    </xdr:sp>
    <xdr:clientData/>
  </xdr:twoCellAnchor>
  <xdr:twoCellAnchor>
    <xdr:from>
      <xdr:col>1</xdr:col>
      <xdr:colOff>359771</xdr:colOff>
      <xdr:row>55</xdr:row>
      <xdr:rowOff>57806</xdr:rowOff>
    </xdr:from>
    <xdr:to>
      <xdr:col>2</xdr:col>
      <xdr:colOff>622788</xdr:colOff>
      <xdr:row>56</xdr:row>
      <xdr:rowOff>101029</xdr:rowOff>
    </xdr:to>
    <xdr:sp macro="" textlink="">
      <xdr:nvSpPr>
        <xdr:cNvPr id="16" name="Flecha: a la derecha 15">
          <a:extLst>
            <a:ext uri="{FF2B5EF4-FFF2-40B4-BE49-F238E27FC236}">
              <a16:creationId xmlns:a16="http://schemas.microsoft.com/office/drawing/2014/main" id="{28629384-D42C-4A7E-A056-F7AFDBD7C03F}"/>
            </a:ext>
          </a:extLst>
        </xdr:cNvPr>
        <xdr:cNvSpPr/>
      </xdr:nvSpPr>
      <xdr:spPr>
        <a:xfrm rot="2405325">
          <a:off x="836021" y="1069218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115956</xdr:colOff>
      <xdr:row>6</xdr:row>
      <xdr:rowOff>82828</xdr:rowOff>
    </xdr:from>
    <xdr:to>
      <xdr:col>8</xdr:col>
      <xdr:colOff>604630</xdr:colOff>
      <xdr:row>12</xdr:row>
      <xdr:rowOff>77618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4E2039-FD6B-FC67-53EC-9B846BC09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956" y="1524002"/>
          <a:ext cx="6079435" cy="1435964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140805</xdr:colOff>
      <xdr:row>17</xdr:row>
      <xdr:rowOff>233840</xdr:rowOff>
    </xdr:from>
    <xdr:to>
      <xdr:col>8</xdr:col>
      <xdr:colOff>546653</xdr:colOff>
      <xdr:row>61</xdr:row>
      <xdr:rowOff>114902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AD6685-AE81-3852-5ECB-EE4B8B1A8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805" y="3356383"/>
          <a:ext cx="5996609" cy="10449671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140803</xdr:colOff>
      <xdr:row>61</xdr:row>
      <xdr:rowOff>74544</xdr:rowOff>
    </xdr:from>
    <xdr:to>
      <xdr:col>8</xdr:col>
      <xdr:colOff>617218</xdr:colOff>
      <xdr:row>77</xdr:row>
      <xdr:rowOff>16566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B1B3AD-A00B-EFD3-461C-C3CA6A8F7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2803" y="13765696"/>
          <a:ext cx="6067176" cy="3785152"/>
        </a:xfrm>
        <a:prstGeom prst="rect">
          <a:avLst/>
        </a:prstGeom>
      </xdr:spPr>
    </xdr:pic>
    <xdr:clientData/>
  </xdr:twoCellAnchor>
  <xdr:twoCellAnchor editAs="oneCell">
    <xdr:from>
      <xdr:col>1</xdr:col>
      <xdr:colOff>430696</xdr:colOff>
      <xdr:row>12</xdr:row>
      <xdr:rowOff>157368</xdr:rowOff>
    </xdr:from>
    <xdr:to>
      <xdr:col>8</xdr:col>
      <xdr:colOff>372717</xdr:colOff>
      <xdr:row>16</xdr:row>
      <xdr:rowOff>81303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503DFC-9BCC-9644-42AA-7EC1BA4A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2696" y="3039716"/>
          <a:ext cx="5532782" cy="884717"/>
        </a:xfrm>
        <a:prstGeom prst="rect">
          <a:avLst/>
        </a:prstGeom>
      </xdr:spPr>
    </xdr:pic>
    <xdr:clientData/>
  </xdr:twoCellAnchor>
  <xdr:twoCellAnchor>
    <xdr:from>
      <xdr:col>7</xdr:col>
      <xdr:colOff>612914</xdr:colOff>
      <xdr:row>83</xdr:row>
      <xdr:rowOff>140817</xdr:rowOff>
    </xdr:from>
    <xdr:to>
      <xdr:col>8</xdr:col>
      <xdr:colOff>215349</xdr:colOff>
      <xdr:row>85</xdr:row>
      <xdr:rowOff>8295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B175F797-6F79-62F1-393A-93F9686C3963}"/>
            </a:ext>
          </a:extLst>
        </xdr:cNvPr>
        <xdr:cNvSpPr/>
      </xdr:nvSpPr>
      <xdr:spPr>
        <a:xfrm rot="3508273">
          <a:off x="5739849" y="20085338"/>
          <a:ext cx="347870" cy="36443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35</xdr:row>
      <xdr:rowOff>0</xdr:rowOff>
    </xdr:from>
    <xdr:to>
      <xdr:col>6</xdr:col>
      <xdr:colOff>114300</xdr:colOff>
      <xdr:row>37</xdr:row>
      <xdr:rowOff>152400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FDBEC3B3-732D-9B78-69DE-4DAAA6B701CF}"/>
            </a:ext>
          </a:extLst>
        </xdr:cNvPr>
        <xdr:cNvSpPr/>
      </xdr:nvSpPr>
      <xdr:spPr>
        <a:xfrm>
          <a:off x="4371975" y="9144000"/>
          <a:ext cx="400050" cy="62865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14</xdr:col>
      <xdr:colOff>85725</xdr:colOff>
      <xdr:row>38</xdr:row>
      <xdr:rowOff>161925</xdr:rowOff>
    </xdr:from>
    <xdr:to>
      <xdr:col>23</xdr:col>
      <xdr:colOff>133350</xdr:colOff>
      <xdr:row>67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2CFE63-7E1B-094D-0550-9CFEF0264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9324975"/>
          <a:ext cx="6905625" cy="6905625"/>
        </a:xfrm>
        <a:prstGeom prst="rect">
          <a:avLst/>
        </a:prstGeom>
      </xdr:spPr>
    </xdr:pic>
    <xdr:clientData/>
  </xdr:twoCellAnchor>
  <xdr:twoCellAnchor>
    <xdr:from>
      <xdr:col>21</xdr:col>
      <xdr:colOff>152400</xdr:colOff>
      <xdr:row>41</xdr:row>
      <xdr:rowOff>133350</xdr:rowOff>
    </xdr:from>
    <xdr:to>
      <xdr:col>22</xdr:col>
      <xdr:colOff>219075</xdr:colOff>
      <xdr:row>47</xdr:row>
      <xdr:rowOff>133350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D6E2BBBB-3AB3-CACA-32DA-305082573230}"/>
            </a:ext>
          </a:extLst>
        </xdr:cNvPr>
        <xdr:cNvSpPr/>
      </xdr:nvSpPr>
      <xdr:spPr>
        <a:xfrm rot="5400000">
          <a:off x="16154400" y="10315575"/>
          <a:ext cx="1438275" cy="8286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333380</xdr:colOff>
      <xdr:row>73</xdr:row>
      <xdr:rowOff>171460</xdr:rowOff>
    </xdr:from>
    <xdr:to>
      <xdr:col>1</xdr:col>
      <xdr:colOff>714375</xdr:colOff>
      <xdr:row>76</xdr:row>
      <xdr:rowOff>123829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B0C6858-A4B6-4A95-A474-681A5D230A38}"/>
            </a:ext>
          </a:extLst>
        </xdr:cNvPr>
        <xdr:cNvSpPr/>
      </xdr:nvSpPr>
      <xdr:spPr>
        <a:xfrm rot="5400000" flipV="1">
          <a:off x="614368" y="17416472"/>
          <a:ext cx="666744" cy="122872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392908</xdr:colOff>
      <xdr:row>33</xdr:row>
      <xdr:rowOff>53576</xdr:rowOff>
    </xdr:from>
    <xdr:to>
      <xdr:col>8</xdr:col>
      <xdr:colOff>130971</xdr:colOff>
      <xdr:row>36</xdr:row>
      <xdr:rowOff>113107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0B6B5E46-02DF-95DD-D394-EACF3BA3C844}"/>
            </a:ext>
          </a:extLst>
        </xdr:cNvPr>
        <xdr:cNvSpPr/>
      </xdr:nvSpPr>
      <xdr:spPr>
        <a:xfrm rot="13671183">
          <a:off x="5744768" y="6405560"/>
          <a:ext cx="631031" cy="500063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1"/>
  <sheetViews>
    <sheetView showGridLines="0" zoomScale="145" zoomScaleNormal="145" workbookViewId="0">
      <pane ySplit="8" topLeftCell="A9" activePane="bottomLeft" state="frozen"/>
      <selection pane="bottomLeft" activeCell="G3" sqref="G3:I4"/>
    </sheetView>
  </sheetViews>
  <sheetFormatPr baseColWidth="10" defaultColWidth="9.140625" defaultRowHeight="15.75" x14ac:dyDescent="0.25"/>
  <cols>
    <col min="1" max="3" width="3.42578125" customWidth="1"/>
    <col min="4" max="4" width="4.85546875" customWidth="1"/>
    <col min="13" max="14" width="9.140625" style="117"/>
    <col min="15" max="15" width="9.140625" style="8"/>
  </cols>
  <sheetData>
    <row r="1" spans="1:18" x14ac:dyDescent="0.25">
      <c r="A1" s="4"/>
      <c r="B1" s="4"/>
      <c r="C1" s="4"/>
      <c r="D1" s="7"/>
      <c r="E1" s="7"/>
      <c r="F1" s="7"/>
      <c r="G1" s="7"/>
      <c r="H1" s="7"/>
      <c r="I1" s="7"/>
      <c r="J1" s="7"/>
      <c r="K1" s="7"/>
      <c r="L1" s="7"/>
      <c r="M1" s="115"/>
      <c r="N1" s="115"/>
      <c r="O1" s="10"/>
      <c r="P1" s="4"/>
      <c r="Q1" s="4"/>
      <c r="R1" s="4"/>
    </row>
    <row r="2" spans="1:18" x14ac:dyDescent="0.25">
      <c r="A2" s="4"/>
      <c r="B2" s="4"/>
      <c r="C2" s="4"/>
      <c r="D2" s="7"/>
      <c r="E2" s="7"/>
      <c r="F2" s="7"/>
      <c r="G2" s="7"/>
      <c r="H2" s="7"/>
      <c r="I2" s="7"/>
      <c r="J2" s="7"/>
      <c r="K2" s="7"/>
      <c r="L2" s="7"/>
      <c r="M2" s="115"/>
      <c r="N2" s="115"/>
      <c r="O2" s="10"/>
      <c r="P2" s="4"/>
      <c r="Q2" s="4"/>
      <c r="R2" s="4"/>
    </row>
    <row r="3" spans="1:18" x14ac:dyDescent="0.25">
      <c r="A3" s="4"/>
      <c r="B3" s="4"/>
      <c r="C3" s="4"/>
      <c r="D3" s="7"/>
      <c r="E3" s="7"/>
      <c r="F3" s="7"/>
      <c r="G3" s="462">
        <f ca="1">RANDBETWEEN(1,137)</f>
        <v>36</v>
      </c>
      <c r="H3" s="462"/>
      <c r="I3" s="462"/>
      <c r="J3" s="7"/>
      <c r="K3" s="7"/>
      <c r="L3" s="7"/>
      <c r="M3" s="115"/>
      <c r="N3" s="115"/>
      <c r="O3" s="10"/>
      <c r="P3" s="4"/>
      <c r="Q3" s="4"/>
      <c r="R3" s="4"/>
    </row>
    <row r="4" spans="1:18" x14ac:dyDescent="0.25">
      <c r="A4" s="4"/>
      <c r="B4" s="4"/>
      <c r="C4" s="4"/>
      <c r="D4" s="7"/>
      <c r="E4" s="7"/>
      <c r="F4" s="7"/>
      <c r="G4" s="462"/>
      <c r="H4" s="462"/>
      <c r="I4" s="462"/>
      <c r="J4" s="7"/>
      <c r="K4" s="7"/>
      <c r="L4" s="7"/>
      <c r="M4" s="115"/>
      <c r="N4" s="115"/>
      <c r="O4" s="10"/>
      <c r="P4" s="4"/>
      <c r="Q4" s="4"/>
      <c r="R4" s="4"/>
    </row>
    <row r="5" spans="1:18" x14ac:dyDescent="0.25">
      <c r="A5" s="4"/>
      <c r="B5" s="4"/>
      <c r="C5" s="4"/>
      <c r="D5" s="7"/>
      <c r="E5" s="7"/>
      <c r="F5" s="7"/>
      <c r="G5" s="7"/>
      <c r="H5" s="7"/>
      <c r="I5" s="7"/>
      <c r="J5" s="7"/>
      <c r="K5" s="7"/>
      <c r="L5" s="7"/>
      <c r="M5" s="115"/>
      <c r="N5" s="115"/>
      <c r="O5" s="10"/>
      <c r="P5" s="4"/>
      <c r="Q5" s="4"/>
      <c r="R5" s="4"/>
    </row>
    <row r="6" spans="1:18" x14ac:dyDescent="0.25">
      <c r="A6" s="4"/>
      <c r="B6" s="4"/>
      <c r="C6" s="4"/>
      <c r="D6" s="7"/>
      <c r="E6" s="7"/>
      <c r="F6" s="7"/>
      <c r="G6" s="7"/>
      <c r="H6" s="7"/>
      <c r="I6" s="7"/>
      <c r="J6" s="7"/>
      <c r="K6" s="7"/>
      <c r="L6" s="7"/>
      <c r="M6" s="115"/>
      <c r="N6" s="115"/>
      <c r="O6" s="10"/>
      <c r="P6" s="4"/>
      <c r="Q6" s="4"/>
      <c r="R6" s="4"/>
    </row>
    <row r="7" spans="1:18" x14ac:dyDescent="0.25">
      <c r="A7" s="4"/>
      <c r="B7" s="4"/>
      <c r="C7" s="4"/>
      <c r="M7" s="116" t="s">
        <v>234</v>
      </c>
      <c r="N7" s="116" t="s">
        <v>235</v>
      </c>
      <c r="O7" s="10"/>
      <c r="P7" s="4"/>
      <c r="Q7" s="4"/>
      <c r="R7" s="4"/>
    </row>
    <row r="8" spans="1:18" s="1" customFormat="1" x14ac:dyDescent="0.25">
      <c r="A8" s="11"/>
      <c r="B8" s="11"/>
      <c r="C8" s="11"/>
      <c r="D8" s="5" t="s">
        <v>170</v>
      </c>
      <c r="E8" s="6" t="s">
        <v>171</v>
      </c>
      <c r="F8" s="6"/>
      <c r="G8" s="6"/>
      <c r="H8" s="6"/>
      <c r="I8" s="6"/>
      <c r="J8" s="6"/>
      <c r="K8" s="6"/>
      <c r="L8" s="6"/>
      <c r="M8" s="115"/>
      <c r="N8" s="115"/>
      <c r="O8" s="10"/>
      <c r="P8" s="11"/>
      <c r="Q8" s="11"/>
      <c r="R8" s="11"/>
    </row>
    <row r="9" spans="1:18" x14ac:dyDescent="0.25">
      <c r="A9" s="4"/>
      <c r="B9" s="4"/>
      <c r="C9" s="4"/>
      <c r="E9" s="2" t="s">
        <v>238</v>
      </c>
      <c r="F9" s="3"/>
      <c r="G9" s="3"/>
      <c r="H9" s="3"/>
      <c r="I9" s="3"/>
      <c r="J9" s="3"/>
      <c r="K9" s="3"/>
      <c r="L9" s="3"/>
      <c r="M9" s="116"/>
      <c r="N9" s="116"/>
      <c r="O9" s="10"/>
      <c r="P9" s="4"/>
      <c r="Q9" s="4"/>
      <c r="R9" s="4"/>
    </row>
    <row r="10" spans="1:18" x14ac:dyDescent="0.25">
      <c r="A10" s="4"/>
      <c r="B10" s="4"/>
      <c r="C10" s="4"/>
      <c r="D10" s="1">
        <v>1</v>
      </c>
      <c r="E10" t="s">
        <v>237</v>
      </c>
      <c r="M10" s="115" t="s">
        <v>236</v>
      </c>
      <c r="N10" s="118" t="s">
        <v>240</v>
      </c>
      <c r="O10" s="10"/>
      <c r="P10" s="4"/>
      <c r="Q10" s="4"/>
      <c r="R10" s="4"/>
    </row>
    <row r="11" spans="1:18" x14ac:dyDescent="0.25">
      <c r="A11" s="4"/>
      <c r="B11" s="4"/>
      <c r="C11" s="4"/>
      <c r="E11" s="2" t="s">
        <v>0</v>
      </c>
      <c r="F11" s="3"/>
      <c r="G11" s="3"/>
      <c r="H11" s="3"/>
      <c r="I11" s="3"/>
      <c r="J11" s="3"/>
      <c r="K11" s="3"/>
      <c r="L11" s="3"/>
      <c r="M11" s="115"/>
      <c r="N11" s="115"/>
      <c r="O11" s="10"/>
      <c r="P11" s="4"/>
      <c r="Q11" s="4"/>
      <c r="R11" s="4"/>
    </row>
    <row r="12" spans="1:18" x14ac:dyDescent="0.25">
      <c r="A12" s="4"/>
      <c r="B12" s="4"/>
      <c r="C12" s="4"/>
      <c r="D12" s="1">
        <f>+D10+1</f>
        <v>2</v>
      </c>
      <c r="E12" t="s">
        <v>34</v>
      </c>
      <c r="M12" s="115"/>
      <c r="N12" s="115"/>
      <c r="O12" s="10"/>
      <c r="P12" s="4"/>
      <c r="Q12" s="4"/>
      <c r="R12" s="4"/>
    </row>
    <row r="13" spans="1:18" x14ac:dyDescent="0.25">
      <c r="A13" s="4"/>
      <c r="B13" s="4"/>
      <c r="C13" s="4"/>
      <c r="D13" s="1">
        <f>+D12+1</f>
        <v>3</v>
      </c>
      <c r="E13" t="s">
        <v>35</v>
      </c>
      <c r="M13" s="115"/>
      <c r="N13" s="115"/>
      <c r="O13" s="10"/>
      <c r="P13" s="4"/>
      <c r="Q13" s="4"/>
      <c r="R13" s="4"/>
    </row>
    <row r="14" spans="1:18" x14ac:dyDescent="0.25">
      <c r="A14" s="4"/>
      <c r="B14" s="4"/>
      <c r="C14" s="4"/>
      <c r="D14" s="1">
        <f>+D13+1</f>
        <v>4</v>
      </c>
      <c r="E14" s="12" t="s">
        <v>37</v>
      </c>
      <c r="F14" s="12"/>
      <c r="G14" s="12"/>
      <c r="H14" s="12"/>
      <c r="I14" s="12"/>
      <c r="J14" s="12"/>
      <c r="K14" s="12"/>
      <c r="L14" s="12"/>
      <c r="M14" s="115"/>
      <c r="N14" s="115"/>
      <c r="O14" s="10"/>
      <c r="P14" s="4"/>
      <c r="Q14" s="4"/>
      <c r="R14" s="4"/>
    </row>
    <row r="15" spans="1:18" x14ac:dyDescent="0.25">
      <c r="A15" s="4"/>
      <c r="B15" s="4"/>
      <c r="C15" s="4"/>
      <c r="D15" s="1">
        <f>+D14+1</f>
        <v>5</v>
      </c>
      <c r="E15" t="s">
        <v>36</v>
      </c>
      <c r="M15" s="115"/>
      <c r="N15" s="115"/>
      <c r="O15" s="10"/>
      <c r="P15" s="4"/>
      <c r="Q15" s="4"/>
      <c r="R15" s="4"/>
    </row>
    <row r="16" spans="1:18" x14ac:dyDescent="0.25">
      <c r="A16" s="4"/>
      <c r="B16" s="4"/>
      <c r="C16" s="4"/>
      <c r="E16" s="2" t="s">
        <v>1</v>
      </c>
      <c r="F16" s="3"/>
      <c r="G16" s="3"/>
      <c r="H16" s="3"/>
      <c r="I16" s="3"/>
      <c r="J16" s="3"/>
      <c r="K16" s="3"/>
      <c r="L16" s="3"/>
      <c r="M16" s="115"/>
      <c r="N16" s="115"/>
      <c r="O16" s="10"/>
      <c r="P16" s="4"/>
      <c r="Q16" s="4"/>
      <c r="R16" s="4"/>
    </row>
    <row r="17" spans="1:18" x14ac:dyDescent="0.25">
      <c r="A17" s="4"/>
      <c r="B17" s="4"/>
      <c r="C17" s="4"/>
      <c r="D17" s="1">
        <f>+D15+1</f>
        <v>6</v>
      </c>
      <c r="E17" t="s">
        <v>38</v>
      </c>
      <c r="M17" s="115"/>
      <c r="N17" s="115"/>
      <c r="O17" s="10"/>
      <c r="P17" s="4"/>
      <c r="Q17" s="4"/>
      <c r="R17" s="4"/>
    </row>
    <row r="18" spans="1:18" x14ac:dyDescent="0.25">
      <c r="A18" s="4"/>
      <c r="B18" s="4"/>
      <c r="C18" s="4"/>
      <c r="D18" s="1">
        <f>+D17+1</f>
        <v>7</v>
      </c>
      <c r="E18" t="s">
        <v>39</v>
      </c>
      <c r="M18" s="115"/>
      <c r="N18" s="115"/>
      <c r="O18" s="10"/>
      <c r="P18" s="4"/>
      <c r="Q18" s="4"/>
      <c r="R18" s="4"/>
    </row>
    <row r="19" spans="1:18" x14ac:dyDescent="0.25">
      <c r="A19" s="4"/>
      <c r="B19" s="4"/>
      <c r="C19" s="4"/>
      <c r="D19" s="1">
        <f>+D18+1</f>
        <v>8</v>
      </c>
      <c r="E19" t="s">
        <v>40</v>
      </c>
      <c r="M19" s="115"/>
      <c r="N19" s="115"/>
      <c r="O19" s="10"/>
      <c r="P19" s="4"/>
      <c r="Q19" s="4"/>
      <c r="R19" s="4"/>
    </row>
    <row r="20" spans="1:18" x14ac:dyDescent="0.25">
      <c r="A20" s="4"/>
      <c r="B20" s="4"/>
      <c r="C20" s="4"/>
      <c r="E20" s="2" t="s">
        <v>2</v>
      </c>
      <c r="F20" s="3"/>
      <c r="G20" s="3"/>
      <c r="H20" s="3"/>
      <c r="I20" s="3"/>
      <c r="J20" s="3"/>
      <c r="K20" s="3"/>
      <c r="L20" s="3"/>
      <c r="M20" s="115"/>
      <c r="N20" s="115"/>
      <c r="O20" s="10"/>
      <c r="P20" s="4"/>
      <c r="Q20" s="4"/>
      <c r="R20" s="4"/>
    </row>
    <row r="21" spans="1:18" x14ac:dyDescent="0.25">
      <c r="A21" s="4"/>
      <c r="B21" s="4"/>
      <c r="C21" s="4"/>
      <c r="D21" s="1">
        <f>+D19+1</f>
        <v>9</v>
      </c>
      <c r="E21" t="s">
        <v>41</v>
      </c>
      <c r="M21" s="115"/>
      <c r="N21" s="115"/>
      <c r="O21" s="10"/>
      <c r="P21" s="4"/>
      <c r="Q21" s="4"/>
      <c r="R21" s="4"/>
    </row>
    <row r="22" spans="1:18" x14ac:dyDescent="0.25">
      <c r="A22" s="4"/>
      <c r="B22" s="4"/>
      <c r="C22" s="4"/>
      <c r="D22" s="1">
        <f>+D21+1</f>
        <v>10</v>
      </c>
      <c r="E22" t="s">
        <v>42</v>
      </c>
      <c r="M22" s="115"/>
      <c r="N22" s="115"/>
      <c r="O22" s="10"/>
      <c r="P22" s="4"/>
      <c r="Q22" s="4"/>
      <c r="R22" s="4"/>
    </row>
    <row r="23" spans="1:18" x14ac:dyDescent="0.25">
      <c r="A23" s="4"/>
      <c r="B23" s="4"/>
      <c r="C23" s="4"/>
      <c r="D23" s="1">
        <f>+D22+1</f>
        <v>11</v>
      </c>
      <c r="E23" t="s">
        <v>43</v>
      </c>
      <c r="M23" s="115"/>
      <c r="N23" s="115"/>
      <c r="O23" s="10"/>
      <c r="P23" s="4"/>
      <c r="Q23" s="4"/>
      <c r="R23" s="4"/>
    </row>
    <row r="24" spans="1:18" x14ac:dyDescent="0.25">
      <c r="A24" s="4"/>
      <c r="B24" s="4"/>
      <c r="C24" s="4"/>
      <c r="E24" s="2" t="s">
        <v>3</v>
      </c>
      <c r="F24" s="3"/>
      <c r="G24" s="3"/>
      <c r="H24" s="3"/>
      <c r="I24" s="3"/>
      <c r="J24" s="3"/>
      <c r="K24" s="3"/>
      <c r="L24" s="3"/>
      <c r="M24" s="115"/>
      <c r="N24" s="115"/>
      <c r="O24" s="10"/>
      <c r="P24" s="4"/>
      <c r="Q24" s="4"/>
      <c r="R24" s="4"/>
    </row>
    <row r="25" spans="1:18" x14ac:dyDescent="0.25">
      <c r="A25" s="4"/>
      <c r="B25" s="4"/>
      <c r="C25" s="4"/>
      <c r="D25" s="1">
        <f>+D23+1</f>
        <v>12</v>
      </c>
      <c r="E25" s="12" t="s">
        <v>44</v>
      </c>
      <c r="F25" s="12"/>
      <c r="G25" s="12"/>
      <c r="H25" s="12"/>
      <c r="I25" s="12"/>
      <c r="J25" s="12"/>
      <c r="K25" s="12"/>
      <c r="L25" s="12"/>
      <c r="M25" s="115"/>
      <c r="N25" s="115"/>
      <c r="O25" s="10"/>
      <c r="P25" s="4"/>
      <c r="Q25" s="4"/>
      <c r="R25" s="4"/>
    </row>
    <row r="26" spans="1:18" x14ac:dyDescent="0.25">
      <c r="A26" s="4"/>
      <c r="B26" s="4"/>
      <c r="C26" s="4"/>
      <c r="D26" s="1">
        <f>+D25+1</f>
        <v>13</v>
      </c>
      <c r="E26" s="12" t="s">
        <v>45</v>
      </c>
      <c r="F26" s="12"/>
      <c r="G26" s="12"/>
      <c r="H26" s="12"/>
      <c r="I26" s="12"/>
      <c r="J26" s="12"/>
      <c r="K26" s="12"/>
      <c r="L26" s="12"/>
      <c r="M26" s="115"/>
      <c r="N26" s="115"/>
      <c r="O26" s="10"/>
      <c r="P26" s="4"/>
      <c r="Q26" s="4"/>
      <c r="R26" s="4"/>
    </row>
    <row r="27" spans="1:18" x14ac:dyDescent="0.25">
      <c r="A27" s="4"/>
      <c r="B27" s="4"/>
      <c r="C27" s="4"/>
      <c r="D27" s="1">
        <f>+D26+1</f>
        <v>14</v>
      </c>
      <c r="E27" s="12" t="s">
        <v>46</v>
      </c>
      <c r="F27" s="12"/>
      <c r="G27" s="12"/>
      <c r="H27" s="12"/>
      <c r="I27" s="12"/>
      <c r="J27" s="12"/>
      <c r="K27" s="12"/>
      <c r="L27" s="12"/>
      <c r="M27" s="115"/>
      <c r="N27" s="115"/>
      <c r="O27" s="10"/>
      <c r="P27" s="4"/>
      <c r="Q27" s="4"/>
      <c r="R27" s="4"/>
    </row>
    <row r="28" spans="1:18" x14ac:dyDescent="0.25">
      <c r="A28" s="4"/>
      <c r="B28" s="4"/>
      <c r="C28" s="4"/>
      <c r="E28" s="2" t="s">
        <v>4</v>
      </c>
      <c r="F28" s="3"/>
      <c r="G28" s="3"/>
      <c r="H28" s="3"/>
      <c r="I28" s="3"/>
      <c r="J28" s="3"/>
      <c r="K28" s="3"/>
      <c r="L28" s="3"/>
      <c r="M28" s="115"/>
      <c r="N28" s="115"/>
      <c r="O28" s="10"/>
      <c r="P28" s="4"/>
      <c r="Q28" s="4"/>
      <c r="R28" s="4"/>
    </row>
    <row r="29" spans="1:18" x14ac:dyDescent="0.25">
      <c r="A29" s="4"/>
      <c r="B29" s="4"/>
      <c r="C29" s="4"/>
      <c r="D29" s="1">
        <f>+D27+1</f>
        <v>15</v>
      </c>
      <c r="E29" t="s">
        <v>47</v>
      </c>
      <c r="M29" s="115"/>
      <c r="N29" s="115"/>
      <c r="O29" s="10"/>
      <c r="P29" s="4"/>
      <c r="Q29" s="4"/>
      <c r="R29" s="4"/>
    </row>
    <row r="30" spans="1:18" x14ac:dyDescent="0.25">
      <c r="A30" s="4"/>
      <c r="B30" s="4"/>
      <c r="C30" s="4"/>
      <c r="D30" s="1">
        <f t="shared" ref="D30:D35" si="0">+D29+1</f>
        <v>16</v>
      </c>
      <c r="E30" t="s">
        <v>48</v>
      </c>
      <c r="M30" s="115"/>
      <c r="N30" s="115"/>
      <c r="O30" s="10"/>
      <c r="P30" s="4"/>
      <c r="Q30" s="4"/>
      <c r="R30" s="4"/>
    </row>
    <row r="31" spans="1:18" x14ac:dyDescent="0.25">
      <c r="A31" s="4"/>
      <c r="B31" s="4"/>
      <c r="C31" s="4"/>
      <c r="D31" s="1">
        <f t="shared" si="0"/>
        <v>17</v>
      </c>
      <c r="E31" t="s">
        <v>51</v>
      </c>
      <c r="M31" s="115"/>
      <c r="N31" s="115"/>
      <c r="O31" s="10"/>
      <c r="P31" s="4"/>
      <c r="Q31" s="4"/>
      <c r="R31" s="4"/>
    </row>
    <row r="32" spans="1:18" x14ac:dyDescent="0.25">
      <c r="A32" s="4"/>
      <c r="B32" s="4"/>
      <c r="C32" s="4"/>
      <c r="D32" s="1">
        <f t="shared" si="0"/>
        <v>18</v>
      </c>
      <c r="E32" t="s">
        <v>49</v>
      </c>
      <c r="M32" s="115"/>
      <c r="N32" s="115"/>
      <c r="O32" s="10"/>
      <c r="P32" s="4"/>
      <c r="Q32" s="4"/>
      <c r="R32" s="4"/>
    </row>
    <row r="33" spans="1:18" x14ac:dyDescent="0.25">
      <c r="A33" s="4"/>
      <c r="B33" s="4"/>
      <c r="C33" s="4"/>
      <c r="D33" s="1">
        <f t="shared" si="0"/>
        <v>19</v>
      </c>
      <c r="E33" t="s">
        <v>50</v>
      </c>
      <c r="M33" s="115"/>
      <c r="N33" s="115"/>
      <c r="O33" s="10"/>
      <c r="P33" s="4"/>
      <c r="Q33" s="4"/>
      <c r="R33" s="4"/>
    </row>
    <row r="34" spans="1:18" x14ac:dyDescent="0.25">
      <c r="A34" s="4"/>
      <c r="B34" s="4"/>
      <c r="C34" s="4"/>
      <c r="D34" s="1">
        <f t="shared" si="0"/>
        <v>20</v>
      </c>
      <c r="E34" t="s">
        <v>52</v>
      </c>
      <c r="M34" s="115"/>
      <c r="N34" s="115"/>
      <c r="O34" s="10"/>
      <c r="P34" s="4"/>
      <c r="Q34" s="4"/>
      <c r="R34" s="4"/>
    </row>
    <row r="35" spans="1:18" x14ac:dyDescent="0.25">
      <c r="A35" s="4"/>
      <c r="B35" s="4"/>
      <c r="C35" s="4"/>
      <c r="D35" s="1">
        <f t="shared" si="0"/>
        <v>21</v>
      </c>
      <c r="E35" t="s">
        <v>53</v>
      </c>
      <c r="M35" s="115"/>
      <c r="N35" s="115"/>
      <c r="O35" s="10"/>
      <c r="P35" s="4"/>
      <c r="Q35" s="4"/>
      <c r="R35" s="4"/>
    </row>
    <row r="36" spans="1:18" x14ac:dyDescent="0.25">
      <c r="A36" s="4"/>
      <c r="B36" s="4"/>
      <c r="C36" s="4"/>
      <c r="E36" s="2" t="s">
        <v>5</v>
      </c>
      <c r="F36" s="3"/>
      <c r="G36" s="3"/>
      <c r="H36" s="3"/>
      <c r="I36" s="3"/>
      <c r="J36" s="3"/>
      <c r="K36" s="3"/>
      <c r="L36" s="3"/>
      <c r="M36" s="115"/>
      <c r="N36" s="115"/>
      <c r="O36" s="10"/>
      <c r="P36" s="4"/>
      <c r="Q36" s="4"/>
      <c r="R36" s="4"/>
    </row>
    <row r="37" spans="1:18" x14ac:dyDescent="0.25">
      <c r="A37" s="4"/>
      <c r="B37" s="4"/>
      <c r="C37" s="4"/>
      <c r="D37" s="1">
        <f>+D35+1</f>
        <v>22</v>
      </c>
      <c r="E37" t="s">
        <v>54</v>
      </c>
      <c r="M37" s="115"/>
      <c r="N37" s="115"/>
      <c r="O37" s="10"/>
      <c r="P37" s="4"/>
      <c r="Q37" s="4"/>
      <c r="R37" s="4"/>
    </row>
    <row r="38" spans="1:18" x14ac:dyDescent="0.25">
      <c r="A38" s="4"/>
      <c r="B38" s="4"/>
      <c r="C38" s="4"/>
      <c r="D38" s="1">
        <f>+D37+1</f>
        <v>23</v>
      </c>
      <c r="E38" t="s">
        <v>55</v>
      </c>
      <c r="M38" s="115"/>
      <c r="N38" s="115"/>
      <c r="O38" s="10"/>
      <c r="P38" s="4"/>
      <c r="Q38" s="4"/>
      <c r="R38" s="4"/>
    </row>
    <row r="39" spans="1:18" x14ac:dyDescent="0.25">
      <c r="A39" s="4"/>
      <c r="B39" s="4"/>
      <c r="C39" s="4"/>
      <c r="D39" s="1">
        <f>+D38+1</f>
        <v>24</v>
      </c>
      <c r="E39" t="s">
        <v>56</v>
      </c>
      <c r="M39" s="115"/>
      <c r="N39" s="115"/>
      <c r="O39" s="10"/>
      <c r="P39" s="4"/>
      <c r="Q39" s="4"/>
      <c r="R39" s="4"/>
    </row>
    <row r="40" spans="1:18" x14ac:dyDescent="0.25">
      <c r="A40" s="4"/>
      <c r="B40" s="4"/>
      <c r="C40" s="4"/>
      <c r="D40" s="1">
        <f>+D39+1</f>
        <v>25</v>
      </c>
      <c r="E40" t="s">
        <v>57</v>
      </c>
      <c r="M40" s="115"/>
      <c r="N40" s="115"/>
      <c r="O40" s="10"/>
      <c r="P40" s="4"/>
      <c r="Q40" s="4"/>
      <c r="R40" s="4"/>
    </row>
    <row r="41" spans="1:18" x14ac:dyDescent="0.25">
      <c r="A41" s="4"/>
      <c r="B41" s="4"/>
      <c r="C41" s="4"/>
      <c r="D41" s="1">
        <f>+D40+1</f>
        <v>26</v>
      </c>
      <c r="E41" t="s">
        <v>58</v>
      </c>
      <c r="M41" s="115"/>
      <c r="N41" s="115"/>
      <c r="O41" s="10"/>
      <c r="P41" s="4"/>
      <c r="Q41" s="4"/>
      <c r="R41" s="4"/>
    </row>
    <row r="42" spans="1:18" x14ac:dyDescent="0.25">
      <c r="A42" s="4"/>
      <c r="B42" s="4"/>
      <c r="C42" s="4"/>
      <c r="D42" s="1">
        <f>+D41+1</f>
        <v>27</v>
      </c>
      <c r="E42" t="s">
        <v>59</v>
      </c>
      <c r="M42" s="115"/>
      <c r="N42" s="115"/>
      <c r="O42" s="10"/>
      <c r="P42" s="4"/>
      <c r="Q42" s="4"/>
      <c r="R42" s="4"/>
    </row>
    <row r="43" spans="1:18" x14ac:dyDescent="0.25">
      <c r="A43" s="4"/>
      <c r="B43" s="4"/>
      <c r="C43" s="4"/>
      <c r="E43" s="2" t="s">
        <v>6</v>
      </c>
      <c r="F43" s="3"/>
      <c r="G43" s="3"/>
      <c r="H43" s="3"/>
      <c r="I43" s="3"/>
      <c r="J43" s="3"/>
      <c r="K43" s="3"/>
      <c r="L43" s="3"/>
      <c r="M43" s="115"/>
      <c r="N43" s="115"/>
      <c r="O43" s="10"/>
      <c r="P43" s="4"/>
      <c r="Q43" s="4"/>
      <c r="R43" s="4"/>
    </row>
    <row r="44" spans="1:18" x14ac:dyDescent="0.25">
      <c r="A44" s="4"/>
      <c r="B44" s="4"/>
      <c r="C44" s="4"/>
      <c r="D44" s="1">
        <f>+D42+1</f>
        <v>28</v>
      </c>
      <c r="E44" t="s">
        <v>60</v>
      </c>
      <c r="M44" s="115"/>
      <c r="N44" s="115"/>
      <c r="O44" s="10"/>
      <c r="P44" s="4"/>
      <c r="Q44" s="4"/>
      <c r="R44" s="4"/>
    </row>
    <row r="45" spans="1:18" x14ac:dyDescent="0.25">
      <c r="A45" s="4"/>
      <c r="B45" s="4"/>
      <c r="C45" s="4"/>
      <c r="D45" s="1">
        <f>+D44+1</f>
        <v>29</v>
      </c>
      <c r="E45" t="s">
        <v>61</v>
      </c>
      <c r="M45" s="115"/>
      <c r="N45" s="115"/>
      <c r="O45" s="10"/>
      <c r="P45" s="4"/>
      <c r="Q45" s="4"/>
      <c r="R45" s="4"/>
    </row>
    <row r="46" spans="1:18" x14ac:dyDescent="0.25">
      <c r="A46" s="4"/>
      <c r="B46" s="4"/>
      <c r="C46" s="4"/>
      <c r="D46" s="1">
        <f>+D45+1</f>
        <v>30</v>
      </c>
      <c r="E46" t="s">
        <v>62</v>
      </c>
      <c r="M46" s="115"/>
      <c r="N46" s="115"/>
      <c r="O46" s="10"/>
      <c r="P46" s="4"/>
      <c r="Q46" s="4"/>
      <c r="R46" s="4"/>
    </row>
    <row r="47" spans="1:18" x14ac:dyDescent="0.25">
      <c r="A47" s="4"/>
      <c r="B47" s="4"/>
      <c r="C47" s="4"/>
      <c r="D47" s="1"/>
      <c r="E47" s="2" t="s">
        <v>7</v>
      </c>
      <c r="F47" s="3"/>
      <c r="G47" s="3"/>
      <c r="H47" s="3"/>
      <c r="I47" s="3"/>
      <c r="J47" s="3"/>
      <c r="K47" s="3"/>
      <c r="L47" s="3"/>
      <c r="M47" s="115"/>
      <c r="N47" s="115"/>
      <c r="O47" s="10"/>
      <c r="P47" s="4"/>
      <c r="Q47" s="4"/>
      <c r="R47" s="4"/>
    </row>
    <row r="48" spans="1:18" x14ac:dyDescent="0.25">
      <c r="A48" s="4"/>
      <c r="B48" s="4"/>
      <c r="C48" s="4"/>
      <c r="D48" s="1">
        <f>+D46+1</f>
        <v>31</v>
      </c>
      <c r="E48" t="s">
        <v>63</v>
      </c>
      <c r="M48" s="115"/>
      <c r="N48" s="115"/>
      <c r="O48" s="10"/>
      <c r="P48" s="4"/>
      <c r="Q48" s="4"/>
      <c r="R48" s="4"/>
    </row>
    <row r="49" spans="1:18" x14ac:dyDescent="0.25">
      <c r="A49" s="4"/>
      <c r="B49" s="4"/>
      <c r="C49" s="4"/>
      <c r="D49" s="1">
        <f>+D48+1</f>
        <v>32</v>
      </c>
      <c r="E49" t="s">
        <v>64</v>
      </c>
      <c r="M49" s="115"/>
      <c r="N49" s="115"/>
      <c r="O49" s="10"/>
      <c r="P49" s="4"/>
      <c r="Q49" s="4"/>
      <c r="R49" s="4"/>
    </row>
    <row r="50" spans="1:18" x14ac:dyDescent="0.25">
      <c r="A50" s="4"/>
      <c r="B50" s="4"/>
      <c r="C50" s="4"/>
      <c r="D50" s="1">
        <f>+D49+1</f>
        <v>33</v>
      </c>
      <c r="E50" t="s">
        <v>65</v>
      </c>
      <c r="M50" s="115"/>
      <c r="N50" s="115"/>
      <c r="O50" s="10"/>
      <c r="P50" s="4"/>
      <c r="Q50" s="4"/>
      <c r="R50" s="4"/>
    </row>
    <row r="51" spans="1:18" x14ac:dyDescent="0.25">
      <c r="A51" s="4"/>
      <c r="B51" s="4"/>
      <c r="C51" s="4"/>
      <c r="D51" s="1">
        <f>+D50+1</f>
        <v>34</v>
      </c>
      <c r="E51" t="s">
        <v>66</v>
      </c>
      <c r="M51" s="115"/>
      <c r="N51" s="115"/>
      <c r="O51" s="10"/>
      <c r="P51" s="4"/>
      <c r="Q51" s="4"/>
      <c r="R51" s="4"/>
    </row>
    <row r="52" spans="1:18" x14ac:dyDescent="0.25">
      <c r="A52" s="4"/>
      <c r="B52" s="4"/>
      <c r="C52" s="4"/>
      <c r="D52" s="1">
        <f>+D51+1</f>
        <v>35</v>
      </c>
      <c r="E52" t="s">
        <v>67</v>
      </c>
      <c r="M52" s="115"/>
      <c r="N52" s="115"/>
      <c r="O52" s="10"/>
      <c r="P52" s="4"/>
      <c r="Q52" s="4"/>
      <c r="R52" s="4"/>
    </row>
    <row r="53" spans="1:18" x14ac:dyDescent="0.25">
      <c r="A53" s="4"/>
      <c r="B53" s="4"/>
      <c r="C53" s="4"/>
      <c r="E53" s="2" t="s">
        <v>8</v>
      </c>
      <c r="F53" s="3"/>
      <c r="G53" s="3"/>
      <c r="H53" s="3"/>
      <c r="I53" s="3"/>
      <c r="J53" s="3"/>
      <c r="K53" s="3"/>
      <c r="L53" s="3"/>
      <c r="M53" s="115"/>
      <c r="N53" s="115"/>
      <c r="O53" s="10"/>
      <c r="P53" s="4"/>
      <c r="Q53" s="4"/>
      <c r="R53" s="4"/>
    </row>
    <row r="54" spans="1:18" x14ac:dyDescent="0.25">
      <c r="A54" s="4"/>
      <c r="B54" s="4"/>
      <c r="C54" s="4"/>
      <c r="D54" s="12">
        <f>+D52+1</f>
        <v>36</v>
      </c>
      <c r="E54" s="13" t="s">
        <v>68</v>
      </c>
      <c r="F54" s="13"/>
      <c r="G54" s="13"/>
      <c r="H54" s="13"/>
      <c r="I54" s="13"/>
      <c r="J54" s="13"/>
      <c r="K54" s="13"/>
      <c r="L54" s="13"/>
      <c r="M54" s="115"/>
      <c r="N54" s="118" t="s">
        <v>240</v>
      </c>
      <c r="O54" s="10"/>
      <c r="P54" s="4"/>
      <c r="Q54" s="4"/>
      <c r="R54" s="4"/>
    </row>
    <row r="55" spans="1:18" x14ac:dyDescent="0.25">
      <c r="A55" s="4"/>
      <c r="B55" s="4"/>
      <c r="C55" s="4"/>
      <c r="D55" s="12">
        <f t="shared" ref="D55:D60" si="1">+D54+1</f>
        <v>37</v>
      </c>
      <c r="E55" s="13" t="s">
        <v>69</v>
      </c>
      <c r="F55" s="13"/>
      <c r="G55" s="13"/>
      <c r="H55" s="13"/>
      <c r="I55" s="13"/>
      <c r="J55" s="13"/>
      <c r="K55" s="13"/>
      <c r="L55" s="13"/>
      <c r="M55" s="115"/>
      <c r="N55" s="118" t="s">
        <v>240</v>
      </c>
      <c r="O55" s="10"/>
      <c r="P55" s="4"/>
      <c r="Q55" s="4"/>
      <c r="R55" s="4"/>
    </row>
    <row r="56" spans="1:18" x14ac:dyDescent="0.25">
      <c r="A56" s="4"/>
      <c r="B56" s="4"/>
      <c r="C56" s="4"/>
      <c r="D56" s="1">
        <f t="shared" si="1"/>
        <v>38</v>
      </c>
      <c r="E56" t="s">
        <v>70</v>
      </c>
      <c r="M56" s="115"/>
      <c r="N56" s="115"/>
      <c r="O56" s="10"/>
      <c r="P56" s="4"/>
      <c r="Q56" s="4"/>
      <c r="R56" s="4"/>
    </row>
    <row r="57" spans="1:18" x14ac:dyDescent="0.25">
      <c r="A57" s="4"/>
      <c r="B57" s="4"/>
      <c r="C57" s="4"/>
      <c r="D57" s="1">
        <f t="shared" si="1"/>
        <v>39</v>
      </c>
      <c r="E57" t="s">
        <v>71</v>
      </c>
      <c r="M57" s="115"/>
      <c r="N57" s="115"/>
      <c r="O57" s="10"/>
      <c r="P57" s="4"/>
      <c r="Q57" s="4"/>
      <c r="R57" s="4"/>
    </row>
    <row r="58" spans="1:18" x14ac:dyDescent="0.25">
      <c r="A58" s="4"/>
      <c r="B58" s="4"/>
      <c r="C58" s="4"/>
      <c r="D58" s="1">
        <f t="shared" si="1"/>
        <v>40</v>
      </c>
      <c r="E58" t="s">
        <v>72</v>
      </c>
      <c r="M58" s="115"/>
      <c r="N58" s="115"/>
      <c r="O58" s="10"/>
      <c r="P58" s="4"/>
      <c r="Q58" s="4"/>
      <c r="R58" s="4"/>
    </row>
    <row r="59" spans="1:18" x14ac:dyDescent="0.25">
      <c r="A59" s="4"/>
      <c r="B59" s="4"/>
      <c r="C59" s="4"/>
      <c r="D59" s="1">
        <f t="shared" si="1"/>
        <v>41</v>
      </c>
      <c r="E59" t="s">
        <v>73</v>
      </c>
      <c r="M59" s="115"/>
      <c r="N59" s="115"/>
      <c r="O59" s="10"/>
      <c r="P59" s="4"/>
      <c r="Q59" s="4"/>
      <c r="R59" s="4"/>
    </row>
    <row r="60" spans="1:18" x14ac:dyDescent="0.25">
      <c r="A60" s="4"/>
      <c r="B60" s="4"/>
      <c r="C60" s="4"/>
      <c r="D60" s="1">
        <f t="shared" si="1"/>
        <v>42</v>
      </c>
      <c r="E60" t="s">
        <v>74</v>
      </c>
      <c r="M60" s="115"/>
      <c r="N60" s="115"/>
      <c r="O60" s="10"/>
      <c r="P60" s="4"/>
      <c r="Q60" s="4"/>
      <c r="R60" s="4"/>
    </row>
    <row r="61" spans="1:18" x14ac:dyDescent="0.25">
      <c r="A61" s="4"/>
      <c r="B61" s="4"/>
      <c r="C61" s="4"/>
      <c r="E61" s="2" t="s">
        <v>9</v>
      </c>
      <c r="F61" s="3"/>
      <c r="G61" s="3"/>
      <c r="H61" s="3"/>
      <c r="I61" s="3"/>
      <c r="J61" s="3"/>
      <c r="K61" s="3"/>
      <c r="L61" s="3"/>
      <c r="M61" s="115"/>
      <c r="N61" s="115"/>
      <c r="O61" s="10"/>
      <c r="P61" s="4"/>
      <c r="Q61" s="4"/>
      <c r="R61" s="4"/>
    </row>
    <row r="62" spans="1:18" x14ac:dyDescent="0.25">
      <c r="A62" s="4"/>
      <c r="B62" s="4"/>
      <c r="C62" s="4"/>
      <c r="D62" s="1">
        <f>+D60+1</f>
        <v>43</v>
      </c>
      <c r="E62" t="s">
        <v>75</v>
      </c>
      <c r="M62" s="115"/>
      <c r="N62" s="115"/>
      <c r="O62" s="10"/>
      <c r="P62" s="4"/>
      <c r="Q62" s="4"/>
      <c r="R62" s="4"/>
    </row>
    <row r="63" spans="1:18" x14ac:dyDescent="0.25">
      <c r="A63" s="4"/>
      <c r="B63" s="4"/>
      <c r="C63" s="4"/>
      <c r="D63" s="1">
        <f>+D62+1</f>
        <v>44</v>
      </c>
      <c r="E63" t="s">
        <v>76</v>
      </c>
      <c r="M63" s="115"/>
      <c r="N63" s="115"/>
      <c r="O63" s="10"/>
      <c r="P63" s="4"/>
      <c r="Q63" s="4"/>
      <c r="R63" s="4"/>
    </row>
    <row r="64" spans="1:18" x14ac:dyDescent="0.25">
      <c r="A64" s="4"/>
      <c r="B64" s="4"/>
      <c r="C64" s="4"/>
      <c r="D64" s="1">
        <f>+D63+1</f>
        <v>45</v>
      </c>
      <c r="E64" t="s">
        <v>77</v>
      </c>
      <c r="M64" s="115"/>
      <c r="N64" s="115"/>
      <c r="O64" s="10"/>
      <c r="P64" s="4"/>
      <c r="Q64" s="4"/>
      <c r="R64" s="4"/>
    </row>
    <row r="65" spans="1:18" x14ac:dyDescent="0.25">
      <c r="A65" s="4"/>
      <c r="B65" s="4"/>
      <c r="C65" s="4"/>
      <c r="D65" s="1"/>
      <c r="E65" s="2" t="s">
        <v>10</v>
      </c>
      <c r="F65" s="3"/>
      <c r="G65" s="3"/>
      <c r="H65" s="3"/>
      <c r="I65" s="3"/>
      <c r="J65" s="3"/>
      <c r="K65" s="3"/>
      <c r="L65" s="3"/>
      <c r="M65" s="115"/>
      <c r="N65" s="115"/>
      <c r="O65" s="10"/>
      <c r="P65" s="4"/>
      <c r="Q65" s="4"/>
      <c r="R65" s="4"/>
    </row>
    <row r="66" spans="1:18" x14ac:dyDescent="0.25">
      <c r="A66" s="4"/>
      <c r="B66" s="4"/>
      <c r="C66" s="4"/>
      <c r="D66" s="1">
        <f>+D64+1</f>
        <v>46</v>
      </c>
      <c r="E66" t="s">
        <v>78</v>
      </c>
      <c r="M66" s="115"/>
      <c r="N66" s="115"/>
      <c r="O66" s="10"/>
      <c r="P66" s="4"/>
      <c r="Q66" s="4"/>
      <c r="R66" s="4"/>
    </row>
    <row r="67" spans="1:18" x14ac:dyDescent="0.25">
      <c r="A67" s="4"/>
      <c r="B67" s="4"/>
      <c r="C67" s="4"/>
      <c r="D67" s="1">
        <f>+D66+1</f>
        <v>47</v>
      </c>
      <c r="E67" t="s">
        <v>79</v>
      </c>
      <c r="M67" s="115"/>
      <c r="N67" s="115"/>
      <c r="O67" s="10"/>
      <c r="P67" s="4"/>
      <c r="Q67" s="4"/>
      <c r="R67" s="4"/>
    </row>
    <row r="68" spans="1:18" x14ac:dyDescent="0.25">
      <c r="A68" s="4"/>
      <c r="B68" s="4"/>
      <c r="C68" s="4"/>
      <c r="D68" s="1">
        <f>+D67+1</f>
        <v>48</v>
      </c>
      <c r="E68" t="s">
        <v>80</v>
      </c>
      <c r="M68" s="115"/>
      <c r="N68" s="115"/>
      <c r="O68" s="10"/>
      <c r="P68" s="4"/>
      <c r="Q68" s="4"/>
      <c r="R68" s="4"/>
    </row>
    <row r="69" spans="1:18" x14ac:dyDescent="0.25">
      <c r="A69" s="4"/>
      <c r="B69" s="4"/>
      <c r="C69" s="4"/>
      <c r="D69" s="1">
        <f>+D68+1</f>
        <v>49</v>
      </c>
      <c r="E69" t="s">
        <v>81</v>
      </c>
      <c r="M69" s="115"/>
      <c r="N69" s="115"/>
      <c r="O69" s="10"/>
      <c r="P69" s="4"/>
      <c r="Q69" s="4"/>
      <c r="R69" s="4"/>
    </row>
    <row r="70" spans="1:18" x14ac:dyDescent="0.25">
      <c r="A70" s="4"/>
      <c r="B70" s="4"/>
      <c r="C70" s="4"/>
      <c r="D70" s="1"/>
      <c r="E70" s="2" t="s">
        <v>11</v>
      </c>
      <c r="F70" s="3"/>
      <c r="G70" s="3"/>
      <c r="H70" s="3"/>
      <c r="I70" s="3"/>
      <c r="J70" s="3"/>
      <c r="K70" s="3"/>
      <c r="L70" s="3"/>
      <c r="M70" s="115"/>
      <c r="N70" s="115"/>
      <c r="O70" s="10"/>
      <c r="P70" s="4"/>
      <c r="Q70" s="4"/>
      <c r="R70" s="4"/>
    </row>
    <row r="71" spans="1:18" x14ac:dyDescent="0.25">
      <c r="A71" s="4"/>
      <c r="B71" s="4"/>
      <c r="C71" s="4"/>
      <c r="D71" s="1">
        <f>+D69+1</f>
        <v>50</v>
      </c>
      <c r="E71" t="s">
        <v>82</v>
      </c>
      <c r="M71" s="115"/>
      <c r="N71" s="115"/>
      <c r="O71" s="10"/>
      <c r="P71" s="4"/>
      <c r="Q71" s="4"/>
      <c r="R71" s="4"/>
    </row>
    <row r="72" spans="1:18" x14ac:dyDescent="0.25">
      <c r="A72" s="4"/>
      <c r="B72" s="4"/>
      <c r="C72" s="4"/>
      <c r="D72" s="1">
        <f>+D71+1</f>
        <v>51</v>
      </c>
      <c r="E72" t="s">
        <v>83</v>
      </c>
      <c r="M72" s="115"/>
      <c r="N72" s="115"/>
      <c r="O72" s="10"/>
      <c r="P72" s="4"/>
      <c r="Q72" s="4"/>
      <c r="R72" s="4"/>
    </row>
    <row r="73" spans="1:18" x14ac:dyDescent="0.25">
      <c r="A73" s="4"/>
      <c r="B73" s="4"/>
      <c r="C73" s="4"/>
      <c r="D73" s="1">
        <f>+D72+1</f>
        <v>52</v>
      </c>
      <c r="E73" t="s">
        <v>84</v>
      </c>
      <c r="M73" s="115"/>
      <c r="N73" s="115"/>
      <c r="O73" s="10"/>
      <c r="P73" s="4"/>
      <c r="Q73" s="4"/>
      <c r="R73" s="4"/>
    </row>
    <row r="74" spans="1:18" x14ac:dyDescent="0.25">
      <c r="A74" s="4"/>
      <c r="B74" s="4"/>
      <c r="C74" s="4"/>
      <c r="D74" s="1">
        <f>+D73+1</f>
        <v>53</v>
      </c>
      <c r="E74" t="s">
        <v>85</v>
      </c>
      <c r="M74" s="115"/>
      <c r="N74" s="115"/>
      <c r="O74" s="10"/>
      <c r="P74" s="4"/>
      <c r="Q74" s="4"/>
      <c r="R74" s="4"/>
    </row>
    <row r="75" spans="1:18" x14ac:dyDescent="0.25">
      <c r="A75" s="4"/>
      <c r="B75" s="4"/>
      <c r="C75" s="4"/>
      <c r="E75" s="2" t="s">
        <v>12</v>
      </c>
      <c r="F75" s="3"/>
      <c r="G75" s="3"/>
      <c r="H75" s="3"/>
      <c r="I75" s="3"/>
      <c r="J75" s="3"/>
      <c r="K75" s="3"/>
      <c r="L75" s="3"/>
      <c r="M75" s="115"/>
      <c r="N75" s="115"/>
      <c r="O75" s="10"/>
      <c r="P75" s="4"/>
      <c r="Q75" s="4"/>
      <c r="R75" s="4"/>
    </row>
    <row r="76" spans="1:18" x14ac:dyDescent="0.25">
      <c r="A76" s="4"/>
      <c r="B76" s="4"/>
      <c r="C76" s="4"/>
      <c r="D76" s="1">
        <f>+D74+1</f>
        <v>54</v>
      </c>
      <c r="E76" t="s">
        <v>86</v>
      </c>
      <c r="M76" s="115"/>
      <c r="N76" s="115"/>
      <c r="O76" s="10"/>
      <c r="P76" s="4"/>
      <c r="Q76" s="4"/>
      <c r="R76" s="4"/>
    </row>
    <row r="77" spans="1:18" x14ac:dyDescent="0.25">
      <c r="A77" s="4"/>
      <c r="B77" s="4"/>
      <c r="C77" s="4"/>
      <c r="D77" s="1"/>
      <c r="E77" s="2" t="s">
        <v>13</v>
      </c>
      <c r="F77" s="3"/>
      <c r="G77" s="3"/>
      <c r="H77" s="3"/>
      <c r="I77" s="3"/>
      <c r="J77" s="3"/>
      <c r="K77" s="3"/>
      <c r="L77" s="3"/>
      <c r="M77" s="115"/>
      <c r="N77" s="115"/>
      <c r="O77" s="10"/>
      <c r="P77" s="4"/>
      <c r="Q77" s="4"/>
      <c r="R77" s="4"/>
    </row>
    <row r="78" spans="1:18" x14ac:dyDescent="0.25">
      <c r="A78" s="4"/>
      <c r="B78" s="4"/>
      <c r="C78" s="4"/>
      <c r="D78" s="1">
        <f>+D76+1</f>
        <v>55</v>
      </c>
      <c r="E78" t="s">
        <v>87</v>
      </c>
      <c r="M78" s="115"/>
      <c r="N78" s="115"/>
      <c r="O78" s="10"/>
      <c r="P78" s="4"/>
      <c r="Q78" s="4"/>
      <c r="R78" s="4"/>
    </row>
    <row r="79" spans="1:18" x14ac:dyDescent="0.25">
      <c r="A79" s="4"/>
      <c r="B79" s="4"/>
      <c r="C79" s="4"/>
      <c r="D79" s="1">
        <f>+D78+1</f>
        <v>56</v>
      </c>
      <c r="E79" t="s">
        <v>88</v>
      </c>
      <c r="M79" s="115"/>
      <c r="N79" s="115"/>
      <c r="O79" s="10"/>
      <c r="P79" s="4"/>
      <c r="Q79" s="4"/>
      <c r="R79" s="4"/>
    </row>
    <row r="80" spans="1:18" x14ac:dyDescent="0.25">
      <c r="A80" s="4"/>
      <c r="B80" s="4"/>
      <c r="C80" s="4"/>
      <c r="D80" s="1">
        <f>+D79+1</f>
        <v>57</v>
      </c>
      <c r="E80" s="13" t="s">
        <v>89</v>
      </c>
      <c r="F80" s="13"/>
      <c r="G80" s="13"/>
      <c r="H80" s="13"/>
      <c r="I80" s="13"/>
      <c r="J80" s="13"/>
      <c r="K80" s="13"/>
      <c r="L80" s="13"/>
      <c r="M80" s="115"/>
      <c r="N80" s="118" t="s">
        <v>240</v>
      </c>
      <c r="O80" s="10"/>
      <c r="P80" s="4"/>
      <c r="Q80" s="4"/>
      <c r="R80" s="4"/>
    </row>
    <row r="81" spans="1:18" x14ac:dyDescent="0.25">
      <c r="A81" s="4"/>
      <c r="B81" s="4"/>
      <c r="C81" s="4"/>
      <c r="D81" s="1">
        <f>+D80+1</f>
        <v>58</v>
      </c>
      <c r="E81" t="s">
        <v>90</v>
      </c>
      <c r="M81" s="115"/>
      <c r="N81" s="115"/>
      <c r="O81" s="10"/>
      <c r="P81" s="4"/>
      <c r="Q81" s="4"/>
      <c r="R81" s="4"/>
    </row>
    <row r="82" spans="1:18" x14ac:dyDescent="0.25">
      <c r="A82" s="4"/>
      <c r="B82" s="4"/>
      <c r="C82" s="4"/>
      <c r="E82" s="2" t="s">
        <v>14</v>
      </c>
      <c r="F82" s="3"/>
      <c r="G82" s="3"/>
      <c r="H82" s="3"/>
      <c r="I82" s="3"/>
      <c r="J82" s="3"/>
      <c r="K82" s="3"/>
      <c r="L82" s="3"/>
      <c r="M82" s="115"/>
      <c r="N82" s="115"/>
      <c r="O82" s="10"/>
      <c r="P82" s="4"/>
      <c r="Q82" s="4"/>
      <c r="R82" s="4"/>
    </row>
    <row r="83" spans="1:18" x14ac:dyDescent="0.25">
      <c r="A83" s="4"/>
      <c r="B83" s="4"/>
      <c r="C83" s="4"/>
      <c r="D83" s="1">
        <f>+D81+1</f>
        <v>59</v>
      </c>
      <c r="E83" t="s">
        <v>91</v>
      </c>
      <c r="M83" s="115"/>
      <c r="N83" s="115"/>
      <c r="O83" s="10"/>
      <c r="P83" s="4"/>
      <c r="Q83" s="4"/>
      <c r="R83" s="4"/>
    </row>
    <row r="84" spans="1:18" x14ac:dyDescent="0.25">
      <c r="A84" s="4"/>
      <c r="B84" s="4"/>
      <c r="C84" s="4"/>
      <c r="D84" s="1">
        <f>+D83+1</f>
        <v>60</v>
      </c>
      <c r="E84" t="s">
        <v>92</v>
      </c>
      <c r="M84" s="115"/>
      <c r="N84" s="115"/>
      <c r="O84" s="10"/>
      <c r="P84" s="4"/>
      <c r="Q84" s="4"/>
      <c r="R84" s="4"/>
    </row>
    <row r="85" spans="1:18" x14ac:dyDescent="0.25">
      <c r="A85" s="4"/>
      <c r="B85" s="4"/>
      <c r="C85" s="4"/>
      <c r="D85" s="1">
        <f>+D84+1</f>
        <v>61</v>
      </c>
      <c r="E85" t="s">
        <v>93</v>
      </c>
      <c r="M85" s="115"/>
      <c r="N85" s="115"/>
      <c r="O85" s="10"/>
      <c r="P85" s="4"/>
      <c r="Q85" s="4"/>
      <c r="R85" s="4"/>
    </row>
    <row r="86" spans="1:18" x14ac:dyDescent="0.25">
      <c r="A86" s="4"/>
      <c r="B86" s="4"/>
      <c r="C86" s="4"/>
      <c r="D86" s="1"/>
      <c r="E86" s="2" t="s">
        <v>15</v>
      </c>
      <c r="F86" s="3"/>
      <c r="G86" s="3"/>
      <c r="H86" s="3"/>
      <c r="I86" s="3"/>
      <c r="J86" s="3"/>
      <c r="K86" s="3"/>
      <c r="L86" s="3"/>
      <c r="M86" s="115"/>
      <c r="N86" s="115"/>
      <c r="O86" s="10"/>
      <c r="P86" s="4"/>
      <c r="Q86" s="4"/>
      <c r="R86" s="4"/>
    </row>
    <row r="87" spans="1:18" x14ac:dyDescent="0.25">
      <c r="A87" s="4"/>
      <c r="B87" s="4"/>
      <c r="C87" s="4"/>
      <c r="D87" s="1">
        <f>+D85+1</f>
        <v>62</v>
      </c>
      <c r="E87" t="s">
        <v>94</v>
      </c>
      <c r="M87" s="115"/>
      <c r="N87" s="115"/>
      <c r="O87" s="10"/>
      <c r="P87" s="4"/>
      <c r="Q87" s="4"/>
      <c r="R87" s="4"/>
    </row>
    <row r="88" spans="1:18" x14ac:dyDescent="0.25">
      <c r="A88" s="4"/>
      <c r="B88" s="4"/>
      <c r="C88" s="4"/>
      <c r="D88" s="1"/>
      <c r="E88" s="2" t="s">
        <v>16</v>
      </c>
      <c r="F88" s="3"/>
      <c r="G88" s="3"/>
      <c r="H88" s="3"/>
      <c r="I88" s="3"/>
      <c r="J88" s="3"/>
      <c r="K88" s="3"/>
      <c r="L88" s="3"/>
      <c r="M88" s="115"/>
      <c r="N88" s="115"/>
      <c r="O88" s="10"/>
      <c r="P88" s="4"/>
      <c r="Q88" s="4"/>
      <c r="R88" s="4"/>
    </row>
    <row r="89" spans="1:18" x14ac:dyDescent="0.25">
      <c r="A89" s="4"/>
      <c r="B89" s="4"/>
      <c r="C89" s="4"/>
      <c r="D89" s="1">
        <f>+D87+1</f>
        <v>63</v>
      </c>
      <c r="E89" t="s">
        <v>95</v>
      </c>
      <c r="M89" s="115"/>
      <c r="N89" s="115"/>
      <c r="O89" s="10"/>
      <c r="P89" s="4"/>
      <c r="Q89" s="4"/>
      <c r="R89" s="4"/>
    </row>
    <row r="90" spans="1:18" x14ac:dyDescent="0.25">
      <c r="A90" s="4"/>
      <c r="B90" s="4"/>
      <c r="C90" s="4"/>
      <c r="D90" s="1">
        <f>+D89+1</f>
        <v>64</v>
      </c>
      <c r="E90" t="s">
        <v>96</v>
      </c>
      <c r="M90" s="115"/>
      <c r="N90" s="115"/>
      <c r="O90" s="10"/>
      <c r="P90" s="4"/>
      <c r="Q90" s="4"/>
      <c r="R90" s="4"/>
    </row>
    <row r="91" spans="1:18" x14ac:dyDescent="0.25">
      <c r="A91" s="4"/>
      <c r="B91" s="4"/>
      <c r="C91" s="4"/>
      <c r="D91" s="1">
        <f>+D90+1</f>
        <v>65</v>
      </c>
      <c r="E91" t="s">
        <v>97</v>
      </c>
      <c r="M91" s="115"/>
      <c r="N91" s="115"/>
      <c r="O91" s="10"/>
      <c r="P91" s="4"/>
      <c r="Q91" s="4"/>
      <c r="R91" s="4"/>
    </row>
    <row r="92" spans="1:18" x14ac:dyDescent="0.25">
      <c r="A92" s="4"/>
      <c r="B92" s="4"/>
      <c r="C92" s="4"/>
      <c r="D92" s="1">
        <f>+D91+1</f>
        <v>66</v>
      </c>
      <c r="E92" t="s">
        <v>98</v>
      </c>
      <c r="M92" s="115"/>
      <c r="N92" s="115"/>
      <c r="O92" s="10"/>
      <c r="P92" s="4"/>
      <c r="Q92" s="4"/>
      <c r="R92" s="4"/>
    </row>
    <row r="93" spans="1:18" x14ac:dyDescent="0.25">
      <c r="A93" s="4"/>
      <c r="B93" s="4"/>
      <c r="C93" s="4"/>
      <c r="E93" s="2" t="s">
        <v>17</v>
      </c>
      <c r="F93" s="3"/>
      <c r="G93" s="3"/>
      <c r="H93" s="3"/>
      <c r="I93" s="3"/>
      <c r="J93" s="3"/>
      <c r="K93" s="3"/>
      <c r="L93" s="3"/>
      <c r="M93" s="115"/>
      <c r="N93" s="115"/>
      <c r="O93" s="10"/>
      <c r="P93" s="4"/>
      <c r="Q93" s="4"/>
      <c r="R93" s="4"/>
    </row>
    <row r="94" spans="1:18" x14ac:dyDescent="0.25">
      <c r="A94" s="4"/>
      <c r="B94" s="4"/>
      <c r="C94" s="4"/>
      <c r="D94" s="1">
        <f>+D92+1</f>
        <v>67</v>
      </c>
      <c r="E94" t="s">
        <v>99</v>
      </c>
      <c r="M94" s="115"/>
      <c r="N94" s="115"/>
      <c r="O94" s="10"/>
      <c r="P94" s="4"/>
      <c r="Q94" s="4"/>
      <c r="R94" s="4"/>
    </row>
    <row r="95" spans="1:18" x14ac:dyDescent="0.25">
      <c r="A95" s="4"/>
      <c r="B95" s="4"/>
      <c r="C95" s="4"/>
      <c r="D95" s="1">
        <f>+D94+1</f>
        <v>68</v>
      </c>
      <c r="E95" t="s">
        <v>100</v>
      </c>
      <c r="M95" s="115"/>
      <c r="N95" s="115"/>
      <c r="O95" s="10"/>
      <c r="P95" s="4"/>
      <c r="Q95" s="4"/>
      <c r="R95" s="4"/>
    </row>
    <row r="96" spans="1:18" x14ac:dyDescent="0.25">
      <c r="A96" s="4"/>
      <c r="B96" s="4"/>
      <c r="C96" s="4"/>
      <c r="D96" s="1">
        <f>+D95+1</f>
        <v>69</v>
      </c>
      <c r="E96" t="s">
        <v>101</v>
      </c>
      <c r="M96" s="115"/>
      <c r="N96" s="115"/>
      <c r="O96" s="10"/>
      <c r="P96" s="4"/>
      <c r="Q96" s="4"/>
      <c r="R96" s="4"/>
    </row>
    <row r="97" spans="1:18" x14ac:dyDescent="0.25">
      <c r="A97" s="4"/>
      <c r="B97" s="4"/>
      <c r="C97" s="4"/>
      <c r="D97" s="1">
        <f>+D96+1</f>
        <v>70</v>
      </c>
      <c r="E97" t="s">
        <v>102</v>
      </c>
      <c r="M97" s="115"/>
      <c r="N97" s="115"/>
      <c r="O97" s="10"/>
      <c r="P97" s="4"/>
      <c r="Q97" s="4"/>
      <c r="R97" s="4"/>
    </row>
    <row r="98" spans="1:18" x14ac:dyDescent="0.25">
      <c r="A98" s="4"/>
      <c r="B98" s="4"/>
      <c r="C98" s="4"/>
      <c r="E98" s="2" t="s">
        <v>18</v>
      </c>
      <c r="F98" s="3"/>
      <c r="G98" s="3"/>
      <c r="H98" s="3"/>
      <c r="I98" s="3"/>
      <c r="J98" s="3"/>
      <c r="K98" s="3"/>
      <c r="L98" s="3"/>
      <c r="M98" s="115"/>
      <c r="N98" s="115"/>
      <c r="O98" s="10"/>
      <c r="P98" s="4"/>
      <c r="Q98" s="4"/>
      <c r="R98" s="4"/>
    </row>
    <row r="99" spans="1:18" x14ac:dyDescent="0.25">
      <c r="A99" s="4"/>
      <c r="B99" s="4"/>
      <c r="C99" s="4"/>
      <c r="D99" s="1">
        <f>+D97+1</f>
        <v>71</v>
      </c>
      <c r="E99" t="s">
        <v>103</v>
      </c>
      <c r="M99" s="115"/>
      <c r="N99" s="115"/>
      <c r="O99" s="10"/>
      <c r="P99" s="4"/>
      <c r="Q99" s="4"/>
      <c r="R99" s="4"/>
    </row>
    <row r="100" spans="1:18" x14ac:dyDescent="0.25">
      <c r="A100" s="4"/>
      <c r="B100" s="4"/>
      <c r="C100" s="4"/>
      <c r="D100" s="1">
        <f>+D99+1</f>
        <v>72</v>
      </c>
      <c r="E100" t="s">
        <v>104</v>
      </c>
      <c r="M100" s="115"/>
      <c r="N100" s="115"/>
      <c r="O100" s="10"/>
      <c r="P100" s="4"/>
      <c r="Q100" s="4"/>
      <c r="R100" s="4"/>
    </row>
    <row r="101" spans="1:18" x14ac:dyDescent="0.25">
      <c r="A101" s="4"/>
      <c r="B101" s="4"/>
      <c r="C101" s="4"/>
      <c r="D101" s="1">
        <f>+D100+1</f>
        <v>73</v>
      </c>
      <c r="E101" t="s">
        <v>105</v>
      </c>
      <c r="M101" s="115"/>
      <c r="N101" s="115"/>
      <c r="O101" s="10"/>
      <c r="P101" s="4"/>
      <c r="Q101" s="4"/>
      <c r="R101" s="4"/>
    </row>
    <row r="102" spans="1:18" x14ac:dyDescent="0.25">
      <c r="A102" s="4"/>
      <c r="B102" s="4"/>
      <c r="C102" s="4"/>
      <c r="D102" s="1"/>
      <c r="E102" s="2" t="s">
        <v>239</v>
      </c>
      <c r="F102" s="3"/>
      <c r="G102" s="3"/>
      <c r="H102" s="3"/>
      <c r="I102" s="3"/>
      <c r="J102" s="3"/>
      <c r="K102" s="3"/>
      <c r="L102" s="3"/>
      <c r="M102" s="115"/>
      <c r="N102" s="115"/>
      <c r="O102" s="10"/>
      <c r="P102" s="4"/>
      <c r="Q102" s="4"/>
      <c r="R102" s="4"/>
    </row>
    <row r="103" spans="1:18" x14ac:dyDescent="0.25">
      <c r="A103" s="4"/>
      <c r="B103" s="4"/>
      <c r="C103" s="4"/>
      <c r="D103" s="1">
        <f>+D101+1</f>
        <v>74</v>
      </c>
      <c r="E103" t="s">
        <v>106</v>
      </c>
      <c r="M103" s="115"/>
      <c r="N103" s="115"/>
      <c r="O103" s="10"/>
      <c r="P103" s="4"/>
      <c r="Q103" s="4"/>
      <c r="R103" s="4"/>
    </row>
    <row r="104" spans="1:18" x14ac:dyDescent="0.25">
      <c r="A104" s="4"/>
      <c r="B104" s="4"/>
      <c r="C104" s="4"/>
      <c r="D104" s="1">
        <f>+D103+1</f>
        <v>75</v>
      </c>
      <c r="E104" t="s">
        <v>107</v>
      </c>
      <c r="M104" s="115" t="s">
        <v>236</v>
      </c>
      <c r="N104" s="115"/>
      <c r="O104" s="10"/>
      <c r="P104" s="4"/>
      <c r="Q104" s="4"/>
      <c r="R104" s="4"/>
    </row>
    <row r="105" spans="1:18" x14ac:dyDescent="0.25">
      <c r="A105" s="4"/>
      <c r="B105" s="4"/>
      <c r="C105" s="4"/>
      <c r="D105" s="1">
        <f>+D104+1</f>
        <v>76</v>
      </c>
      <c r="E105" t="s">
        <v>108</v>
      </c>
      <c r="M105" s="115"/>
      <c r="N105" s="115"/>
      <c r="O105" s="10"/>
      <c r="P105" s="4"/>
      <c r="Q105" s="4"/>
      <c r="R105" s="4"/>
    </row>
    <row r="106" spans="1:18" x14ac:dyDescent="0.25">
      <c r="A106" s="4"/>
      <c r="B106" s="4"/>
      <c r="C106" s="4"/>
      <c r="E106" s="2" t="s">
        <v>19</v>
      </c>
      <c r="F106" s="3"/>
      <c r="G106" s="3"/>
      <c r="H106" s="3"/>
      <c r="I106" s="3"/>
      <c r="J106" s="3"/>
      <c r="K106" s="3"/>
      <c r="L106" s="3"/>
      <c r="M106" s="115"/>
      <c r="N106" s="115"/>
      <c r="O106" s="10"/>
      <c r="P106" s="4"/>
      <c r="Q106" s="4"/>
      <c r="R106" s="4"/>
    </row>
    <row r="107" spans="1:18" x14ac:dyDescent="0.25">
      <c r="A107" s="4"/>
      <c r="B107" s="4"/>
      <c r="C107" s="4"/>
      <c r="D107" s="1">
        <f>+D105+1</f>
        <v>77</v>
      </c>
      <c r="E107" t="s">
        <v>109</v>
      </c>
      <c r="M107" s="115"/>
      <c r="N107" s="115"/>
      <c r="O107" s="10"/>
      <c r="P107" s="4"/>
      <c r="Q107" s="4"/>
      <c r="R107" s="4"/>
    </row>
    <row r="108" spans="1:18" x14ac:dyDescent="0.25">
      <c r="A108" s="4"/>
      <c r="B108" s="4"/>
      <c r="C108" s="4"/>
      <c r="D108" s="1">
        <f>+D107+1</f>
        <v>78</v>
      </c>
      <c r="E108" t="s">
        <v>110</v>
      </c>
      <c r="M108" s="115"/>
      <c r="N108" s="115"/>
      <c r="O108" s="10"/>
      <c r="P108" s="4"/>
      <c r="Q108" s="4"/>
      <c r="R108" s="4"/>
    </row>
    <row r="109" spans="1:18" x14ac:dyDescent="0.25">
      <c r="A109" s="4"/>
      <c r="B109" s="4"/>
      <c r="C109" s="4"/>
      <c r="D109" s="1"/>
      <c r="E109" s="2" t="s">
        <v>20</v>
      </c>
      <c r="F109" s="3"/>
      <c r="G109" s="3"/>
      <c r="H109" s="3"/>
      <c r="I109" s="3"/>
      <c r="J109" s="3"/>
      <c r="K109" s="3"/>
      <c r="L109" s="3"/>
      <c r="M109" s="115"/>
      <c r="N109" s="115"/>
      <c r="O109" s="10"/>
      <c r="P109" s="4"/>
      <c r="Q109" s="4"/>
      <c r="R109" s="4"/>
    </row>
    <row r="110" spans="1:18" x14ac:dyDescent="0.25">
      <c r="A110" s="4"/>
      <c r="B110" s="4"/>
      <c r="C110" s="4"/>
      <c r="D110" s="1">
        <f>+D108+1</f>
        <v>79</v>
      </c>
      <c r="E110" t="s">
        <v>111</v>
      </c>
      <c r="M110" s="115"/>
      <c r="N110" s="115"/>
      <c r="O110" s="10"/>
      <c r="P110" s="4"/>
      <c r="Q110" s="4"/>
      <c r="R110" s="4"/>
    </row>
    <row r="111" spans="1:18" x14ac:dyDescent="0.25">
      <c r="A111" s="4"/>
      <c r="B111" s="4"/>
      <c r="C111" s="4"/>
      <c r="D111" s="1">
        <f>+D110+1</f>
        <v>80</v>
      </c>
      <c r="E111" t="s">
        <v>112</v>
      </c>
      <c r="M111" s="115"/>
      <c r="N111" s="115"/>
      <c r="O111" s="10"/>
      <c r="P111" s="4"/>
      <c r="Q111" s="4"/>
      <c r="R111" s="4"/>
    </row>
    <row r="112" spans="1:18" x14ac:dyDescent="0.25">
      <c r="A112" s="4"/>
      <c r="B112" s="4"/>
      <c r="C112" s="4"/>
      <c r="D112" s="1">
        <f>+D111+1</f>
        <v>81</v>
      </c>
      <c r="E112" t="s">
        <v>113</v>
      </c>
      <c r="M112" s="115"/>
      <c r="N112" s="115"/>
      <c r="O112" s="10"/>
      <c r="P112" s="4"/>
      <c r="Q112" s="4"/>
      <c r="R112" s="4"/>
    </row>
    <row r="113" spans="1:18" x14ac:dyDescent="0.25">
      <c r="A113" s="4"/>
      <c r="B113" s="4"/>
      <c r="C113" s="4"/>
      <c r="E113" s="2" t="s">
        <v>21</v>
      </c>
      <c r="F113" s="3"/>
      <c r="G113" s="3"/>
      <c r="H113" s="3"/>
      <c r="I113" s="3"/>
      <c r="J113" s="3"/>
      <c r="K113" s="3"/>
      <c r="L113" s="3"/>
      <c r="M113" s="115"/>
      <c r="N113" s="115"/>
      <c r="O113" s="10"/>
      <c r="P113" s="4"/>
      <c r="Q113" s="4"/>
      <c r="R113" s="4"/>
    </row>
    <row r="114" spans="1:18" x14ac:dyDescent="0.25">
      <c r="A114" s="4"/>
      <c r="B114" s="4"/>
      <c r="C114" s="4"/>
      <c r="D114" s="1">
        <f>+D112+1</f>
        <v>82</v>
      </c>
      <c r="E114" t="s">
        <v>114</v>
      </c>
      <c r="M114" s="115"/>
      <c r="N114" s="115"/>
      <c r="O114" s="10"/>
      <c r="P114" s="4"/>
      <c r="Q114" s="4"/>
      <c r="R114" s="4"/>
    </row>
    <row r="115" spans="1:18" x14ac:dyDescent="0.25">
      <c r="A115" s="4"/>
      <c r="B115" s="4"/>
      <c r="C115" s="4"/>
      <c r="D115" s="1">
        <f>+D114+1</f>
        <v>83</v>
      </c>
      <c r="E115" t="s">
        <v>115</v>
      </c>
      <c r="M115" s="115"/>
      <c r="N115" s="115"/>
      <c r="O115" s="10"/>
      <c r="P115" s="4"/>
      <c r="Q115" s="4"/>
      <c r="R115" s="4"/>
    </row>
    <row r="116" spans="1:18" x14ac:dyDescent="0.25">
      <c r="A116" s="4"/>
      <c r="B116" s="4"/>
      <c r="C116" s="4"/>
      <c r="D116" s="1">
        <f>+D115+1</f>
        <v>84</v>
      </c>
      <c r="E116" t="s">
        <v>116</v>
      </c>
      <c r="M116" s="115"/>
      <c r="N116" s="115"/>
      <c r="O116" s="10"/>
      <c r="P116" s="4"/>
      <c r="Q116" s="4"/>
      <c r="R116" s="4"/>
    </row>
    <row r="117" spans="1:18" x14ac:dyDescent="0.25">
      <c r="A117" s="4"/>
      <c r="B117" s="4"/>
      <c r="C117" s="4"/>
      <c r="D117" s="1">
        <f>+D116+1</f>
        <v>85</v>
      </c>
      <c r="E117" t="s">
        <v>117</v>
      </c>
      <c r="M117" s="115"/>
      <c r="N117" s="115"/>
      <c r="O117" s="10"/>
      <c r="P117" s="4"/>
      <c r="Q117" s="4"/>
      <c r="R117" s="4"/>
    </row>
    <row r="118" spans="1:18" x14ac:dyDescent="0.25">
      <c r="A118" s="4"/>
      <c r="B118" s="4"/>
      <c r="C118" s="4"/>
      <c r="E118" s="2" t="s">
        <v>22</v>
      </c>
      <c r="F118" s="3"/>
      <c r="G118" s="3"/>
      <c r="H118" s="3"/>
      <c r="I118" s="3"/>
      <c r="J118" s="3"/>
      <c r="K118" s="3"/>
      <c r="L118" s="3"/>
      <c r="M118" s="115"/>
      <c r="N118" s="115"/>
      <c r="O118" s="10"/>
      <c r="P118" s="4"/>
      <c r="Q118" s="4"/>
      <c r="R118" s="4"/>
    </row>
    <row r="119" spans="1:18" x14ac:dyDescent="0.25">
      <c r="A119" s="4"/>
      <c r="B119" s="4"/>
      <c r="C119" s="4"/>
      <c r="D119" s="1">
        <f>+D117+1</f>
        <v>86</v>
      </c>
      <c r="E119" t="s">
        <v>118</v>
      </c>
      <c r="M119" s="115"/>
      <c r="N119" s="115"/>
      <c r="O119" s="10"/>
      <c r="P119" s="4"/>
      <c r="Q119" s="4"/>
      <c r="R119" s="4"/>
    </row>
    <row r="120" spans="1:18" x14ac:dyDescent="0.25">
      <c r="A120" s="4"/>
      <c r="B120" s="4"/>
      <c r="C120" s="4"/>
      <c r="D120" s="1">
        <f>+D119+1</f>
        <v>87</v>
      </c>
      <c r="E120" t="s">
        <v>119</v>
      </c>
      <c r="M120" s="115"/>
      <c r="N120" s="115"/>
      <c r="O120" s="10"/>
      <c r="P120" s="4"/>
      <c r="Q120" s="4"/>
      <c r="R120" s="4"/>
    </row>
    <row r="121" spans="1:18" x14ac:dyDescent="0.25">
      <c r="A121" s="4"/>
      <c r="B121" s="4"/>
      <c r="C121" s="4"/>
      <c r="D121" s="1">
        <f>+D120+1</f>
        <v>88</v>
      </c>
      <c r="E121" t="s">
        <v>120</v>
      </c>
      <c r="M121" s="115"/>
      <c r="N121" s="115"/>
      <c r="O121" s="10"/>
      <c r="P121" s="4"/>
      <c r="Q121" s="4"/>
      <c r="R121" s="4"/>
    </row>
    <row r="122" spans="1:18" x14ac:dyDescent="0.25">
      <c r="A122" s="4"/>
      <c r="B122" s="4"/>
      <c r="C122" s="4"/>
      <c r="D122" s="1"/>
      <c r="E122" s="2" t="s">
        <v>23</v>
      </c>
      <c r="F122" s="3"/>
      <c r="G122" s="3"/>
      <c r="H122" s="3"/>
      <c r="I122" s="3"/>
      <c r="J122" s="3"/>
      <c r="K122" s="3"/>
      <c r="L122" s="3"/>
      <c r="M122" s="115"/>
      <c r="N122" s="115"/>
      <c r="O122" s="10"/>
      <c r="P122" s="4"/>
      <c r="Q122" s="4"/>
      <c r="R122" s="4"/>
    </row>
    <row r="123" spans="1:18" x14ac:dyDescent="0.25">
      <c r="A123" s="4"/>
      <c r="B123" s="4"/>
      <c r="C123" s="4"/>
      <c r="D123" s="1">
        <f>+D121+1</f>
        <v>89</v>
      </c>
      <c r="E123" t="s">
        <v>122</v>
      </c>
      <c r="M123" s="115"/>
      <c r="N123" s="115"/>
      <c r="O123" s="10"/>
      <c r="P123" s="4"/>
      <c r="Q123" s="4"/>
      <c r="R123" s="4"/>
    </row>
    <row r="124" spans="1:18" x14ac:dyDescent="0.25">
      <c r="A124" s="4"/>
      <c r="B124" s="4"/>
      <c r="C124" s="4"/>
      <c r="D124" s="1">
        <f>+D123+1</f>
        <v>90</v>
      </c>
      <c r="E124" t="s">
        <v>121</v>
      </c>
      <c r="M124" s="115"/>
      <c r="N124" s="115"/>
      <c r="O124" s="10"/>
      <c r="P124" s="4"/>
      <c r="Q124" s="4"/>
      <c r="R124" s="4"/>
    </row>
    <row r="125" spans="1:18" x14ac:dyDescent="0.25">
      <c r="A125" s="4"/>
      <c r="B125" s="4"/>
      <c r="C125" s="4"/>
      <c r="D125" s="1">
        <f>+D124+1</f>
        <v>91</v>
      </c>
      <c r="E125" t="s">
        <v>123</v>
      </c>
      <c r="M125" s="115"/>
      <c r="N125" s="115"/>
      <c r="O125" s="10"/>
      <c r="P125" s="4"/>
      <c r="Q125" s="4"/>
      <c r="R125" s="4"/>
    </row>
    <row r="126" spans="1:18" x14ac:dyDescent="0.25">
      <c r="A126" s="4"/>
      <c r="B126" s="4"/>
      <c r="C126" s="4"/>
      <c r="E126" s="2" t="s">
        <v>24</v>
      </c>
      <c r="F126" s="3"/>
      <c r="G126" s="3"/>
      <c r="H126" s="3"/>
      <c r="I126" s="3"/>
      <c r="J126" s="3"/>
      <c r="K126" s="3"/>
      <c r="L126" s="3"/>
      <c r="M126" s="115"/>
      <c r="N126" s="115"/>
      <c r="O126" s="10"/>
      <c r="P126" s="4"/>
      <c r="Q126" s="4"/>
      <c r="R126" s="4"/>
    </row>
    <row r="127" spans="1:18" x14ac:dyDescent="0.25">
      <c r="A127" s="4"/>
      <c r="B127" s="4"/>
      <c r="C127" s="4"/>
      <c r="D127" s="1">
        <f>+D125+1</f>
        <v>92</v>
      </c>
      <c r="E127" t="s">
        <v>124</v>
      </c>
      <c r="M127" s="115"/>
      <c r="N127" s="115"/>
      <c r="O127" s="10"/>
      <c r="P127" s="4"/>
      <c r="Q127" s="4"/>
      <c r="R127" s="4"/>
    </row>
    <row r="128" spans="1:18" x14ac:dyDescent="0.25">
      <c r="A128" s="4"/>
      <c r="B128" s="4"/>
      <c r="C128" s="4"/>
      <c r="D128" s="1">
        <f>+D127+1</f>
        <v>93</v>
      </c>
      <c r="E128" t="s">
        <v>125</v>
      </c>
      <c r="M128" s="115"/>
      <c r="N128" s="115"/>
      <c r="O128" s="10"/>
      <c r="P128" s="4"/>
      <c r="Q128" s="4"/>
      <c r="R128" s="4"/>
    </row>
    <row r="129" spans="1:18" x14ac:dyDescent="0.25">
      <c r="A129" s="4"/>
      <c r="B129" s="4"/>
      <c r="C129" s="4"/>
      <c r="D129" s="1">
        <f>+D128+1</f>
        <v>94</v>
      </c>
      <c r="E129" t="s">
        <v>126</v>
      </c>
      <c r="M129" s="115"/>
      <c r="N129" s="115"/>
      <c r="O129" s="10"/>
      <c r="P129" s="4"/>
      <c r="Q129" s="4"/>
      <c r="R129" s="4"/>
    </row>
    <row r="130" spans="1:18" x14ac:dyDescent="0.25">
      <c r="A130" s="4"/>
      <c r="B130" s="4"/>
      <c r="C130" s="4"/>
      <c r="D130" s="12">
        <f>+D129+1</f>
        <v>95</v>
      </c>
      <c r="E130" s="13" t="s">
        <v>127</v>
      </c>
      <c r="F130" s="13"/>
      <c r="G130" s="13"/>
      <c r="H130" s="13"/>
      <c r="I130" s="13"/>
      <c r="J130" s="13"/>
      <c r="K130" s="13"/>
      <c r="L130" s="13"/>
      <c r="M130" s="115"/>
      <c r="N130" s="118" t="s">
        <v>240</v>
      </c>
      <c r="O130" s="10"/>
      <c r="P130" s="4"/>
      <c r="Q130" s="4"/>
      <c r="R130" s="4"/>
    </row>
    <row r="131" spans="1:18" x14ac:dyDescent="0.25">
      <c r="A131" s="4"/>
      <c r="B131" s="4"/>
      <c r="C131" s="4"/>
      <c r="D131" s="1">
        <f>+D130+1</f>
        <v>96</v>
      </c>
      <c r="E131" t="s">
        <v>128</v>
      </c>
      <c r="M131" s="115"/>
      <c r="N131" s="115"/>
      <c r="O131" s="10"/>
      <c r="P131" s="4"/>
      <c r="Q131" s="4"/>
      <c r="R131" s="4"/>
    </row>
    <row r="132" spans="1:18" x14ac:dyDescent="0.25">
      <c r="A132" s="4"/>
      <c r="B132" s="4"/>
      <c r="C132" s="4"/>
      <c r="E132" s="2" t="s">
        <v>25</v>
      </c>
      <c r="F132" s="3"/>
      <c r="G132" s="3"/>
      <c r="H132" s="3"/>
      <c r="I132" s="3"/>
      <c r="J132" s="3"/>
      <c r="K132" s="3"/>
      <c r="L132" s="3"/>
      <c r="M132" s="115"/>
      <c r="N132" s="115"/>
      <c r="O132" s="10"/>
      <c r="P132" s="4"/>
      <c r="Q132" s="4"/>
      <c r="R132" s="4"/>
    </row>
    <row r="133" spans="1:18" x14ac:dyDescent="0.25">
      <c r="A133" s="4"/>
      <c r="B133" s="4"/>
      <c r="C133" s="4"/>
      <c r="D133" s="1">
        <f>+D131+1</f>
        <v>97</v>
      </c>
      <c r="E133" t="s">
        <v>129</v>
      </c>
      <c r="M133" s="115"/>
      <c r="N133" s="115"/>
      <c r="O133" s="10"/>
      <c r="P133" s="4"/>
      <c r="Q133" s="4"/>
      <c r="R133" s="4"/>
    </row>
    <row r="134" spans="1:18" x14ac:dyDescent="0.25">
      <c r="A134" s="4"/>
      <c r="B134" s="4"/>
      <c r="C134" s="4"/>
      <c r="D134" s="1">
        <f>+D133+1</f>
        <v>98</v>
      </c>
      <c r="E134" t="s">
        <v>130</v>
      </c>
      <c r="M134" s="115"/>
      <c r="N134" s="115"/>
      <c r="O134" s="10"/>
      <c r="P134" s="4"/>
      <c r="Q134" s="4"/>
      <c r="R134" s="4"/>
    </row>
    <row r="135" spans="1:18" x14ac:dyDescent="0.25">
      <c r="A135" s="4"/>
      <c r="B135" s="4"/>
      <c r="C135" s="4"/>
      <c r="D135" s="1">
        <f>+D134+1</f>
        <v>99</v>
      </c>
      <c r="E135" t="s">
        <v>131</v>
      </c>
      <c r="M135" s="115"/>
      <c r="N135" s="115"/>
      <c r="O135" s="10"/>
      <c r="P135" s="4"/>
      <c r="Q135" s="4"/>
      <c r="R135" s="4"/>
    </row>
    <row r="136" spans="1:18" x14ac:dyDescent="0.25">
      <c r="A136" s="4"/>
      <c r="B136" s="4"/>
      <c r="C136" s="4"/>
      <c r="D136" s="1">
        <f>+D135+1</f>
        <v>100</v>
      </c>
      <c r="E136" t="s">
        <v>132</v>
      </c>
      <c r="M136" s="115"/>
      <c r="N136" s="115"/>
      <c r="O136" s="10"/>
      <c r="P136" s="4"/>
      <c r="Q136" s="4"/>
      <c r="R136" s="4"/>
    </row>
    <row r="137" spans="1:18" x14ac:dyDescent="0.25">
      <c r="A137" s="4"/>
      <c r="B137" s="4"/>
      <c r="C137" s="4"/>
      <c r="D137" s="1"/>
      <c r="E137" s="2" t="s">
        <v>26</v>
      </c>
      <c r="F137" s="3"/>
      <c r="G137" s="3"/>
      <c r="H137" s="3"/>
      <c r="I137" s="3"/>
      <c r="J137" s="3"/>
      <c r="K137" s="3"/>
      <c r="L137" s="3"/>
      <c r="M137" s="115"/>
      <c r="N137" s="115"/>
      <c r="O137" s="10"/>
      <c r="P137" s="4"/>
      <c r="Q137" s="4"/>
      <c r="R137" s="4"/>
    </row>
    <row r="138" spans="1:18" x14ac:dyDescent="0.25">
      <c r="A138" s="4"/>
      <c r="B138" s="4"/>
      <c r="C138" s="4"/>
      <c r="D138" s="1">
        <f>+D136+1</f>
        <v>101</v>
      </c>
      <c r="E138" t="s">
        <v>136</v>
      </c>
      <c r="M138" s="115"/>
      <c r="N138" s="115"/>
      <c r="O138" s="10"/>
      <c r="P138" s="4"/>
      <c r="Q138" s="4"/>
      <c r="R138" s="4"/>
    </row>
    <row r="139" spans="1:18" x14ac:dyDescent="0.25">
      <c r="A139" s="4"/>
      <c r="B139" s="4"/>
      <c r="C139" s="4"/>
      <c r="D139" s="1">
        <f t="shared" ref="D139:D144" si="2">+D138+1</f>
        <v>102</v>
      </c>
      <c r="E139" t="s">
        <v>133</v>
      </c>
      <c r="M139" s="115"/>
      <c r="N139" s="115"/>
      <c r="O139" s="10"/>
      <c r="P139" s="4"/>
      <c r="Q139" s="4"/>
      <c r="R139" s="4"/>
    </row>
    <row r="140" spans="1:18" x14ac:dyDescent="0.25">
      <c r="A140" s="4"/>
      <c r="B140" s="4"/>
      <c r="C140" s="4"/>
      <c r="D140" s="1">
        <f t="shared" si="2"/>
        <v>103</v>
      </c>
      <c r="E140" t="s">
        <v>134</v>
      </c>
      <c r="M140" s="115"/>
      <c r="N140" s="115"/>
      <c r="O140" s="10"/>
      <c r="P140" s="4"/>
      <c r="Q140" s="4"/>
      <c r="R140" s="4"/>
    </row>
    <row r="141" spans="1:18" x14ac:dyDescent="0.25">
      <c r="A141" s="4"/>
      <c r="B141" s="4"/>
      <c r="C141" s="4"/>
      <c r="D141" s="1">
        <f t="shared" si="2"/>
        <v>104</v>
      </c>
      <c r="E141" t="s">
        <v>135</v>
      </c>
      <c r="M141" s="115"/>
      <c r="N141" s="115"/>
      <c r="O141" s="10"/>
      <c r="P141" s="4"/>
      <c r="Q141" s="4"/>
      <c r="R141" s="4"/>
    </row>
    <row r="142" spans="1:18" x14ac:dyDescent="0.25">
      <c r="A142" s="4"/>
      <c r="B142" s="4"/>
      <c r="C142" s="4"/>
      <c r="D142" s="1">
        <f t="shared" si="2"/>
        <v>105</v>
      </c>
      <c r="E142" t="s">
        <v>137</v>
      </c>
      <c r="M142" s="115"/>
      <c r="N142" s="115"/>
      <c r="O142" s="10"/>
      <c r="P142" s="4"/>
      <c r="Q142" s="4"/>
      <c r="R142" s="4"/>
    </row>
    <row r="143" spans="1:18" x14ac:dyDescent="0.25">
      <c r="A143" s="4"/>
      <c r="B143" s="4"/>
      <c r="C143" s="4"/>
      <c r="D143" s="1">
        <f t="shared" si="2"/>
        <v>106</v>
      </c>
      <c r="E143" t="s">
        <v>138</v>
      </c>
      <c r="M143" s="115"/>
      <c r="N143" s="115"/>
      <c r="O143" s="10"/>
      <c r="P143" s="4"/>
      <c r="Q143" s="4"/>
      <c r="R143" s="4"/>
    </row>
    <row r="144" spans="1:18" x14ac:dyDescent="0.25">
      <c r="A144" s="4"/>
      <c r="B144" s="4"/>
      <c r="C144" s="4"/>
      <c r="D144" s="1">
        <f t="shared" si="2"/>
        <v>107</v>
      </c>
      <c r="E144" t="s">
        <v>139</v>
      </c>
      <c r="M144" s="115"/>
      <c r="N144" s="115"/>
      <c r="O144" s="10"/>
      <c r="P144" s="4"/>
      <c r="Q144" s="4"/>
      <c r="R144" s="4"/>
    </row>
    <row r="145" spans="1:18" x14ac:dyDescent="0.25">
      <c r="A145" s="4"/>
      <c r="B145" s="4"/>
      <c r="C145" s="4"/>
      <c r="E145" s="2" t="s">
        <v>27</v>
      </c>
      <c r="F145" s="3"/>
      <c r="G145" s="3"/>
      <c r="H145" s="3"/>
      <c r="I145" s="3"/>
      <c r="J145" s="3"/>
      <c r="K145" s="3"/>
      <c r="L145" s="3"/>
      <c r="M145" s="115"/>
      <c r="N145" s="115"/>
      <c r="O145" s="10"/>
      <c r="P145" s="4"/>
      <c r="Q145" s="4"/>
      <c r="R145" s="4"/>
    </row>
    <row r="146" spans="1:18" x14ac:dyDescent="0.25">
      <c r="A146" s="4"/>
      <c r="B146" s="4"/>
      <c r="C146" s="4"/>
      <c r="D146" s="1">
        <f>+D144+1</f>
        <v>108</v>
      </c>
      <c r="E146" t="s">
        <v>140</v>
      </c>
      <c r="M146" s="115"/>
      <c r="N146" s="115"/>
      <c r="O146" s="10"/>
      <c r="P146" s="4"/>
      <c r="Q146" s="4"/>
      <c r="R146" s="4"/>
    </row>
    <row r="147" spans="1:18" x14ac:dyDescent="0.25">
      <c r="A147" s="4"/>
      <c r="B147" s="4"/>
      <c r="C147" s="4"/>
      <c r="D147" s="1">
        <f>+D146+1</f>
        <v>109</v>
      </c>
      <c r="E147" t="s">
        <v>141</v>
      </c>
      <c r="M147" s="115"/>
      <c r="N147" s="115"/>
      <c r="O147" s="10"/>
      <c r="P147" s="4"/>
      <c r="Q147" s="4"/>
      <c r="R147" s="4"/>
    </row>
    <row r="148" spans="1:18" x14ac:dyDescent="0.25">
      <c r="A148" s="4"/>
      <c r="B148" s="4"/>
      <c r="C148" s="4"/>
      <c r="D148" s="1">
        <f>+D147+1</f>
        <v>110</v>
      </c>
      <c r="E148" t="s">
        <v>142</v>
      </c>
      <c r="M148" s="115"/>
      <c r="N148" s="115"/>
      <c r="O148" s="10"/>
      <c r="P148" s="4"/>
      <c r="Q148" s="4"/>
      <c r="R148" s="4"/>
    </row>
    <row r="149" spans="1:18" x14ac:dyDescent="0.25">
      <c r="A149" s="4"/>
      <c r="B149" s="4"/>
      <c r="C149" s="4"/>
      <c r="D149" s="1">
        <f>+D148+1</f>
        <v>111</v>
      </c>
      <c r="E149" t="s">
        <v>143</v>
      </c>
      <c r="M149" s="115"/>
      <c r="N149" s="115"/>
      <c r="O149" s="10"/>
      <c r="P149" s="4"/>
      <c r="Q149" s="4"/>
      <c r="R149" s="4"/>
    </row>
    <row r="150" spans="1:18" x14ac:dyDescent="0.25">
      <c r="A150" s="4"/>
      <c r="B150" s="4"/>
      <c r="C150" s="4"/>
      <c r="D150" s="1">
        <f>+D149+1</f>
        <v>112</v>
      </c>
      <c r="E150" t="s">
        <v>144</v>
      </c>
      <c r="M150" s="115"/>
      <c r="N150" s="115"/>
      <c r="O150" s="10"/>
      <c r="P150" s="4"/>
      <c r="Q150" s="4"/>
      <c r="R150" s="4"/>
    </row>
    <row r="151" spans="1:18" x14ac:dyDescent="0.25">
      <c r="A151" s="4"/>
      <c r="B151" s="4"/>
      <c r="C151" s="4"/>
      <c r="D151" s="1"/>
      <c r="E151" s="2" t="s">
        <v>28</v>
      </c>
      <c r="F151" s="3"/>
      <c r="G151" s="3"/>
      <c r="H151" s="3"/>
      <c r="I151" s="3"/>
      <c r="J151" s="3"/>
      <c r="K151" s="3"/>
      <c r="L151" s="3"/>
      <c r="M151" s="115"/>
      <c r="N151" s="115"/>
      <c r="O151" s="10"/>
      <c r="P151" s="4"/>
      <c r="Q151" s="4"/>
      <c r="R151" s="4"/>
    </row>
    <row r="152" spans="1:18" x14ac:dyDescent="0.25">
      <c r="A152" s="4"/>
      <c r="B152" s="4"/>
      <c r="C152" s="4"/>
      <c r="D152" s="1">
        <f>+D150+1</f>
        <v>113</v>
      </c>
      <c r="E152" t="s">
        <v>145</v>
      </c>
      <c r="M152" s="115"/>
      <c r="N152" s="115"/>
      <c r="O152" s="10"/>
      <c r="P152" s="4"/>
      <c r="Q152" s="4"/>
      <c r="R152" s="4"/>
    </row>
    <row r="153" spans="1:18" x14ac:dyDescent="0.25">
      <c r="A153" s="4"/>
      <c r="B153" s="4"/>
      <c r="C153" s="4"/>
      <c r="D153" s="1">
        <f>+D152+1</f>
        <v>114</v>
      </c>
      <c r="E153" t="s">
        <v>146</v>
      </c>
      <c r="M153" s="115"/>
      <c r="N153" s="115"/>
      <c r="O153" s="10"/>
      <c r="P153" s="4"/>
      <c r="Q153" s="4"/>
      <c r="R153" s="4"/>
    </row>
    <row r="154" spans="1:18" x14ac:dyDescent="0.25">
      <c r="A154" s="4"/>
      <c r="B154" s="4"/>
      <c r="C154" s="4"/>
      <c r="D154" s="1">
        <f>+D153+1</f>
        <v>115</v>
      </c>
      <c r="E154" t="s">
        <v>147</v>
      </c>
      <c r="M154" s="115"/>
      <c r="N154" s="115"/>
      <c r="O154" s="10"/>
      <c r="P154" s="4"/>
      <c r="Q154" s="4"/>
      <c r="R154" s="4"/>
    </row>
    <row r="155" spans="1:18" x14ac:dyDescent="0.25">
      <c r="A155" s="4"/>
      <c r="B155" s="4"/>
      <c r="C155" s="4"/>
      <c r="D155" s="1">
        <f>+D154+1</f>
        <v>116</v>
      </c>
      <c r="E155" t="s">
        <v>148</v>
      </c>
      <c r="M155" s="115"/>
      <c r="N155" s="115"/>
      <c r="O155" s="10"/>
      <c r="P155" s="4"/>
      <c r="Q155" s="4"/>
      <c r="R155" s="4"/>
    </row>
    <row r="156" spans="1:18" x14ac:dyDescent="0.25">
      <c r="A156" s="4"/>
      <c r="B156" s="4"/>
      <c r="C156" s="4"/>
      <c r="D156" s="1"/>
      <c r="E156" s="2" t="s">
        <v>29</v>
      </c>
      <c r="F156" s="3"/>
      <c r="G156" s="3"/>
      <c r="H156" s="3"/>
      <c r="I156" s="3"/>
      <c r="J156" s="3"/>
      <c r="K156" s="3"/>
      <c r="L156" s="3"/>
      <c r="M156" s="115"/>
      <c r="N156" s="115"/>
      <c r="O156" s="10"/>
      <c r="P156" s="4"/>
      <c r="Q156" s="4"/>
      <c r="R156" s="4"/>
    </row>
    <row r="157" spans="1:18" x14ac:dyDescent="0.25">
      <c r="A157" s="4"/>
      <c r="B157" s="4"/>
      <c r="C157" s="4"/>
      <c r="D157" s="1">
        <f>+D155+1</f>
        <v>117</v>
      </c>
      <c r="E157" t="s">
        <v>149</v>
      </c>
      <c r="M157" s="115"/>
      <c r="N157" s="115"/>
      <c r="O157" s="10"/>
      <c r="P157" s="4"/>
      <c r="Q157" s="4"/>
      <c r="R157" s="4"/>
    </row>
    <row r="158" spans="1:18" x14ac:dyDescent="0.25">
      <c r="A158" s="4"/>
      <c r="B158" s="4"/>
      <c r="C158" s="4"/>
      <c r="D158" s="1">
        <f>+D157+1</f>
        <v>118</v>
      </c>
      <c r="E158" t="s">
        <v>150</v>
      </c>
      <c r="M158" s="115"/>
      <c r="N158" s="115"/>
      <c r="O158" s="10"/>
      <c r="P158" s="4"/>
      <c r="Q158" s="4"/>
      <c r="R158" s="4"/>
    </row>
    <row r="159" spans="1:18" x14ac:dyDescent="0.25">
      <c r="A159" s="4"/>
      <c r="B159" s="4"/>
      <c r="C159" s="4"/>
      <c r="D159" s="1">
        <f>+D158+1</f>
        <v>119</v>
      </c>
      <c r="E159" t="s">
        <v>151</v>
      </c>
      <c r="M159" s="115"/>
      <c r="N159" s="115"/>
      <c r="O159" s="10"/>
      <c r="P159" s="4"/>
      <c r="Q159" s="4"/>
      <c r="R159" s="4"/>
    </row>
    <row r="160" spans="1:18" x14ac:dyDescent="0.25">
      <c r="A160" s="4"/>
      <c r="B160" s="4"/>
      <c r="C160" s="4"/>
      <c r="D160" s="1">
        <f>+D159+1</f>
        <v>120</v>
      </c>
      <c r="E160" t="s">
        <v>152</v>
      </c>
      <c r="M160" s="115"/>
      <c r="N160" s="115"/>
      <c r="O160" s="10"/>
      <c r="P160" s="4"/>
      <c r="Q160" s="4"/>
      <c r="R160" s="4"/>
    </row>
    <row r="161" spans="1:18" x14ac:dyDescent="0.25">
      <c r="A161" s="4"/>
      <c r="B161" s="4"/>
      <c r="C161" s="4"/>
      <c r="D161" s="1"/>
      <c r="E161" s="2" t="s">
        <v>30</v>
      </c>
      <c r="F161" s="3"/>
      <c r="G161" s="3"/>
      <c r="H161" s="3"/>
      <c r="I161" s="3"/>
      <c r="J161" s="3"/>
      <c r="K161" s="3"/>
      <c r="L161" s="3"/>
      <c r="M161" s="115"/>
      <c r="N161" s="115"/>
      <c r="O161" s="10"/>
      <c r="P161" s="4"/>
      <c r="Q161" s="4"/>
      <c r="R161" s="4"/>
    </row>
    <row r="162" spans="1:18" x14ac:dyDescent="0.25">
      <c r="A162" s="4"/>
      <c r="B162" s="4"/>
      <c r="C162" s="4"/>
      <c r="D162" s="1">
        <f>+D160+1</f>
        <v>121</v>
      </c>
      <c r="E162" t="s">
        <v>153</v>
      </c>
      <c r="M162" s="115"/>
      <c r="N162" s="115"/>
      <c r="O162" s="10"/>
      <c r="P162" s="4"/>
      <c r="Q162" s="4"/>
      <c r="R162" s="4"/>
    </row>
    <row r="163" spans="1:18" x14ac:dyDescent="0.25">
      <c r="A163" s="4"/>
      <c r="B163" s="4"/>
      <c r="C163" s="4"/>
      <c r="D163" s="1">
        <f>+D162+1</f>
        <v>122</v>
      </c>
      <c r="E163" t="s">
        <v>154</v>
      </c>
      <c r="M163" s="115"/>
      <c r="N163" s="115"/>
      <c r="O163" s="10"/>
      <c r="P163" s="4"/>
      <c r="Q163" s="4"/>
      <c r="R163" s="4"/>
    </row>
    <row r="164" spans="1:18" x14ac:dyDescent="0.25">
      <c r="A164" s="4"/>
      <c r="B164" s="4"/>
      <c r="C164" s="4"/>
      <c r="D164" s="1">
        <f>+D163+1</f>
        <v>123</v>
      </c>
      <c r="E164" t="s">
        <v>155</v>
      </c>
      <c r="M164" s="115"/>
      <c r="N164" s="115"/>
      <c r="O164" s="10"/>
      <c r="P164" s="4"/>
      <c r="Q164" s="4"/>
      <c r="R164" s="4"/>
    </row>
    <row r="165" spans="1:18" x14ac:dyDescent="0.25">
      <c r="A165" s="4"/>
      <c r="B165" s="4"/>
      <c r="C165" s="4"/>
      <c r="D165" s="1"/>
      <c r="E165" s="2" t="s">
        <v>31</v>
      </c>
      <c r="F165" s="3"/>
      <c r="G165" s="3"/>
      <c r="H165" s="3"/>
      <c r="I165" s="3"/>
      <c r="J165" s="3"/>
      <c r="K165" s="3"/>
      <c r="L165" s="3"/>
      <c r="M165" s="115"/>
      <c r="N165" s="115"/>
      <c r="O165" s="10"/>
      <c r="P165" s="4"/>
      <c r="Q165" s="4"/>
      <c r="R165" s="4"/>
    </row>
    <row r="166" spans="1:18" x14ac:dyDescent="0.25">
      <c r="A166" s="4"/>
      <c r="B166" s="4"/>
      <c r="C166" s="4"/>
      <c r="D166" s="1">
        <f>+D164+1</f>
        <v>124</v>
      </c>
      <c r="E166" t="s">
        <v>156</v>
      </c>
      <c r="M166" s="115"/>
      <c r="N166" s="115"/>
      <c r="O166" s="10"/>
      <c r="P166" s="4"/>
      <c r="Q166" s="4"/>
      <c r="R166" s="4"/>
    </row>
    <row r="167" spans="1:18" x14ac:dyDescent="0.25">
      <c r="A167" s="4"/>
      <c r="B167" s="4"/>
      <c r="C167" s="4"/>
      <c r="D167" s="1">
        <f>+D166+1</f>
        <v>125</v>
      </c>
      <c r="E167" t="s">
        <v>157</v>
      </c>
      <c r="M167" s="115"/>
      <c r="N167" s="115"/>
      <c r="O167" s="10"/>
      <c r="P167" s="4"/>
      <c r="Q167" s="4"/>
      <c r="R167" s="4"/>
    </row>
    <row r="168" spans="1:18" x14ac:dyDescent="0.25">
      <c r="A168" s="4"/>
      <c r="B168" s="4"/>
      <c r="C168" s="4"/>
      <c r="D168" s="1">
        <f>+D167+1</f>
        <v>126</v>
      </c>
      <c r="E168" t="s">
        <v>158</v>
      </c>
      <c r="M168" s="115"/>
      <c r="N168" s="115"/>
      <c r="O168" s="10"/>
      <c r="P168" s="4"/>
      <c r="Q168" s="4"/>
      <c r="R168" s="4"/>
    </row>
    <row r="169" spans="1:18" x14ac:dyDescent="0.25">
      <c r="A169" s="4"/>
      <c r="B169" s="4"/>
      <c r="C169" s="4"/>
      <c r="D169" s="1">
        <f>+D168+1</f>
        <v>127</v>
      </c>
      <c r="E169" t="s">
        <v>159</v>
      </c>
      <c r="M169" s="115"/>
      <c r="N169" s="115"/>
      <c r="O169" s="10"/>
      <c r="P169" s="4"/>
      <c r="Q169" s="4"/>
      <c r="R169" s="4"/>
    </row>
    <row r="170" spans="1:18" x14ac:dyDescent="0.25">
      <c r="A170" s="4"/>
      <c r="B170" s="4"/>
      <c r="C170" s="4"/>
      <c r="E170" s="2" t="s">
        <v>32</v>
      </c>
      <c r="F170" s="3"/>
      <c r="G170" s="3"/>
      <c r="H170" s="3"/>
      <c r="I170" s="3"/>
      <c r="J170" s="3"/>
      <c r="K170" s="3"/>
      <c r="L170" s="3"/>
      <c r="M170" s="115"/>
      <c r="N170" s="115"/>
      <c r="O170" s="10"/>
      <c r="P170" s="4"/>
      <c r="Q170" s="4"/>
      <c r="R170" s="4"/>
    </row>
    <row r="171" spans="1:18" x14ac:dyDescent="0.25">
      <c r="A171" s="4"/>
      <c r="B171" s="4"/>
      <c r="C171" s="4"/>
      <c r="D171" s="1">
        <f>+D169+1</f>
        <v>128</v>
      </c>
      <c r="E171" t="s">
        <v>160</v>
      </c>
      <c r="M171" s="115"/>
      <c r="N171" s="115"/>
      <c r="O171" s="10"/>
      <c r="P171" s="4"/>
      <c r="Q171" s="4"/>
      <c r="R171" s="4"/>
    </row>
    <row r="172" spans="1:18" x14ac:dyDescent="0.25">
      <c r="A172" s="4"/>
      <c r="B172" s="4"/>
      <c r="C172" s="4"/>
      <c r="D172" s="1">
        <f>+D171+1</f>
        <v>129</v>
      </c>
      <c r="E172" t="s">
        <v>161</v>
      </c>
      <c r="M172" s="115"/>
      <c r="N172" s="115"/>
      <c r="O172" s="10"/>
      <c r="P172" s="4"/>
      <c r="Q172" s="4"/>
      <c r="R172" s="4"/>
    </row>
    <row r="173" spans="1:18" x14ac:dyDescent="0.25">
      <c r="A173" s="4"/>
      <c r="B173" s="4"/>
      <c r="C173" s="4"/>
      <c r="D173" s="1">
        <f>+D172+1</f>
        <v>130</v>
      </c>
      <c r="E173" t="s">
        <v>162</v>
      </c>
      <c r="M173" s="115"/>
      <c r="N173" s="115"/>
      <c r="O173" s="10"/>
      <c r="P173" s="4"/>
      <c r="Q173" s="4"/>
      <c r="R173" s="4"/>
    </row>
    <row r="174" spans="1:18" x14ac:dyDescent="0.25">
      <c r="A174" s="4"/>
      <c r="B174" s="4"/>
      <c r="C174" s="4"/>
      <c r="D174" s="1">
        <f>+D173+1</f>
        <v>131</v>
      </c>
      <c r="E174" t="s">
        <v>163</v>
      </c>
      <c r="M174" s="115"/>
      <c r="N174" s="115"/>
      <c r="O174" s="10"/>
      <c r="P174" s="4"/>
      <c r="Q174" s="4"/>
      <c r="R174" s="4"/>
    </row>
    <row r="175" spans="1:18" x14ac:dyDescent="0.25">
      <c r="A175" s="4"/>
      <c r="B175" s="4"/>
      <c r="C175" s="4"/>
      <c r="D175" s="1">
        <f>+D174+1</f>
        <v>132</v>
      </c>
      <c r="E175" t="s">
        <v>164</v>
      </c>
      <c r="M175" s="115"/>
      <c r="N175" s="115"/>
      <c r="O175" s="10"/>
      <c r="P175" s="4"/>
      <c r="Q175" s="4"/>
      <c r="R175" s="4"/>
    </row>
    <row r="176" spans="1:18" x14ac:dyDescent="0.25">
      <c r="A176" s="4"/>
      <c r="B176" s="4"/>
      <c r="C176" s="4"/>
      <c r="E176" s="2" t="s">
        <v>33</v>
      </c>
      <c r="F176" s="3"/>
      <c r="G176" s="3"/>
      <c r="H176" s="3"/>
      <c r="I176" s="3"/>
      <c r="J176" s="3"/>
      <c r="K176" s="3"/>
      <c r="L176" s="3"/>
      <c r="M176" s="115"/>
      <c r="N176" s="115"/>
      <c r="O176" s="10"/>
      <c r="P176" s="4"/>
      <c r="Q176" s="4"/>
      <c r="R176" s="4"/>
    </row>
    <row r="177" spans="1:18" x14ac:dyDescent="0.25">
      <c r="A177" s="4"/>
      <c r="B177" s="4"/>
      <c r="C177" s="4"/>
      <c r="D177" s="1">
        <f>+D175+1</f>
        <v>133</v>
      </c>
      <c r="E177" t="s">
        <v>165</v>
      </c>
      <c r="M177" s="115"/>
      <c r="N177" s="115"/>
      <c r="O177" s="10"/>
      <c r="P177" s="4"/>
      <c r="Q177" s="4"/>
      <c r="R177" s="4"/>
    </row>
    <row r="178" spans="1:18" x14ac:dyDescent="0.25">
      <c r="A178" s="4"/>
      <c r="B178" s="4"/>
      <c r="C178" s="4"/>
      <c r="D178" s="1">
        <f>+D177+1</f>
        <v>134</v>
      </c>
      <c r="E178" t="s">
        <v>166</v>
      </c>
      <c r="M178" s="115"/>
      <c r="N178" s="115"/>
      <c r="O178" s="10"/>
      <c r="P178" s="4"/>
      <c r="Q178" s="4"/>
      <c r="R178" s="4"/>
    </row>
    <row r="179" spans="1:18" x14ac:dyDescent="0.25">
      <c r="A179" s="4"/>
      <c r="B179" s="4"/>
      <c r="C179" s="4"/>
      <c r="D179" s="1">
        <f>+D178+1</f>
        <v>135</v>
      </c>
      <c r="E179" t="s">
        <v>167</v>
      </c>
      <c r="M179" s="115"/>
      <c r="N179" s="115"/>
      <c r="O179" s="10"/>
      <c r="P179" s="4"/>
      <c r="Q179" s="4"/>
      <c r="R179" s="4"/>
    </row>
    <row r="180" spans="1:18" x14ac:dyDescent="0.25">
      <c r="A180" s="4"/>
      <c r="B180" s="4"/>
      <c r="C180" s="4"/>
      <c r="D180" s="1">
        <f>+D179+1</f>
        <v>136</v>
      </c>
      <c r="E180" t="s">
        <v>168</v>
      </c>
      <c r="M180" s="115"/>
      <c r="N180" s="115"/>
      <c r="O180" s="10"/>
      <c r="P180" s="4"/>
      <c r="Q180" s="4"/>
      <c r="R180" s="4"/>
    </row>
    <row r="181" spans="1:18" x14ac:dyDescent="0.25">
      <c r="A181" s="4"/>
      <c r="B181" s="4"/>
      <c r="C181" s="4"/>
      <c r="D181" s="1">
        <f>+D180+1</f>
        <v>137</v>
      </c>
      <c r="E181" t="s">
        <v>169</v>
      </c>
      <c r="M181" s="115"/>
      <c r="N181" s="115"/>
      <c r="O181" s="10"/>
      <c r="P181" s="4"/>
      <c r="Q181" s="4"/>
      <c r="R181" s="4"/>
    </row>
    <row r="182" spans="1:18" ht="22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115"/>
      <c r="N182" s="115"/>
      <c r="O182" s="4"/>
      <c r="P182" s="4"/>
      <c r="Q182" s="4"/>
      <c r="R182" s="4"/>
    </row>
    <row r="183" spans="1:18" ht="1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115"/>
      <c r="N183" s="115"/>
      <c r="O183" s="4"/>
      <c r="P183" s="4"/>
      <c r="Q183" s="4"/>
      <c r="R183" s="4"/>
    </row>
    <row r="184" spans="1:18" ht="1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115"/>
      <c r="N184" s="115"/>
      <c r="O184" s="4"/>
      <c r="P184" s="4"/>
      <c r="Q184" s="4"/>
      <c r="R184" s="4"/>
    </row>
    <row r="185" spans="1:18" ht="1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115"/>
      <c r="N185" s="115"/>
      <c r="O185" s="4"/>
      <c r="P185" s="4"/>
      <c r="Q185" s="4"/>
      <c r="R185" s="4"/>
    </row>
    <row r="186" spans="1:18" ht="1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115"/>
      <c r="N186" s="115"/>
      <c r="O186" s="4"/>
      <c r="P186" s="4"/>
      <c r="Q186" s="4"/>
      <c r="R186" s="4"/>
    </row>
    <row r="187" spans="1:18" ht="1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115"/>
      <c r="N187" s="115"/>
      <c r="O187" s="4"/>
      <c r="P187" s="4"/>
      <c r="Q187" s="4"/>
      <c r="R187" s="4"/>
    </row>
    <row r="188" spans="1:18" ht="1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115"/>
      <c r="N188" s="115"/>
      <c r="O188" s="4"/>
      <c r="P188" s="4"/>
      <c r="Q188" s="4"/>
      <c r="R188" s="4"/>
    </row>
    <row r="189" spans="1:18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115"/>
      <c r="N189" s="115"/>
      <c r="O189" s="4"/>
      <c r="P189" s="4"/>
      <c r="Q189" s="4"/>
      <c r="R189" s="4"/>
    </row>
    <row r="190" spans="1:18" ht="1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115"/>
      <c r="N190" s="115"/>
      <c r="O190" s="4"/>
      <c r="P190" s="4"/>
      <c r="Q190" s="4"/>
      <c r="R190" s="4"/>
    </row>
    <row r="191" spans="1:18" ht="1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115"/>
      <c r="N191" s="115"/>
      <c r="O191" s="4"/>
      <c r="P191" s="4"/>
      <c r="Q191" s="4"/>
      <c r="R191" s="4"/>
    </row>
  </sheetData>
  <mergeCells count="1">
    <mergeCell ref="G3:I4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B5A86-2831-4132-AB0D-5E32C2EA0138}">
  <dimension ref="A1:W86"/>
  <sheetViews>
    <sheetView workbookViewId="0">
      <selection activeCell="A17" sqref="A17"/>
    </sheetView>
  </sheetViews>
  <sheetFormatPr baseColWidth="10" defaultRowHeight="18.75" x14ac:dyDescent="0.3"/>
  <cols>
    <col min="1" max="1" width="12.7109375" style="252" bestFit="1" customWidth="1"/>
    <col min="2" max="3" width="11.42578125" style="252"/>
    <col min="4" max="4" width="14.7109375" style="252" bestFit="1" customWidth="1"/>
    <col min="5" max="16384" width="11.42578125" style="252"/>
  </cols>
  <sheetData>
    <row r="1" spans="1:23" ht="26.25" x14ac:dyDescent="0.4">
      <c r="A1" s="301" t="s">
        <v>30</v>
      </c>
      <c r="B1" s="300" t="s">
        <v>426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</row>
    <row r="2" spans="1:23" ht="19.5" thickBot="1" x14ac:dyDescent="0.35"/>
    <row r="3" spans="1:23" x14ac:dyDescent="0.3">
      <c r="B3" s="331" t="s">
        <v>5</v>
      </c>
      <c r="C3" s="263" t="s">
        <v>428</v>
      </c>
      <c r="D3" s="263"/>
      <c r="E3" s="263"/>
      <c r="F3" s="263"/>
      <c r="G3" s="264"/>
    </row>
    <row r="4" spans="1:23" ht="19.5" thickBot="1" x14ac:dyDescent="0.35">
      <c r="B4" s="332" t="s">
        <v>26</v>
      </c>
      <c r="C4" s="288" t="s">
        <v>427</v>
      </c>
      <c r="D4" s="288"/>
      <c r="E4" s="288"/>
      <c r="F4" s="288"/>
      <c r="G4" s="289"/>
    </row>
    <row r="7" spans="1:23" x14ac:dyDescent="0.3">
      <c r="B7" s="253" t="s">
        <v>0</v>
      </c>
      <c r="C7" s="253" t="s">
        <v>429</v>
      </c>
    </row>
    <row r="8" spans="1:23" x14ac:dyDescent="0.3">
      <c r="C8" s="302" t="s">
        <v>430</v>
      </c>
      <c r="D8" s="302"/>
    </row>
    <row r="9" spans="1:23" x14ac:dyDescent="0.3">
      <c r="C9" s="252" t="s">
        <v>431</v>
      </c>
    </row>
    <row r="10" spans="1:23" x14ac:dyDescent="0.3">
      <c r="C10" s="252" t="s">
        <v>432</v>
      </c>
    </row>
    <row r="12" spans="1:23" x14ac:dyDescent="0.3">
      <c r="B12" s="253" t="s">
        <v>1</v>
      </c>
      <c r="C12" s="253" t="s">
        <v>433</v>
      </c>
    </row>
    <row r="13" spans="1:23" x14ac:dyDescent="0.3">
      <c r="C13" s="252" t="s">
        <v>434</v>
      </c>
    </row>
    <row r="14" spans="1:23" x14ac:dyDescent="0.3">
      <c r="C14" s="252" t="s">
        <v>437</v>
      </c>
    </row>
    <row r="15" spans="1:23" x14ac:dyDescent="0.3">
      <c r="C15" s="252" t="s">
        <v>436</v>
      </c>
    </row>
    <row r="16" spans="1:23" x14ac:dyDescent="0.3">
      <c r="C16" s="252" t="s">
        <v>435</v>
      </c>
    </row>
    <row r="17" spans="3:8" x14ac:dyDescent="0.3">
      <c r="C17" s="303" t="s">
        <v>438</v>
      </c>
    </row>
    <row r="19" spans="3:8" x14ac:dyDescent="0.3">
      <c r="C19" s="253" t="s">
        <v>433</v>
      </c>
    </row>
    <row r="20" spans="3:8" x14ac:dyDescent="0.3">
      <c r="C20" s="252" t="s">
        <v>447</v>
      </c>
    </row>
    <row r="21" spans="3:8" x14ac:dyDescent="0.3">
      <c r="C21" s="329" t="s">
        <v>437</v>
      </c>
    </row>
    <row r="22" spans="3:8" x14ac:dyDescent="0.3">
      <c r="C22" s="329" t="s">
        <v>436</v>
      </c>
    </row>
    <row r="23" spans="3:8" x14ac:dyDescent="0.3">
      <c r="C23" s="329" t="s">
        <v>435</v>
      </c>
    </row>
    <row r="24" spans="3:8" x14ac:dyDescent="0.3">
      <c r="C24" s="330" t="s">
        <v>438</v>
      </c>
    </row>
    <row r="26" spans="3:8" x14ac:dyDescent="0.3">
      <c r="C26" s="304"/>
      <c r="D26" s="305"/>
      <c r="E26" s="305"/>
      <c r="F26" s="304"/>
      <c r="G26" s="305"/>
      <c r="H26" s="306"/>
    </row>
    <row r="27" spans="3:8" x14ac:dyDescent="0.3">
      <c r="C27" s="307" t="s">
        <v>442</v>
      </c>
      <c r="D27" s="302"/>
      <c r="E27" s="302"/>
      <c r="F27" s="307" t="s">
        <v>443</v>
      </c>
      <c r="G27" s="302"/>
      <c r="H27" s="308"/>
    </row>
    <row r="28" spans="3:8" x14ac:dyDescent="0.3">
      <c r="C28" s="307"/>
      <c r="D28" s="302"/>
      <c r="E28" s="302"/>
      <c r="F28" s="307"/>
      <c r="G28" s="302"/>
      <c r="H28" s="308"/>
    </row>
    <row r="29" spans="3:8" x14ac:dyDescent="0.3">
      <c r="C29" s="307"/>
      <c r="D29" s="302"/>
      <c r="E29" s="466" t="s">
        <v>446</v>
      </c>
      <c r="F29" s="466"/>
      <c r="G29" s="302"/>
      <c r="H29" s="308"/>
    </row>
    <row r="30" spans="3:8" x14ac:dyDescent="0.3">
      <c r="C30" s="307"/>
      <c r="D30" s="302"/>
      <c r="E30" s="302"/>
      <c r="F30" s="307"/>
      <c r="G30" s="302"/>
      <c r="H30" s="308"/>
    </row>
    <row r="31" spans="3:8" x14ac:dyDescent="0.3">
      <c r="C31" s="307"/>
      <c r="D31" s="302"/>
      <c r="E31" s="302"/>
      <c r="F31" s="307"/>
      <c r="G31" s="302"/>
      <c r="H31" s="308"/>
    </row>
    <row r="32" spans="3:8" x14ac:dyDescent="0.3">
      <c r="C32" s="307"/>
      <c r="D32" s="302"/>
      <c r="E32" s="302"/>
      <c r="F32" s="315" t="s">
        <v>439</v>
      </c>
      <c r="G32" s="316"/>
      <c r="H32" s="317"/>
    </row>
    <row r="33" spans="2:8" x14ac:dyDescent="0.3">
      <c r="C33" s="322" t="s">
        <v>441</v>
      </c>
      <c r="D33" s="323"/>
      <c r="E33" s="324"/>
      <c r="F33" s="309" t="s">
        <v>440</v>
      </c>
      <c r="G33" s="310"/>
      <c r="H33" s="311"/>
    </row>
    <row r="34" spans="2:8" x14ac:dyDescent="0.3">
      <c r="C34" s="318"/>
      <c r="D34" s="319"/>
      <c r="E34" s="325"/>
      <c r="F34" s="309"/>
      <c r="G34" s="310"/>
      <c r="H34" s="311"/>
    </row>
    <row r="35" spans="2:8" x14ac:dyDescent="0.3">
      <c r="C35" s="318"/>
      <c r="D35" s="328" t="s">
        <v>445</v>
      </c>
      <c r="E35" s="325"/>
      <c r="F35" s="309"/>
      <c r="G35" s="327" t="s">
        <v>444</v>
      </c>
      <c r="H35" s="311"/>
    </row>
    <row r="36" spans="2:8" x14ac:dyDescent="0.3">
      <c r="C36" s="320"/>
      <c r="D36" s="321"/>
      <c r="E36" s="326"/>
      <c r="F36" s="312"/>
      <c r="G36" s="313"/>
      <c r="H36" s="314"/>
    </row>
    <row r="41" spans="2:8" x14ac:dyDescent="0.3">
      <c r="B41" s="253" t="s">
        <v>4</v>
      </c>
      <c r="C41" s="253" t="s">
        <v>448</v>
      </c>
    </row>
    <row r="42" spans="2:8" ht="19.5" thickBot="1" x14ac:dyDescent="0.35"/>
    <row r="43" spans="2:8" x14ac:dyDescent="0.3">
      <c r="C43" s="333" t="s">
        <v>449</v>
      </c>
      <c r="D43" s="334"/>
      <c r="E43" s="334"/>
      <c r="F43" s="263"/>
      <c r="G43" s="264"/>
    </row>
    <row r="44" spans="2:8" x14ac:dyDescent="0.3">
      <c r="C44" s="265"/>
      <c r="G44" s="270"/>
    </row>
    <row r="45" spans="2:8" x14ac:dyDescent="0.3">
      <c r="C45" s="265" t="s">
        <v>450</v>
      </c>
      <c r="E45" s="252">
        <v>100</v>
      </c>
      <c r="G45" s="270"/>
    </row>
    <row r="46" spans="2:8" x14ac:dyDescent="0.3">
      <c r="C46" s="265" t="s">
        <v>451</v>
      </c>
      <c r="E46" s="252">
        <v>500</v>
      </c>
      <c r="G46" s="270"/>
    </row>
    <row r="47" spans="2:8" x14ac:dyDescent="0.3">
      <c r="C47" s="265"/>
      <c r="G47" s="270"/>
    </row>
    <row r="48" spans="2:8" x14ac:dyDescent="0.3">
      <c r="C48" s="265" t="s">
        <v>452</v>
      </c>
      <c r="E48" s="252">
        <f>+E46</f>
        <v>500</v>
      </c>
      <c r="G48" s="270"/>
    </row>
    <row r="49" spans="2:7" x14ac:dyDescent="0.3">
      <c r="C49" s="265" t="s">
        <v>453</v>
      </c>
      <c r="E49" s="252">
        <f>+E45</f>
        <v>100</v>
      </c>
      <c r="G49" s="270"/>
    </row>
    <row r="50" spans="2:7" x14ac:dyDescent="0.3">
      <c r="C50" s="265" t="s">
        <v>454</v>
      </c>
      <c r="E50" s="252">
        <f>+E48-E49</f>
        <v>400</v>
      </c>
      <c r="G50" s="270"/>
    </row>
    <row r="51" spans="2:7" x14ac:dyDescent="0.3">
      <c r="C51" s="335" t="s">
        <v>455</v>
      </c>
      <c r="D51" s="336">
        <v>0.3</v>
      </c>
      <c r="E51" s="337">
        <f>+D51*E50</f>
        <v>120</v>
      </c>
      <c r="G51" s="270"/>
    </row>
    <row r="52" spans="2:7" x14ac:dyDescent="0.3">
      <c r="C52" s="265"/>
      <c r="G52" s="270"/>
    </row>
    <row r="53" spans="2:7" x14ac:dyDescent="0.3">
      <c r="C53" s="338" t="s">
        <v>456</v>
      </c>
      <c r="G53" s="270"/>
    </row>
    <row r="54" spans="2:7" x14ac:dyDescent="0.3">
      <c r="C54" s="343" t="s">
        <v>457</v>
      </c>
      <c r="G54" s="270"/>
    </row>
    <row r="55" spans="2:7" x14ac:dyDescent="0.3">
      <c r="C55" s="338" t="s">
        <v>458</v>
      </c>
      <c r="G55" s="270"/>
    </row>
    <row r="56" spans="2:7" x14ac:dyDescent="0.3">
      <c r="C56" s="265"/>
      <c r="G56" s="270"/>
    </row>
    <row r="57" spans="2:7" x14ac:dyDescent="0.3">
      <c r="C57" s="339"/>
      <c r="D57" s="340"/>
      <c r="E57" s="341" t="s">
        <v>190</v>
      </c>
      <c r="F57" s="341" t="s">
        <v>191</v>
      </c>
      <c r="G57" s="270"/>
    </row>
    <row r="58" spans="2:7" x14ac:dyDescent="0.3">
      <c r="C58" s="265" t="s">
        <v>459</v>
      </c>
      <c r="E58" s="252">
        <f>+E46-E45</f>
        <v>400</v>
      </c>
      <c r="G58" s="270"/>
    </row>
    <row r="59" spans="2:7" ht="19.5" thickBot="1" x14ac:dyDescent="0.35">
      <c r="C59" s="342" t="s">
        <v>460</v>
      </c>
      <c r="D59" s="288"/>
      <c r="E59" s="288"/>
      <c r="F59" s="288">
        <f>+E58</f>
        <v>400</v>
      </c>
      <c r="G59" s="289"/>
    </row>
    <row r="61" spans="2:7" ht="19.5" thickBot="1" x14ac:dyDescent="0.35"/>
    <row r="62" spans="2:7" x14ac:dyDescent="0.3">
      <c r="B62" s="331" t="s">
        <v>5</v>
      </c>
      <c r="C62" s="344" t="s">
        <v>461</v>
      </c>
      <c r="D62" s="263"/>
      <c r="E62" s="263"/>
      <c r="F62" s="263"/>
      <c r="G62" s="264"/>
    </row>
    <row r="63" spans="2:7" x14ac:dyDescent="0.3">
      <c r="B63" s="265"/>
      <c r="G63" s="270"/>
    </row>
    <row r="64" spans="2:7" x14ac:dyDescent="0.3">
      <c r="B64" s="265"/>
      <c r="G64" s="270"/>
    </row>
    <row r="65" spans="2:7" x14ac:dyDescent="0.3">
      <c r="B65" s="265"/>
      <c r="C65" s="303" t="s">
        <v>462</v>
      </c>
      <c r="D65" s="349"/>
      <c r="E65" s="349"/>
      <c r="F65" s="349"/>
      <c r="G65" s="270"/>
    </row>
    <row r="66" spans="2:7" x14ac:dyDescent="0.3">
      <c r="B66" s="265"/>
      <c r="C66" s="252" t="s">
        <v>174</v>
      </c>
      <c r="D66" s="345">
        <v>44241</v>
      </c>
      <c r="F66" s="346">
        <v>500000</v>
      </c>
      <c r="G66" s="270"/>
    </row>
    <row r="67" spans="2:7" x14ac:dyDescent="0.3">
      <c r="B67" s="265"/>
      <c r="C67" s="252" t="s">
        <v>463</v>
      </c>
      <c r="D67" s="345">
        <v>45657</v>
      </c>
      <c r="F67" s="346">
        <v>900000</v>
      </c>
      <c r="G67" s="270"/>
    </row>
    <row r="68" spans="2:7" x14ac:dyDescent="0.3">
      <c r="B68" s="265"/>
      <c r="F68" s="347">
        <f>+F67-F66</f>
        <v>400000</v>
      </c>
      <c r="G68" s="270"/>
    </row>
    <row r="69" spans="2:7" x14ac:dyDescent="0.3">
      <c r="B69" s="265"/>
      <c r="E69" s="347"/>
      <c r="G69" s="270"/>
    </row>
    <row r="70" spans="2:7" x14ac:dyDescent="0.3">
      <c r="B70" s="265"/>
      <c r="C70" s="256"/>
      <c r="D70" s="256"/>
      <c r="E70" s="348" t="s">
        <v>190</v>
      </c>
      <c r="F70" s="348" t="s">
        <v>191</v>
      </c>
      <c r="G70" s="270"/>
    </row>
    <row r="71" spans="2:7" x14ac:dyDescent="0.3">
      <c r="B71" s="265"/>
      <c r="C71" s="252" t="s">
        <v>461</v>
      </c>
      <c r="E71" s="346">
        <f>+F68</f>
        <v>400000</v>
      </c>
      <c r="G71" s="270"/>
    </row>
    <row r="72" spans="2:7" x14ac:dyDescent="0.3">
      <c r="B72" s="265"/>
      <c r="C72" s="252" t="s">
        <v>464</v>
      </c>
      <c r="F72" s="346">
        <f>+E71</f>
        <v>400000</v>
      </c>
      <c r="G72" s="270"/>
    </row>
    <row r="73" spans="2:7" x14ac:dyDescent="0.3">
      <c r="B73" s="265"/>
      <c r="G73" s="270"/>
    </row>
    <row r="74" spans="2:7" x14ac:dyDescent="0.3">
      <c r="B74" s="265"/>
      <c r="C74" s="256"/>
      <c r="D74" s="256"/>
      <c r="E74" s="348" t="s">
        <v>190</v>
      </c>
      <c r="F74" s="348" t="s">
        <v>191</v>
      </c>
      <c r="G74" s="270"/>
    </row>
    <row r="75" spans="2:7" x14ac:dyDescent="0.3">
      <c r="B75" s="265"/>
      <c r="C75" s="302" t="s">
        <v>464</v>
      </c>
      <c r="D75" s="302"/>
      <c r="E75" s="351">
        <f>+F72</f>
        <v>400000</v>
      </c>
      <c r="F75" s="302"/>
      <c r="G75" s="270"/>
    </row>
    <row r="76" spans="2:7" x14ac:dyDescent="0.3">
      <c r="B76" s="265"/>
      <c r="C76" s="302" t="s">
        <v>465</v>
      </c>
      <c r="D76" s="302"/>
      <c r="E76" s="302"/>
      <c r="F76" s="351">
        <f>+E75</f>
        <v>400000</v>
      </c>
      <c r="G76" s="270"/>
    </row>
    <row r="77" spans="2:7" x14ac:dyDescent="0.3">
      <c r="B77" s="265"/>
      <c r="G77" s="270"/>
    </row>
    <row r="78" spans="2:7" x14ac:dyDescent="0.3">
      <c r="B78" s="265"/>
      <c r="G78" s="270"/>
    </row>
    <row r="79" spans="2:7" x14ac:dyDescent="0.3">
      <c r="B79" s="265"/>
      <c r="C79" s="350" t="s">
        <v>466</v>
      </c>
      <c r="D79" s="350"/>
      <c r="E79" s="350"/>
      <c r="F79" s="350"/>
      <c r="G79" s="270"/>
    </row>
    <row r="80" spans="2:7" x14ac:dyDescent="0.3">
      <c r="B80" s="265"/>
      <c r="C80" s="303" t="s">
        <v>467</v>
      </c>
      <c r="D80" s="303"/>
      <c r="E80" s="303"/>
      <c r="F80" s="303"/>
      <c r="G80" s="270"/>
    </row>
    <row r="81" spans="2:7" x14ac:dyDescent="0.3">
      <c r="B81" s="265"/>
      <c r="G81" s="270"/>
    </row>
    <row r="82" spans="2:7" x14ac:dyDescent="0.3">
      <c r="B82" s="265"/>
      <c r="G82" s="270"/>
    </row>
    <row r="83" spans="2:7" x14ac:dyDescent="0.3">
      <c r="B83" s="265"/>
      <c r="G83" s="270"/>
    </row>
    <row r="84" spans="2:7" x14ac:dyDescent="0.3">
      <c r="B84" s="265"/>
      <c r="G84" s="270"/>
    </row>
    <row r="85" spans="2:7" x14ac:dyDescent="0.3">
      <c r="B85" s="265"/>
      <c r="G85" s="270"/>
    </row>
    <row r="86" spans="2:7" ht="19.5" thickBot="1" x14ac:dyDescent="0.35">
      <c r="B86" s="342"/>
      <c r="C86" s="288"/>
      <c r="D86" s="288"/>
      <c r="E86" s="288"/>
      <c r="F86" s="288"/>
      <c r="G86" s="289"/>
    </row>
  </sheetData>
  <mergeCells count="1">
    <mergeCell ref="E29:F2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AB90-B04F-4F12-B87B-9195769F1B2B}">
  <dimension ref="A1:U42"/>
  <sheetViews>
    <sheetView zoomScale="160" zoomScaleNormal="160" workbookViewId="0">
      <pane ySplit="3" topLeftCell="A25" activePane="bottomLeft" state="frozen"/>
      <selection pane="bottomLeft" activeCell="D33" sqref="D33"/>
    </sheetView>
  </sheetViews>
  <sheetFormatPr baseColWidth="10" defaultRowHeight="15" x14ac:dyDescent="0.25"/>
  <cols>
    <col min="1" max="1" width="12.7109375" customWidth="1"/>
  </cols>
  <sheetData>
    <row r="1" spans="1:21" s="1" customFormat="1" x14ac:dyDescent="0.25">
      <c r="A1" s="352" t="s">
        <v>468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21" s="1" customFormat="1" x14ac:dyDescent="0.25">
      <c r="A2" s="352" t="s">
        <v>469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</row>
    <row r="3" spans="1:21" s="1" customFormat="1" x14ac:dyDescent="0.25">
      <c r="A3" s="6" t="s">
        <v>470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1"/>
      <c r="Q3" s="11"/>
      <c r="R3" s="11"/>
      <c r="S3" s="11"/>
    </row>
    <row r="5" spans="1:21" x14ac:dyDescent="0.25">
      <c r="A5" s="229" t="s">
        <v>471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</row>
    <row r="6" spans="1:21" x14ac:dyDescent="0.25">
      <c r="A6" s="229" t="s">
        <v>472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</row>
    <row r="8" spans="1:21" x14ac:dyDescent="0.25">
      <c r="A8" s="1" t="s">
        <v>31</v>
      </c>
      <c r="B8" s="129" t="s">
        <v>473</v>
      </c>
      <c r="C8" s="129"/>
      <c r="D8" s="129"/>
      <c r="E8" s="129"/>
      <c r="F8" s="129"/>
      <c r="G8" s="129"/>
      <c r="H8" s="129"/>
    </row>
    <row r="9" spans="1:21" x14ac:dyDescent="0.25">
      <c r="A9" s="1" t="s">
        <v>474</v>
      </c>
      <c r="B9" s="13" t="s">
        <v>484</v>
      </c>
      <c r="C9" s="13"/>
      <c r="D9" s="13"/>
      <c r="E9" s="13"/>
      <c r="F9" s="13"/>
      <c r="G9" s="13"/>
      <c r="H9" s="357">
        <v>0.3</v>
      </c>
    </row>
    <row r="11" spans="1:21" x14ac:dyDescent="0.25">
      <c r="A11" s="229" t="s">
        <v>31</v>
      </c>
      <c r="B11" s="354" t="s">
        <v>475</v>
      </c>
      <c r="C11" s="354" t="s">
        <v>476</v>
      </c>
      <c r="D11" s="354" t="s">
        <v>477</v>
      </c>
      <c r="E11" s="354" t="s">
        <v>478</v>
      </c>
      <c r="F11" s="354" t="s">
        <v>479</v>
      </c>
      <c r="G11" s="354" t="s">
        <v>480</v>
      </c>
      <c r="H11" s="354" t="s">
        <v>481</v>
      </c>
    </row>
    <row r="12" spans="1:21" x14ac:dyDescent="0.25">
      <c r="A12" s="1" t="s">
        <v>338</v>
      </c>
      <c r="B12" s="353">
        <v>1400000</v>
      </c>
    </row>
    <row r="13" spans="1:21" x14ac:dyDescent="0.25">
      <c r="A13" s="1" t="s">
        <v>482</v>
      </c>
      <c r="B13" s="353">
        <f>-B12*0.4</f>
        <v>-560000</v>
      </c>
    </row>
    <row r="14" spans="1:21" x14ac:dyDescent="0.25">
      <c r="A14" s="355" t="s">
        <v>483</v>
      </c>
      <c r="B14" s="356">
        <f>+B12+B13</f>
        <v>840000</v>
      </c>
      <c r="C14" s="356">
        <f t="shared" ref="C14:H14" si="0">+C12+C13</f>
        <v>0</v>
      </c>
      <c r="D14" s="356">
        <f t="shared" si="0"/>
        <v>0</v>
      </c>
      <c r="E14" s="356">
        <f t="shared" si="0"/>
        <v>0</v>
      </c>
      <c r="F14" s="356">
        <f t="shared" si="0"/>
        <v>0</v>
      </c>
      <c r="G14" s="356">
        <f t="shared" si="0"/>
        <v>0</v>
      </c>
      <c r="H14" s="356">
        <f t="shared" si="0"/>
        <v>0</v>
      </c>
    </row>
    <row r="16" spans="1:21" x14ac:dyDescent="0.25">
      <c r="A16" s="229" t="s">
        <v>290</v>
      </c>
      <c r="B16" s="354" t="s">
        <v>475</v>
      </c>
      <c r="C16" s="354" t="s">
        <v>476</v>
      </c>
      <c r="D16" s="354" t="s">
        <v>477</v>
      </c>
      <c r="E16" s="354" t="s">
        <v>478</v>
      </c>
      <c r="F16" s="354" t="s">
        <v>479</v>
      </c>
      <c r="G16" s="354" t="s">
        <v>480</v>
      </c>
      <c r="H16" s="354" t="s">
        <v>481</v>
      </c>
    </row>
    <row r="17" spans="1:8" x14ac:dyDescent="0.25">
      <c r="A17" s="1" t="s">
        <v>338</v>
      </c>
      <c r="B17" s="353">
        <f>+B12/7</f>
        <v>200000</v>
      </c>
      <c r="C17" s="353">
        <f>+B17</f>
        <v>200000</v>
      </c>
      <c r="D17" s="353">
        <f t="shared" ref="D17:H17" si="1">+C17</f>
        <v>200000</v>
      </c>
      <c r="E17" s="353">
        <f t="shared" si="1"/>
        <v>200000</v>
      </c>
      <c r="F17" s="353">
        <f t="shared" si="1"/>
        <v>200000</v>
      </c>
      <c r="G17" s="353">
        <f t="shared" si="1"/>
        <v>200000</v>
      </c>
      <c r="H17" s="353">
        <f t="shared" si="1"/>
        <v>200000</v>
      </c>
    </row>
    <row r="18" spans="1:8" x14ac:dyDescent="0.25">
      <c r="A18" s="1" t="s">
        <v>482</v>
      </c>
      <c r="B18" s="353">
        <f>+B13/7</f>
        <v>-80000</v>
      </c>
      <c r="C18" s="353">
        <f>+B18</f>
        <v>-80000</v>
      </c>
      <c r="D18" s="353">
        <f t="shared" ref="D18:H18" si="2">+C18</f>
        <v>-80000</v>
      </c>
      <c r="E18" s="353">
        <f t="shared" si="2"/>
        <v>-80000</v>
      </c>
      <c r="F18" s="353">
        <f t="shared" si="2"/>
        <v>-80000</v>
      </c>
      <c r="G18" s="353">
        <f t="shared" si="2"/>
        <v>-80000</v>
      </c>
      <c r="H18" s="353">
        <f t="shared" si="2"/>
        <v>-80000</v>
      </c>
    </row>
    <row r="19" spans="1:8" x14ac:dyDescent="0.25">
      <c r="A19" s="355" t="s">
        <v>483</v>
      </c>
      <c r="B19" s="356">
        <f>+B17+B18</f>
        <v>120000</v>
      </c>
      <c r="C19" s="356">
        <f t="shared" ref="C19" si="3">+C17+C18</f>
        <v>120000</v>
      </c>
      <c r="D19" s="356">
        <f t="shared" ref="D19" si="4">+D17+D18</f>
        <v>120000</v>
      </c>
      <c r="E19" s="356">
        <f t="shared" ref="E19" si="5">+E17+E18</f>
        <v>120000</v>
      </c>
      <c r="F19" s="356">
        <f t="shared" ref="F19" si="6">+F17+F18</f>
        <v>120000</v>
      </c>
      <c r="G19" s="356">
        <f t="shared" ref="G19" si="7">+G17+G18</f>
        <v>120000</v>
      </c>
      <c r="H19" s="356">
        <f t="shared" ref="H19" si="8">+H17+H18</f>
        <v>120000</v>
      </c>
    </row>
    <row r="20" spans="1:8" x14ac:dyDescent="0.25">
      <c r="A20" t="s">
        <v>485</v>
      </c>
      <c r="B20" s="353">
        <f>+B19*$H$9</f>
        <v>36000</v>
      </c>
      <c r="C20" s="353">
        <f t="shared" ref="C20:H20" si="9">+C19*$H$9</f>
        <v>36000</v>
      </c>
      <c r="D20" s="353">
        <f t="shared" si="9"/>
        <v>36000</v>
      </c>
      <c r="E20" s="353">
        <f t="shared" si="9"/>
        <v>36000</v>
      </c>
      <c r="F20" s="353">
        <f t="shared" si="9"/>
        <v>36000</v>
      </c>
      <c r="G20" s="353">
        <f t="shared" si="9"/>
        <v>36000</v>
      </c>
      <c r="H20" s="353">
        <f t="shared" si="9"/>
        <v>36000</v>
      </c>
    </row>
    <row r="24" spans="1:8" x14ac:dyDescent="0.25">
      <c r="A24" s="361" t="s">
        <v>486</v>
      </c>
      <c r="B24" s="362" t="s">
        <v>475</v>
      </c>
      <c r="C24" s="362" t="s">
        <v>476</v>
      </c>
      <c r="D24" s="362" t="s">
        <v>477</v>
      </c>
      <c r="E24" s="362" t="s">
        <v>478</v>
      </c>
      <c r="F24" s="362" t="s">
        <v>479</v>
      </c>
      <c r="G24" s="362" t="s">
        <v>480</v>
      </c>
      <c r="H24" s="362" t="s">
        <v>481</v>
      </c>
    </row>
    <row r="25" spans="1:8" x14ac:dyDescent="0.25">
      <c r="A25" s="1" t="s">
        <v>338</v>
      </c>
      <c r="B25" s="353">
        <v>1400000</v>
      </c>
    </row>
    <row r="26" spans="1:8" x14ac:dyDescent="0.25">
      <c r="A26" s="1" t="s">
        <v>482</v>
      </c>
      <c r="B26" s="353">
        <f>-B25*0.4</f>
        <v>-560000</v>
      </c>
    </row>
    <row r="27" spans="1:8" x14ac:dyDescent="0.25">
      <c r="A27" s="355" t="s">
        <v>483</v>
      </c>
      <c r="B27" s="356">
        <f>+B25+B26</f>
        <v>840000</v>
      </c>
      <c r="C27" s="356">
        <f t="shared" ref="C27" si="10">+C25+C26</f>
        <v>0</v>
      </c>
      <c r="D27" s="356">
        <f t="shared" ref="D27" si="11">+D25+D26</f>
        <v>0</v>
      </c>
      <c r="E27" s="356">
        <f t="shared" ref="E27" si="12">+E25+E26</f>
        <v>0</v>
      </c>
      <c r="F27" s="356">
        <f t="shared" ref="F27" si="13">+F25+F26</f>
        <v>0</v>
      </c>
      <c r="G27" s="356">
        <f t="shared" ref="G27" si="14">+G25+G26</f>
        <v>0</v>
      </c>
      <c r="H27" s="356">
        <f t="shared" ref="H27" si="15">+H25+H26</f>
        <v>0</v>
      </c>
    </row>
    <row r="28" spans="1:8" x14ac:dyDescent="0.25">
      <c r="A28" t="s">
        <v>489</v>
      </c>
    </row>
    <row r="29" spans="1:8" x14ac:dyDescent="0.25">
      <c r="A29" s="360" t="s">
        <v>490</v>
      </c>
      <c r="B29" s="365">
        <v>-216000</v>
      </c>
      <c r="C29" s="365">
        <v>36000</v>
      </c>
      <c r="D29" s="365">
        <v>36000</v>
      </c>
      <c r="E29" s="365">
        <v>36000</v>
      </c>
      <c r="F29" s="365">
        <v>36000</v>
      </c>
      <c r="G29" s="365">
        <v>36000</v>
      </c>
      <c r="H29" s="365">
        <v>36000</v>
      </c>
    </row>
    <row r="30" spans="1:8" x14ac:dyDescent="0.25">
      <c r="A30" s="358" t="s">
        <v>487</v>
      </c>
      <c r="B30" s="359">
        <f>-B20</f>
        <v>-36000</v>
      </c>
      <c r="C30" s="359">
        <f t="shared" ref="C30:H30" si="16">-C20</f>
        <v>-36000</v>
      </c>
      <c r="D30" s="359">
        <f t="shared" si="16"/>
        <v>-36000</v>
      </c>
      <c r="E30" s="359">
        <f t="shared" si="16"/>
        <v>-36000</v>
      </c>
      <c r="F30" s="359">
        <f t="shared" si="16"/>
        <v>-36000</v>
      </c>
      <c r="G30" s="359">
        <f t="shared" si="16"/>
        <v>-36000</v>
      </c>
      <c r="H30" s="359">
        <f t="shared" si="16"/>
        <v>-36000</v>
      </c>
    </row>
    <row r="31" spans="1:8" x14ac:dyDescent="0.25">
      <c r="A31" s="355" t="s">
        <v>488</v>
      </c>
      <c r="B31" s="356">
        <f>SUM(B27:B30)</f>
        <v>588000</v>
      </c>
      <c r="C31" s="356">
        <f t="shared" ref="C31:H31" si="17">SUM(C27:C30)</f>
        <v>0</v>
      </c>
      <c r="D31" s="356">
        <f t="shared" si="17"/>
        <v>0</v>
      </c>
      <c r="E31" s="356">
        <f t="shared" si="17"/>
        <v>0</v>
      </c>
      <c r="F31" s="356">
        <f t="shared" si="17"/>
        <v>0</v>
      </c>
      <c r="G31" s="356">
        <f t="shared" si="17"/>
        <v>0</v>
      </c>
      <c r="H31" s="356">
        <f t="shared" si="17"/>
        <v>0</v>
      </c>
    </row>
    <row r="33" spans="1:5" x14ac:dyDescent="0.25">
      <c r="A33" t="s">
        <v>491</v>
      </c>
      <c r="B33" s="363" t="s">
        <v>452</v>
      </c>
      <c r="C33" s="363" t="s">
        <v>453</v>
      </c>
      <c r="D33" s="363" t="s">
        <v>454</v>
      </c>
      <c r="E33" s="363" t="s">
        <v>494</v>
      </c>
    </row>
    <row r="34" spans="1:5" x14ac:dyDescent="0.25">
      <c r="A34" t="s">
        <v>492</v>
      </c>
    </row>
    <row r="35" spans="1:5" x14ac:dyDescent="0.25">
      <c r="A35" t="s">
        <v>493</v>
      </c>
      <c r="B35">
        <v>0</v>
      </c>
      <c r="C35" s="353">
        <f>+B27</f>
        <v>840000</v>
      </c>
      <c r="D35" s="353">
        <f t="shared" ref="D35:D42" si="18">+C35</f>
        <v>840000</v>
      </c>
      <c r="E35" s="353">
        <f t="shared" ref="E35:E42" si="19">+D35*0.3</f>
        <v>252000</v>
      </c>
    </row>
    <row r="36" spans="1:5" x14ac:dyDescent="0.25">
      <c r="A36" t="s">
        <v>475</v>
      </c>
      <c r="B36">
        <v>0</v>
      </c>
      <c r="C36" s="353">
        <f t="shared" ref="C36:C42" si="20">+C35-$B$19</f>
        <v>720000</v>
      </c>
      <c r="D36" s="353">
        <f t="shared" si="18"/>
        <v>720000</v>
      </c>
      <c r="E36" s="364">
        <f t="shared" si="19"/>
        <v>216000</v>
      </c>
    </row>
    <row r="37" spans="1:5" x14ac:dyDescent="0.25">
      <c r="A37" t="s">
        <v>476</v>
      </c>
      <c r="B37">
        <v>0</v>
      </c>
      <c r="C37" s="353">
        <f t="shared" si="20"/>
        <v>600000</v>
      </c>
      <c r="D37" s="353">
        <f t="shared" si="18"/>
        <v>600000</v>
      </c>
      <c r="E37" s="364">
        <f t="shared" si="19"/>
        <v>180000</v>
      </c>
    </row>
    <row r="38" spans="1:5" x14ac:dyDescent="0.25">
      <c r="A38" t="s">
        <v>477</v>
      </c>
      <c r="B38">
        <v>0</v>
      </c>
      <c r="C38" s="353">
        <f t="shared" si="20"/>
        <v>480000</v>
      </c>
      <c r="D38" s="353">
        <f t="shared" si="18"/>
        <v>480000</v>
      </c>
      <c r="E38" s="364">
        <f t="shared" si="19"/>
        <v>144000</v>
      </c>
    </row>
    <row r="39" spans="1:5" x14ac:dyDescent="0.25">
      <c r="A39" t="s">
        <v>478</v>
      </c>
      <c r="B39">
        <v>0</v>
      </c>
      <c r="C39" s="353">
        <f t="shared" si="20"/>
        <v>360000</v>
      </c>
      <c r="D39" s="353">
        <f t="shared" si="18"/>
        <v>360000</v>
      </c>
      <c r="E39" s="364">
        <f t="shared" si="19"/>
        <v>108000</v>
      </c>
    </row>
    <row r="40" spans="1:5" x14ac:dyDescent="0.25">
      <c r="A40" t="s">
        <v>479</v>
      </c>
      <c r="B40">
        <v>0</v>
      </c>
      <c r="C40" s="353">
        <f t="shared" si="20"/>
        <v>240000</v>
      </c>
      <c r="D40" s="353">
        <f t="shared" si="18"/>
        <v>240000</v>
      </c>
      <c r="E40" s="364">
        <f t="shared" si="19"/>
        <v>72000</v>
      </c>
    </row>
    <row r="41" spans="1:5" x14ac:dyDescent="0.25">
      <c r="A41" t="s">
        <v>480</v>
      </c>
      <c r="B41">
        <v>0</v>
      </c>
      <c r="C41" s="353">
        <f t="shared" si="20"/>
        <v>120000</v>
      </c>
      <c r="D41" s="353">
        <f t="shared" si="18"/>
        <v>120000</v>
      </c>
      <c r="E41" s="364">
        <f t="shared" si="19"/>
        <v>36000</v>
      </c>
    </row>
    <row r="42" spans="1:5" x14ac:dyDescent="0.25">
      <c r="A42" t="s">
        <v>481</v>
      </c>
      <c r="B42">
        <v>0</v>
      </c>
      <c r="C42" s="353">
        <f t="shared" si="20"/>
        <v>0</v>
      </c>
      <c r="D42" s="353">
        <f t="shared" si="18"/>
        <v>0</v>
      </c>
      <c r="E42" s="364">
        <f t="shared" si="19"/>
        <v>0</v>
      </c>
    </row>
  </sheetData>
  <phoneticPr fontId="4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8D7D-85E5-4341-AA79-96B7BA7CBCED}">
  <dimension ref="A1:M193"/>
  <sheetViews>
    <sheetView zoomScale="145" zoomScaleNormal="145" workbookViewId="0">
      <pane ySplit="2" topLeftCell="A3" activePane="bottomLeft" state="frozen"/>
      <selection pane="bottomLeft" activeCell="D1" sqref="A1:XFD2"/>
    </sheetView>
  </sheetViews>
  <sheetFormatPr baseColWidth="10" defaultRowHeight="18.75" x14ac:dyDescent="0.3"/>
  <cols>
    <col min="1" max="1" width="15" style="252" customWidth="1"/>
    <col min="2" max="2" width="17.7109375" style="252" customWidth="1"/>
    <col min="3" max="10" width="14.42578125" style="252" customWidth="1"/>
    <col min="11" max="16384" width="11.42578125" style="252"/>
  </cols>
  <sheetData>
    <row r="1" spans="1:1" s="366" customFormat="1" ht="28.5" x14ac:dyDescent="0.45">
      <c r="A1" s="366" t="s">
        <v>496</v>
      </c>
    </row>
    <row r="2" spans="1:1" s="367" customFormat="1" ht="23.25" x14ac:dyDescent="0.35">
      <c r="A2" s="367" t="s">
        <v>497</v>
      </c>
    </row>
    <row r="3" spans="1:1" customFormat="1" ht="15" x14ac:dyDescent="0.25"/>
    <row r="4" spans="1:1" customFormat="1" ht="15" x14ac:dyDescent="0.25"/>
    <row r="5" spans="1:1" customFormat="1" ht="15" x14ac:dyDescent="0.25"/>
    <row r="6" spans="1:1" customFormat="1" ht="15" x14ac:dyDescent="0.25"/>
    <row r="7" spans="1:1" customFormat="1" ht="15" x14ac:dyDescent="0.25"/>
    <row r="8" spans="1:1" customFormat="1" ht="15" x14ac:dyDescent="0.25"/>
    <row r="9" spans="1:1" customFormat="1" ht="15" x14ac:dyDescent="0.25"/>
    <row r="10" spans="1:1" customFormat="1" ht="15" x14ac:dyDescent="0.25"/>
    <row r="11" spans="1:1" customFormat="1" ht="15" x14ac:dyDescent="0.25"/>
    <row r="12" spans="1:1" customFormat="1" ht="15" x14ac:dyDescent="0.25"/>
    <row r="13" spans="1:1" customFormat="1" ht="15" x14ac:dyDescent="0.25"/>
    <row r="14" spans="1:1" customFormat="1" ht="15" x14ac:dyDescent="0.25"/>
    <row r="15" spans="1:1" customFormat="1" ht="15" x14ac:dyDescent="0.25"/>
    <row r="16" spans="1:1" customFormat="1" ht="15" x14ac:dyDescent="0.25"/>
    <row r="17" spans="1:9" customFormat="1" ht="15" x14ac:dyDescent="0.25"/>
    <row r="18" spans="1:9" customFormat="1" ht="15" x14ac:dyDescent="0.25"/>
    <row r="19" spans="1:9" customFormat="1" ht="15" x14ac:dyDescent="0.25"/>
    <row r="20" spans="1:9" customFormat="1" ht="15" x14ac:dyDescent="0.25"/>
    <row r="21" spans="1:9" customFormat="1" ht="15" x14ac:dyDescent="0.25"/>
    <row r="22" spans="1:9" customFormat="1" ht="15" x14ac:dyDescent="0.25"/>
    <row r="23" spans="1:9" customFormat="1" ht="15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customFormat="1" ht="21.75" thickBot="1" x14ac:dyDescent="0.4">
      <c r="F24" s="201" t="s">
        <v>507</v>
      </c>
    </row>
    <row r="25" spans="1:9" x14ac:dyDescent="0.3">
      <c r="A25" s="376" t="s">
        <v>498</v>
      </c>
      <c r="B25" s="377"/>
      <c r="C25" s="377"/>
      <c r="D25" s="378" t="s">
        <v>409</v>
      </c>
      <c r="F25" s="383" t="s">
        <v>506</v>
      </c>
      <c r="G25" s="384"/>
      <c r="H25" s="384"/>
      <c r="I25" s="384">
        <v>0.3</v>
      </c>
    </row>
    <row r="26" spans="1:9" x14ac:dyDescent="0.3">
      <c r="A26" s="379"/>
      <c r="B26" s="302"/>
      <c r="C26" s="302"/>
      <c r="D26" s="380"/>
      <c r="F26" s="383" t="s">
        <v>508</v>
      </c>
      <c r="G26" s="383"/>
      <c r="H26" s="383"/>
      <c r="I26" s="383"/>
    </row>
    <row r="27" spans="1:9" x14ac:dyDescent="0.3">
      <c r="A27" s="265"/>
      <c r="D27" s="270"/>
      <c r="F27" s="383" t="s">
        <v>509</v>
      </c>
      <c r="G27" s="383"/>
      <c r="H27" s="383"/>
      <c r="I27" s="383"/>
    </row>
    <row r="28" spans="1:9" x14ac:dyDescent="0.3">
      <c r="A28" s="369" t="s">
        <v>461</v>
      </c>
      <c r="D28" s="270"/>
    </row>
    <row r="29" spans="1:9" x14ac:dyDescent="0.3">
      <c r="A29" s="370" t="s">
        <v>503</v>
      </c>
      <c r="B29" s="371"/>
      <c r="C29" s="371"/>
      <c r="D29" s="372">
        <v>1500000</v>
      </c>
      <c r="E29" s="381" t="s">
        <v>505</v>
      </c>
      <c r="F29" s="302"/>
      <c r="G29" s="302"/>
      <c r="H29" s="302"/>
      <c r="I29" s="302"/>
    </row>
    <row r="30" spans="1:9" x14ac:dyDescent="0.3">
      <c r="A30" s="343" t="s">
        <v>502</v>
      </c>
      <c r="D30" s="270"/>
    </row>
    <row r="31" spans="1:9" x14ac:dyDescent="0.3">
      <c r="A31" s="265"/>
      <c r="D31" s="270"/>
    </row>
    <row r="32" spans="1:9" x14ac:dyDescent="0.3">
      <c r="A32" s="369" t="s">
        <v>499</v>
      </c>
      <c r="D32" s="270"/>
    </row>
    <row r="33" spans="1:9" x14ac:dyDescent="0.3">
      <c r="A33" s="370" t="s">
        <v>500</v>
      </c>
      <c r="B33" s="371"/>
      <c r="C33" s="371"/>
      <c r="D33" s="372"/>
    </row>
    <row r="34" spans="1:9" ht="19.5" thickBot="1" x14ac:dyDescent="0.35">
      <c r="A34" s="373" t="s">
        <v>501</v>
      </c>
      <c r="B34" s="374"/>
      <c r="C34" s="374"/>
      <c r="D34" s="375">
        <v>600000</v>
      </c>
      <c r="E34" s="381" t="s">
        <v>504</v>
      </c>
      <c r="F34" s="302"/>
      <c r="G34" s="302"/>
      <c r="H34" s="302"/>
      <c r="I34" s="302"/>
    </row>
    <row r="37" spans="1:9" x14ac:dyDescent="0.3">
      <c r="A37" s="383" t="s">
        <v>508</v>
      </c>
      <c r="B37" s="302"/>
      <c r="C37" s="302"/>
      <c r="D37" s="302"/>
      <c r="E37" s="385"/>
      <c r="F37" s="389" t="s">
        <v>289</v>
      </c>
      <c r="G37" s="389" t="s">
        <v>290</v>
      </c>
    </row>
    <row r="38" spans="1:9" x14ac:dyDescent="0.3">
      <c r="A38" s="385" t="s">
        <v>510</v>
      </c>
      <c r="B38" s="385"/>
      <c r="C38" s="385"/>
      <c r="D38" s="385"/>
      <c r="E38" s="385"/>
      <c r="F38" s="390">
        <v>9000000</v>
      </c>
      <c r="G38" s="390">
        <f>+F38</f>
        <v>9000000</v>
      </c>
    </row>
    <row r="39" spans="1:9" x14ac:dyDescent="0.3">
      <c r="A39" s="385" t="s">
        <v>511</v>
      </c>
      <c r="B39" s="385"/>
      <c r="C39" s="385"/>
      <c r="D39" s="385"/>
      <c r="E39" s="385"/>
      <c r="F39" s="388">
        <f>-D29</f>
        <v>-1500000</v>
      </c>
      <c r="G39" s="388">
        <v>-1000000</v>
      </c>
    </row>
    <row r="40" spans="1:9" x14ac:dyDescent="0.3">
      <c r="A40" s="385"/>
      <c r="B40" s="385"/>
      <c r="C40" s="385"/>
      <c r="D40" s="385"/>
      <c r="E40" s="385"/>
      <c r="F40" s="390">
        <f>+F38+F39</f>
        <v>7500000</v>
      </c>
      <c r="G40" s="390">
        <f>+G38+G39</f>
        <v>8000000</v>
      </c>
    </row>
    <row r="41" spans="1:9" ht="19.5" thickBot="1" x14ac:dyDescent="0.35">
      <c r="A41" s="386" t="s">
        <v>512</v>
      </c>
      <c r="B41" s="385"/>
      <c r="C41" s="385"/>
      <c r="D41" s="385"/>
      <c r="E41" s="385"/>
      <c r="F41" s="391">
        <f>+F40*I25</f>
        <v>2250000</v>
      </c>
      <c r="G41" s="391">
        <f>+G40*I25</f>
        <v>2400000</v>
      </c>
    </row>
    <row r="42" spans="1:9" ht="19.5" thickBot="1" x14ac:dyDescent="0.35">
      <c r="A42" s="257" t="s">
        <v>513</v>
      </c>
      <c r="B42" s="392"/>
      <c r="C42" s="392"/>
      <c r="D42" s="392"/>
      <c r="E42" s="392"/>
      <c r="F42" s="392"/>
      <c r="G42" s="393">
        <f>+G41-F41</f>
        <v>150000</v>
      </c>
    </row>
    <row r="44" spans="1:9" x14ac:dyDescent="0.3">
      <c r="A44" s="383" t="s">
        <v>514</v>
      </c>
      <c r="B44" s="302"/>
      <c r="C44" s="302"/>
      <c r="D44" s="302"/>
      <c r="E44" s="385"/>
      <c r="F44" s="389"/>
      <c r="G44" s="389"/>
    </row>
    <row r="45" spans="1:9" s="253" customFormat="1" x14ac:dyDescent="0.3">
      <c r="A45" s="386" t="s">
        <v>196</v>
      </c>
      <c r="B45" s="386"/>
      <c r="C45" s="386"/>
      <c r="D45" s="386"/>
      <c r="E45" s="386"/>
      <c r="F45" s="390">
        <v>3000000</v>
      </c>
      <c r="G45" s="390">
        <f>+F45*$I$25</f>
        <v>900000</v>
      </c>
    </row>
    <row r="46" spans="1:9" x14ac:dyDescent="0.3">
      <c r="A46" s="385"/>
      <c r="B46" s="385"/>
      <c r="C46" s="385"/>
      <c r="D46" s="385"/>
      <c r="E46" s="385"/>
      <c r="F46" s="388"/>
      <c r="G46" s="389"/>
    </row>
    <row r="47" spans="1:9" x14ac:dyDescent="0.3">
      <c r="A47" s="385" t="s">
        <v>515</v>
      </c>
      <c r="B47" s="385"/>
      <c r="C47" s="385"/>
      <c r="D47" s="385"/>
      <c r="E47" s="385"/>
      <c r="F47" s="388">
        <f>-D34</f>
        <v>-600000</v>
      </c>
      <c r="G47" s="394">
        <f>+G45-G49</f>
        <v>180000</v>
      </c>
      <c r="H47" s="395" t="s">
        <v>516</v>
      </c>
    </row>
    <row r="48" spans="1:9" x14ac:dyDescent="0.3">
      <c r="A48" s="385"/>
      <c r="B48" s="385"/>
      <c r="C48" s="385"/>
      <c r="D48" s="385"/>
      <c r="E48" s="385"/>
      <c r="F48" s="390"/>
      <c r="G48" s="389"/>
      <c r="H48" s="395" t="s">
        <v>517</v>
      </c>
    </row>
    <row r="49" spans="1:7" x14ac:dyDescent="0.3">
      <c r="A49" s="386" t="s">
        <v>197</v>
      </c>
      <c r="B49" s="385"/>
      <c r="C49" s="385"/>
      <c r="D49" s="385"/>
      <c r="E49" s="385"/>
      <c r="F49" s="391">
        <f>SUM(F45:F48)</f>
        <v>2400000</v>
      </c>
      <c r="G49" s="390">
        <f>+F49*$I$25</f>
        <v>720000</v>
      </c>
    </row>
    <row r="53" spans="1:7" x14ac:dyDescent="0.3">
      <c r="C53" s="396" t="s">
        <v>452</v>
      </c>
      <c r="D53" s="396" t="s">
        <v>453</v>
      </c>
      <c r="E53" s="396" t="s">
        <v>454</v>
      </c>
      <c r="F53" s="396" t="s">
        <v>454</v>
      </c>
    </row>
    <row r="54" spans="1:7" x14ac:dyDescent="0.3">
      <c r="A54" s="397" t="s">
        <v>518</v>
      </c>
      <c r="B54" s="397"/>
      <c r="C54" s="398">
        <f>+D29</f>
        <v>1500000</v>
      </c>
      <c r="D54" s="398">
        <v>1000000</v>
      </c>
      <c r="E54" s="398">
        <f>+C54-D54</f>
        <v>500000</v>
      </c>
      <c r="F54" s="398">
        <f>+-E54*30%</f>
        <v>-150000</v>
      </c>
      <c r="G54" s="397" t="s">
        <v>188</v>
      </c>
    </row>
    <row r="55" spans="1:7" x14ac:dyDescent="0.3">
      <c r="A55" s="397" t="s">
        <v>519</v>
      </c>
      <c r="B55" s="397"/>
      <c r="C55" s="398">
        <f>++D34</f>
        <v>600000</v>
      </c>
      <c r="D55" s="397">
        <v>0</v>
      </c>
      <c r="E55" s="398">
        <f>+C55-D55</f>
        <v>600000</v>
      </c>
      <c r="F55" s="398">
        <f>+E55*30%</f>
        <v>180000</v>
      </c>
      <c r="G55" s="397" t="s">
        <v>302</v>
      </c>
    </row>
    <row r="56" spans="1:7" x14ac:dyDescent="0.3">
      <c r="F56" s="399">
        <f>+F54+F55</f>
        <v>30000</v>
      </c>
    </row>
    <row r="69" spans="1:10" x14ac:dyDescent="0.3">
      <c r="A69" s="383" t="s">
        <v>461</v>
      </c>
      <c r="B69" s="302"/>
      <c r="C69" s="302"/>
      <c r="D69" s="302"/>
      <c r="E69" s="302"/>
      <c r="F69" s="302"/>
      <c r="G69" s="302"/>
      <c r="H69" s="302"/>
      <c r="I69" s="302"/>
    </row>
    <row r="70" spans="1:10" x14ac:dyDescent="0.3">
      <c r="A70" s="383" t="s">
        <v>520</v>
      </c>
      <c r="B70" s="400">
        <v>900000</v>
      </c>
      <c r="C70" s="302"/>
      <c r="D70" s="302" t="s">
        <v>524</v>
      </c>
      <c r="E70" s="302"/>
      <c r="F70" s="302"/>
      <c r="G70" s="302"/>
      <c r="H70" s="302"/>
      <c r="I70" s="302"/>
    </row>
    <row r="71" spans="1:10" x14ac:dyDescent="0.3">
      <c r="A71" s="302" t="s">
        <v>521</v>
      </c>
      <c r="B71" s="302">
        <v>9</v>
      </c>
      <c r="C71" s="302" t="s">
        <v>522</v>
      </c>
      <c r="D71" s="400">
        <f>+B70/B71</f>
        <v>100000</v>
      </c>
      <c r="E71" s="302"/>
      <c r="F71" s="302"/>
      <c r="G71" s="302"/>
      <c r="H71" s="302"/>
      <c r="I71" s="302"/>
    </row>
    <row r="72" spans="1:10" x14ac:dyDescent="0.3">
      <c r="A72" s="302" t="s">
        <v>523</v>
      </c>
      <c r="B72" s="302">
        <v>3</v>
      </c>
      <c r="C72" s="302" t="s">
        <v>522</v>
      </c>
      <c r="D72" s="400">
        <f>+B70/B72</f>
        <v>300000</v>
      </c>
      <c r="E72" s="302"/>
      <c r="F72" s="302"/>
      <c r="G72" s="302"/>
      <c r="H72" s="302"/>
      <c r="I72" s="302"/>
    </row>
    <row r="74" spans="1:10" s="253" customFormat="1" x14ac:dyDescent="0.3">
      <c r="B74" s="409" t="s">
        <v>475</v>
      </c>
      <c r="C74" s="409" t="s">
        <v>476</v>
      </c>
      <c r="D74" s="409" t="s">
        <v>477</v>
      </c>
      <c r="E74" s="410" t="s">
        <v>478</v>
      </c>
      <c r="F74" s="410" t="s">
        <v>479</v>
      </c>
      <c r="G74" s="410" t="s">
        <v>480</v>
      </c>
      <c r="H74" s="410" t="s">
        <v>481</v>
      </c>
      <c r="I74" s="410" t="s">
        <v>527</v>
      </c>
      <c r="J74" s="410" t="s">
        <v>528</v>
      </c>
    </row>
    <row r="75" spans="1:10" x14ac:dyDescent="0.3">
      <c r="A75" s="403" t="s">
        <v>526</v>
      </c>
      <c r="B75" s="404">
        <f ca="1">RANDBETWEEN(100,200)*10000</f>
        <v>1630000</v>
      </c>
      <c r="C75" s="404">
        <f t="shared" ref="C75:J75" ca="1" si="0">RANDBETWEEN(100,200)*10000</f>
        <v>1800000</v>
      </c>
      <c r="D75" s="404">
        <f t="shared" ca="1" si="0"/>
        <v>1740000</v>
      </c>
      <c r="E75" s="404">
        <f t="shared" ca="1" si="0"/>
        <v>1230000</v>
      </c>
      <c r="F75" s="404">
        <f t="shared" ca="1" si="0"/>
        <v>1210000</v>
      </c>
      <c r="G75" s="404">
        <f t="shared" ca="1" si="0"/>
        <v>1440000</v>
      </c>
      <c r="H75" s="404">
        <f t="shared" ca="1" si="0"/>
        <v>1050000</v>
      </c>
      <c r="I75" s="404">
        <f t="shared" ca="1" si="0"/>
        <v>1120000</v>
      </c>
      <c r="J75" s="404">
        <f t="shared" ca="1" si="0"/>
        <v>1100000</v>
      </c>
    </row>
    <row r="76" spans="1:10" x14ac:dyDescent="0.3">
      <c r="A76" s="262" t="s">
        <v>530</v>
      </c>
      <c r="B76" s="401">
        <f>+D71</f>
        <v>100000</v>
      </c>
      <c r="C76" s="401">
        <f>+B76</f>
        <v>100000</v>
      </c>
      <c r="D76" s="401">
        <f t="shared" ref="D76:J76" si="1">+C76</f>
        <v>100000</v>
      </c>
      <c r="E76" s="401">
        <f t="shared" si="1"/>
        <v>100000</v>
      </c>
      <c r="F76" s="401">
        <f t="shared" si="1"/>
        <v>100000</v>
      </c>
      <c r="G76" s="401">
        <f t="shared" si="1"/>
        <v>100000</v>
      </c>
      <c r="H76" s="401">
        <f t="shared" si="1"/>
        <v>100000</v>
      </c>
      <c r="I76" s="401">
        <f t="shared" si="1"/>
        <v>100000</v>
      </c>
      <c r="J76" s="401">
        <f t="shared" si="1"/>
        <v>100000</v>
      </c>
    </row>
    <row r="77" spans="1:10" x14ac:dyDescent="0.3">
      <c r="A77" s="262" t="s">
        <v>531</v>
      </c>
      <c r="B77" s="401">
        <f>-D72</f>
        <v>-300000</v>
      </c>
      <c r="C77" s="401">
        <f>+B77</f>
        <v>-300000</v>
      </c>
      <c r="D77" s="401">
        <f>+C77</f>
        <v>-300000</v>
      </c>
      <c r="E77" s="401"/>
      <c r="F77" s="401"/>
      <c r="G77" s="401"/>
      <c r="H77" s="401"/>
      <c r="I77" s="401"/>
      <c r="J77" s="401"/>
    </row>
    <row r="78" spans="1:10" ht="19.5" thickBot="1" x14ac:dyDescent="0.35">
      <c r="A78" s="403" t="s">
        <v>529</v>
      </c>
      <c r="B78" s="404">
        <f ca="1">SUM(B75:B77)</f>
        <v>1430000</v>
      </c>
      <c r="C78" s="404">
        <f t="shared" ref="C78:J78" ca="1" si="2">SUM(C75:C77)</f>
        <v>1600000</v>
      </c>
      <c r="D78" s="404">
        <f t="shared" ca="1" si="2"/>
        <v>1540000</v>
      </c>
      <c r="E78" s="404">
        <f t="shared" ca="1" si="2"/>
        <v>1330000</v>
      </c>
      <c r="F78" s="404">
        <f t="shared" ca="1" si="2"/>
        <v>1310000</v>
      </c>
      <c r="G78" s="404">
        <f t="shared" ca="1" si="2"/>
        <v>1540000</v>
      </c>
      <c r="H78" s="404">
        <f t="shared" ca="1" si="2"/>
        <v>1150000</v>
      </c>
      <c r="I78" s="404">
        <f t="shared" ca="1" si="2"/>
        <v>1220000</v>
      </c>
      <c r="J78" s="404">
        <f t="shared" ca="1" si="2"/>
        <v>1200000</v>
      </c>
    </row>
    <row r="79" spans="1:10" ht="19.5" thickBot="1" x14ac:dyDescent="0.35">
      <c r="A79" s="406" t="s">
        <v>532</v>
      </c>
      <c r="B79" s="407">
        <f ca="1">+B78*30%</f>
        <v>429000</v>
      </c>
      <c r="C79" s="407">
        <f t="shared" ref="C79:J79" ca="1" si="3">+C78*30%</f>
        <v>480000</v>
      </c>
      <c r="D79" s="407">
        <f t="shared" ca="1" si="3"/>
        <v>462000</v>
      </c>
      <c r="E79" s="407">
        <f t="shared" ca="1" si="3"/>
        <v>399000</v>
      </c>
      <c r="F79" s="407">
        <f t="shared" ca="1" si="3"/>
        <v>393000</v>
      </c>
      <c r="G79" s="407">
        <f t="shared" ca="1" si="3"/>
        <v>462000</v>
      </c>
      <c r="H79" s="407">
        <f t="shared" ca="1" si="3"/>
        <v>345000</v>
      </c>
      <c r="I79" s="407">
        <f t="shared" ca="1" si="3"/>
        <v>366000</v>
      </c>
      <c r="J79" s="408">
        <f t="shared" ca="1" si="3"/>
        <v>360000</v>
      </c>
    </row>
    <row r="81" spans="1:12" ht="19.5" thickBot="1" x14ac:dyDescent="0.35"/>
    <row r="82" spans="1:12" x14ac:dyDescent="0.3">
      <c r="A82" s="331" t="s">
        <v>533</v>
      </c>
      <c r="B82" s="263"/>
      <c r="C82" s="263"/>
      <c r="D82" s="263"/>
      <c r="E82" s="263"/>
      <c r="F82" s="263"/>
      <c r="G82" s="263"/>
      <c r="H82" s="263"/>
      <c r="I82" s="263"/>
      <c r="J82" s="264"/>
    </row>
    <row r="83" spans="1:12" s="253" customFormat="1" x14ac:dyDescent="0.3">
      <c r="A83" s="267"/>
      <c r="B83" s="409" t="s">
        <v>475</v>
      </c>
      <c r="C83" s="409" t="s">
        <v>476</v>
      </c>
      <c r="D83" s="409" t="s">
        <v>477</v>
      </c>
      <c r="E83" s="410" t="s">
        <v>478</v>
      </c>
      <c r="F83" s="410" t="s">
        <v>479</v>
      </c>
      <c r="G83" s="410" t="s">
        <v>480</v>
      </c>
      <c r="H83" s="410" t="s">
        <v>481</v>
      </c>
      <c r="I83" s="410" t="s">
        <v>527</v>
      </c>
      <c r="J83" s="419" t="s">
        <v>528</v>
      </c>
      <c r="L83" s="252"/>
    </row>
    <row r="84" spans="1:12" x14ac:dyDescent="0.3">
      <c r="A84" s="265" t="s">
        <v>534</v>
      </c>
      <c r="B84" s="346">
        <f>B70-B76</f>
        <v>800000</v>
      </c>
      <c r="C84" s="346">
        <f>+B84-C76</f>
        <v>700000</v>
      </c>
      <c r="D84" s="346">
        <f>+C84+-D76</f>
        <v>600000</v>
      </c>
      <c r="E84" s="346">
        <f t="shared" ref="E84:J84" si="4">+D84+-E76</f>
        <v>500000</v>
      </c>
      <c r="F84" s="346">
        <f t="shared" si="4"/>
        <v>400000</v>
      </c>
      <c r="G84" s="346">
        <f t="shared" si="4"/>
        <v>300000</v>
      </c>
      <c r="H84" s="346">
        <f t="shared" si="4"/>
        <v>200000</v>
      </c>
      <c r="I84" s="346">
        <f t="shared" si="4"/>
        <v>100000</v>
      </c>
      <c r="J84" s="420">
        <f t="shared" si="4"/>
        <v>0</v>
      </c>
    </row>
    <row r="85" spans="1:12" x14ac:dyDescent="0.3">
      <c r="A85" s="265" t="s">
        <v>183</v>
      </c>
      <c r="B85" s="346">
        <f>+B70-D72</f>
        <v>600000</v>
      </c>
      <c r="C85" s="346">
        <f>+B85-D72</f>
        <v>300000</v>
      </c>
      <c r="D85" s="346">
        <f>+C85-D72</f>
        <v>0</v>
      </c>
      <c r="E85" s="252">
        <v>0</v>
      </c>
      <c r="F85" s="252">
        <v>0</v>
      </c>
      <c r="G85" s="252">
        <v>0</v>
      </c>
      <c r="H85" s="252">
        <v>0</v>
      </c>
      <c r="I85" s="252">
        <v>0</v>
      </c>
      <c r="J85" s="270">
        <v>0</v>
      </c>
    </row>
    <row r="86" spans="1:12" ht="19.5" thickBot="1" x14ac:dyDescent="0.35">
      <c r="A86" s="342" t="s">
        <v>535</v>
      </c>
      <c r="B86" s="411">
        <f>+B84-B85</f>
        <v>200000</v>
      </c>
      <c r="C86" s="411">
        <f t="shared" ref="C86:J86" si="5">+C84-C85</f>
        <v>400000</v>
      </c>
      <c r="D86" s="411">
        <f t="shared" si="5"/>
        <v>600000</v>
      </c>
      <c r="E86" s="411">
        <f t="shared" si="5"/>
        <v>500000</v>
      </c>
      <c r="F86" s="411">
        <f t="shared" si="5"/>
        <v>400000</v>
      </c>
      <c r="G86" s="411">
        <f t="shared" si="5"/>
        <v>300000</v>
      </c>
      <c r="H86" s="411">
        <f t="shared" si="5"/>
        <v>200000</v>
      </c>
      <c r="I86" s="411">
        <f t="shared" si="5"/>
        <v>100000</v>
      </c>
      <c r="J86" s="412">
        <f t="shared" si="5"/>
        <v>0</v>
      </c>
    </row>
    <row r="87" spans="1:12" x14ac:dyDescent="0.3">
      <c r="A87" s="417" t="s">
        <v>186</v>
      </c>
      <c r="B87" s="413">
        <f>+B86*0.3</f>
        <v>60000</v>
      </c>
      <c r="C87" s="413">
        <f t="shared" ref="C87:J87" si="6">+C86*0.3</f>
        <v>120000</v>
      </c>
      <c r="D87" s="413">
        <f t="shared" si="6"/>
        <v>180000</v>
      </c>
      <c r="E87" s="413">
        <f t="shared" si="6"/>
        <v>150000</v>
      </c>
      <c r="F87" s="413">
        <f t="shared" si="6"/>
        <v>120000</v>
      </c>
      <c r="G87" s="413">
        <f t="shared" si="6"/>
        <v>90000</v>
      </c>
      <c r="H87" s="413">
        <f t="shared" si="6"/>
        <v>60000</v>
      </c>
      <c r="I87" s="413">
        <f t="shared" si="6"/>
        <v>30000</v>
      </c>
      <c r="J87" s="414">
        <f t="shared" si="6"/>
        <v>0</v>
      </c>
    </row>
    <row r="88" spans="1:12" ht="19.5" thickBot="1" x14ac:dyDescent="0.35">
      <c r="A88" s="418" t="s">
        <v>536</v>
      </c>
      <c r="B88" s="415">
        <f>+B87</f>
        <v>60000</v>
      </c>
      <c r="C88" s="415">
        <f>+C87-B87</f>
        <v>60000</v>
      </c>
      <c r="D88" s="415">
        <f t="shared" ref="D88:J88" si="7">+D87-C87</f>
        <v>60000</v>
      </c>
      <c r="E88" s="415">
        <f t="shared" si="7"/>
        <v>-30000</v>
      </c>
      <c r="F88" s="415">
        <f t="shared" si="7"/>
        <v>-30000</v>
      </c>
      <c r="G88" s="415">
        <f t="shared" si="7"/>
        <v>-30000</v>
      </c>
      <c r="H88" s="415">
        <f t="shared" si="7"/>
        <v>-30000</v>
      </c>
      <c r="I88" s="415">
        <f t="shared" si="7"/>
        <v>-30000</v>
      </c>
      <c r="J88" s="416">
        <f t="shared" si="7"/>
        <v>-30000</v>
      </c>
    </row>
    <row r="90" spans="1:12" x14ac:dyDescent="0.3">
      <c r="A90" s="253" t="s">
        <v>203</v>
      </c>
    </row>
    <row r="91" spans="1:12" x14ac:dyDescent="0.3">
      <c r="A91" s="253"/>
      <c r="B91" s="409" t="s">
        <v>475</v>
      </c>
      <c r="C91" s="409" t="s">
        <v>476</v>
      </c>
      <c r="D91" s="409" t="s">
        <v>477</v>
      </c>
      <c r="E91" s="410" t="s">
        <v>478</v>
      </c>
      <c r="F91" s="410" t="s">
        <v>479</v>
      </c>
      <c r="G91" s="410" t="s">
        <v>480</v>
      </c>
      <c r="H91" s="410" t="s">
        <v>481</v>
      </c>
      <c r="I91" s="410" t="s">
        <v>527</v>
      </c>
      <c r="J91" s="410" t="s">
        <v>528</v>
      </c>
    </row>
    <row r="92" spans="1:12" x14ac:dyDescent="0.3">
      <c r="A92" s="421" t="s">
        <v>320</v>
      </c>
      <c r="B92" s="399"/>
      <c r="C92" s="399"/>
      <c r="D92" s="399"/>
      <c r="E92" s="399"/>
      <c r="F92" s="399"/>
      <c r="G92" s="399"/>
      <c r="H92" s="399"/>
      <c r="I92" s="399"/>
      <c r="J92" s="399"/>
    </row>
    <row r="93" spans="1:12" x14ac:dyDescent="0.3">
      <c r="A93" s="421" t="s">
        <v>205</v>
      </c>
      <c r="B93" s="399"/>
      <c r="C93" s="399"/>
      <c r="D93" s="399"/>
      <c r="E93" s="399"/>
      <c r="F93" s="399"/>
      <c r="G93" s="399"/>
      <c r="H93" s="399"/>
      <c r="I93" s="399"/>
      <c r="J93" s="399"/>
    </row>
    <row r="94" spans="1:12" x14ac:dyDescent="0.3">
      <c r="A94" s="421" t="s">
        <v>206</v>
      </c>
      <c r="B94" s="399"/>
      <c r="C94" s="399"/>
      <c r="D94" s="399"/>
      <c r="E94" s="399"/>
      <c r="F94" s="399"/>
      <c r="G94" s="399"/>
      <c r="H94" s="399"/>
      <c r="I94" s="399"/>
      <c r="J94" s="399"/>
    </row>
    <row r="95" spans="1:12" x14ac:dyDescent="0.3">
      <c r="A95" s="421" t="s">
        <v>537</v>
      </c>
      <c r="B95" s="399"/>
      <c r="C95" s="399"/>
      <c r="D95" s="399"/>
      <c r="E95" s="399"/>
      <c r="F95" s="399"/>
      <c r="G95" s="399"/>
      <c r="H95" s="399"/>
      <c r="I95" s="399"/>
      <c r="J95" s="399"/>
    </row>
    <row r="96" spans="1:12" x14ac:dyDescent="0.3">
      <c r="A96" s="421" t="s">
        <v>538</v>
      </c>
      <c r="B96" s="399"/>
      <c r="C96" s="399"/>
      <c r="D96" s="399"/>
      <c r="E96" s="399"/>
      <c r="F96" s="399"/>
      <c r="G96" s="399"/>
      <c r="H96" s="399"/>
      <c r="I96" s="399"/>
      <c r="J96" s="399"/>
    </row>
    <row r="97" spans="1:10" x14ac:dyDescent="0.3">
      <c r="A97" s="421" t="s">
        <v>207</v>
      </c>
      <c r="B97" s="399"/>
      <c r="C97" s="399"/>
      <c r="D97" s="399"/>
      <c r="E97" s="399"/>
      <c r="F97" s="399"/>
      <c r="G97" s="399"/>
      <c r="H97" s="399"/>
      <c r="I97" s="399"/>
      <c r="J97" s="399"/>
    </row>
    <row r="98" spans="1:10" x14ac:dyDescent="0.3">
      <c r="A98" s="402" t="s">
        <v>539</v>
      </c>
      <c r="B98" s="400">
        <f ca="1">+B75</f>
        <v>1630000</v>
      </c>
      <c r="C98" s="400">
        <f t="shared" ref="C98:J98" ca="1" si="8">+C75</f>
        <v>1800000</v>
      </c>
      <c r="D98" s="400">
        <f t="shared" ca="1" si="8"/>
        <v>1740000</v>
      </c>
      <c r="E98" s="400">
        <f t="shared" ca="1" si="8"/>
        <v>1230000</v>
      </c>
      <c r="F98" s="400">
        <f t="shared" ca="1" si="8"/>
        <v>1210000</v>
      </c>
      <c r="G98" s="400">
        <f t="shared" ca="1" si="8"/>
        <v>1440000</v>
      </c>
      <c r="H98" s="400">
        <f t="shared" ca="1" si="8"/>
        <v>1050000</v>
      </c>
      <c r="I98" s="400">
        <f t="shared" ca="1" si="8"/>
        <v>1120000</v>
      </c>
      <c r="J98" s="400">
        <f t="shared" ca="1" si="8"/>
        <v>1100000</v>
      </c>
    </row>
    <row r="99" spans="1:10" x14ac:dyDescent="0.3">
      <c r="A99" s="403" t="s">
        <v>448</v>
      </c>
      <c r="B99" s="404"/>
      <c r="C99" s="404"/>
      <c r="D99" s="404"/>
      <c r="E99" s="404"/>
      <c r="F99" s="404"/>
      <c r="G99" s="404"/>
      <c r="H99" s="404"/>
      <c r="I99" s="404"/>
      <c r="J99" s="404"/>
    </row>
    <row r="100" spans="1:10" x14ac:dyDescent="0.3">
      <c r="A100" s="403" t="s">
        <v>540</v>
      </c>
      <c r="B100" s="422">
        <f ca="1">-B79</f>
        <v>-429000</v>
      </c>
      <c r="C100" s="422">
        <f t="shared" ref="C100:J100" ca="1" si="9">-C79</f>
        <v>-480000</v>
      </c>
      <c r="D100" s="422">
        <f t="shared" ca="1" si="9"/>
        <v>-462000</v>
      </c>
      <c r="E100" s="405">
        <f t="shared" ca="1" si="9"/>
        <v>-399000</v>
      </c>
      <c r="F100" s="405">
        <f t="shared" ca="1" si="9"/>
        <v>-393000</v>
      </c>
      <c r="G100" s="405">
        <f t="shared" ca="1" si="9"/>
        <v>-462000</v>
      </c>
      <c r="H100" s="405">
        <f t="shared" ca="1" si="9"/>
        <v>-345000</v>
      </c>
      <c r="I100" s="405">
        <f t="shared" ca="1" si="9"/>
        <v>-366000</v>
      </c>
      <c r="J100" s="405">
        <f t="shared" ca="1" si="9"/>
        <v>-360000</v>
      </c>
    </row>
    <row r="101" spans="1:10" x14ac:dyDescent="0.3">
      <c r="A101" s="403" t="s">
        <v>541</v>
      </c>
      <c r="B101" s="404">
        <f>-B88</f>
        <v>-60000</v>
      </c>
      <c r="C101" s="404">
        <f t="shared" ref="C101:J101" si="10">-C88</f>
        <v>-60000</v>
      </c>
      <c r="D101" s="404">
        <f t="shared" si="10"/>
        <v>-60000</v>
      </c>
      <c r="E101" s="404">
        <f t="shared" si="10"/>
        <v>30000</v>
      </c>
      <c r="F101" s="404">
        <f t="shared" si="10"/>
        <v>30000</v>
      </c>
      <c r="G101" s="404">
        <f t="shared" si="10"/>
        <v>30000</v>
      </c>
      <c r="H101" s="404">
        <f t="shared" si="10"/>
        <v>30000</v>
      </c>
      <c r="I101" s="404">
        <f t="shared" si="10"/>
        <v>30000</v>
      </c>
      <c r="J101" s="404">
        <f t="shared" si="10"/>
        <v>30000</v>
      </c>
    </row>
    <row r="102" spans="1:10" x14ac:dyDescent="0.3">
      <c r="A102" s="402" t="s">
        <v>211</v>
      </c>
      <c r="B102" s="400">
        <f ca="1">SUM(B98:B101)</f>
        <v>1141000</v>
      </c>
      <c r="C102" s="400">
        <f t="shared" ref="C102:J102" ca="1" si="11">SUM(C98:C101)</f>
        <v>1260000</v>
      </c>
      <c r="D102" s="400">
        <f t="shared" ca="1" si="11"/>
        <v>1218000</v>
      </c>
      <c r="E102" s="400">
        <f t="shared" ca="1" si="11"/>
        <v>861000</v>
      </c>
      <c r="F102" s="400">
        <f t="shared" ca="1" si="11"/>
        <v>847000</v>
      </c>
      <c r="G102" s="400">
        <f t="shared" ca="1" si="11"/>
        <v>1008000</v>
      </c>
      <c r="H102" s="400">
        <f t="shared" ca="1" si="11"/>
        <v>735000</v>
      </c>
      <c r="I102" s="400">
        <f t="shared" ca="1" si="11"/>
        <v>784000</v>
      </c>
      <c r="J102" s="400">
        <f t="shared" ca="1" si="11"/>
        <v>770000</v>
      </c>
    </row>
    <row r="103" spans="1:10" x14ac:dyDescent="0.3">
      <c r="A103" s="403"/>
      <c r="B103" s="404"/>
      <c r="C103" s="404"/>
      <c r="D103" s="404"/>
      <c r="E103" s="404"/>
      <c r="F103" s="404"/>
      <c r="G103" s="404"/>
      <c r="H103" s="404"/>
      <c r="I103" s="404"/>
      <c r="J103" s="404"/>
    </row>
    <row r="104" spans="1:10" x14ac:dyDescent="0.3">
      <c r="B104" s="423">
        <f ca="1">B102/B98</f>
        <v>0.7</v>
      </c>
      <c r="C104" s="423">
        <f t="shared" ref="C104:J104" ca="1" si="12">C102/C98</f>
        <v>0.7</v>
      </c>
      <c r="D104" s="423">
        <f t="shared" ca="1" si="12"/>
        <v>0.7</v>
      </c>
      <c r="E104" s="423">
        <f t="shared" ca="1" si="12"/>
        <v>0.7</v>
      </c>
      <c r="F104" s="423">
        <f t="shared" ca="1" si="12"/>
        <v>0.7</v>
      </c>
      <c r="G104" s="423">
        <f t="shared" ca="1" si="12"/>
        <v>0.7</v>
      </c>
      <c r="H104" s="423">
        <f t="shared" ca="1" si="12"/>
        <v>0.7</v>
      </c>
      <c r="I104" s="423">
        <f t="shared" ca="1" si="12"/>
        <v>0.7</v>
      </c>
      <c r="J104" s="423">
        <f t="shared" ca="1" si="12"/>
        <v>0.7</v>
      </c>
    </row>
    <row r="105" spans="1:10" x14ac:dyDescent="0.3">
      <c r="B105" s="423">
        <f ca="1">-(B100+B101)/B98</f>
        <v>0.3</v>
      </c>
      <c r="C105" s="423">
        <f ca="1">-(C100+C101)/C98</f>
        <v>0.3</v>
      </c>
      <c r="D105" s="423">
        <f t="shared" ref="D105:J105" ca="1" si="13">-(D100+D101)/D98</f>
        <v>0.3</v>
      </c>
      <c r="E105" s="423">
        <f t="shared" ca="1" si="13"/>
        <v>0.3</v>
      </c>
      <c r="F105" s="423">
        <f t="shared" ca="1" si="13"/>
        <v>0.3</v>
      </c>
      <c r="G105" s="423">
        <f t="shared" ca="1" si="13"/>
        <v>0.3</v>
      </c>
      <c r="H105" s="423">
        <f t="shared" ca="1" si="13"/>
        <v>0.3</v>
      </c>
      <c r="I105" s="423">
        <f t="shared" ca="1" si="13"/>
        <v>0.3</v>
      </c>
      <c r="J105" s="423">
        <f t="shared" ca="1" si="13"/>
        <v>0.3</v>
      </c>
    </row>
    <row r="107" spans="1:10" x14ac:dyDescent="0.3">
      <c r="A107" s="302" t="s">
        <v>525</v>
      </c>
      <c r="B107" s="424">
        <v>1</v>
      </c>
    </row>
    <row r="108" spans="1:10" x14ac:dyDescent="0.3">
      <c r="A108" s="302" t="s">
        <v>542</v>
      </c>
      <c r="B108" s="424">
        <v>0.3</v>
      </c>
    </row>
    <row r="109" spans="1:10" x14ac:dyDescent="0.3">
      <c r="A109" s="302" t="s">
        <v>543</v>
      </c>
      <c r="B109" s="424">
        <v>0.7</v>
      </c>
    </row>
    <row r="111" spans="1:10" x14ac:dyDescent="0.3">
      <c r="A111" s="385"/>
      <c r="B111" s="385"/>
      <c r="C111" s="385"/>
      <c r="D111" s="385"/>
      <c r="E111" s="385"/>
      <c r="F111" s="385"/>
      <c r="G111" s="385"/>
    </row>
    <row r="112" spans="1:10" x14ac:dyDescent="0.3">
      <c r="A112" s="385"/>
      <c r="B112" s="385"/>
      <c r="C112" s="385"/>
      <c r="D112" s="385"/>
      <c r="E112" s="385"/>
      <c r="F112" s="385"/>
      <c r="G112" s="385"/>
    </row>
    <row r="113" spans="1:9" x14ac:dyDescent="0.3">
      <c r="A113" s="385"/>
      <c r="B113" s="385"/>
      <c r="C113" s="385"/>
      <c r="D113" s="385"/>
      <c r="E113" s="385"/>
      <c r="F113" s="385"/>
      <c r="G113" s="385"/>
    </row>
    <row r="114" spans="1:9" x14ac:dyDescent="0.3">
      <c r="A114" s="385"/>
      <c r="B114" s="385"/>
      <c r="C114" s="385"/>
      <c r="D114" s="385"/>
      <c r="E114" s="385"/>
      <c r="F114" s="385"/>
      <c r="G114" s="385"/>
    </row>
    <row r="115" spans="1:9" x14ac:dyDescent="0.3">
      <c r="A115" s="385"/>
      <c r="B115" s="385"/>
      <c r="C115" s="385"/>
      <c r="D115" s="385"/>
      <c r="E115" s="385"/>
      <c r="F115" s="385"/>
      <c r="G115" s="385"/>
    </row>
    <row r="116" spans="1:9" x14ac:dyDescent="0.3">
      <c r="A116" s="385"/>
      <c r="B116" s="385"/>
      <c r="C116" s="385"/>
      <c r="D116" s="385"/>
      <c r="E116" s="385"/>
      <c r="F116" s="385"/>
      <c r="G116" s="385"/>
    </row>
    <row r="117" spans="1:9" x14ac:dyDescent="0.3">
      <c r="A117" s="385"/>
      <c r="B117" s="385"/>
      <c r="C117" s="385"/>
      <c r="D117" s="385"/>
      <c r="E117" s="385"/>
      <c r="F117" s="385"/>
      <c r="G117" s="385"/>
    </row>
    <row r="118" spans="1:9" x14ac:dyDescent="0.3">
      <c r="A118" s="385"/>
      <c r="B118" s="385"/>
      <c r="C118" s="385"/>
      <c r="D118" s="385"/>
      <c r="E118" s="385"/>
      <c r="F118" s="385"/>
      <c r="G118" s="385"/>
    </row>
    <row r="119" spans="1:9" x14ac:dyDescent="0.3">
      <c r="A119" s="385"/>
      <c r="B119" s="385"/>
      <c r="C119" s="385"/>
      <c r="D119" s="385"/>
      <c r="E119" s="385"/>
      <c r="F119" s="385"/>
      <c r="G119" s="385"/>
    </row>
    <row r="121" spans="1:9" x14ac:dyDescent="0.3">
      <c r="B121" s="253" t="s">
        <v>544</v>
      </c>
      <c r="D121" s="382">
        <v>0.3</v>
      </c>
    </row>
    <row r="122" spans="1:9" x14ac:dyDescent="0.3">
      <c r="B122" s="253"/>
      <c r="C122" s="368" t="s">
        <v>190</v>
      </c>
      <c r="D122" s="368" t="s">
        <v>191</v>
      </c>
    </row>
    <row r="123" spans="1:9" x14ac:dyDescent="0.3">
      <c r="B123" s="385" t="s">
        <v>545</v>
      </c>
      <c r="C123" s="388">
        <v>900000</v>
      </c>
      <c r="D123" s="385"/>
    </row>
    <row r="124" spans="1:9" x14ac:dyDescent="0.3">
      <c r="B124" s="385" t="s">
        <v>253</v>
      </c>
      <c r="C124" s="385"/>
      <c r="D124" s="388">
        <f>+C123</f>
        <v>900000</v>
      </c>
    </row>
    <row r="125" spans="1:9" x14ac:dyDescent="0.3">
      <c r="B125" s="425" t="s">
        <v>546</v>
      </c>
      <c r="C125" s="426">
        <v>300000</v>
      </c>
      <c r="D125" s="425"/>
    </row>
    <row r="126" spans="1:9" ht="19.5" thickBot="1" x14ac:dyDescent="0.35">
      <c r="B126" s="425" t="s">
        <v>545</v>
      </c>
      <c r="C126" s="425"/>
      <c r="D126" s="426">
        <f>+C125</f>
        <v>300000</v>
      </c>
      <c r="H126" s="368" t="s">
        <v>190</v>
      </c>
      <c r="I126" s="368" t="s">
        <v>191</v>
      </c>
    </row>
    <row r="127" spans="1:9" x14ac:dyDescent="0.3">
      <c r="A127" s="303" t="s">
        <v>552</v>
      </c>
      <c r="B127" s="434" t="s">
        <v>546</v>
      </c>
      <c r="C127" s="435">
        <v>100000</v>
      </c>
      <c r="D127" s="429"/>
      <c r="E127" s="263"/>
      <c r="F127" s="428" t="s">
        <v>302</v>
      </c>
      <c r="G127" s="428"/>
      <c r="H127" s="428">
        <f>+C127*D121</f>
        <v>30000</v>
      </c>
      <c r="I127" s="430"/>
    </row>
    <row r="128" spans="1:9" ht="19.5" thickBot="1" x14ac:dyDescent="0.35">
      <c r="A128" s="303" t="s">
        <v>552</v>
      </c>
      <c r="B128" s="431" t="s">
        <v>547</v>
      </c>
      <c r="C128" s="432"/>
      <c r="D128" s="433">
        <f>+C127</f>
        <v>100000</v>
      </c>
      <c r="E128" s="288"/>
      <c r="F128" s="436" t="s">
        <v>553</v>
      </c>
      <c r="G128" s="436"/>
      <c r="H128" s="436"/>
      <c r="I128" s="437">
        <f>+H127</f>
        <v>30000</v>
      </c>
    </row>
    <row r="130" spans="1:9" x14ac:dyDescent="0.3">
      <c r="A130" s="303" t="s">
        <v>554</v>
      </c>
      <c r="B130" s="256"/>
      <c r="C130" s="348" t="s">
        <v>452</v>
      </c>
      <c r="D130" s="348" t="s">
        <v>453</v>
      </c>
      <c r="E130" s="348" t="s">
        <v>454</v>
      </c>
      <c r="F130" s="348" t="s">
        <v>551</v>
      </c>
    </row>
    <row r="131" spans="1:9" x14ac:dyDescent="0.3">
      <c r="A131" s="303" t="s">
        <v>554</v>
      </c>
      <c r="B131" s="252" t="s">
        <v>548</v>
      </c>
      <c r="C131" s="346">
        <f>C123-D126</f>
        <v>600000</v>
      </c>
      <c r="D131" s="346">
        <f>C123-D126</f>
        <v>600000</v>
      </c>
    </row>
    <row r="132" spans="1:9" x14ac:dyDescent="0.3">
      <c r="A132" s="303" t="s">
        <v>554</v>
      </c>
      <c r="B132" s="252" t="s">
        <v>549</v>
      </c>
      <c r="C132" s="346">
        <f>-D128</f>
        <v>-100000</v>
      </c>
      <c r="D132" s="252">
        <v>0</v>
      </c>
      <c r="E132" s="303" t="s">
        <v>550</v>
      </c>
    </row>
    <row r="133" spans="1:9" x14ac:dyDescent="0.3">
      <c r="A133" s="303" t="s">
        <v>554</v>
      </c>
      <c r="B133" s="256"/>
      <c r="C133" s="427">
        <f>+C131+C132</f>
        <v>500000</v>
      </c>
      <c r="D133" s="427">
        <f>+D131+D132</f>
        <v>600000</v>
      </c>
      <c r="E133" s="427">
        <f>+D133-C133</f>
        <v>100000</v>
      </c>
      <c r="F133" s="427">
        <f>+E133*D121</f>
        <v>30000</v>
      </c>
    </row>
    <row r="134" spans="1:9" ht="19.5" thickBot="1" x14ac:dyDescent="0.35"/>
    <row r="135" spans="1:9" x14ac:dyDescent="0.3">
      <c r="A135" s="303" t="s">
        <v>552</v>
      </c>
      <c r="B135" s="434" t="s">
        <v>546</v>
      </c>
      <c r="C135" s="435">
        <v>30000</v>
      </c>
      <c r="D135" s="429"/>
      <c r="E135" s="263"/>
      <c r="F135" s="428" t="s">
        <v>302</v>
      </c>
      <c r="G135" s="428"/>
      <c r="H135" s="428">
        <f>+C135*D121</f>
        <v>9000</v>
      </c>
      <c r="I135" s="430"/>
    </row>
    <row r="136" spans="1:9" ht="19.5" thickBot="1" x14ac:dyDescent="0.35">
      <c r="A136" s="303" t="s">
        <v>552</v>
      </c>
      <c r="B136" s="431" t="s">
        <v>547</v>
      </c>
      <c r="C136" s="432"/>
      <c r="D136" s="433">
        <f>+C135</f>
        <v>30000</v>
      </c>
      <c r="E136" s="288"/>
      <c r="F136" s="436" t="s">
        <v>553</v>
      </c>
      <c r="G136" s="436"/>
      <c r="H136" s="436"/>
      <c r="I136" s="437">
        <f>+H135</f>
        <v>9000</v>
      </c>
    </row>
    <row r="137" spans="1:9" ht="19.5" thickBot="1" x14ac:dyDescent="0.35"/>
    <row r="138" spans="1:9" ht="19.5" thickBot="1" x14ac:dyDescent="0.35">
      <c r="I138" s="438">
        <f>+H127+H135</f>
        <v>39000</v>
      </c>
    </row>
    <row r="140" spans="1:9" x14ac:dyDescent="0.3">
      <c r="A140" s="303" t="s">
        <v>554</v>
      </c>
      <c r="B140" s="256"/>
      <c r="C140" s="348" t="s">
        <v>452</v>
      </c>
      <c r="D140" s="348" t="s">
        <v>453</v>
      </c>
      <c r="E140" s="348" t="s">
        <v>454</v>
      </c>
      <c r="F140" s="348" t="s">
        <v>551</v>
      </c>
    </row>
    <row r="141" spans="1:9" x14ac:dyDescent="0.3">
      <c r="A141" s="303" t="s">
        <v>554</v>
      </c>
      <c r="B141" s="252" t="s">
        <v>548</v>
      </c>
      <c r="C141" s="346">
        <f>+C131</f>
        <v>600000</v>
      </c>
      <c r="D141" s="346">
        <f>+D131</f>
        <v>600000</v>
      </c>
    </row>
    <row r="142" spans="1:9" x14ac:dyDescent="0.3">
      <c r="A142" s="303" t="s">
        <v>554</v>
      </c>
      <c r="B142" s="252" t="s">
        <v>549</v>
      </c>
      <c r="C142" s="346">
        <f>+C132-D136</f>
        <v>-130000</v>
      </c>
      <c r="D142" s="252">
        <v>0</v>
      </c>
      <c r="E142" s="303" t="s">
        <v>550</v>
      </c>
    </row>
    <row r="143" spans="1:9" x14ac:dyDescent="0.3">
      <c r="A143" s="303" t="s">
        <v>554</v>
      </c>
      <c r="B143" s="256"/>
      <c r="C143" s="427">
        <f>+C141+C142</f>
        <v>470000</v>
      </c>
      <c r="D143" s="427">
        <f>+D141+D142</f>
        <v>600000</v>
      </c>
      <c r="E143" s="427">
        <f>+D143-C143</f>
        <v>130000</v>
      </c>
      <c r="F143" s="427">
        <f>+E143*D121</f>
        <v>39000</v>
      </c>
    </row>
    <row r="147" spans="1:10" x14ac:dyDescent="0.3">
      <c r="A147" s="383" t="s">
        <v>462</v>
      </c>
      <c r="B147" s="383"/>
      <c r="C147" s="383"/>
      <c r="D147" s="383"/>
      <c r="E147" s="383"/>
      <c r="F147" s="383"/>
      <c r="G147" s="383"/>
      <c r="H147" s="383"/>
      <c r="I147" s="383"/>
      <c r="J147" s="383"/>
    </row>
    <row r="148" spans="1:10" x14ac:dyDescent="0.3">
      <c r="A148" s="252" t="s">
        <v>174</v>
      </c>
      <c r="B148" s="346">
        <v>900000</v>
      </c>
    </row>
    <row r="149" spans="1:10" x14ac:dyDescent="0.3">
      <c r="A149" s="252" t="s">
        <v>463</v>
      </c>
      <c r="B149" s="346">
        <v>1000000</v>
      </c>
    </row>
    <row r="151" spans="1:10" x14ac:dyDescent="0.3">
      <c r="A151" s="439"/>
      <c r="B151" s="439"/>
      <c r="C151" s="272" t="s">
        <v>190</v>
      </c>
      <c r="D151" s="272" t="s">
        <v>191</v>
      </c>
      <c r="I151" s="272" t="s">
        <v>190</v>
      </c>
      <c r="J151" s="272" t="s">
        <v>191</v>
      </c>
    </row>
    <row r="152" spans="1:10" x14ac:dyDescent="0.3">
      <c r="A152" s="302" t="s">
        <v>555</v>
      </c>
      <c r="B152" s="302"/>
      <c r="C152" s="351">
        <f>+B149-B148</f>
        <v>100000</v>
      </c>
      <c r="D152" s="302"/>
      <c r="F152" s="302" t="s">
        <v>556</v>
      </c>
      <c r="G152" s="302"/>
      <c r="H152" s="302"/>
      <c r="I152" s="351">
        <f>+C152*0.3</f>
        <v>30000</v>
      </c>
      <c r="J152" s="302"/>
    </row>
    <row r="153" spans="1:10" x14ac:dyDescent="0.3">
      <c r="A153" s="302" t="s">
        <v>556</v>
      </c>
      <c r="B153" s="302"/>
      <c r="C153" s="302"/>
      <c r="D153" s="351">
        <f>+C152</f>
        <v>100000</v>
      </c>
      <c r="F153" s="302" t="s">
        <v>186</v>
      </c>
      <c r="G153" s="302"/>
      <c r="H153" s="302"/>
      <c r="I153" s="302"/>
      <c r="J153" s="351">
        <f>+I152</f>
        <v>30000</v>
      </c>
    </row>
    <row r="156" spans="1:10" ht="19.5" thickBot="1" x14ac:dyDescent="0.35"/>
    <row r="157" spans="1:10" x14ac:dyDescent="0.3">
      <c r="A157" s="441"/>
      <c r="B157" s="442" t="s">
        <v>452</v>
      </c>
      <c r="C157" s="442" t="s">
        <v>453</v>
      </c>
      <c r="D157" s="442" t="s">
        <v>454</v>
      </c>
      <c r="E157" s="443" t="s">
        <v>494</v>
      </c>
    </row>
    <row r="158" spans="1:10" x14ac:dyDescent="0.3">
      <c r="A158" s="265" t="s">
        <v>462</v>
      </c>
      <c r="B158" s="346">
        <f>+B149</f>
        <v>1000000</v>
      </c>
      <c r="C158" s="346">
        <f>+B148</f>
        <v>900000</v>
      </c>
      <c r="D158" s="346">
        <f>+B158-C158</f>
        <v>100000</v>
      </c>
      <c r="E158" s="440">
        <f>+D158*0.3</f>
        <v>30000</v>
      </c>
    </row>
    <row r="159" spans="1:10" x14ac:dyDescent="0.3">
      <c r="A159" s="265"/>
      <c r="E159" s="270"/>
    </row>
    <row r="160" spans="1:10" ht="19.5" thickBot="1" x14ac:dyDescent="0.35">
      <c r="A160" s="332" t="s">
        <v>557</v>
      </c>
      <c r="B160" s="288"/>
      <c r="C160" s="288"/>
      <c r="D160" s="288"/>
      <c r="E160" s="289"/>
    </row>
    <row r="166" spans="1:13" ht="19.5" thickBot="1" x14ac:dyDescent="0.35"/>
    <row r="167" spans="1:13" ht="19.5" thickBot="1" x14ac:dyDescent="0.35">
      <c r="A167" s="450" t="s">
        <v>558</v>
      </c>
      <c r="B167" s="451"/>
      <c r="C167" s="451"/>
      <c r="D167" s="451"/>
      <c r="E167" s="451"/>
      <c r="F167" s="451"/>
      <c r="G167" s="451"/>
      <c r="H167" s="451"/>
      <c r="I167" s="451"/>
      <c r="J167" s="451"/>
      <c r="K167" s="451"/>
      <c r="L167" s="451"/>
      <c r="M167" s="452"/>
    </row>
    <row r="169" spans="1:13" x14ac:dyDescent="0.3">
      <c r="A169" s="252" t="s">
        <v>290</v>
      </c>
    </row>
    <row r="170" spans="1:13" x14ac:dyDescent="0.3">
      <c r="A170" s="252" t="s">
        <v>563</v>
      </c>
    </row>
    <row r="171" spans="1:13" x14ac:dyDescent="0.3">
      <c r="A171" s="444" t="s">
        <v>559</v>
      </c>
    </row>
    <row r="172" spans="1:13" x14ac:dyDescent="0.3">
      <c r="A172" s="444" t="s">
        <v>560</v>
      </c>
    </row>
    <row r="173" spans="1:13" x14ac:dyDescent="0.3">
      <c r="A173" s="444" t="s">
        <v>561</v>
      </c>
    </row>
    <row r="174" spans="1:13" x14ac:dyDescent="0.3">
      <c r="A174" s="252" t="s">
        <v>562</v>
      </c>
    </row>
    <row r="175" spans="1:13" ht="19.5" thickBot="1" x14ac:dyDescent="0.35">
      <c r="G175" s="385"/>
      <c r="H175" s="385"/>
      <c r="I175" s="387" t="s">
        <v>304</v>
      </c>
      <c r="J175" s="387" t="s">
        <v>305</v>
      </c>
    </row>
    <row r="176" spans="1:13" x14ac:dyDescent="0.3">
      <c r="B176" s="445">
        <v>45656</v>
      </c>
      <c r="C176" s="377"/>
      <c r="D176" s="442" t="s">
        <v>190</v>
      </c>
      <c r="E176" s="443" t="s">
        <v>191</v>
      </c>
      <c r="G176" s="252" t="s">
        <v>338</v>
      </c>
      <c r="I176" s="252">
        <v>0</v>
      </c>
      <c r="J176" s="346">
        <f>+E185</f>
        <v>100000</v>
      </c>
    </row>
    <row r="177" spans="2:10" x14ac:dyDescent="0.3">
      <c r="B177" s="453" t="s">
        <v>253</v>
      </c>
      <c r="C177" s="386"/>
      <c r="D177" s="390">
        <v>100000</v>
      </c>
      <c r="E177" s="454"/>
      <c r="G177" s="252" t="s">
        <v>546</v>
      </c>
      <c r="I177" s="252">
        <v>0</v>
      </c>
      <c r="J177" s="346">
        <f>-D188</f>
        <v>-40000</v>
      </c>
    </row>
    <row r="178" spans="2:10" ht="19.5" thickBot="1" x14ac:dyDescent="0.35">
      <c r="B178" s="455" t="s">
        <v>336</v>
      </c>
      <c r="C178" s="456"/>
      <c r="D178" s="456"/>
      <c r="E178" s="437">
        <f>+D177</f>
        <v>100000</v>
      </c>
      <c r="G178" s="386" t="s">
        <v>566</v>
      </c>
      <c r="H178" s="386"/>
      <c r="I178" s="386">
        <f>+I176+I177</f>
        <v>0</v>
      </c>
      <c r="J178" s="427">
        <f>+J176+J177</f>
        <v>60000</v>
      </c>
    </row>
    <row r="179" spans="2:10" x14ac:dyDescent="0.3">
      <c r="D179" s="252" t="s">
        <v>452</v>
      </c>
      <c r="E179" s="252" t="s">
        <v>453</v>
      </c>
    </row>
    <row r="180" spans="2:10" x14ac:dyDescent="0.3">
      <c r="B180" s="252" t="s">
        <v>336</v>
      </c>
      <c r="D180" s="346">
        <f>+E178</f>
        <v>100000</v>
      </c>
      <c r="E180" s="252">
        <v>0</v>
      </c>
      <c r="G180" s="252" t="s">
        <v>567</v>
      </c>
    </row>
    <row r="181" spans="2:10" x14ac:dyDescent="0.3">
      <c r="H181" s="252" t="s">
        <v>487</v>
      </c>
      <c r="I181" s="457">
        <f>-(E178-D188)*0.3</f>
        <v>-18000</v>
      </c>
      <c r="J181" s="252">
        <v>0</v>
      </c>
    </row>
    <row r="182" spans="2:10" ht="19.5" thickBot="1" x14ac:dyDescent="0.35">
      <c r="H182" s="252" t="s">
        <v>490</v>
      </c>
      <c r="I182" s="460">
        <f>-I181</f>
        <v>18000</v>
      </c>
      <c r="J182" s="460">
        <f>-I182</f>
        <v>-18000</v>
      </c>
    </row>
    <row r="183" spans="2:10" x14ac:dyDescent="0.3">
      <c r="B183" s="445">
        <v>45672</v>
      </c>
      <c r="C183" s="377"/>
      <c r="D183" s="442" t="s">
        <v>190</v>
      </c>
      <c r="E183" s="443" t="s">
        <v>191</v>
      </c>
      <c r="G183" s="385"/>
      <c r="H183" s="385"/>
      <c r="I183" s="458">
        <f>+I181+I182</f>
        <v>0</v>
      </c>
      <c r="J183" s="459">
        <f>+J181+J182</f>
        <v>-18000</v>
      </c>
    </row>
    <row r="184" spans="2:10" x14ac:dyDescent="0.3">
      <c r="B184" s="379" t="s">
        <v>336</v>
      </c>
      <c r="C184" s="302"/>
      <c r="D184" s="351">
        <v>100000</v>
      </c>
      <c r="E184" s="380"/>
    </row>
    <row r="185" spans="2:10" x14ac:dyDescent="0.3">
      <c r="B185" s="379" t="s">
        <v>564</v>
      </c>
      <c r="C185" s="302"/>
      <c r="D185" s="302"/>
      <c r="E185" s="446">
        <f>+D184</f>
        <v>100000</v>
      </c>
      <c r="G185" s="386" t="s">
        <v>488</v>
      </c>
      <c r="H185" s="386"/>
      <c r="I185" s="458">
        <f>+I178+I183</f>
        <v>0</v>
      </c>
      <c r="J185" s="459">
        <f>+J178+J183</f>
        <v>42000</v>
      </c>
    </row>
    <row r="186" spans="2:10" x14ac:dyDescent="0.3">
      <c r="B186" s="265"/>
      <c r="E186" s="270"/>
    </row>
    <row r="187" spans="2:10" x14ac:dyDescent="0.3">
      <c r="B187" s="447">
        <v>45672</v>
      </c>
      <c r="C187" s="302"/>
      <c r="D187" s="448" t="s">
        <v>190</v>
      </c>
      <c r="E187" s="449" t="s">
        <v>191</v>
      </c>
    </row>
    <row r="188" spans="2:10" x14ac:dyDescent="0.3">
      <c r="B188" s="379" t="s">
        <v>565</v>
      </c>
      <c r="C188" s="302"/>
      <c r="D188" s="351">
        <v>40000</v>
      </c>
      <c r="E188" s="380"/>
    </row>
    <row r="189" spans="2:10" x14ac:dyDescent="0.3">
      <c r="B189" s="379" t="s">
        <v>548</v>
      </c>
      <c r="C189" s="302"/>
      <c r="D189" s="302"/>
      <c r="E189" s="446">
        <f>+D188</f>
        <v>40000</v>
      </c>
    </row>
    <row r="190" spans="2:10" ht="19.5" thickBot="1" x14ac:dyDescent="0.35">
      <c r="B190" s="342"/>
      <c r="C190" s="288"/>
      <c r="D190" s="288"/>
      <c r="E190" s="289"/>
    </row>
    <row r="193" spans="2:5" x14ac:dyDescent="0.3">
      <c r="B193" s="461" t="s">
        <v>568</v>
      </c>
      <c r="C193" s="256"/>
      <c r="D193" s="256"/>
      <c r="E193" s="256"/>
    </row>
  </sheetData>
  <phoneticPr fontId="4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C753-90E4-4970-889B-34569B349C9E}">
  <dimension ref="A1:Q102"/>
  <sheetViews>
    <sheetView zoomScale="115" zoomScaleNormal="115" workbookViewId="0">
      <pane ySplit="3" topLeftCell="A103" activePane="bottomLeft" state="frozen"/>
      <selection pane="bottomLeft" activeCell="B106" sqref="B106"/>
    </sheetView>
  </sheetViews>
  <sheetFormatPr baseColWidth="10" defaultRowHeight="15" x14ac:dyDescent="0.25"/>
  <cols>
    <col min="1" max="1" width="8.140625" style="467" customWidth="1"/>
    <col min="2" max="5" width="11.42578125" style="467"/>
    <col min="6" max="6" width="12.5703125" style="467" customWidth="1"/>
    <col min="7" max="7" width="11.140625" style="467" bestFit="1" customWidth="1"/>
    <col min="8" max="8" width="12.28515625" style="467" customWidth="1"/>
    <col min="9" max="11" width="11.42578125" style="467"/>
    <col min="12" max="12" width="13.5703125" style="467" customWidth="1"/>
    <col min="13" max="13" width="13.7109375" style="467" bestFit="1" customWidth="1"/>
    <col min="14" max="14" width="11.42578125" style="467"/>
    <col min="15" max="15" width="13.7109375" style="467" bestFit="1" customWidth="1"/>
    <col min="16" max="16" width="11.42578125" style="467"/>
    <col min="17" max="17" width="13.7109375" style="467" bestFit="1" customWidth="1"/>
    <col min="18" max="16384" width="11.42578125" style="467"/>
  </cols>
  <sheetData>
    <row r="1" spans="1:11" s="468" customFormat="1" ht="28.5" x14ac:dyDescent="0.45">
      <c r="A1" s="468" t="s">
        <v>573</v>
      </c>
    </row>
    <row r="2" spans="1:11" s="366" customFormat="1" ht="33.75" x14ac:dyDescent="0.5">
      <c r="A2" s="469" t="s">
        <v>496</v>
      </c>
    </row>
    <row r="3" spans="1:11" s="367" customFormat="1" ht="23.25" x14ac:dyDescent="0.35">
      <c r="A3" s="470" t="s">
        <v>497</v>
      </c>
    </row>
    <row r="5" spans="1:11" ht="15.75" thickBot="1" x14ac:dyDescent="0.3"/>
    <row r="6" spans="1:11" x14ac:dyDescent="0.25">
      <c r="B6" s="497" t="s">
        <v>195</v>
      </c>
      <c r="C6" s="498"/>
      <c r="D6" s="498"/>
      <c r="E6" s="499"/>
      <c r="H6" s="505" t="s">
        <v>203</v>
      </c>
      <c r="I6" s="506"/>
      <c r="J6" s="506"/>
      <c r="K6" s="507"/>
    </row>
    <row r="7" spans="1:11" x14ac:dyDescent="0.25">
      <c r="B7" s="473"/>
      <c r="C7" s="474"/>
      <c r="D7" s="474"/>
      <c r="E7" s="475"/>
      <c r="H7" s="473"/>
      <c r="I7" s="474"/>
      <c r="J7" s="474"/>
      <c r="K7" s="475"/>
    </row>
    <row r="8" spans="1:11" x14ac:dyDescent="0.25">
      <c r="B8" s="500" t="s">
        <v>574</v>
      </c>
      <c r="C8" s="501"/>
      <c r="D8" s="501"/>
      <c r="E8" s="502"/>
      <c r="H8" s="473" t="s">
        <v>320</v>
      </c>
      <c r="I8" s="474"/>
      <c r="J8" s="474"/>
      <c r="K8" s="509" t="s">
        <v>575</v>
      </c>
    </row>
    <row r="9" spans="1:11" x14ac:dyDescent="0.25">
      <c r="B9" s="500" t="s">
        <v>196</v>
      </c>
      <c r="C9" s="501"/>
      <c r="D9" s="501"/>
      <c r="E9" s="502">
        <f>K17</f>
        <v>3000000</v>
      </c>
      <c r="H9" s="473" t="s">
        <v>205</v>
      </c>
      <c r="I9" s="474"/>
      <c r="J9" s="474"/>
      <c r="K9" s="509" t="s">
        <v>575</v>
      </c>
    </row>
    <row r="10" spans="1:11" x14ac:dyDescent="0.25">
      <c r="B10" s="473"/>
      <c r="C10" s="474"/>
      <c r="D10" s="474"/>
      <c r="E10" s="475"/>
      <c r="H10" s="483" t="s">
        <v>206</v>
      </c>
      <c r="I10" s="486"/>
      <c r="J10" s="486"/>
      <c r="K10" s="510" t="s">
        <v>575</v>
      </c>
    </row>
    <row r="11" spans="1:11" x14ac:dyDescent="0.25">
      <c r="B11" s="473"/>
      <c r="C11" s="474"/>
      <c r="D11" s="474"/>
      <c r="E11" s="475"/>
      <c r="H11" s="473" t="s">
        <v>207</v>
      </c>
      <c r="I11" s="474"/>
      <c r="J11" s="474"/>
      <c r="K11" s="475"/>
    </row>
    <row r="12" spans="1:11" x14ac:dyDescent="0.25">
      <c r="B12" s="480" t="s">
        <v>580</v>
      </c>
      <c r="C12" s="474"/>
      <c r="D12" s="474"/>
      <c r="E12" s="488">
        <v>1000000</v>
      </c>
      <c r="H12" s="473" t="s">
        <v>207</v>
      </c>
      <c r="I12" s="474"/>
      <c r="J12" s="474"/>
      <c r="K12" s="475"/>
    </row>
    <row r="13" spans="1:11" x14ac:dyDescent="0.25">
      <c r="B13" s="480"/>
      <c r="C13" s="474"/>
      <c r="D13" s="474"/>
      <c r="E13" s="475"/>
      <c r="H13" s="473" t="s">
        <v>207</v>
      </c>
      <c r="I13" s="474"/>
      <c r="J13" s="474"/>
      <c r="K13" s="475"/>
    </row>
    <row r="14" spans="1:11" x14ac:dyDescent="0.25">
      <c r="B14" s="480"/>
      <c r="C14" s="474"/>
      <c r="D14" s="474"/>
      <c r="E14" s="475"/>
      <c r="H14" s="473" t="s">
        <v>207</v>
      </c>
      <c r="I14" s="474"/>
      <c r="J14" s="474"/>
      <c r="K14" s="475"/>
    </row>
    <row r="15" spans="1:11" x14ac:dyDescent="0.25">
      <c r="B15" s="480" t="s">
        <v>581</v>
      </c>
      <c r="C15" s="474"/>
      <c r="D15" s="474"/>
      <c r="E15" s="511">
        <v>1000000</v>
      </c>
      <c r="H15" s="473" t="s">
        <v>207</v>
      </c>
      <c r="I15" s="474"/>
      <c r="J15" s="474"/>
      <c r="K15" s="475"/>
    </row>
    <row r="16" spans="1:11" x14ac:dyDescent="0.25">
      <c r="B16" s="473"/>
      <c r="C16" s="474"/>
      <c r="D16" s="474"/>
      <c r="E16" s="475"/>
      <c r="H16" s="473" t="s">
        <v>207</v>
      </c>
      <c r="I16" s="474"/>
      <c r="J16" s="474"/>
      <c r="K16" s="475"/>
    </row>
    <row r="17" spans="2:12" x14ac:dyDescent="0.25">
      <c r="B17" s="473"/>
      <c r="C17" s="474"/>
      <c r="D17" s="474"/>
      <c r="E17" s="475"/>
      <c r="H17" s="483" t="s">
        <v>574</v>
      </c>
      <c r="I17" s="484"/>
      <c r="J17" s="484"/>
      <c r="K17" s="485">
        <v>3000000</v>
      </c>
      <c r="L17" s="508">
        <f>+K17/K17</f>
        <v>1</v>
      </c>
    </row>
    <row r="18" spans="2:12" x14ac:dyDescent="0.25">
      <c r="B18" s="500" t="s">
        <v>197</v>
      </c>
      <c r="C18" s="501"/>
      <c r="D18" s="501"/>
      <c r="E18" s="502">
        <f>SUM(E8:E17)</f>
        <v>5000000</v>
      </c>
      <c r="H18" s="480" t="s">
        <v>579</v>
      </c>
      <c r="I18" s="474"/>
      <c r="J18" s="474"/>
      <c r="K18" s="475"/>
    </row>
    <row r="19" spans="2:12" x14ac:dyDescent="0.25">
      <c r="B19" s="473"/>
      <c r="C19" s="474"/>
      <c r="D19" s="474"/>
      <c r="E19" s="475"/>
      <c r="H19" s="487" t="s">
        <v>576</v>
      </c>
      <c r="I19" s="474"/>
      <c r="J19" s="474"/>
      <c r="K19" s="481">
        <f>+E21</f>
        <v>-1500000</v>
      </c>
      <c r="L19" s="508"/>
    </row>
    <row r="20" spans="2:12" x14ac:dyDescent="0.25">
      <c r="B20" s="473"/>
      <c r="C20" s="474"/>
      <c r="D20" s="474"/>
      <c r="E20" s="475"/>
      <c r="H20" s="487" t="s">
        <v>577</v>
      </c>
      <c r="I20" s="474"/>
      <c r="J20" s="474"/>
      <c r="K20" s="481">
        <f>+E22</f>
        <v>300000</v>
      </c>
      <c r="L20" s="508"/>
    </row>
    <row r="21" spans="2:12" x14ac:dyDescent="0.25">
      <c r="B21" s="473" t="s">
        <v>582</v>
      </c>
      <c r="C21" s="474"/>
      <c r="D21" s="504">
        <v>0.3</v>
      </c>
      <c r="E21" s="481">
        <f>-E18*D21</f>
        <v>-1500000</v>
      </c>
      <c r="H21" s="489" t="s">
        <v>578</v>
      </c>
      <c r="I21" s="490"/>
      <c r="J21" s="490"/>
      <c r="K21" s="491">
        <f>+K19+K20</f>
        <v>-1200000</v>
      </c>
      <c r="L21" s="508">
        <f>+-K21/K17</f>
        <v>0.4</v>
      </c>
    </row>
    <row r="22" spans="2:12" x14ac:dyDescent="0.25">
      <c r="B22" s="473" t="s">
        <v>583</v>
      </c>
      <c r="C22" s="474"/>
      <c r="D22" s="504">
        <v>0.3</v>
      </c>
      <c r="E22" s="481">
        <f>E12*D22</f>
        <v>300000</v>
      </c>
      <c r="H22" s="473"/>
      <c r="I22" s="474"/>
      <c r="J22" s="474"/>
      <c r="K22" s="475"/>
    </row>
    <row r="23" spans="2:12" x14ac:dyDescent="0.25">
      <c r="B23" s="483"/>
      <c r="C23" s="484"/>
      <c r="D23" s="484"/>
      <c r="E23" s="485">
        <f>+E21+E22</f>
        <v>-1200000</v>
      </c>
      <c r="H23" s="483" t="s">
        <v>211</v>
      </c>
      <c r="I23" s="484"/>
      <c r="J23" s="484"/>
      <c r="K23" s="485">
        <f>+K17+K21</f>
        <v>1800000</v>
      </c>
      <c r="L23" s="508">
        <f>+K23/K17</f>
        <v>0.6</v>
      </c>
    </row>
    <row r="24" spans="2:12" ht="15.75" thickBot="1" x14ac:dyDescent="0.3">
      <c r="B24" s="473"/>
      <c r="C24" s="474"/>
      <c r="D24" s="474"/>
      <c r="E24" s="475"/>
      <c r="H24" s="473"/>
      <c r="I24" s="474"/>
      <c r="J24" s="474"/>
      <c r="K24" s="475"/>
    </row>
    <row r="25" spans="2:12" x14ac:dyDescent="0.25">
      <c r="B25" s="473"/>
      <c r="C25" s="474"/>
      <c r="D25" s="474"/>
      <c r="E25" s="475"/>
      <c r="H25" s="503" t="s">
        <v>584</v>
      </c>
      <c r="I25" s="492"/>
      <c r="J25" s="492"/>
      <c r="K25" s="496">
        <f>-K21/K17</f>
        <v>0.4</v>
      </c>
    </row>
    <row r="26" spans="2:12" ht="15.75" thickBot="1" x14ac:dyDescent="0.3">
      <c r="B26" s="476"/>
      <c r="C26" s="477"/>
      <c r="D26" s="477"/>
      <c r="E26" s="478"/>
      <c r="H26" s="493"/>
      <c r="I26" s="494"/>
      <c r="J26" s="494"/>
      <c r="K26" s="495"/>
    </row>
    <row r="32" spans="2:12" ht="15.75" thickBot="1" x14ac:dyDescent="0.3"/>
    <row r="33" spans="2:13" x14ac:dyDescent="0.25">
      <c r="B33" s="497" t="s">
        <v>195</v>
      </c>
      <c r="C33" s="498"/>
      <c r="D33" s="498"/>
      <c r="E33" s="499"/>
      <c r="H33" s="505" t="s">
        <v>203</v>
      </c>
      <c r="I33" s="506"/>
      <c r="J33" s="506"/>
      <c r="K33" s="507"/>
      <c r="L33" s="508">
        <v>0.3</v>
      </c>
      <c r="M33" s="515" t="s">
        <v>585</v>
      </c>
    </row>
    <row r="34" spans="2:13" ht="15.75" thickBot="1" x14ac:dyDescent="0.3">
      <c r="B34" s="473"/>
      <c r="C34" s="474"/>
      <c r="D34" s="474"/>
      <c r="E34" s="475"/>
      <c r="H34" s="473"/>
      <c r="I34" s="474"/>
      <c r="J34" s="474"/>
      <c r="K34" s="475"/>
      <c r="L34" s="508">
        <f>(E42*D48)/E36</f>
        <v>0.12</v>
      </c>
      <c r="M34" s="515" t="s">
        <v>586</v>
      </c>
    </row>
    <row r="35" spans="2:13" ht="15.75" thickBot="1" x14ac:dyDescent="0.3">
      <c r="B35" s="500" t="s">
        <v>574</v>
      </c>
      <c r="C35" s="501"/>
      <c r="D35" s="501"/>
      <c r="E35" s="502"/>
      <c r="H35" s="473" t="s">
        <v>320</v>
      </c>
      <c r="I35" s="474"/>
      <c r="J35" s="474"/>
      <c r="K35" s="509" t="s">
        <v>575</v>
      </c>
      <c r="L35" s="516">
        <f>+L33+L34</f>
        <v>0.42</v>
      </c>
      <c r="M35" s="517" t="s">
        <v>587</v>
      </c>
    </row>
    <row r="36" spans="2:13" x14ac:dyDescent="0.25">
      <c r="B36" s="500" t="s">
        <v>196</v>
      </c>
      <c r="C36" s="501"/>
      <c r="D36" s="501"/>
      <c r="E36" s="525">
        <f>K44</f>
        <v>5000000</v>
      </c>
      <c r="H36" s="473" t="s">
        <v>205</v>
      </c>
      <c r="I36" s="474"/>
      <c r="J36" s="474"/>
      <c r="K36" s="509" t="s">
        <v>575</v>
      </c>
    </row>
    <row r="37" spans="2:13" x14ac:dyDescent="0.25">
      <c r="B37" s="473"/>
      <c r="C37" s="474"/>
      <c r="D37" s="474"/>
      <c r="E37" s="475"/>
      <c r="H37" s="483" t="s">
        <v>206</v>
      </c>
      <c r="I37" s="486"/>
      <c r="J37" s="486"/>
      <c r="K37" s="510" t="s">
        <v>575</v>
      </c>
    </row>
    <row r="38" spans="2:13" x14ac:dyDescent="0.25">
      <c r="B38" s="473"/>
      <c r="C38" s="474"/>
      <c r="D38" s="474"/>
      <c r="E38" s="475"/>
      <c r="H38" s="473" t="s">
        <v>207</v>
      </c>
      <c r="I38" s="474"/>
      <c r="J38" s="474"/>
      <c r="K38" s="475"/>
    </row>
    <row r="39" spans="2:13" x14ac:dyDescent="0.25">
      <c r="B39" s="528" t="s">
        <v>580</v>
      </c>
      <c r="C39" s="529"/>
      <c r="D39" s="529"/>
      <c r="E39" s="514">
        <f ca="1">RANDBETWEEN(100,500)*1000</f>
        <v>177000</v>
      </c>
      <c r="H39" s="473" t="s">
        <v>207</v>
      </c>
      <c r="I39" s="474"/>
      <c r="J39" s="474"/>
      <c r="K39" s="475"/>
    </row>
    <row r="40" spans="2:13" x14ac:dyDescent="0.25">
      <c r="B40" s="480"/>
      <c r="C40" s="474"/>
      <c r="D40" s="474"/>
      <c r="E40" s="475"/>
      <c r="H40" s="473" t="s">
        <v>207</v>
      </c>
      <c r="I40" s="474"/>
      <c r="J40" s="474"/>
      <c r="K40" s="475"/>
    </row>
    <row r="41" spans="2:13" x14ac:dyDescent="0.25">
      <c r="B41" s="480"/>
      <c r="C41" s="474"/>
      <c r="D41" s="474"/>
      <c r="E41" s="475"/>
      <c r="H41" s="473" t="s">
        <v>207</v>
      </c>
      <c r="I41" s="474"/>
      <c r="J41" s="474"/>
      <c r="K41" s="475"/>
    </row>
    <row r="42" spans="2:13" x14ac:dyDescent="0.25">
      <c r="B42" s="480" t="s">
        <v>581</v>
      </c>
      <c r="C42" s="474"/>
      <c r="D42" s="474"/>
      <c r="E42" s="525">
        <v>2000000</v>
      </c>
      <c r="H42" s="473" t="s">
        <v>207</v>
      </c>
      <c r="I42" s="474"/>
      <c r="J42" s="474"/>
      <c r="K42" s="475"/>
    </row>
    <row r="43" spans="2:13" x14ac:dyDescent="0.25">
      <c r="B43" s="473"/>
      <c r="C43" s="474"/>
      <c r="D43" s="474"/>
      <c r="E43" s="475"/>
      <c r="H43" s="473" t="s">
        <v>207</v>
      </c>
      <c r="I43" s="474"/>
      <c r="J43" s="474"/>
      <c r="K43" s="475"/>
    </row>
    <row r="44" spans="2:13" x14ac:dyDescent="0.25">
      <c r="B44" s="473"/>
      <c r="C44" s="474"/>
      <c r="D44" s="474"/>
      <c r="E44" s="475"/>
      <c r="H44" s="483" t="s">
        <v>574</v>
      </c>
      <c r="I44" s="484"/>
      <c r="J44" s="484"/>
      <c r="K44" s="485">
        <v>5000000</v>
      </c>
      <c r="L44" s="508">
        <f>+K44/K44</f>
        <v>1</v>
      </c>
    </row>
    <row r="45" spans="2:13" x14ac:dyDescent="0.25">
      <c r="B45" s="500" t="s">
        <v>197</v>
      </c>
      <c r="C45" s="501"/>
      <c r="D45" s="501"/>
      <c r="E45" s="502">
        <f ca="1">SUM(E35:E44)</f>
        <v>7177000</v>
      </c>
      <c r="H45" s="480" t="s">
        <v>579</v>
      </c>
      <c r="I45" s="474"/>
      <c r="J45" s="474"/>
      <c r="K45" s="475"/>
    </row>
    <row r="46" spans="2:13" x14ac:dyDescent="0.25">
      <c r="B46" s="473"/>
      <c r="C46" s="474"/>
      <c r="D46" s="474"/>
      <c r="E46" s="475"/>
      <c r="H46" s="487" t="s">
        <v>576</v>
      </c>
      <c r="I46" s="474"/>
      <c r="J46" s="474"/>
      <c r="K46" s="481">
        <f ca="1">+E48</f>
        <v>-2153100</v>
      </c>
      <c r="L46" s="508"/>
    </row>
    <row r="47" spans="2:13" ht="15.75" thickBot="1" x14ac:dyDescent="0.3">
      <c r="B47" s="473"/>
      <c r="C47" s="474"/>
      <c r="D47" s="474"/>
      <c r="E47" s="475"/>
      <c r="H47" s="487" t="s">
        <v>577</v>
      </c>
      <c r="I47" s="474"/>
      <c r="J47" s="474"/>
      <c r="K47" s="481">
        <f ca="1">+E49</f>
        <v>53100</v>
      </c>
      <c r="L47" s="508"/>
    </row>
    <row r="48" spans="2:13" ht="15.75" thickBot="1" x14ac:dyDescent="0.3">
      <c r="B48" s="512" t="s">
        <v>582</v>
      </c>
      <c r="C48" s="474"/>
      <c r="D48" s="504">
        <v>0.3</v>
      </c>
      <c r="E48" s="481">
        <f ca="1">-E45*D48</f>
        <v>-2153100</v>
      </c>
      <c r="H48" s="489" t="s">
        <v>578</v>
      </c>
      <c r="I48" s="490"/>
      <c r="J48" s="490"/>
      <c r="K48" s="491">
        <f ca="1">+K46+K47</f>
        <v>-2100000</v>
      </c>
      <c r="L48" s="516">
        <f ca="1">+-K48/K44</f>
        <v>0.42</v>
      </c>
      <c r="M48" s="517" t="s">
        <v>587</v>
      </c>
    </row>
    <row r="49" spans="2:17" x14ac:dyDescent="0.25">
      <c r="B49" s="513" t="s">
        <v>583</v>
      </c>
      <c r="C49" s="474"/>
      <c r="D49" s="504">
        <v>0.3</v>
      </c>
      <c r="E49" s="481">
        <f ca="1">E39*D49</f>
        <v>53100</v>
      </c>
      <c r="H49" s="473"/>
      <c r="I49" s="474"/>
      <c r="J49" s="474"/>
      <c r="K49" s="475"/>
    </row>
    <row r="50" spans="2:17" x14ac:dyDescent="0.25">
      <c r="B50" s="483"/>
      <c r="C50" s="484"/>
      <c r="D50" s="484"/>
      <c r="E50" s="485">
        <f ca="1">+E48+E49</f>
        <v>-2100000</v>
      </c>
      <c r="H50" s="483" t="s">
        <v>211</v>
      </c>
      <c r="I50" s="484"/>
      <c r="J50" s="484"/>
      <c r="K50" s="485">
        <f ca="1">+K44+K48</f>
        <v>2900000</v>
      </c>
      <c r="L50" s="508">
        <f ca="1">+K50/K44</f>
        <v>0.57999999999999996</v>
      </c>
    </row>
    <row r="51" spans="2:17" ht="15.75" thickBot="1" x14ac:dyDescent="0.3">
      <c r="B51" s="473"/>
      <c r="C51" s="474"/>
      <c r="D51" s="474"/>
      <c r="E51" s="475"/>
      <c r="H51" s="473"/>
      <c r="I51" s="474"/>
      <c r="J51" s="474"/>
      <c r="K51" s="475"/>
    </row>
    <row r="52" spans="2:17" ht="15.75" thickBot="1" x14ac:dyDescent="0.3">
      <c r="B52" s="526" t="s">
        <v>588</v>
      </c>
      <c r="C52" s="527" t="s">
        <v>589</v>
      </c>
      <c r="D52" s="527" t="s">
        <v>590</v>
      </c>
      <c r="E52" s="472"/>
      <c r="H52" s="503" t="s">
        <v>584</v>
      </c>
      <c r="I52" s="492"/>
      <c r="J52" s="492"/>
      <c r="K52" s="496">
        <f ca="1">-K48/K44</f>
        <v>0.42</v>
      </c>
    </row>
    <row r="53" spans="2:17" x14ac:dyDescent="0.25">
      <c r="B53" s="523">
        <f>-E36*30%</f>
        <v>-1500000</v>
      </c>
      <c r="C53" s="521">
        <f ca="1">-E39*30%</f>
        <v>-53100</v>
      </c>
      <c r="D53" s="524">
        <f>-E42*0.3</f>
        <v>-600000</v>
      </c>
      <c r="E53" s="475"/>
    </row>
    <row r="54" spans="2:17" ht="15.75" thickBot="1" x14ac:dyDescent="0.3">
      <c r="B54" s="476"/>
      <c r="C54" s="522">
        <f ca="1">+E49</f>
        <v>53100</v>
      </c>
      <c r="D54" s="478"/>
      <c r="E54" s="475"/>
    </row>
    <row r="55" spans="2:17" ht="15.75" thickBot="1" x14ac:dyDescent="0.3">
      <c r="B55" s="476"/>
      <c r="C55" s="477"/>
      <c r="D55" s="520">
        <f ca="1">SUM(B53:D54)</f>
        <v>-2100000</v>
      </c>
      <c r="E55" s="478"/>
    </row>
    <row r="63" spans="2:17" ht="15.75" thickBot="1" x14ac:dyDescent="0.3"/>
    <row r="64" spans="2:17" x14ac:dyDescent="0.25">
      <c r="D64" s="497" t="s">
        <v>195</v>
      </c>
      <c r="E64" s="498"/>
      <c r="F64" s="498"/>
      <c r="G64" s="499"/>
      <c r="L64" s="505" t="s">
        <v>203</v>
      </c>
      <c r="M64" s="506"/>
      <c r="N64" s="506"/>
      <c r="O64" s="507"/>
      <c r="P64" s="508">
        <v>0.3</v>
      </c>
      <c r="Q64" s="515" t="s">
        <v>585</v>
      </c>
    </row>
    <row r="65" spans="4:17" ht="15.75" thickBot="1" x14ac:dyDescent="0.3">
      <c r="D65" s="473"/>
      <c r="E65" s="474"/>
      <c r="F65" s="474"/>
      <c r="G65" s="475"/>
      <c r="L65" s="473"/>
      <c r="M65" s="474"/>
      <c r="N65" s="474"/>
      <c r="O65" s="475"/>
      <c r="P65" s="508">
        <f>(G73*F79)/G67</f>
        <v>0.12</v>
      </c>
      <c r="Q65" s="515" t="s">
        <v>586</v>
      </c>
    </row>
    <row r="66" spans="4:17" ht="15.75" thickBot="1" x14ac:dyDescent="0.3">
      <c r="D66" s="500" t="s">
        <v>574</v>
      </c>
      <c r="E66" s="501"/>
      <c r="F66" s="501"/>
      <c r="G66" s="502"/>
      <c r="L66" s="473" t="s">
        <v>320</v>
      </c>
      <c r="M66" s="474"/>
      <c r="N66" s="474"/>
      <c r="O66" s="509" t="s">
        <v>575</v>
      </c>
      <c r="P66" s="516">
        <f>+P64+P65</f>
        <v>0.42</v>
      </c>
      <c r="Q66" s="517" t="s">
        <v>587</v>
      </c>
    </row>
    <row r="67" spans="4:17" x14ac:dyDescent="0.25">
      <c r="D67" s="500" t="s">
        <v>196</v>
      </c>
      <c r="E67" s="501"/>
      <c r="F67" s="501"/>
      <c r="G67" s="525">
        <f>O75</f>
        <v>5000000</v>
      </c>
      <c r="L67" s="473" t="s">
        <v>205</v>
      </c>
      <c r="M67" s="474"/>
      <c r="N67" s="474"/>
      <c r="O67" s="509" t="s">
        <v>575</v>
      </c>
    </row>
    <row r="68" spans="4:17" x14ac:dyDescent="0.25">
      <c r="D68" s="473"/>
      <c r="E68" s="474"/>
      <c r="F68" s="474"/>
      <c r="G68" s="475"/>
      <c r="L68" s="483" t="s">
        <v>206</v>
      </c>
      <c r="M68" s="486"/>
      <c r="N68" s="486"/>
      <c r="O68" s="510" t="s">
        <v>575</v>
      </c>
    </row>
    <row r="69" spans="4:17" ht="15.75" thickBot="1" x14ac:dyDescent="0.3">
      <c r="D69" s="473"/>
      <c r="E69" s="474"/>
      <c r="F69" s="474"/>
      <c r="G69" s="475"/>
      <c r="L69" s="473" t="s">
        <v>207</v>
      </c>
      <c r="M69" s="474"/>
      <c r="N69" s="474"/>
      <c r="O69" s="475"/>
    </row>
    <row r="70" spans="4:17" ht="15.75" thickBot="1" x14ac:dyDescent="0.3">
      <c r="D70" s="530" t="s">
        <v>580</v>
      </c>
      <c r="E70" s="531"/>
      <c r="F70" s="531"/>
      <c r="G70" s="532">
        <f ca="1">RANDBETWEEN(100,500)*1000</f>
        <v>396000</v>
      </c>
      <c r="L70" s="473" t="s">
        <v>207</v>
      </c>
      <c r="M70" s="474"/>
      <c r="N70" s="474"/>
      <c r="O70" s="475"/>
    </row>
    <row r="71" spans="4:17" x14ac:dyDescent="0.25">
      <c r="D71" s="480"/>
      <c r="E71" s="474"/>
      <c r="F71" s="474"/>
      <c r="G71" s="475"/>
      <c r="L71" s="473" t="s">
        <v>207</v>
      </c>
      <c r="M71" s="474"/>
      <c r="N71" s="474"/>
      <c r="O71" s="475"/>
    </row>
    <row r="72" spans="4:17" x14ac:dyDescent="0.25">
      <c r="D72" s="480"/>
      <c r="E72" s="474"/>
      <c r="F72" s="474"/>
      <c r="G72" s="475"/>
      <c r="L72" s="473" t="s">
        <v>207</v>
      </c>
      <c r="M72" s="474"/>
      <c r="N72" s="474"/>
      <c r="O72" s="475"/>
    </row>
    <row r="73" spans="4:17" x14ac:dyDescent="0.25">
      <c r="D73" s="480" t="s">
        <v>581</v>
      </c>
      <c r="E73" s="474"/>
      <c r="F73" s="474"/>
      <c r="G73" s="525">
        <v>2000000</v>
      </c>
      <c r="L73" s="473" t="s">
        <v>207</v>
      </c>
      <c r="M73" s="474"/>
      <c r="N73" s="474"/>
      <c r="O73" s="475"/>
    </row>
    <row r="74" spans="4:17" x14ac:dyDescent="0.25">
      <c r="D74" s="473"/>
      <c r="E74" s="474"/>
      <c r="F74" s="474"/>
      <c r="G74" s="475"/>
      <c r="L74" s="473" t="s">
        <v>207</v>
      </c>
      <c r="M74" s="474"/>
      <c r="N74" s="474"/>
      <c r="O74" s="475"/>
    </row>
    <row r="75" spans="4:17" x14ac:dyDescent="0.25">
      <c r="D75" s="473"/>
      <c r="E75" s="474"/>
      <c r="F75" s="474"/>
      <c r="G75" s="475"/>
      <c r="L75" s="483" t="s">
        <v>574</v>
      </c>
      <c r="M75" s="484"/>
      <c r="N75" s="484"/>
      <c r="O75" s="485">
        <v>5000000</v>
      </c>
      <c r="P75" s="508">
        <f>+O75/O75</f>
        <v>1</v>
      </c>
    </row>
    <row r="76" spans="4:17" x14ac:dyDescent="0.25">
      <c r="D76" s="500" t="s">
        <v>197</v>
      </c>
      <c r="E76" s="501"/>
      <c r="F76" s="501"/>
      <c r="G76" s="502">
        <f ca="1">SUM(G66:G75)</f>
        <v>7396000</v>
      </c>
      <c r="L76" s="480" t="s">
        <v>579</v>
      </c>
      <c r="M76" s="474"/>
      <c r="N76" s="474"/>
      <c r="O76" s="475"/>
    </row>
    <row r="77" spans="4:17" x14ac:dyDescent="0.25">
      <c r="D77" s="473"/>
      <c r="E77" s="474"/>
      <c r="F77" s="474"/>
      <c r="G77" s="475"/>
      <c r="L77" s="487" t="s">
        <v>576</v>
      </c>
      <c r="M77" s="474"/>
      <c r="N77" s="474"/>
      <c r="O77" s="481">
        <f ca="1">+G79</f>
        <v>-2218800</v>
      </c>
      <c r="P77" s="508"/>
    </row>
    <row r="78" spans="4:17" ht="15.75" thickBot="1" x14ac:dyDescent="0.3">
      <c r="D78" s="473"/>
      <c r="E78" s="474"/>
      <c r="F78" s="474"/>
      <c r="G78" s="475"/>
      <c r="L78" s="487" t="s">
        <v>577</v>
      </c>
      <c r="M78" s="474"/>
      <c r="N78" s="474"/>
      <c r="O78" s="481">
        <f ca="1">+G80</f>
        <v>118800</v>
      </c>
      <c r="P78" s="508"/>
    </row>
    <row r="79" spans="4:17" ht="15.75" thickBot="1" x14ac:dyDescent="0.3">
      <c r="D79" s="512" t="s">
        <v>582</v>
      </c>
      <c r="E79" s="474"/>
      <c r="F79" s="504">
        <v>0.3</v>
      </c>
      <c r="G79" s="481">
        <f ca="1">-G76*F79</f>
        <v>-2218800</v>
      </c>
      <c r="L79" s="489" t="s">
        <v>578</v>
      </c>
      <c r="M79" s="490"/>
      <c r="N79" s="490"/>
      <c r="O79" s="491">
        <f ca="1">+O77+O78</f>
        <v>-2100000</v>
      </c>
      <c r="P79" s="516">
        <f ca="1">+-O79/O75</f>
        <v>0.42</v>
      </c>
      <c r="Q79" s="517" t="s">
        <v>587</v>
      </c>
    </row>
    <row r="80" spans="4:17" x14ac:dyDescent="0.25">
      <c r="D80" s="513" t="s">
        <v>583</v>
      </c>
      <c r="E80" s="474"/>
      <c r="F80" s="504">
        <v>0.3</v>
      </c>
      <c r="G80" s="481">
        <f ca="1">G70*F80</f>
        <v>118800</v>
      </c>
      <c r="L80" s="473"/>
      <c r="M80" s="474"/>
      <c r="N80" s="474"/>
      <c r="O80" s="475"/>
    </row>
    <row r="81" spans="2:16" x14ac:dyDescent="0.25">
      <c r="D81" s="483"/>
      <c r="E81" s="484"/>
      <c r="F81" s="484"/>
      <c r="G81" s="485">
        <f ca="1">+G79+G80</f>
        <v>-2100000</v>
      </c>
      <c r="L81" s="483" t="s">
        <v>211</v>
      </c>
      <c r="M81" s="484"/>
      <c r="N81" s="484"/>
      <c r="O81" s="485">
        <f ca="1">+O75+O79</f>
        <v>2900000</v>
      </c>
      <c r="P81" s="508">
        <f ca="1">+O81/O75</f>
        <v>0.57999999999999996</v>
      </c>
    </row>
    <row r="82" spans="2:16" ht="15.75" thickBot="1" x14ac:dyDescent="0.3">
      <c r="D82" s="473"/>
      <c r="E82" s="474"/>
      <c r="F82" s="474"/>
      <c r="G82" s="475"/>
      <c r="L82" s="473"/>
      <c r="M82" s="474"/>
      <c r="N82" s="474"/>
      <c r="O82" s="475"/>
    </row>
    <row r="83" spans="2:16" ht="15.75" thickBot="1" x14ac:dyDescent="0.3">
      <c r="D83" s="526" t="s">
        <v>588</v>
      </c>
      <c r="E83" s="527" t="s">
        <v>589</v>
      </c>
      <c r="F83" s="527" t="s">
        <v>590</v>
      </c>
      <c r="G83" s="472"/>
      <c r="L83" s="503" t="s">
        <v>584</v>
      </c>
      <c r="M83" s="492"/>
      <c r="N83" s="492"/>
      <c r="O83" s="496">
        <f ca="1">-O79/O75</f>
        <v>0.42</v>
      </c>
    </row>
    <row r="84" spans="2:16" x14ac:dyDescent="0.25">
      <c r="D84" s="523">
        <f>-G67*30%</f>
        <v>-1500000</v>
      </c>
      <c r="E84" s="521">
        <f ca="1">-G70*30%</f>
        <v>-118800</v>
      </c>
      <c r="F84" s="524">
        <f>-G73*0.3</f>
        <v>-600000</v>
      </c>
      <c r="G84" s="475"/>
    </row>
    <row r="85" spans="2:16" ht="15.75" thickBot="1" x14ac:dyDescent="0.3">
      <c r="D85" s="476"/>
      <c r="E85" s="522">
        <f ca="1">+G80</f>
        <v>118800</v>
      </c>
      <c r="F85" s="478"/>
      <c r="G85" s="475"/>
    </row>
    <row r="86" spans="2:16" ht="15.75" thickBot="1" x14ac:dyDescent="0.3">
      <c r="D86" s="476"/>
      <c r="E86" s="477"/>
      <c r="F86" s="520">
        <f ca="1">SUM(D84:F85)</f>
        <v>-2100000</v>
      </c>
      <c r="G86" s="478"/>
    </row>
    <row r="90" spans="2:16" ht="15.75" thickBot="1" x14ac:dyDescent="0.3"/>
    <row r="91" spans="2:16" x14ac:dyDescent="0.25">
      <c r="B91" s="479" t="s">
        <v>591</v>
      </c>
      <c r="C91" s="471"/>
      <c r="D91" s="471"/>
      <c r="E91" s="471"/>
      <c r="F91" s="471"/>
      <c r="G91" s="472"/>
    </row>
    <row r="92" spans="2:16" x14ac:dyDescent="0.25">
      <c r="B92" s="480" t="s">
        <v>596</v>
      </c>
      <c r="C92" s="482" t="s">
        <v>592</v>
      </c>
      <c r="D92" s="482" t="s">
        <v>593</v>
      </c>
      <c r="E92" s="474"/>
      <c r="F92" s="474"/>
      <c r="G92" s="475"/>
    </row>
    <row r="93" spans="2:16" x14ac:dyDescent="0.25">
      <c r="B93" s="480" t="s">
        <v>597</v>
      </c>
      <c r="C93" s="482" t="s">
        <v>594</v>
      </c>
      <c r="D93" s="482" t="s">
        <v>595</v>
      </c>
      <c r="E93" s="474"/>
      <c r="F93" s="474"/>
      <c r="G93" s="475"/>
    </row>
    <row r="94" spans="2:16" ht="15.75" thickBot="1" x14ac:dyDescent="0.3">
      <c r="B94" s="533" t="s">
        <v>598</v>
      </c>
      <c r="C94" s="534" t="s">
        <v>599</v>
      </c>
      <c r="D94" s="534" t="s">
        <v>600</v>
      </c>
      <c r="E94" s="477"/>
      <c r="F94" s="477"/>
      <c r="G94" s="478"/>
    </row>
    <row r="96" spans="2:16" x14ac:dyDescent="0.25">
      <c r="B96" s="518" t="s">
        <v>601</v>
      </c>
    </row>
    <row r="97" spans="2:8" ht="15.75" thickBot="1" x14ac:dyDescent="0.3"/>
    <row r="98" spans="2:8" ht="15.75" thickBot="1" x14ac:dyDescent="0.3">
      <c r="B98" s="518" t="s">
        <v>498</v>
      </c>
      <c r="C98" s="530" t="s">
        <v>602</v>
      </c>
      <c r="D98" s="535"/>
      <c r="E98" s="536">
        <v>300000</v>
      </c>
      <c r="F98" s="519" t="s">
        <v>240</v>
      </c>
      <c r="G98" s="537">
        <v>0.3</v>
      </c>
      <c r="H98" s="538">
        <f>+E98*G98</f>
        <v>90000</v>
      </c>
    </row>
    <row r="99" spans="2:8" x14ac:dyDescent="0.25">
      <c r="F99" s="519"/>
      <c r="G99" s="537"/>
    </row>
    <row r="100" spans="2:8" x14ac:dyDescent="0.25">
      <c r="C100" s="467" t="s">
        <v>604</v>
      </c>
      <c r="E100" s="467">
        <f ca="1">+G70</f>
        <v>396000</v>
      </c>
      <c r="F100" s="519"/>
      <c r="G100" s="537" t="s">
        <v>605</v>
      </c>
      <c r="H100" s="539">
        <f ca="1">+H102-H98</f>
        <v>118800</v>
      </c>
    </row>
    <row r="101" spans="2:8" ht="15.75" thickBot="1" x14ac:dyDescent="0.3">
      <c r="F101" s="519"/>
      <c r="G101" s="537"/>
    </row>
    <row r="102" spans="2:8" ht="15.75" thickBot="1" x14ac:dyDescent="0.3">
      <c r="B102" s="518" t="s">
        <v>498</v>
      </c>
      <c r="C102" s="530" t="s">
        <v>603</v>
      </c>
      <c r="D102" s="535"/>
      <c r="E102" s="536">
        <f ca="1">SUM(E98:E101)</f>
        <v>696000</v>
      </c>
      <c r="F102" s="519" t="s">
        <v>240</v>
      </c>
      <c r="G102" s="537">
        <v>0.3</v>
      </c>
      <c r="H102" s="538">
        <f ca="1">+E102*G102</f>
        <v>208800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7789-6459-4EF9-9F9D-AD8DF933195F}">
  <dimension ref="A1:K28"/>
  <sheetViews>
    <sheetView zoomScale="120" zoomScaleNormal="120" workbookViewId="0">
      <selection activeCell="I22" sqref="I22"/>
    </sheetView>
  </sheetViews>
  <sheetFormatPr baseColWidth="10" defaultRowHeight="15" x14ac:dyDescent="0.25"/>
  <cols>
    <col min="5" max="5" width="3.7109375" customWidth="1"/>
    <col min="6" max="6" width="12" bestFit="1" customWidth="1"/>
  </cols>
  <sheetData>
    <row r="1" spans="1:10" x14ac:dyDescent="0.25">
      <c r="A1" s="99" t="s">
        <v>506</v>
      </c>
      <c r="B1" s="94"/>
      <c r="C1" s="94"/>
      <c r="D1" s="546">
        <v>0.3</v>
      </c>
    </row>
    <row r="2" spans="1:10" x14ac:dyDescent="0.25">
      <c r="A2" s="1"/>
      <c r="D2" s="85"/>
    </row>
    <row r="3" spans="1:10" x14ac:dyDescent="0.25">
      <c r="A3" s="541">
        <v>2024</v>
      </c>
      <c r="B3" s="13"/>
      <c r="C3" s="540" t="s">
        <v>190</v>
      </c>
      <c r="D3" s="540" t="s">
        <v>191</v>
      </c>
      <c r="F3" s="100"/>
      <c r="G3" s="562">
        <v>2024</v>
      </c>
      <c r="H3" s="562">
        <f>+G3+1</f>
        <v>2025</v>
      </c>
      <c r="I3" s="562">
        <f t="shared" ref="I3:J3" si="0">+H3+1</f>
        <v>2026</v>
      </c>
      <c r="J3" s="562">
        <f t="shared" si="0"/>
        <v>2027</v>
      </c>
    </row>
    <row r="4" spans="1:10" x14ac:dyDescent="0.25">
      <c r="A4" t="s">
        <v>606</v>
      </c>
      <c r="C4" s="353">
        <v>1000000</v>
      </c>
    </row>
    <row r="5" spans="1:10" x14ac:dyDescent="0.25">
      <c r="A5" t="s">
        <v>253</v>
      </c>
      <c r="D5" s="353">
        <f>+C4</f>
        <v>1000000</v>
      </c>
      <c r="F5" t="s">
        <v>615</v>
      </c>
      <c r="G5" s="353">
        <f>+D8</f>
        <v>100000</v>
      </c>
      <c r="H5" s="353">
        <f>+D11</f>
        <v>40000</v>
      </c>
      <c r="I5" s="353">
        <f>+D14</f>
        <v>60000</v>
      </c>
      <c r="J5" s="353">
        <f>+D17</f>
        <v>30000</v>
      </c>
    </row>
    <row r="6" spans="1:10" x14ac:dyDescent="0.25">
      <c r="A6" s="541">
        <v>2024</v>
      </c>
      <c r="B6" s="13"/>
      <c r="C6" s="540" t="s">
        <v>190</v>
      </c>
      <c r="D6" s="540" t="s">
        <v>191</v>
      </c>
      <c r="F6" t="s">
        <v>616</v>
      </c>
      <c r="J6" s="353">
        <f>+D19</f>
        <v>1230000</v>
      </c>
    </row>
    <row r="7" spans="1:10" x14ac:dyDescent="0.25">
      <c r="A7" t="s">
        <v>606</v>
      </c>
      <c r="C7" s="353">
        <v>100000</v>
      </c>
      <c r="F7" t="s">
        <v>482</v>
      </c>
      <c r="J7" s="353">
        <f>-C20</f>
        <v>-1230000</v>
      </c>
    </row>
    <row r="8" spans="1:10" x14ac:dyDescent="0.25">
      <c r="A8" t="s">
        <v>607</v>
      </c>
      <c r="D8" s="353">
        <f>+C7</f>
        <v>100000</v>
      </c>
      <c r="F8" s="122" t="s">
        <v>526</v>
      </c>
      <c r="G8" s="563">
        <f t="shared" ref="G8:I8" si="1">SUM(G5:G7)</f>
        <v>100000</v>
      </c>
      <c r="H8" s="563">
        <f t="shared" si="1"/>
        <v>40000</v>
      </c>
      <c r="I8" s="563">
        <f t="shared" si="1"/>
        <v>60000</v>
      </c>
      <c r="J8" s="563">
        <f>SUM(J5:J7)</f>
        <v>30000</v>
      </c>
    </row>
    <row r="9" spans="1:10" x14ac:dyDescent="0.25">
      <c r="A9" s="547">
        <v>2025</v>
      </c>
      <c r="B9" s="548"/>
      <c r="C9" s="549" t="s">
        <v>190</v>
      </c>
      <c r="D9" s="549" t="s">
        <v>191</v>
      </c>
      <c r="F9" t="s">
        <v>617</v>
      </c>
      <c r="G9">
        <v>0</v>
      </c>
      <c r="H9">
        <v>0</v>
      </c>
      <c r="I9">
        <v>0</v>
      </c>
      <c r="J9" s="130">
        <f>-C22</f>
        <v>-69000</v>
      </c>
    </row>
    <row r="10" spans="1:10" x14ac:dyDescent="0.25">
      <c r="A10" t="s">
        <v>606</v>
      </c>
      <c r="C10" s="353">
        <v>40000</v>
      </c>
      <c r="F10" s="226" t="s">
        <v>618</v>
      </c>
      <c r="G10" s="561">
        <f>SUM(G8:G9)</f>
        <v>100000</v>
      </c>
      <c r="H10" s="561">
        <f t="shared" ref="H10:J10" si="2">SUM(H8:H9)</f>
        <v>40000</v>
      </c>
      <c r="I10" s="561">
        <f t="shared" si="2"/>
        <v>60000</v>
      </c>
      <c r="J10" s="561">
        <f t="shared" si="2"/>
        <v>-39000</v>
      </c>
    </row>
    <row r="11" spans="1:10" x14ac:dyDescent="0.25">
      <c r="A11" t="s">
        <v>607</v>
      </c>
      <c r="D11" s="353">
        <f>+C10</f>
        <v>40000</v>
      </c>
    </row>
    <row r="12" spans="1:10" x14ac:dyDescent="0.25">
      <c r="A12" s="547">
        <v>2026</v>
      </c>
      <c r="B12" s="548"/>
      <c r="C12" s="549" t="s">
        <v>190</v>
      </c>
      <c r="D12" s="549" t="s">
        <v>191</v>
      </c>
    </row>
    <row r="13" spans="1:10" x14ac:dyDescent="0.25">
      <c r="A13" t="s">
        <v>606</v>
      </c>
      <c r="C13" s="353">
        <v>60000</v>
      </c>
      <c r="F13" s="568" t="s">
        <v>289</v>
      </c>
      <c r="G13" s="562">
        <v>2024</v>
      </c>
      <c r="H13" s="562">
        <f>+G13+1</f>
        <v>2025</v>
      </c>
      <c r="I13" s="562">
        <f t="shared" ref="I13:J13" si="3">+H13+1</f>
        <v>2026</v>
      </c>
      <c r="J13" s="562">
        <f t="shared" si="3"/>
        <v>2027</v>
      </c>
    </row>
    <row r="14" spans="1:10" x14ac:dyDescent="0.25">
      <c r="A14" t="s">
        <v>607</v>
      </c>
      <c r="D14" s="353">
        <f>+C13</f>
        <v>60000</v>
      </c>
    </row>
    <row r="15" spans="1:10" x14ac:dyDescent="0.25">
      <c r="A15" s="547">
        <v>2027</v>
      </c>
      <c r="B15" s="548"/>
      <c r="C15" s="549" t="s">
        <v>190</v>
      </c>
      <c r="D15" s="549" t="s">
        <v>191</v>
      </c>
      <c r="F15" t="s">
        <v>615</v>
      </c>
      <c r="G15" s="353">
        <f>+G5</f>
        <v>100000</v>
      </c>
      <c r="H15" s="353">
        <f t="shared" ref="H15:J15" si="4">+H5</f>
        <v>40000</v>
      </c>
      <c r="I15" s="353">
        <f t="shared" si="4"/>
        <v>60000</v>
      </c>
      <c r="J15" s="353">
        <f t="shared" si="4"/>
        <v>30000</v>
      </c>
    </row>
    <row r="16" spans="1:10" x14ac:dyDescent="0.25">
      <c r="A16" s="542" t="s">
        <v>606</v>
      </c>
      <c r="B16" s="542"/>
      <c r="C16" s="543">
        <v>30000</v>
      </c>
      <c r="D16" s="542"/>
      <c r="F16" t="s">
        <v>616</v>
      </c>
      <c r="J16" s="353">
        <f t="shared" ref="J16" si="5">+J6</f>
        <v>1230000</v>
      </c>
    </row>
    <row r="17" spans="1:11" x14ac:dyDescent="0.25">
      <c r="A17" s="544" t="s">
        <v>607</v>
      </c>
      <c r="B17" s="544"/>
      <c r="C17" s="544"/>
      <c r="D17" s="545">
        <f>+C16</f>
        <v>30000</v>
      </c>
      <c r="F17" t="s">
        <v>482</v>
      </c>
      <c r="J17" s="353">
        <f t="shared" ref="J17" si="6">+J7</f>
        <v>-1230000</v>
      </c>
    </row>
    <row r="18" spans="1:11" x14ac:dyDescent="0.25">
      <c r="A18" s="550" t="s">
        <v>253</v>
      </c>
      <c r="B18" s="551"/>
      <c r="C18" s="552">
        <f>+D19</f>
        <v>1230000</v>
      </c>
      <c r="D18" s="551"/>
      <c r="F18" s="122" t="s">
        <v>526</v>
      </c>
      <c r="G18" s="563">
        <f t="shared" ref="G18" si="7">SUM(G15:G17)</f>
        <v>100000</v>
      </c>
      <c r="H18" s="563">
        <f t="shared" ref="H18" si="8">SUM(H15:H17)</f>
        <v>40000</v>
      </c>
      <c r="I18" s="563">
        <f t="shared" ref="I18" si="9">SUM(I15:I17)</f>
        <v>60000</v>
      </c>
      <c r="J18" s="563">
        <f>SUM(J15:J17)</f>
        <v>30000</v>
      </c>
    </row>
    <row r="19" spans="1:11" x14ac:dyDescent="0.25">
      <c r="A19" s="553" t="s">
        <v>608</v>
      </c>
      <c r="B19" s="544"/>
      <c r="C19" s="544"/>
      <c r="D19" s="545">
        <f>+C4+C7+C10+C13+C16</f>
        <v>1230000</v>
      </c>
      <c r="F19" t="s">
        <v>617</v>
      </c>
      <c r="G19" s="353">
        <f>-G18*0.3</f>
        <v>-30000</v>
      </c>
      <c r="H19" s="353">
        <f>-H18*0.3</f>
        <v>-12000</v>
      </c>
      <c r="I19" s="353">
        <f>-I18*0.3</f>
        <v>-18000</v>
      </c>
      <c r="J19" s="353">
        <f>-J18*0.3</f>
        <v>-9000</v>
      </c>
      <c r="K19" s="356">
        <f>SUM(G19:J19)</f>
        <v>-69000</v>
      </c>
    </row>
    <row r="20" spans="1:11" x14ac:dyDescent="0.25">
      <c r="A20" s="564" t="s">
        <v>609</v>
      </c>
      <c r="B20" s="564"/>
      <c r="C20" s="565">
        <f>+D21</f>
        <v>1230000</v>
      </c>
      <c r="D20" s="564"/>
      <c r="F20" s="226" t="s">
        <v>618</v>
      </c>
      <c r="G20" s="561">
        <f>SUM(G18:G19)</f>
        <v>70000</v>
      </c>
      <c r="H20" s="561">
        <f t="shared" ref="H20" si="10">SUM(H18:H19)</f>
        <v>28000</v>
      </c>
      <c r="I20" s="561">
        <f t="shared" ref="I20" si="11">SUM(I18:I19)</f>
        <v>42000</v>
      </c>
      <c r="J20" s="561">
        <f t="shared" ref="J20" si="12">SUM(J18:J19)</f>
        <v>21000</v>
      </c>
    </row>
    <row r="21" spans="1:11" ht="15.75" thickBot="1" x14ac:dyDescent="0.3">
      <c r="A21" s="566" t="s">
        <v>606</v>
      </c>
      <c r="B21" s="566"/>
      <c r="C21" s="566"/>
      <c r="D21" s="567">
        <f>+C4+C7+C10+C13+C16</f>
        <v>1230000</v>
      </c>
    </row>
    <row r="22" spans="1:11" x14ac:dyDescent="0.25">
      <c r="A22" s="558" t="s">
        <v>613</v>
      </c>
      <c r="C22" s="554">
        <v>69000</v>
      </c>
      <c r="D22" s="555"/>
      <c r="F22" s="81" t="s">
        <v>292</v>
      </c>
      <c r="G22" s="68"/>
      <c r="H22" s="68"/>
      <c r="I22" s="68"/>
      <c r="J22" s="68"/>
      <c r="K22" s="69"/>
    </row>
    <row r="23" spans="1:11" x14ac:dyDescent="0.25">
      <c r="A23" s="559" t="s">
        <v>614</v>
      </c>
      <c r="B23" s="544"/>
      <c r="C23" s="556"/>
      <c r="D23" s="557">
        <f>+C22</f>
        <v>69000</v>
      </c>
      <c r="F23" s="82" t="s">
        <v>623</v>
      </c>
      <c r="G23" s="542" t="s">
        <v>452</v>
      </c>
      <c r="H23" s="574" t="s">
        <v>453</v>
      </c>
      <c r="I23" s="574" t="s">
        <v>454</v>
      </c>
      <c r="J23" s="574" t="s">
        <v>455</v>
      </c>
      <c r="K23" s="83"/>
    </row>
    <row r="24" spans="1:11" x14ac:dyDescent="0.25">
      <c r="F24" s="82" t="s">
        <v>619</v>
      </c>
      <c r="G24" s="543">
        <f>+C4+C7</f>
        <v>1100000</v>
      </c>
      <c r="H24" s="543">
        <f>+C4</f>
        <v>1000000</v>
      </c>
      <c r="I24" s="543">
        <f>+G24-H24</f>
        <v>100000</v>
      </c>
      <c r="J24" s="569">
        <f>+I24*0.3</f>
        <v>30000</v>
      </c>
      <c r="K24" s="83"/>
    </row>
    <row r="25" spans="1:11" x14ac:dyDescent="0.25">
      <c r="A25" s="225" t="s">
        <v>338</v>
      </c>
      <c r="B25" s="560">
        <f>+D19</f>
        <v>1230000</v>
      </c>
      <c r="C25" s="225"/>
      <c r="D25" s="225"/>
      <c r="F25" s="82" t="s">
        <v>620</v>
      </c>
      <c r="G25" s="543">
        <f>+G24+C10</f>
        <v>1140000</v>
      </c>
      <c r="H25" s="543">
        <f>+H24</f>
        <v>1000000</v>
      </c>
      <c r="I25" s="543">
        <f>+G25-H25</f>
        <v>140000</v>
      </c>
      <c r="J25" s="543">
        <f>+I25*0.3</f>
        <v>42000</v>
      </c>
      <c r="K25" s="570">
        <f>+J25-J24</f>
        <v>12000</v>
      </c>
    </row>
    <row r="26" spans="1:11" x14ac:dyDescent="0.25">
      <c r="A26" s="225" t="s">
        <v>610</v>
      </c>
      <c r="B26" s="560">
        <f>-C4</f>
        <v>-1000000</v>
      </c>
      <c r="C26" s="225"/>
      <c r="D26" s="225"/>
      <c r="F26" s="82" t="s">
        <v>621</v>
      </c>
      <c r="G26" s="543">
        <f>+G25+C13</f>
        <v>1200000</v>
      </c>
      <c r="H26" s="543">
        <f>+H25</f>
        <v>1000000</v>
      </c>
      <c r="I26" s="543">
        <f>+G26-H26</f>
        <v>200000</v>
      </c>
      <c r="J26" s="543">
        <f>+I26*0.3</f>
        <v>60000</v>
      </c>
      <c r="K26" s="570">
        <f>+J26-J25</f>
        <v>18000</v>
      </c>
    </row>
    <row r="27" spans="1:11" ht="15.75" thickBot="1" x14ac:dyDescent="0.3">
      <c r="A27" s="225" t="s">
        <v>611</v>
      </c>
      <c r="B27" s="560">
        <f>+B25+B26</f>
        <v>230000</v>
      </c>
      <c r="C27" s="225"/>
      <c r="D27" s="225"/>
      <c r="F27" s="571" t="s">
        <v>622</v>
      </c>
      <c r="G27" s="572">
        <f>+G26+C16</f>
        <v>1230000</v>
      </c>
      <c r="H27" s="572">
        <f>+H26</f>
        <v>1000000</v>
      </c>
      <c r="I27" s="572">
        <f>+G27-H27</f>
        <v>230000</v>
      </c>
      <c r="J27" s="572">
        <f>+I27*0.3</f>
        <v>69000</v>
      </c>
      <c r="K27" s="573">
        <f>+J27-J26</f>
        <v>9000</v>
      </c>
    </row>
    <row r="28" spans="1:11" x14ac:dyDescent="0.25">
      <c r="A28" s="225" t="s">
        <v>612</v>
      </c>
      <c r="B28" s="560">
        <f>-B27*D1</f>
        <v>-69000</v>
      </c>
      <c r="C28" s="225"/>
      <c r="D28" s="225"/>
    </row>
  </sheetData>
  <phoneticPr fontId="4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95F3-8C8C-4297-B5FE-C9C82F78247D}">
  <dimension ref="A1:AB20"/>
  <sheetViews>
    <sheetView zoomScale="85" zoomScaleNormal="85" workbookViewId="0">
      <selection activeCell="A10" sqref="A10"/>
    </sheetView>
  </sheetViews>
  <sheetFormatPr baseColWidth="10" defaultRowHeight="15" x14ac:dyDescent="0.25"/>
  <sheetData>
    <row r="1" spans="1:28" x14ac:dyDescent="0.25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</row>
    <row r="2" spans="1:28" x14ac:dyDescent="0.2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</row>
    <row r="3" spans="1:28" x14ac:dyDescent="0.25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</row>
    <row r="4" spans="1:28" x14ac:dyDescent="0.25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</row>
    <row r="5" spans="1:28" ht="83.25" x14ac:dyDescent="1.2">
      <c r="A5" s="299" t="s">
        <v>569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</row>
    <row r="6" spans="1:28" ht="83.25" x14ac:dyDescent="1.2">
      <c r="A6" s="299" t="s">
        <v>495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</row>
    <row r="7" spans="1:28" ht="83.25" x14ac:dyDescent="1.2">
      <c r="A7" s="299" t="s">
        <v>570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</row>
    <row r="8" spans="1:28" ht="83.25" x14ac:dyDescent="1.2">
      <c r="A8" s="299" t="s">
        <v>571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</row>
    <row r="9" spans="1:28" ht="83.25" x14ac:dyDescent="1.2">
      <c r="A9" s="299" t="s">
        <v>572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</row>
    <row r="10" spans="1:28" ht="83.25" x14ac:dyDescent="1.2">
      <c r="A10" s="299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</row>
    <row r="11" spans="1:28" x14ac:dyDescent="0.25">
      <c r="A11" s="298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</row>
    <row r="12" spans="1:28" x14ac:dyDescent="0.25">
      <c r="A12" s="298"/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</row>
    <row r="13" spans="1:28" x14ac:dyDescent="0.25">
      <c r="A13" s="298"/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</row>
    <row r="14" spans="1:28" x14ac:dyDescent="0.25">
      <c r="A14" s="298"/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</row>
    <row r="15" spans="1:28" x14ac:dyDescent="0.25">
      <c r="A15" s="298"/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</row>
    <row r="16" spans="1:28" x14ac:dyDescent="0.25">
      <c r="A16" s="298"/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</row>
    <row r="17" spans="1:28" x14ac:dyDescent="0.25">
      <c r="A17" s="298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</row>
    <row r="18" spans="1:28" x14ac:dyDescent="0.25">
      <c r="A18" s="298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</row>
    <row r="19" spans="1:28" x14ac:dyDescent="0.25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</row>
    <row r="20" spans="1:28" x14ac:dyDescent="0.25">
      <c r="A20" s="298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B341-0C2D-4157-9FC7-876FC9852BF1}">
  <dimension ref="I1:K28"/>
  <sheetViews>
    <sheetView topLeftCell="L1" workbookViewId="0">
      <selection activeCell="J15" sqref="J15"/>
    </sheetView>
  </sheetViews>
  <sheetFormatPr baseColWidth="10" defaultRowHeight="15" x14ac:dyDescent="0.25"/>
  <cols>
    <col min="8" max="8" width="1.28515625" customWidth="1"/>
    <col min="9" max="9" width="11.42578125" style="1"/>
    <col min="12" max="12" width="1.28515625" customWidth="1"/>
    <col min="19" max="19" width="6.140625" customWidth="1"/>
  </cols>
  <sheetData>
    <row r="1" spans="9:11" ht="21" x14ac:dyDescent="0.35">
      <c r="I1" s="89" t="s">
        <v>213</v>
      </c>
      <c r="J1" s="88"/>
      <c r="K1" s="88"/>
    </row>
    <row r="2" spans="9:11" ht="21" x14ac:dyDescent="0.35">
      <c r="I2" s="89" t="s">
        <v>214</v>
      </c>
      <c r="J2" s="88"/>
      <c r="K2" s="88"/>
    </row>
    <row r="3" spans="9:11" ht="21" x14ac:dyDescent="0.35">
      <c r="I3" s="90" t="s">
        <v>215</v>
      </c>
      <c r="J3" s="88"/>
      <c r="K3" s="88"/>
    </row>
    <row r="4" spans="9:11" ht="21" x14ac:dyDescent="0.35">
      <c r="I4" s="89"/>
      <c r="J4" s="88"/>
      <c r="K4" s="88"/>
    </row>
    <row r="5" spans="9:11" ht="21" x14ac:dyDescent="0.35">
      <c r="I5" s="89"/>
      <c r="J5" s="88"/>
      <c r="K5" s="88"/>
    </row>
    <row r="6" spans="9:11" ht="21" x14ac:dyDescent="0.35">
      <c r="I6" s="89"/>
      <c r="J6" s="88"/>
      <c r="K6" s="88"/>
    </row>
    <row r="7" spans="9:11" ht="21" x14ac:dyDescent="0.35">
      <c r="I7" s="89"/>
      <c r="J7" s="88"/>
      <c r="K7" s="88"/>
    </row>
    <row r="8" spans="9:11" ht="21" x14ac:dyDescent="0.35">
      <c r="I8" s="89"/>
      <c r="J8" s="88"/>
      <c r="K8" s="88"/>
    </row>
    <row r="9" spans="9:11" ht="21" x14ac:dyDescent="0.35">
      <c r="I9" s="89"/>
      <c r="J9" s="88"/>
      <c r="K9" s="88"/>
    </row>
    <row r="10" spans="9:11" ht="21" x14ac:dyDescent="0.35">
      <c r="I10" s="89"/>
      <c r="J10" s="88"/>
      <c r="K10" s="88"/>
    </row>
    <row r="11" spans="9:11" ht="21" x14ac:dyDescent="0.35">
      <c r="I11" s="89"/>
      <c r="J11" s="88"/>
      <c r="K11" s="88"/>
    </row>
    <row r="12" spans="9:11" ht="21" x14ac:dyDescent="0.35">
      <c r="I12" s="89"/>
      <c r="J12" s="88"/>
      <c r="K12" s="88"/>
    </row>
    <row r="13" spans="9:11" ht="21" x14ac:dyDescent="0.35">
      <c r="I13" s="89"/>
      <c r="J13" s="88"/>
      <c r="K13" s="88"/>
    </row>
    <row r="14" spans="9:11" ht="21" x14ac:dyDescent="0.35">
      <c r="I14" s="89"/>
      <c r="J14" s="88"/>
      <c r="K14" s="88"/>
    </row>
    <row r="15" spans="9:11" ht="21" x14ac:dyDescent="0.35">
      <c r="I15" s="89"/>
      <c r="J15" s="88"/>
      <c r="K15" s="88"/>
    </row>
    <row r="16" spans="9:11" ht="21" x14ac:dyDescent="0.35">
      <c r="I16" s="89"/>
      <c r="J16" s="88"/>
      <c r="K16" s="88"/>
    </row>
    <row r="17" spans="9:11" ht="21" x14ac:dyDescent="0.35">
      <c r="I17" s="89"/>
      <c r="J17" s="88"/>
      <c r="K17" s="88"/>
    </row>
    <row r="18" spans="9:11" ht="21" x14ac:dyDescent="0.35">
      <c r="I18" s="89"/>
      <c r="J18" s="88"/>
      <c r="K18" s="88"/>
    </row>
    <row r="19" spans="9:11" ht="21" x14ac:dyDescent="0.35">
      <c r="I19" s="89"/>
      <c r="J19" s="88"/>
      <c r="K19" s="88"/>
    </row>
    <row r="20" spans="9:11" ht="21" x14ac:dyDescent="0.35">
      <c r="I20" s="89"/>
      <c r="J20" s="88"/>
      <c r="K20" s="88"/>
    </row>
    <row r="21" spans="9:11" ht="21" x14ac:dyDescent="0.35">
      <c r="I21" s="89"/>
      <c r="J21" s="88"/>
      <c r="K21" s="88"/>
    </row>
    <row r="22" spans="9:11" ht="21" x14ac:dyDescent="0.35">
      <c r="I22" s="89"/>
      <c r="J22" s="88"/>
      <c r="K22" s="88"/>
    </row>
    <row r="23" spans="9:11" ht="21" x14ac:dyDescent="0.35">
      <c r="I23" s="89"/>
      <c r="J23" s="88"/>
      <c r="K23" s="88"/>
    </row>
    <row r="24" spans="9:11" ht="21" x14ac:dyDescent="0.35">
      <c r="I24" s="89"/>
      <c r="J24" s="88"/>
      <c r="K24" s="88"/>
    </row>
    <row r="25" spans="9:11" ht="21" x14ac:dyDescent="0.35">
      <c r="I25" s="89"/>
      <c r="J25" s="88"/>
      <c r="K25" s="88"/>
    </row>
    <row r="26" spans="9:11" ht="21" x14ac:dyDescent="0.35">
      <c r="I26" s="89"/>
      <c r="J26" s="88"/>
      <c r="K26" s="88"/>
    </row>
    <row r="27" spans="9:11" ht="21" x14ac:dyDescent="0.35">
      <c r="I27" s="89"/>
      <c r="J27" s="88"/>
      <c r="K27" s="88"/>
    </row>
    <row r="28" spans="9:11" ht="21" x14ac:dyDescent="0.35">
      <c r="I28" s="89"/>
      <c r="J28" s="88"/>
      <c r="K28" s="8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56ABD-7D12-4A1D-852B-F3914F8D4FA1}">
  <dimension ref="A1:Q59"/>
  <sheetViews>
    <sheetView tabSelected="1" zoomScale="145" zoomScaleNormal="145" workbookViewId="0"/>
  </sheetViews>
  <sheetFormatPr baseColWidth="10" defaultRowHeight="15" x14ac:dyDescent="0.25"/>
  <cols>
    <col min="13" max="13" width="8" bestFit="1" customWidth="1"/>
  </cols>
  <sheetData>
    <row r="1" spans="1:17" x14ac:dyDescent="0.25">
      <c r="A1" s="7"/>
      <c r="B1" s="57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.75" x14ac:dyDescent="0.25">
      <c r="A2" s="7"/>
      <c r="B2" s="7"/>
      <c r="C2" s="7"/>
      <c r="D2" s="578" t="s">
        <v>216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.75" x14ac:dyDescent="0.25">
      <c r="A3" s="7"/>
      <c r="B3" s="7"/>
      <c r="C3" s="7"/>
      <c r="D3" s="57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5.75" x14ac:dyDescent="0.25">
      <c r="A4" s="7"/>
      <c r="B4" s="7"/>
      <c r="C4" s="7"/>
      <c r="D4" s="57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5.75" x14ac:dyDescent="0.25">
      <c r="A5" s="7"/>
      <c r="B5" s="7"/>
      <c r="C5" s="7"/>
      <c r="D5" s="57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5.75" x14ac:dyDescent="0.25">
      <c r="A6" s="7"/>
      <c r="B6" s="7"/>
      <c r="C6" s="7"/>
      <c r="D6" s="57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5.75" x14ac:dyDescent="0.25">
      <c r="A7" s="7"/>
      <c r="B7" s="7"/>
      <c r="C7" s="7"/>
      <c r="D7" s="57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5.75" x14ac:dyDescent="0.25">
      <c r="A8" s="7"/>
      <c r="B8" s="7"/>
      <c r="C8" s="7"/>
      <c r="D8" s="57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57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57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58" spans="1:8" ht="28.5" x14ac:dyDescent="0.45">
      <c r="A58" s="575" t="s">
        <v>568</v>
      </c>
      <c r="B58" s="576"/>
      <c r="C58" s="576"/>
      <c r="D58" s="576"/>
      <c r="E58" s="576"/>
      <c r="F58" s="576"/>
      <c r="G58" s="576"/>
      <c r="H58" s="576"/>
    </row>
    <row r="59" spans="1:8" ht="28.5" x14ac:dyDescent="0.45">
      <c r="A59" s="576"/>
      <c r="B59" s="576"/>
      <c r="C59" s="576"/>
      <c r="D59" s="576"/>
      <c r="E59" s="576"/>
      <c r="F59" s="576"/>
      <c r="G59" s="576"/>
      <c r="H59" s="57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91AB-79B9-4963-B63E-CB5E5EE3BC91}">
  <dimension ref="A1:M87"/>
  <sheetViews>
    <sheetView zoomScale="110" zoomScaleNormal="110" workbookViewId="0">
      <selection activeCell="E90" sqref="E90"/>
    </sheetView>
  </sheetViews>
  <sheetFormatPr baseColWidth="10" defaultRowHeight="15" x14ac:dyDescent="0.25"/>
  <cols>
    <col min="1" max="1" width="6.85546875" customWidth="1"/>
    <col min="2" max="3" width="8.7109375" customWidth="1"/>
    <col min="4" max="13" width="10" bestFit="1" customWidth="1"/>
    <col min="14" max="16" width="8.7109375" customWidth="1"/>
  </cols>
  <sheetData>
    <row r="1" spans="1:13" s="14" customFormat="1" ht="18.75" x14ac:dyDescent="0.3">
      <c r="A1" s="61">
        <v>18</v>
      </c>
      <c r="B1" s="61" t="s">
        <v>50</v>
      </c>
    </row>
    <row r="3" spans="1:13" x14ac:dyDescent="0.25">
      <c r="B3" s="32" t="s">
        <v>172</v>
      </c>
      <c r="C3" s="33"/>
      <c r="D3" s="33"/>
      <c r="E3" s="33"/>
      <c r="F3" s="34">
        <v>0.3</v>
      </c>
    </row>
    <row r="5" spans="1:13" x14ac:dyDescent="0.25">
      <c r="B5" s="23" t="s">
        <v>173</v>
      </c>
      <c r="C5" s="24"/>
      <c r="D5" s="24"/>
      <c r="E5" s="24"/>
      <c r="F5" s="25"/>
    </row>
    <row r="6" spans="1:13" x14ac:dyDescent="0.25">
      <c r="B6" s="26" t="s">
        <v>174</v>
      </c>
      <c r="C6" s="27"/>
      <c r="D6" s="27"/>
      <c r="E6" s="27"/>
      <c r="F6" s="28">
        <v>9000000</v>
      </c>
    </row>
    <row r="7" spans="1:13" x14ac:dyDescent="0.25">
      <c r="B7" s="29" t="s">
        <v>178</v>
      </c>
      <c r="C7" s="30"/>
      <c r="D7" s="30"/>
      <c r="E7" s="30"/>
      <c r="F7" s="31">
        <v>4</v>
      </c>
    </row>
    <row r="8" spans="1:13" ht="15.75" thickBot="1" x14ac:dyDescent="0.3"/>
    <row r="9" spans="1:13" x14ac:dyDescent="0.25">
      <c r="B9" s="19" t="s">
        <v>176</v>
      </c>
      <c r="C9" s="20"/>
      <c r="D9" s="20"/>
      <c r="E9" s="20"/>
      <c r="F9" s="20"/>
      <c r="G9" s="40"/>
    </row>
    <row r="10" spans="1:13" x14ac:dyDescent="0.25">
      <c r="B10" s="36" t="s">
        <v>175</v>
      </c>
      <c r="C10" s="35"/>
      <c r="D10" s="35"/>
      <c r="E10" s="35"/>
      <c r="F10" s="35"/>
      <c r="G10" s="41">
        <f>+F6/D11</f>
        <v>900000</v>
      </c>
    </row>
    <row r="11" spans="1:13" ht="15.75" thickBot="1" x14ac:dyDescent="0.3">
      <c r="B11" s="21" t="s">
        <v>180</v>
      </c>
      <c r="C11" s="22"/>
      <c r="D11" s="22">
        <v>10</v>
      </c>
      <c r="E11" s="22"/>
      <c r="F11" s="22"/>
      <c r="G11" s="42"/>
    </row>
    <row r="12" spans="1:13" x14ac:dyDescent="0.25">
      <c r="B12" s="15" t="s">
        <v>179</v>
      </c>
      <c r="C12" s="16"/>
      <c r="D12" s="16"/>
      <c r="E12" s="16"/>
      <c r="F12" s="16"/>
      <c r="G12" s="43"/>
    </row>
    <row r="13" spans="1:13" ht="15.75" thickBot="1" x14ac:dyDescent="0.3">
      <c r="B13" s="17" t="s">
        <v>177</v>
      </c>
      <c r="C13" s="18"/>
      <c r="D13" s="18"/>
      <c r="E13" s="18"/>
      <c r="F13" s="18"/>
      <c r="G13" s="44">
        <f>+F6/F7</f>
        <v>2250000</v>
      </c>
    </row>
    <row r="14" spans="1:13" ht="15.75" thickBot="1" x14ac:dyDescent="0.3"/>
    <row r="15" spans="1:13" ht="15.75" thickBot="1" x14ac:dyDescent="0.3">
      <c r="B15" s="37" t="s">
        <v>181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ht="15.75" thickBot="1" x14ac:dyDescent="0.3"/>
    <row r="17" spans="2:13" ht="15.75" thickBot="1" x14ac:dyDescent="0.3">
      <c r="B17" s="47"/>
      <c r="C17" s="48"/>
      <c r="D17" s="49">
        <v>1</v>
      </c>
      <c r="E17" s="49">
        <f>+D17+1</f>
        <v>2</v>
      </c>
      <c r="F17" s="49">
        <f t="shared" ref="F17:M17" si="0">+E17+1</f>
        <v>3</v>
      </c>
      <c r="G17" s="49">
        <f t="shared" si="0"/>
        <v>4</v>
      </c>
      <c r="H17" s="49">
        <f t="shared" si="0"/>
        <v>5</v>
      </c>
      <c r="I17" s="49">
        <f t="shared" si="0"/>
        <v>6</v>
      </c>
      <c r="J17" s="49">
        <f t="shared" si="0"/>
        <v>7</v>
      </c>
      <c r="K17" s="49">
        <f t="shared" si="0"/>
        <v>8</v>
      </c>
      <c r="L17" s="49">
        <f t="shared" si="0"/>
        <v>9</v>
      </c>
      <c r="M17" s="50">
        <f t="shared" si="0"/>
        <v>10</v>
      </c>
    </row>
    <row r="18" spans="2:13" x14ac:dyDescent="0.25">
      <c r="B18" t="s">
        <v>182</v>
      </c>
      <c r="D18" s="46">
        <f>+$F$6-$G$10*D17</f>
        <v>8100000</v>
      </c>
      <c r="E18" s="46">
        <f>+$F$6-$G$10*E17</f>
        <v>7200000</v>
      </c>
      <c r="F18" s="46">
        <f>+$F$6-$G$10*F17</f>
        <v>6300000</v>
      </c>
      <c r="G18" s="46">
        <f>+$F$6-$G$10*G17</f>
        <v>5400000</v>
      </c>
      <c r="H18" s="46">
        <f t="shared" ref="H18:M18" si="1">+$F$6-$G$10*H17</f>
        <v>4500000</v>
      </c>
      <c r="I18" s="46">
        <f t="shared" si="1"/>
        <v>3600000</v>
      </c>
      <c r="J18" s="46">
        <f t="shared" si="1"/>
        <v>2700000</v>
      </c>
      <c r="K18" s="46">
        <f t="shared" si="1"/>
        <v>1800000</v>
      </c>
      <c r="L18" s="46">
        <f t="shared" si="1"/>
        <v>900000</v>
      </c>
      <c r="M18" s="46">
        <f t="shared" si="1"/>
        <v>0</v>
      </c>
    </row>
    <row r="19" spans="2:13" x14ac:dyDescent="0.25">
      <c r="B19" t="s">
        <v>183</v>
      </c>
      <c r="D19" s="46">
        <f>+$F$6-$G$13*D17</f>
        <v>6750000</v>
      </c>
      <c r="E19" s="46">
        <f>+$F$6-$G$13*E17</f>
        <v>4500000</v>
      </c>
      <c r="F19" s="46">
        <f>+$F$6-$G$13*F17</f>
        <v>2250000</v>
      </c>
      <c r="G19" s="46">
        <f>+$F$6-$G$13*G17</f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</row>
    <row r="20" spans="2:13" ht="15.75" thickBot="1" x14ac:dyDescent="0.3">
      <c r="B20" s="27" t="s">
        <v>184</v>
      </c>
      <c r="C20" s="27"/>
      <c r="D20" s="55">
        <f>+D18-D19</f>
        <v>1350000</v>
      </c>
      <c r="E20" s="55">
        <f t="shared" ref="E20:M20" si="2">+E18-E19</f>
        <v>2700000</v>
      </c>
      <c r="F20" s="55">
        <f t="shared" si="2"/>
        <v>4050000</v>
      </c>
      <c r="G20" s="55">
        <f t="shared" si="2"/>
        <v>5400000</v>
      </c>
      <c r="H20" s="55">
        <f t="shared" si="2"/>
        <v>4500000</v>
      </c>
      <c r="I20" s="55">
        <f t="shared" si="2"/>
        <v>3600000</v>
      </c>
      <c r="J20" s="55">
        <f t="shared" si="2"/>
        <v>2700000</v>
      </c>
      <c r="K20" s="55">
        <f t="shared" si="2"/>
        <v>1800000</v>
      </c>
      <c r="L20" s="55">
        <f t="shared" si="2"/>
        <v>900000</v>
      </c>
      <c r="M20" s="55">
        <f t="shared" si="2"/>
        <v>0</v>
      </c>
    </row>
    <row r="21" spans="2:13" s="1" customFormat="1" ht="15.75" thickBot="1" x14ac:dyDescent="0.3">
      <c r="B21" s="51" t="s">
        <v>186</v>
      </c>
      <c r="C21" s="52"/>
      <c r="D21" s="53">
        <f>+D20*$F$3</f>
        <v>405000</v>
      </c>
      <c r="E21" s="53">
        <f t="shared" ref="E21:M21" si="3">+E20*$F$3</f>
        <v>810000</v>
      </c>
      <c r="F21" s="53">
        <f t="shared" si="3"/>
        <v>1215000</v>
      </c>
      <c r="G21" s="53">
        <f t="shared" si="3"/>
        <v>1620000</v>
      </c>
      <c r="H21" s="53">
        <f t="shared" si="3"/>
        <v>1350000</v>
      </c>
      <c r="I21" s="53">
        <f t="shared" si="3"/>
        <v>1080000</v>
      </c>
      <c r="J21" s="53">
        <f t="shared" si="3"/>
        <v>810000</v>
      </c>
      <c r="K21" s="53">
        <f t="shared" si="3"/>
        <v>540000</v>
      </c>
      <c r="L21" s="53">
        <f t="shared" si="3"/>
        <v>270000</v>
      </c>
      <c r="M21" s="54">
        <f t="shared" si="3"/>
        <v>0</v>
      </c>
    </row>
    <row r="22" spans="2:13" s="1" customFormat="1" ht="15.75" thickBot="1" x14ac:dyDescent="0.3">
      <c r="B22" s="37" t="s">
        <v>193</v>
      </c>
      <c r="C22" s="62"/>
      <c r="D22" s="63">
        <f>+D21</f>
        <v>405000</v>
      </c>
      <c r="E22" s="63">
        <f t="shared" ref="E22:M22" si="4">+E21-D21</f>
        <v>405000</v>
      </c>
      <c r="F22" s="63">
        <f t="shared" si="4"/>
        <v>405000</v>
      </c>
      <c r="G22" s="63">
        <f t="shared" si="4"/>
        <v>405000</v>
      </c>
      <c r="H22" s="63">
        <f t="shared" si="4"/>
        <v>-270000</v>
      </c>
      <c r="I22" s="63">
        <f t="shared" si="4"/>
        <v>-270000</v>
      </c>
      <c r="J22" s="63">
        <f t="shared" si="4"/>
        <v>-270000</v>
      </c>
      <c r="K22" s="63">
        <f t="shared" si="4"/>
        <v>-270000</v>
      </c>
      <c r="L22" s="63">
        <f t="shared" si="4"/>
        <v>-270000</v>
      </c>
      <c r="M22" s="63">
        <f t="shared" si="4"/>
        <v>-270000</v>
      </c>
    </row>
    <row r="23" spans="2:13" ht="15.75" thickBot="1" x14ac:dyDescent="0.3"/>
    <row r="24" spans="2:13" ht="15.75" thickBot="1" x14ac:dyDescent="0.3">
      <c r="B24" s="58" t="s">
        <v>185</v>
      </c>
      <c r="C24" s="59"/>
      <c r="D24" s="60"/>
    </row>
    <row r="26" spans="2:13" x14ac:dyDescent="0.25">
      <c r="B26" s="1" t="s">
        <v>187</v>
      </c>
    </row>
    <row r="27" spans="2:13" x14ac:dyDescent="0.25">
      <c r="D27" s="39" t="s">
        <v>190</v>
      </c>
      <c r="E27" s="39" t="s">
        <v>191</v>
      </c>
      <c r="F27" s="39" t="s">
        <v>192</v>
      </c>
    </row>
    <row r="28" spans="2:13" x14ac:dyDescent="0.25">
      <c r="B28" t="s">
        <v>189</v>
      </c>
      <c r="D28" s="45">
        <f>+D21</f>
        <v>405000</v>
      </c>
    </row>
    <row r="29" spans="2:13" x14ac:dyDescent="0.25">
      <c r="B29" t="s">
        <v>188</v>
      </c>
      <c r="E29" s="45">
        <f>+D28</f>
        <v>405000</v>
      </c>
      <c r="F29" s="56">
        <f>+E29-D29</f>
        <v>405000</v>
      </c>
    </row>
    <row r="30" spans="2:13" x14ac:dyDescent="0.25">
      <c r="F30" s="57"/>
    </row>
    <row r="31" spans="2:13" x14ac:dyDescent="0.25">
      <c r="B31" t="s">
        <v>189</v>
      </c>
      <c r="D31" s="45">
        <f>+E32</f>
        <v>405000</v>
      </c>
      <c r="F31" s="57"/>
    </row>
    <row r="32" spans="2:13" x14ac:dyDescent="0.25">
      <c r="B32" t="s">
        <v>188</v>
      </c>
      <c r="E32" s="45">
        <f>+E21-D21</f>
        <v>405000</v>
      </c>
      <c r="F32" s="56">
        <f>+F29+E32-D32</f>
        <v>810000</v>
      </c>
    </row>
    <row r="33" spans="2:6" x14ac:dyDescent="0.25">
      <c r="F33" s="57"/>
    </row>
    <row r="34" spans="2:6" x14ac:dyDescent="0.25">
      <c r="B34" t="s">
        <v>189</v>
      </c>
      <c r="D34" s="45">
        <f>+F21-E21</f>
        <v>405000</v>
      </c>
      <c r="F34" s="57"/>
    </row>
    <row r="35" spans="2:6" x14ac:dyDescent="0.25">
      <c r="B35" t="s">
        <v>188</v>
      </c>
      <c r="E35" s="45">
        <f>+D34</f>
        <v>405000</v>
      </c>
      <c r="F35" s="56">
        <f>+F32+E35-D35</f>
        <v>1215000</v>
      </c>
    </row>
    <row r="37" spans="2:6" x14ac:dyDescent="0.25">
      <c r="B37" t="s">
        <v>189</v>
      </c>
      <c r="D37" s="45">
        <f>+G21-F21</f>
        <v>405000</v>
      </c>
      <c r="F37" s="57"/>
    </row>
    <row r="38" spans="2:6" x14ac:dyDescent="0.25">
      <c r="B38" t="s">
        <v>188</v>
      </c>
      <c r="E38" s="45">
        <f>+D37</f>
        <v>405000</v>
      </c>
      <c r="F38" s="56">
        <f>+F35+E38-D38</f>
        <v>1620000</v>
      </c>
    </row>
    <row r="40" spans="2:6" x14ac:dyDescent="0.25">
      <c r="B40" t="s">
        <v>188</v>
      </c>
      <c r="D40" s="45">
        <f>+G21-H21</f>
        <v>270000</v>
      </c>
      <c r="F40" s="56">
        <f>+F38+E40-D40</f>
        <v>1350000</v>
      </c>
    </row>
    <row r="41" spans="2:6" x14ac:dyDescent="0.25">
      <c r="B41" t="s">
        <v>189</v>
      </c>
      <c r="E41" s="45">
        <f>+D40</f>
        <v>270000</v>
      </c>
    </row>
    <row r="43" spans="2:6" x14ac:dyDescent="0.25">
      <c r="B43" t="s">
        <v>188</v>
      </c>
      <c r="D43" s="45">
        <f>+H21-I21</f>
        <v>270000</v>
      </c>
      <c r="F43" s="56">
        <f>+F40+E43-D43</f>
        <v>1080000</v>
      </c>
    </row>
    <row r="44" spans="2:6" x14ac:dyDescent="0.25">
      <c r="B44" t="s">
        <v>189</v>
      </c>
      <c r="E44" s="45">
        <f>+D43</f>
        <v>270000</v>
      </c>
    </row>
    <row r="46" spans="2:6" x14ac:dyDescent="0.25">
      <c r="B46" t="s">
        <v>188</v>
      </c>
      <c r="D46" s="45">
        <f>+D43</f>
        <v>270000</v>
      </c>
      <c r="F46" s="56">
        <f>+F43+E46-D46</f>
        <v>810000</v>
      </c>
    </row>
    <row r="47" spans="2:6" x14ac:dyDescent="0.25">
      <c r="B47" t="s">
        <v>189</v>
      </c>
      <c r="E47" s="45">
        <f>+D46</f>
        <v>270000</v>
      </c>
    </row>
    <row r="49" spans="2:13" x14ac:dyDescent="0.25">
      <c r="B49" t="s">
        <v>188</v>
      </c>
      <c r="D49" s="45">
        <f>+D46</f>
        <v>270000</v>
      </c>
      <c r="F49" s="56">
        <f>+F46+E49-D49</f>
        <v>540000</v>
      </c>
    </row>
    <row r="50" spans="2:13" x14ac:dyDescent="0.25">
      <c r="B50" t="s">
        <v>189</v>
      </c>
      <c r="E50" s="45">
        <f>+D49</f>
        <v>270000</v>
      </c>
    </row>
    <row r="52" spans="2:13" x14ac:dyDescent="0.25">
      <c r="B52" t="s">
        <v>188</v>
      </c>
      <c r="D52" s="45">
        <f>+D49</f>
        <v>270000</v>
      </c>
      <c r="F52" s="56">
        <f>+F49+E52-D52</f>
        <v>270000</v>
      </c>
    </row>
    <row r="53" spans="2:13" x14ac:dyDescent="0.25">
      <c r="B53" t="s">
        <v>189</v>
      </c>
      <c r="E53" s="45">
        <f>+D52</f>
        <v>270000</v>
      </c>
    </row>
    <row r="55" spans="2:13" x14ac:dyDescent="0.25">
      <c r="B55" t="s">
        <v>188</v>
      </c>
      <c r="D55" s="45">
        <f>+D52</f>
        <v>270000</v>
      </c>
      <c r="F55" s="56">
        <f>+F52+E55-D55</f>
        <v>0</v>
      </c>
    </row>
    <row r="56" spans="2:13" x14ac:dyDescent="0.25">
      <c r="B56" t="s">
        <v>189</v>
      </c>
      <c r="E56" s="45">
        <f>+D55</f>
        <v>270000</v>
      </c>
    </row>
    <row r="58" spans="2:13" ht="15.75" thickBot="1" x14ac:dyDescent="0.3"/>
    <row r="59" spans="2:13" ht="15.75" thickBot="1" x14ac:dyDescent="0.3">
      <c r="B59" s="37" t="s">
        <v>194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1" spans="2:13" x14ac:dyDescent="0.25">
      <c r="B61" s="1" t="s">
        <v>195</v>
      </c>
    </row>
    <row r="62" spans="2:13" ht="15.75" thickBot="1" x14ac:dyDescent="0.3"/>
    <row r="63" spans="2:13" ht="15.75" thickBot="1" x14ac:dyDescent="0.3">
      <c r="B63" s="47"/>
      <c r="C63" s="48"/>
      <c r="D63" s="49">
        <v>1</v>
      </c>
      <c r="E63" s="49">
        <f>+D63+1</f>
        <v>2</v>
      </c>
      <c r="F63" s="49">
        <f t="shared" ref="F63:M63" si="5">+E63+1</f>
        <v>3</v>
      </c>
      <c r="G63" s="49">
        <f t="shared" si="5"/>
        <v>4</v>
      </c>
      <c r="H63" s="49">
        <f t="shared" si="5"/>
        <v>5</v>
      </c>
      <c r="I63" s="49">
        <f t="shared" si="5"/>
        <v>6</v>
      </c>
      <c r="J63" s="49">
        <f t="shared" si="5"/>
        <v>7</v>
      </c>
      <c r="K63" s="49">
        <f t="shared" si="5"/>
        <v>8</v>
      </c>
      <c r="L63" s="49">
        <f t="shared" si="5"/>
        <v>9</v>
      </c>
      <c r="M63" s="50">
        <f t="shared" si="5"/>
        <v>10</v>
      </c>
    </row>
    <row r="64" spans="2:13" s="1" customFormat="1" x14ac:dyDescent="0.25">
      <c r="B64" s="1" t="s">
        <v>196</v>
      </c>
      <c r="D64" s="56">
        <v>4000000</v>
      </c>
      <c r="E64" s="56">
        <v>4000000</v>
      </c>
      <c r="F64" s="56">
        <v>4000000</v>
      </c>
      <c r="G64" s="56">
        <v>4000000</v>
      </c>
      <c r="H64" s="56">
        <v>4000000</v>
      </c>
      <c r="I64" s="56">
        <v>4000000</v>
      </c>
      <c r="J64" s="56">
        <v>4000000</v>
      </c>
      <c r="K64" s="56">
        <v>4000000</v>
      </c>
      <c r="L64" s="56">
        <v>4000000</v>
      </c>
      <c r="M64" s="56">
        <v>4000000</v>
      </c>
    </row>
    <row r="65" spans="2:13" x14ac:dyDescent="0.25">
      <c r="B65" t="s">
        <v>198</v>
      </c>
      <c r="D65" s="46">
        <f>+G10</f>
        <v>900000</v>
      </c>
      <c r="E65" s="46">
        <f>+D65</f>
        <v>900000</v>
      </c>
      <c r="F65" s="46">
        <f t="shared" ref="F65:M65" si="6">+E65</f>
        <v>900000</v>
      </c>
      <c r="G65" s="46">
        <f t="shared" si="6"/>
        <v>900000</v>
      </c>
      <c r="H65" s="46">
        <f t="shared" si="6"/>
        <v>900000</v>
      </c>
      <c r="I65" s="46">
        <f t="shared" si="6"/>
        <v>900000</v>
      </c>
      <c r="J65" s="46">
        <f t="shared" si="6"/>
        <v>900000</v>
      </c>
      <c r="K65" s="46">
        <f t="shared" si="6"/>
        <v>900000</v>
      </c>
      <c r="L65" s="46">
        <f t="shared" si="6"/>
        <v>900000</v>
      </c>
      <c r="M65" s="46">
        <f t="shared" si="6"/>
        <v>900000</v>
      </c>
    </row>
    <row r="66" spans="2:13" x14ac:dyDescent="0.25">
      <c r="B66" t="s">
        <v>199</v>
      </c>
      <c r="D66" s="46">
        <f>-G13</f>
        <v>-2250000</v>
      </c>
      <c r="E66" s="46">
        <f>+D66</f>
        <v>-2250000</v>
      </c>
      <c r="F66" s="46">
        <f>+E66</f>
        <v>-2250000</v>
      </c>
      <c r="G66" s="46">
        <f>+F66</f>
        <v>-2250000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</row>
    <row r="67" spans="2:13" s="1" customFormat="1" ht="15.75" thickBot="1" x14ac:dyDescent="0.3">
      <c r="B67" s="64" t="s">
        <v>197</v>
      </c>
      <c r="C67" s="64"/>
      <c r="D67" s="65">
        <f>SUM(D64:D66)</f>
        <v>2650000</v>
      </c>
      <c r="E67" s="65">
        <f t="shared" ref="E67:M67" si="7">SUM(E64:E66)</f>
        <v>2650000</v>
      </c>
      <c r="F67" s="65">
        <f t="shared" si="7"/>
        <v>2650000</v>
      </c>
      <c r="G67" s="65">
        <f t="shared" si="7"/>
        <v>2650000</v>
      </c>
      <c r="H67" s="65">
        <f t="shared" si="7"/>
        <v>4900000</v>
      </c>
      <c r="I67" s="65">
        <f t="shared" si="7"/>
        <v>4900000</v>
      </c>
      <c r="J67" s="65">
        <f t="shared" si="7"/>
        <v>4900000</v>
      </c>
      <c r="K67" s="65">
        <f t="shared" si="7"/>
        <v>4900000</v>
      </c>
      <c r="L67" s="65">
        <f t="shared" si="7"/>
        <v>4900000</v>
      </c>
      <c r="M67" s="65">
        <f t="shared" si="7"/>
        <v>4900000</v>
      </c>
    </row>
    <row r="68" spans="2:13" ht="15.75" thickBot="1" x14ac:dyDescent="0.3">
      <c r="B68" s="58" t="s">
        <v>200</v>
      </c>
      <c r="C68" s="59"/>
      <c r="D68" s="66">
        <f>+D67*$F$3</f>
        <v>795000</v>
      </c>
      <c r="E68" s="66">
        <f t="shared" ref="E68:M68" si="8">+E67*$F$3</f>
        <v>795000</v>
      </c>
      <c r="F68" s="66">
        <f t="shared" si="8"/>
        <v>795000</v>
      </c>
      <c r="G68" s="66">
        <f t="shared" si="8"/>
        <v>795000</v>
      </c>
      <c r="H68" s="66">
        <f t="shared" si="8"/>
        <v>1470000</v>
      </c>
      <c r="I68" s="66">
        <f t="shared" si="8"/>
        <v>1470000</v>
      </c>
      <c r="J68" s="66">
        <f t="shared" si="8"/>
        <v>1470000</v>
      </c>
      <c r="K68" s="66">
        <f t="shared" si="8"/>
        <v>1470000</v>
      </c>
      <c r="L68" s="66">
        <f t="shared" si="8"/>
        <v>1470000</v>
      </c>
      <c r="M68" s="67">
        <f t="shared" si="8"/>
        <v>1470000</v>
      </c>
    </row>
    <row r="69" spans="2:13" ht="15.75" thickBot="1" x14ac:dyDescent="0.3"/>
    <row r="70" spans="2:13" x14ac:dyDescent="0.25">
      <c r="B70" s="70" t="s">
        <v>201</v>
      </c>
      <c r="C70" s="71"/>
      <c r="D70" s="72">
        <f>+D68</f>
        <v>795000</v>
      </c>
      <c r="E70" s="73"/>
    </row>
    <row r="71" spans="2:13" ht="15.75" thickBot="1" x14ac:dyDescent="0.3">
      <c r="B71" s="74" t="s">
        <v>202</v>
      </c>
      <c r="C71" s="75"/>
      <c r="D71" s="75"/>
      <c r="E71" s="76">
        <f>+D70</f>
        <v>795000</v>
      </c>
    </row>
    <row r="72" spans="2:13" ht="15.75" thickBot="1" x14ac:dyDescent="0.3"/>
    <row r="73" spans="2:13" ht="15.75" thickBot="1" x14ac:dyDescent="0.3">
      <c r="B73" s="81" t="s">
        <v>203</v>
      </c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9"/>
    </row>
    <row r="74" spans="2:13" ht="15.75" thickBot="1" x14ac:dyDescent="0.3">
      <c r="B74" s="47"/>
      <c r="C74" s="48"/>
      <c r="D74" s="49">
        <v>1</v>
      </c>
      <c r="E74" s="49">
        <f>+D74+1</f>
        <v>2</v>
      </c>
      <c r="F74" s="49">
        <f t="shared" ref="F74:M74" si="9">+E74+1</f>
        <v>3</v>
      </c>
      <c r="G74" s="49">
        <f t="shared" si="9"/>
        <v>4</v>
      </c>
      <c r="H74" s="49">
        <f t="shared" si="9"/>
        <v>5</v>
      </c>
      <c r="I74" s="49">
        <f t="shared" si="9"/>
        <v>6</v>
      </c>
      <c r="J74" s="49">
        <f t="shared" si="9"/>
        <v>7</v>
      </c>
      <c r="K74" s="49">
        <f t="shared" si="9"/>
        <v>8</v>
      </c>
      <c r="L74" s="49">
        <f t="shared" si="9"/>
        <v>9</v>
      </c>
      <c r="M74" s="50">
        <f t="shared" si="9"/>
        <v>10</v>
      </c>
    </row>
    <row r="75" spans="2:13" x14ac:dyDescent="0.25">
      <c r="B75" s="82" t="s">
        <v>204</v>
      </c>
      <c r="M75" s="83"/>
    </row>
    <row r="76" spans="2:13" x14ac:dyDescent="0.25">
      <c r="B76" s="82" t="s">
        <v>205</v>
      </c>
      <c r="M76" s="83"/>
    </row>
    <row r="77" spans="2:13" x14ac:dyDescent="0.25">
      <c r="B77" s="82" t="s">
        <v>206</v>
      </c>
      <c r="M77" s="83"/>
    </row>
    <row r="78" spans="2:13" x14ac:dyDescent="0.25">
      <c r="B78" s="82" t="s">
        <v>207</v>
      </c>
      <c r="M78" s="83"/>
    </row>
    <row r="79" spans="2:13" x14ac:dyDescent="0.25">
      <c r="B79" s="82" t="s">
        <v>207</v>
      </c>
      <c r="M79" s="83"/>
    </row>
    <row r="80" spans="2:13" x14ac:dyDescent="0.25">
      <c r="B80" s="82" t="s">
        <v>207</v>
      </c>
      <c r="M80" s="83"/>
    </row>
    <row r="81" spans="1:13" ht="15.75" thickBot="1" x14ac:dyDescent="0.3">
      <c r="B81" s="82" t="s">
        <v>207</v>
      </c>
      <c r="M81" s="83"/>
    </row>
    <row r="82" spans="1:13" ht="15.75" thickBot="1" x14ac:dyDescent="0.3">
      <c r="A82" s="85">
        <v>1</v>
      </c>
      <c r="B82" s="77" t="s">
        <v>208</v>
      </c>
      <c r="C82" s="78"/>
      <c r="D82" s="79">
        <f>+D64</f>
        <v>4000000</v>
      </c>
      <c r="E82" s="79">
        <f t="shared" ref="E82:M82" si="10">+E64</f>
        <v>4000000</v>
      </c>
      <c r="F82" s="79">
        <f t="shared" si="10"/>
        <v>4000000</v>
      </c>
      <c r="G82" s="79">
        <f t="shared" si="10"/>
        <v>4000000</v>
      </c>
      <c r="H82" s="79">
        <f t="shared" si="10"/>
        <v>4000000</v>
      </c>
      <c r="I82" s="79">
        <f t="shared" si="10"/>
        <v>4000000</v>
      </c>
      <c r="J82" s="79">
        <f t="shared" si="10"/>
        <v>4000000</v>
      </c>
      <c r="K82" s="79">
        <f t="shared" si="10"/>
        <v>4000000</v>
      </c>
      <c r="L82" s="79">
        <f t="shared" si="10"/>
        <v>4000000</v>
      </c>
      <c r="M82" s="80">
        <f t="shared" si="10"/>
        <v>4000000</v>
      </c>
    </row>
    <row r="83" spans="1:13" x14ac:dyDescent="0.25">
      <c r="A83" s="85">
        <v>0.3</v>
      </c>
      <c r="B83" s="82" t="s">
        <v>209</v>
      </c>
      <c r="D83" s="46">
        <f>-D68</f>
        <v>-795000</v>
      </c>
      <c r="E83" s="46">
        <f t="shared" ref="E83:M83" si="11">-E68</f>
        <v>-795000</v>
      </c>
      <c r="F83" s="46">
        <f t="shared" si="11"/>
        <v>-795000</v>
      </c>
      <c r="G83" s="46">
        <f t="shared" si="11"/>
        <v>-795000</v>
      </c>
      <c r="H83" s="46">
        <f t="shared" si="11"/>
        <v>-1470000</v>
      </c>
      <c r="I83" s="46">
        <f t="shared" si="11"/>
        <v>-1470000</v>
      </c>
      <c r="J83" s="46">
        <f t="shared" si="11"/>
        <v>-1470000</v>
      </c>
      <c r="K83" s="46">
        <f t="shared" si="11"/>
        <v>-1470000</v>
      </c>
      <c r="L83" s="46">
        <f t="shared" si="11"/>
        <v>-1470000</v>
      </c>
      <c r="M83" s="84">
        <f t="shared" si="11"/>
        <v>-1470000</v>
      </c>
    </row>
    <row r="84" spans="1:13" ht="15.75" thickBot="1" x14ac:dyDescent="0.3">
      <c r="B84" s="82" t="s">
        <v>210</v>
      </c>
      <c r="D84" s="86">
        <v>-405000</v>
      </c>
      <c r="E84" s="86">
        <v>-405000</v>
      </c>
      <c r="F84" s="86">
        <v>-405000</v>
      </c>
      <c r="G84" s="86">
        <v>-405000</v>
      </c>
      <c r="H84" s="86">
        <v>270000</v>
      </c>
      <c r="I84" s="86">
        <v>270000</v>
      </c>
      <c r="J84" s="86">
        <v>270000</v>
      </c>
      <c r="K84" s="86">
        <v>270000</v>
      </c>
      <c r="L84" s="86">
        <v>270000</v>
      </c>
      <c r="M84" s="87">
        <v>270000</v>
      </c>
    </row>
    <row r="85" spans="1:13" ht="15.75" thickBot="1" x14ac:dyDescent="0.3">
      <c r="A85" s="85">
        <v>0.7</v>
      </c>
      <c r="B85" s="77" t="s">
        <v>211</v>
      </c>
      <c r="C85" s="78"/>
      <c r="D85" s="79">
        <f>SUM(D82:D84)</f>
        <v>2800000</v>
      </c>
      <c r="E85" s="79">
        <f t="shared" ref="E85:M85" si="12">SUM(E82:E84)</f>
        <v>2800000</v>
      </c>
      <c r="F85" s="79">
        <f t="shared" si="12"/>
        <v>2800000</v>
      </c>
      <c r="G85" s="79">
        <f t="shared" si="12"/>
        <v>2800000</v>
      </c>
      <c r="H85" s="79">
        <f t="shared" si="12"/>
        <v>2800000</v>
      </c>
      <c r="I85" s="79">
        <f t="shared" si="12"/>
        <v>2800000</v>
      </c>
      <c r="J85" s="79">
        <f t="shared" si="12"/>
        <v>2800000</v>
      </c>
      <c r="K85" s="79">
        <f t="shared" si="12"/>
        <v>2800000</v>
      </c>
      <c r="L85" s="79">
        <f t="shared" si="12"/>
        <v>2800000</v>
      </c>
      <c r="M85" s="80">
        <f t="shared" si="12"/>
        <v>2800000</v>
      </c>
    </row>
    <row r="87" spans="1:13" x14ac:dyDescent="0.25">
      <c r="D87" s="86">
        <f>SUM(D84:M84)</f>
        <v>0</v>
      </c>
      <c r="E87" s="1" t="s">
        <v>212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7FDF-1293-48F1-8473-F2535360A496}">
  <dimension ref="A1:F25"/>
  <sheetViews>
    <sheetView zoomScale="190" zoomScaleNormal="190" workbookViewId="0">
      <selection activeCell="C5" sqref="C5"/>
    </sheetView>
  </sheetViews>
  <sheetFormatPr baseColWidth="10" defaultRowHeight="15" x14ac:dyDescent="0.25"/>
  <cols>
    <col min="1" max="1" width="6" style="91" bestFit="1" customWidth="1"/>
    <col min="2" max="2" width="7.42578125" customWidth="1"/>
  </cols>
  <sheetData>
    <row r="1" spans="1:6" s="92" customFormat="1" x14ac:dyDescent="0.25">
      <c r="A1" s="91" t="s">
        <v>24</v>
      </c>
      <c r="B1" s="92" t="s">
        <v>217</v>
      </c>
    </row>
    <row r="2" spans="1:6" s="100" customFormat="1" x14ac:dyDescent="0.25">
      <c r="A2" s="91"/>
      <c r="B2" s="100" t="s">
        <v>218</v>
      </c>
    </row>
    <row r="3" spans="1:6" x14ac:dyDescent="0.25">
      <c r="B3" s="1" t="s">
        <v>219</v>
      </c>
    </row>
    <row r="4" spans="1:6" x14ac:dyDescent="0.25">
      <c r="B4" s="1"/>
      <c r="C4" s="1" t="s">
        <v>233</v>
      </c>
    </row>
    <row r="5" spans="1:6" ht="15.75" thickBot="1" x14ac:dyDescent="0.3"/>
    <row r="6" spans="1:6" x14ac:dyDescent="0.25">
      <c r="C6" s="102" t="s">
        <v>218</v>
      </c>
      <c r="D6" s="103"/>
      <c r="E6" s="103"/>
      <c r="F6" s="104"/>
    </row>
    <row r="7" spans="1:6" x14ac:dyDescent="0.25">
      <c r="C7" s="93"/>
      <c r="D7" s="99" t="s">
        <v>225</v>
      </c>
      <c r="E7" s="94"/>
      <c r="F7" s="95"/>
    </row>
    <row r="8" spans="1:6" x14ac:dyDescent="0.25">
      <c r="C8" s="93"/>
      <c r="D8" s="105" t="s">
        <v>226</v>
      </c>
      <c r="E8" s="94"/>
      <c r="F8" s="106">
        <v>1000000</v>
      </c>
    </row>
    <row r="9" spans="1:6" x14ac:dyDescent="0.25">
      <c r="C9" s="93"/>
      <c r="D9" s="105" t="s">
        <v>230</v>
      </c>
      <c r="E9" s="94"/>
      <c r="F9" s="106">
        <v>3000000</v>
      </c>
    </row>
    <row r="10" spans="1:6" x14ac:dyDescent="0.25">
      <c r="C10" s="93"/>
      <c r="D10" s="113" t="s">
        <v>227</v>
      </c>
      <c r="E10" s="27"/>
      <c r="F10" s="114">
        <v>6000000</v>
      </c>
    </row>
    <row r="11" spans="1:6" x14ac:dyDescent="0.25">
      <c r="C11" s="93"/>
      <c r="D11" s="105" t="s">
        <v>228</v>
      </c>
      <c r="E11" s="94"/>
      <c r="F11" s="106">
        <v>1600000</v>
      </c>
    </row>
    <row r="12" spans="1:6" x14ac:dyDescent="0.25">
      <c r="C12" s="93"/>
      <c r="D12" s="105" t="s">
        <v>229</v>
      </c>
      <c r="E12" s="94"/>
      <c r="F12" s="106">
        <v>700000</v>
      </c>
    </row>
    <row r="13" spans="1:6" s="1" customFormat="1" x14ac:dyDescent="0.25">
      <c r="A13" s="107"/>
      <c r="C13" s="109"/>
      <c r="D13" s="110"/>
      <c r="E13" s="111" t="s">
        <v>231</v>
      </c>
      <c r="F13" s="112">
        <f>SUM(F8:F12)</f>
        <v>12300000</v>
      </c>
    </row>
    <row r="14" spans="1:6" x14ac:dyDescent="0.25">
      <c r="C14" s="93"/>
      <c r="D14" s="105"/>
      <c r="E14" s="94"/>
      <c r="F14" s="106"/>
    </row>
    <row r="15" spans="1:6" x14ac:dyDescent="0.25">
      <c r="C15" s="108" t="s">
        <v>232</v>
      </c>
      <c r="D15" s="105"/>
      <c r="E15" s="94"/>
      <c r="F15" s="106"/>
    </row>
    <row r="16" spans="1:6" x14ac:dyDescent="0.25">
      <c r="C16" s="93"/>
      <c r="D16" s="105"/>
      <c r="E16" s="94"/>
      <c r="F16" s="106"/>
    </row>
    <row r="17" spans="3:6" x14ac:dyDescent="0.25">
      <c r="C17" s="93"/>
      <c r="D17" s="105"/>
      <c r="E17" s="94"/>
      <c r="F17" s="106"/>
    </row>
    <row r="18" spans="3:6" x14ac:dyDescent="0.25">
      <c r="C18" s="93"/>
      <c r="D18" s="105"/>
      <c r="E18" s="94"/>
      <c r="F18" s="106"/>
    </row>
    <row r="19" spans="3:6" x14ac:dyDescent="0.25">
      <c r="C19" s="93"/>
      <c r="D19" s="94"/>
      <c r="E19" s="94"/>
      <c r="F19" s="95"/>
    </row>
    <row r="20" spans="3:6" x14ac:dyDescent="0.25">
      <c r="C20" s="93" t="s">
        <v>220</v>
      </c>
      <c r="D20" s="94"/>
      <c r="E20" s="94"/>
      <c r="F20" s="95"/>
    </row>
    <row r="21" spans="3:6" x14ac:dyDescent="0.25">
      <c r="C21" s="93"/>
      <c r="D21" s="94"/>
      <c r="E21" s="94"/>
      <c r="F21" s="95"/>
    </row>
    <row r="22" spans="3:6" x14ac:dyDescent="0.25">
      <c r="C22" s="93" t="s">
        <v>221</v>
      </c>
      <c r="D22" s="94"/>
      <c r="E22" s="94"/>
      <c r="F22" s="95"/>
    </row>
    <row r="23" spans="3:6" x14ac:dyDescent="0.25">
      <c r="C23" s="93"/>
      <c r="D23" s="101" t="s">
        <v>222</v>
      </c>
      <c r="E23" s="94"/>
      <c r="F23" s="95"/>
    </row>
    <row r="24" spans="3:6" x14ac:dyDescent="0.25">
      <c r="C24" s="93"/>
      <c r="D24" s="94" t="s">
        <v>223</v>
      </c>
      <c r="E24" s="94"/>
      <c r="F24" s="95"/>
    </row>
    <row r="25" spans="3:6" ht="15.75" thickBot="1" x14ac:dyDescent="0.3">
      <c r="C25" s="96"/>
      <c r="D25" s="97" t="s">
        <v>224</v>
      </c>
      <c r="E25" s="97"/>
      <c r="F25" s="9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B3EB-C39C-4FD8-AC52-E3CE250F57F5}">
  <dimension ref="A1:E43"/>
  <sheetViews>
    <sheetView zoomScale="160" zoomScaleNormal="160" workbookViewId="0">
      <selection activeCell="B2" sqref="B2"/>
    </sheetView>
  </sheetViews>
  <sheetFormatPr baseColWidth="10" defaultRowHeight="15" x14ac:dyDescent="0.25"/>
  <cols>
    <col min="1" max="1" width="6.85546875" customWidth="1"/>
  </cols>
  <sheetData>
    <row r="1" spans="1:5" s="119" customFormat="1" x14ac:dyDescent="0.25">
      <c r="A1" s="12" t="s">
        <v>242</v>
      </c>
      <c r="B1" s="120" t="s">
        <v>243</v>
      </c>
    </row>
    <row r="2" spans="1:5" s="121" customFormat="1" x14ac:dyDescent="0.25">
      <c r="A2" s="12"/>
      <c r="B2" s="121" t="s">
        <v>241</v>
      </c>
    </row>
    <row r="3" spans="1:5" s="121" customFormat="1" x14ac:dyDescent="0.25">
      <c r="A3" s="12"/>
      <c r="B3" s="121" t="s">
        <v>244</v>
      </c>
    </row>
    <row r="4" spans="1:5" s="121" customFormat="1" x14ac:dyDescent="0.25">
      <c r="A4" s="12"/>
      <c r="B4" s="122" t="s">
        <v>245</v>
      </c>
    </row>
    <row r="16" spans="1:5" x14ac:dyDescent="0.25">
      <c r="B16" s="123" t="s">
        <v>246</v>
      </c>
      <c r="C16" s="35"/>
      <c r="D16" s="35"/>
      <c r="E16" s="35"/>
    </row>
    <row r="17" spans="2:5" ht="6" customHeight="1" x14ac:dyDescent="0.25"/>
    <row r="18" spans="2:5" x14ac:dyDescent="0.25">
      <c r="B18" s="126" t="s">
        <v>254</v>
      </c>
      <c r="C18" s="16"/>
      <c r="D18" s="16"/>
      <c r="E18" s="127"/>
    </row>
    <row r="19" spans="2:5" x14ac:dyDescent="0.25">
      <c r="B19" s="128" t="s">
        <v>251</v>
      </c>
      <c r="C19" s="129"/>
      <c r="D19" s="130">
        <v>50000000</v>
      </c>
      <c r="E19" s="131" t="s">
        <v>247</v>
      </c>
    </row>
    <row r="20" spans="2:5" x14ac:dyDescent="0.25">
      <c r="B20" s="128" t="s">
        <v>248</v>
      </c>
      <c r="C20" s="129"/>
      <c r="D20" s="129">
        <v>5</v>
      </c>
      <c r="E20" s="131" t="s">
        <v>249</v>
      </c>
    </row>
    <row r="21" spans="2:5" x14ac:dyDescent="0.25">
      <c r="B21" s="128" t="s">
        <v>250</v>
      </c>
      <c r="C21" s="129"/>
      <c r="D21" s="130">
        <f>+D19*E21</f>
        <v>4000000</v>
      </c>
      <c r="E21" s="132">
        <v>0.08</v>
      </c>
    </row>
    <row r="22" spans="2:5" x14ac:dyDescent="0.25">
      <c r="B22" s="17" t="s">
        <v>252</v>
      </c>
      <c r="C22" s="18"/>
      <c r="D22" s="18"/>
      <c r="E22" s="133"/>
    </row>
    <row r="23" spans="2:5" ht="7.5" customHeight="1" x14ac:dyDescent="0.25"/>
    <row r="24" spans="2:5" x14ac:dyDescent="0.25">
      <c r="B24" s="124" t="s">
        <v>253</v>
      </c>
      <c r="C24" s="124"/>
      <c r="D24" s="125">
        <f>+D19</f>
        <v>50000000</v>
      </c>
      <c r="E24" s="124"/>
    </row>
    <row r="25" spans="2:5" x14ac:dyDescent="0.25">
      <c r="B25" s="124" t="s">
        <v>255</v>
      </c>
      <c r="C25" s="124"/>
      <c r="D25" s="124"/>
      <c r="E25" s="125">
        <f>+D24</f>
        <v>50000000</v>
      </c>
    </row>
    <row r="26" spans="2:5" ht="9" customHeight="1" x14ac:dyDescent="0.25"/>
    <row r="27" spans="2:5" x14ac:dyDescent="0.25">
      <c r="B27" s="124" t="s">
        <v>256</v>
      </c>
      <c r="C27" s="124"/>
      <c r="D27" s="125">
        <f>+D21</f>
        <v>4000000</v>
      </c>
      <c r="E27" s="124"/>
    </row>
    <row r="28" spans="2:5" x14ac:dyDescent="0.25">
      <c r="B28" s="124" t="s">
        <v>253</v>
      </c>
      <c r="C28" s="124"/>
      <c r="D28" s="124"/>
      <c r="E28" s="125">
        <f>+D27</f>
        <v>4000000</v>
      </c>
    </row>
    <row r="29" spans="2:5" ht="11.25" customHeight="1" x14ac:dyDescent="0.25"/>
    <row r="30" spans="2:5" x14ac:dyDescent="0.25">
      <c r="B30" s="124" t="s">
        <v>256</v>
      </c>
      <c r="C30" s="124"/>
      <c r="D30" s="125">
        <f>+D27</f>
        <v>4000000</v>
      </c>
      <c r="E30" s="124"/>
    </row>
    <row r="31" spans="2:5" x14ac:dyDescent="0.25">
      <c r="B31" s="124" t="s">
        <v>253</v>
      </c>
      <c r="C31" s="124"/>
      <c r="D31" s="124"/>
      <c r="E31" s="125">
        <f>+D30</f>
        <v>4000000</v>
      </c>
    </row>
    <row r="32" spans="2:5" ht="9.75" customHeight="1" x14ac:dyDescent="0.25"/>
    <row r="33" spans="2:5" x14ac:dyDescent="0.25">
      <c r="B33" s="124" t="s">
        <v>256</v>
      </c>
      <c r="C33" s="124"/>
      <c r="D33" s="125">
        <f>+D30</f>
        <v>4000000</v>
      </c>
      <c r="E33" s="124"/>
    </row>
    <row r="34" spans="2:5" x14ac:dyDescent="0.25">
      <c r="B34" s="124" t="s">
        <v>253</v>
      </c>
      <c r="C34" s="124"/>
      <c r="D34" s="124"/>
      <c r="E34" s="125">
        <f>+D33</f>
        <v>4000000</v>
      </c>
    </row>
    <row r="35" spans="2:5" ht="7.5" customHeight="1" x14ac:dyDescent="0.25"/>
    <row r="36" spans="2:5" x14ac:dyDescent="0.25">
      <c r="B36" s="124" t="s">
        <v>256</v>
      </c>
      <c r="C36" s="124"/>
      <c r="D36" s="125">
        <f>+D33</f>
        <v>4000000</v>
      </c>
      <c r="E36" s="124"/>
    </row>
    <row r="37" spans="2:5" x14ac:dyDescent="0.25">
      <c r="B37" s="124" t="s">
        <v>253</v>
      </c>
      <c r="C37" s="124"/>
      <c r="D37" s="124"/>
      <c r="E37" s="125">
        <f>+D36</f>
        <v>4000000</v>
      </c>
    </row>
    <row r="38" spans="2:5" ht="6.75" customHeight="1" x14ac:dyDescent="0.25"/>
    <row r="39" spans="2:5" x14ac:dyDescent="0.25">
      <c r="B39" s="124" t="s">
        <v>256</v>
      </c>
      <c r="C39" s="124"/>
      <c r="D39" s="125">
        <f>+D36</f>
        <v>4000000</v>
      </c>
      <c r="E39" s="124"/>
    </row>
    <row r="40" spans="2:5" x14ac:dyDescent="0.25">
      <c r="B40" s="124" t="s">
        <v>253</v>
      </c>
      <c r="C40" s="124"/>
      <c r="D40" s="124"/>
      <c r="E40" s="125">
        <f>+D39</f>
        <v>4000000</v>
      </c>
    </row>
    <row r="41" spans="2:5" ht="8.25" customHeight="1" x14ac:dyDescent="0.25"/>
    <row r="42" spans="2:5" x14ac:dyDescent="0.25">
      <c r="B42" s="124" t="s">
        <v>257</v>
      </c>
      <c r="C42" s="124"/>
      <c r="D42" s="125">
        <f>+D24</f>
        <v>50000000</v>
      </c>
      <c r="E42" s="124"/>
    </row>
    <row r="43" spans="2:5" x14ac:dyDescent="0.25">
      <c r="B43" s="124" t="s">
        <v>253</v>
      </c>
      <c r="C43" s="124"/>
      <c r="D43" s="124"/>
      <c r="E43" s="125">
        <f>+D42</f>
        <v>50000000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63C4-802F-412F-891A-2FAAD7A38714}">
  <dimension ref="A1:BC253"/>
  <sheetViews>
    <sheetView zoomScale="115" zoomScaleNormal="115" workbookViewId="0">
      <pane ySplit="2" topLeftCell="A17" activePane="bottomLeft" state="frozen"/>
      <selection pane="bottomLeft" activeCell="E1" sqref="E1"/>
    </sheetView>
  </sheetViews>
  <sheetFormatPr baseColWidth="10" defaultRowHeight="19.5" x14ac:dyDescent="0.3"/>
  <cols>
    <col min="1" max="2" width="11.42578125" style="134"/>
    <col min="3" max="8" width="14.85546875" style="134" bestFit="1" customWidth="1"/>
    <col min="9" max="54" width="11.42578125" style="134"/>
  </cols>
  <sheetData>
    <row r="1" spans="1:54" s="138" customFormat="1" ht="23.25" x14ac:dyDescent="0.35">
      <c r="A1" s="136" t="s">
        <v>258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</row>
    <row r="2" spans="1:54" x14ac:dyDescent="0.3">
      <c r="A2" s="135" t="s">
        <v>259</v>
      </c>
    </row>
    <row r="4" spans="1:54" x14ac:dyDescent="0.3">
      <c r="A4" s="140" t="s">
        <v>260</v>
      </c>
      <c r="B4" s="140"/>
      <c r="C4" s="140"/>
      <c r="D4" s="140"/>
      <c r="E4" s="140"/>
      <c r="F4" s="140"/>
    </row>
    <row r="6" spans="1:54" x14ac:dyDescent="0.3">
      <c r="A6" s="141" t="s">
        <v>264</v>
      </c>
      <c r="B6" s="142"/>
    </row>
    <row r="7" spans="1:54" x14ac:dyDescent="0.3">
      <c r="A7" s="139" t="s">
        <v>262</v>
      </c>
    </row>
    <row r="8" spans="1:54" x14ac:dyDescent="0.3">
      <c r="A8" s="139" t="s">
        <v>263</v>
      </c>
    </row>
    <row r="9" spans="1:54" x14ac:dyDescent="0.3">
      <c r="A9" s="141" t="s">
        <v>265</v>
      </c>
      <c r="B9" s="142"/>
    </row>
    <row r="10" spans="1:54" x14ac:dyDescent="0.3">
      <c r="A10" s="139" t="s">
        <v>266</v>
      </c>
    </row>
    <row r="11" spans="1:54" x14ac:dyDescent="0.3">
      <c r="A11" s="139" t="s">
        <v>267</v>
      </c>
    </row>
    <row r="13" spans="1:54" x14ac:dyDescent="0.3">
      <c r="A13" s="140" t="s">
        <v>261</v>
      </c>
      <c r="B13" s="140"/>
      <c r="C13" s="140"/>
      <c r="D13" s="140"/>
      <c r="E13" s="140"/>
      <c r="F13" s="140"/>
    </row>
    <row r="14" spans="1:54" x14ac:dyDescent="0.3">
      <c r="A14" s="134" t="s">
        <v>268</v>
      </c>
    </row>
    <row r="16" spans="1:54" x14ac:dyDescent="0.3">
      <c r="A16" s="141" t="s">
        <v>269</v>
      </c>
      <c r="B16" s="142"/>
      <c r="C16" s="142"/>
      <c r="D16" s="142"/>
      <c r="E16" s="142"/>
      <c r="F16" s="142"/>
    </row>
    <row r="17" spans="1:5" x14ac:dyDescent="0.3">
      <c r="A17" s="134" t="s">
        <v>248</v>
      </c>
      <c r="D17" s="134">
        <v>60</v>
      </c>
      <c r="E17" s="134" t="s">
        <v>270</v>
      </c>
    </row>
    <row r="18" spans="1:5" x14ac:dyDescent="0.3">
      <c r="A18" s="134" t="s">
        <v>271</v>
      </c>
      <c r="D18" s="134">
        <v>100000</v>
      </c>
      <c r="E18" s="134" t="s">
        <v>272</v>
      </c>
    </row>
    <row r="19" spans="1:5" x14ac:dyDescent="0.3">
      <c r="A19" s="134" t="s">
        <v>273</v>
      </c>
      <c r="D19" s="143">
        <v>0.01</v>
      </c>
      <c r="E19" s="134" t="s">
        <v>274</v>
      </c>
    </row>
    <row r="20" spans="1:5" x14ac:dyDescent="0.3">
      <c r="D20" s="143"/>
    </row>
    <row r="21" spans="1:5" x14ac:dyDescent="0.3">
      <c r="A21" s="135" t="s">
        <v>276</v>
      </c>
      <c r="D21" s="143"/>
    </row>
    <row r="22" spans="1:5" x14ac:dyDescent="0.3">
      <c r="A22" s="134" t="s">
        <v>275</v>
      </c>
      <c r="D22" s="134">
        <f>PV(D19,D17,-D18,0,0)</f>
        <v>4495503.8406224037</v>
      </c>
    </row>
    <row r="24" spans="1:5" x14ac:dyDescent="0.3">
      <c r="A24" s="135" t="s">
        <v>277</v>
      </c>
    </row>
    <row r="26" spans="1:5" x14ac:dyDescent="0.3">
      <c r="D26" s="144" t="s">
        <v>190</v>
      </c>
      <c r="E26" s="144" t="s">
        <v>191</v>
      </c>
    </row>
    <row r="27" spans="1:5" x14ac:dyDescent="0.3">
      <c r="A27" s="134" t="s">
        <v>278</v>
      </c>
      <c r="D27" s="134">
        <f>+D22</f>
        <v>4495503.8406224037</v>
      </c>
    </row>
    <row r="28" spans="1:5" x14ac:dyDescent="0.3">
      <c r="A28" s="134" t="s">
        <v>279</v>
      </c>
      <c r="E28" s="134">
        <f>+D27</f>
        <v>4495503.8406224037</v>
      </c>
    </row>
    <row r="30" spans="1:5" x14ac:dyDescent="0.3">
      <c r="A30" s="135" t="s">
        <v>280</v>
      </c>
    </row>
    <row r="31" spans="1:5" x14ac:dyDescent="0.3">
      <c r="A31" s="134" t="s">
        <v>281</v>
      </c>
      <c r="E31" s="134">
        <f>+D27/D17</f>
        <v>74925.064010373389</v>
      </c>
    </row>
    <row r="33" spans="1:6" x14ac:dyDescent="0.3">
      <c r="A33" s="135" t="s">
        <v>282</v>
      </c>
    </row>
    <row r="35" spans="1:6" x14ac:dyDescent="0.3">
      <c r="C35" s="144" t="s">
        <v>283</v>
      </c>
      <c r="D35" s="144" t="s">
        <v>284</v>
      </c>
      <c r="E35" s="144" t="s">
        <v>285</v>
      </c>
      <c r="F35" s="144" t="s">
        <v>286</v>
      </c>
    </row>
    <row r="36" spans="1:6" x14ac:dyDescent="0.3">
      <c r="B36" s="134">
        <v>1</v>
      </c>
      <c r="C36" s="134">
        <f>E28</f>
        <v>4495503.8406224037</v>
      </c>
      <c r="D36" s="134">
        <f>+C36*$D$19</f>
        <v>44955.038406224041</v>
      </c>
      <c r="E36" s="134">
        <f>-D18</f>
        <v>-100000</v>
      </c>
      <c r="F36" s="134">
        <f>+C36+D36+E36</f>
        <v>4440458.8790286276</v>
      </c>
    </row>
    <row r="37" spans="1:6" x14ac:dyDescent="0.3">
      <c r="B37" s="134">
        <f>+B36+1</f>
        <v>2</v>
      </c>
      <c r="C37" s="134">
        <f>+F36</f>
        <v>4440458.8790286276</v>
      </c>
      <c r="D37" s="134">
        <f>+C37*$D$19</f>
        <v>44404.588790286274</v>
      </c>
      <c r="E37" s="134">
        <f>+E36</f>
        <v>-100000</v>
      </c>
      <c r="F37" s="134">
        <f>+C37+D37+E37</f>
        <v>4384863.467818914</v>
      </c>
    </row>
    <row r="38" spans="1:6" x14ac:dyDescent="0.3">
      <c r="B38" s="134">
        <f t="shared" ref="B38:B95" si="0">+B37+1</f>
        <v>3</v>
      </c>
      <c r="C38" s="134">
        <f>+F37</f>
        <v>4384863.467818914</v>
      </c>
      <c r="D38" s="134">
        <f>+C38*$D$19</f>
        <v>43848.634678189141</v>
      </c>
      <c r="E38" s="134">
        <f>+E37</f>
        <v>-100000</v>
      </c>
      <c r="F38" s="134">
        <f>+C38+D38+E38</f>
        <v>4328712.1024971027</v>
      </c>
    </row>
    <row r="39" spans="1:6" x14ac:dyDescent="0.3">
      <c r="B39" s="134">
        <f t="shared" si="0"/>
        <v>4</v>
      </c>
      <c r="C39" s="134">
        <f>+F38</f>
        <v>4328712.1024971027</v>
      </c>
      <c r="D39" s="134">
        <f>+C39*$D$19</f>
        <v>43287.121024971028</v>
      </c>
      <c r="E39" s="134">
        <f>+E38</f>
        <v>-100000</v>
      </c>
      <c r="F39" s="134">
        <f>+C39+D39+E39</f>
        <v>4271999.2235220736</v>
      </c>
    </row>
    <row r="40" spans="1:6" x14ac:dyDescent="0.3">
      <c r="B40" s="134">
        <f t="shared" si="0"/>
        <v>5</v>
      </c>
      <c r="C40" s="134">
        <f t="shared" ref="C40:C95" si="1">+F39</f>
        <v>4271999.2235220736</v>
      </c>
      <c r="D40" s="134">
        <f t="shared" ref="D40:D95" si="2">+C40*$D$19</f>
        <v>42719.992235220736</v>
      </c>
      <c r="E40" s="134">
        <f t="shared" ref="E40:E95" si="3">+E39</f>
        <v>-100000</v>
      </c>
      <c r="F40" s="134">
        <f t="shared" ref="F40:F95" si="4">+C40+D40+E40</f>
        <v>4214719.2157572946</v>
      </c>
    </row>
    <row r="41" spans="1:6" x14ac:dyDescent="0.3">
      <c r="B41" s="134">
        <f t="shared" si="0"/>
        <v>6</v>
      </c>
      <c r="C41" s="134">
        <f t="shared" si="1"/>
        <v>4214719.2157572946</v>
      </c>
      <c r="D41" s="134">
        <f t="shared" si="2"/>
        <v>42147.192157572943</v>
      </c>
      <c r="E41" s="134">
        <f t="shared" si="3"/>
        <v>-100000</v>
      </c>
      <c r="F41" s="134">
        <f t="shared" si="4"/>
        <v>4156866.4079148676</v>
      </c>
    </row>
    <row r="42" spans="1:6" x14ac:dyDescent="0.3">
      <c r="B42" s="134">
        <f t="shared" si="0"/>
        <v>7</v>
      </c>
      <c r="C42" s="134">
        <f t="shared" si="1"/>
        <v>4156866.4079148676</v>
      </c>
      <c r="D42" s="134">
        <f t="shared" si="2"/>
        <v>41568.664079148679</v>
      </c>
      <c r="E42" s="134">
        <f t="shared" si="3"/>
        <v>-100000</v>
      </c>
      <c r="F42" s="134">
        <f t="shared" si="4"/>
        <v>4098435.0719940159</v>
      </c>
    </row>
    <row r="43" spans="1:6" x14ac:dyDescent="0.3">
      <c r="B43" s="134">
        <f t="shared" si="0"/>
        <v>8</v>
      </c>
      <c r="C43" s="134">
        <f t="shared" si="1"/>
        <v>4098435.0719940159</v>
      </c>
      <c r="D43" s="134">
        <f t="shared" si="2"/>
        <v>40984.350719940157</v>
      </c>
      <c r="E43" s="134">
        <f t="shared" si="3"/>
        <v>-100000</v>
      </c>
      <c r="F43" s="134">
        <f t="shared" si="4"/>
        <v>4039419.4227139563</v>
      </c>
    </row>
    <row r="44" spans="1:6" x14ac:dyDescent="0.3">
      <c r="B44" s="134">
        <f t="shared" si="0"/>
        <v>9</v>
      </c>
      <c r="C44" s="134">
        <f t="shared" si="1"/>
        <v>4039419.4227139563</v>
      </c>
      <c r="D44" s="134">
        <f t="shared" si="2"/>
        <v>40394.194227139567</v>
      </c>
      <c r="E44" s="134">
        <f t="shared" si="3"/>
        <v>-100000</v>
      </c>
      <c r="F44" s="134">
        <f t="shared" si="4"/>
        <v>3979813.6169410958</v>
      </c>
    </row>
    <row r="45" spans="1:6" x14ac:dyDescent="0.3">
      <c r="B45" s="134">
        <f t="shared" si="0"/>
        <v>10</v>
      </c>
      <c r="C45" s="134">
        <f t="shared" si="1"/>
        <v>3979813.6169410958</v>
      </c>
      <c r="D45" s="134">
        <f t="shared" si="2"/>
        <v>39798.136169410958</v>
      </c>
      <c r="E45" s="134">
        <f t="shared" si="3"/>
        <v>-100000</v>
      </c>
      <c r="F45" s="134">
        <f t="shared" si="4"/>
        <v>3919611.7531105066</v>
      </c>
    </row>
    <row r="46" spans="1:6" x14ac:dyDescent="0.3">
      <c r="B46" s="134">
        <f t="shared" si="0"/>
        <v>11</v>
      </c>
      <c r="C46" s="134">
        <f t="shared" si="1"/>
        <v>3919611.7531105066</v>
      </c>
      <c r="D46" s="134">
        <f t="shared" si="2"/>
        <v>39196.117531105068</v>
      </c>
      <c r="E46" s="134">
        <f t="shared" si="3"/>
        <v>-100000</v>
      </c>
      <c r="F46" s="134">
        <f t="shared" si="4"/>
        <v>3858807.8706416115</v>
      </c>
    </row>
    <row r="47" spans="1:6" x14ac:dyDescent="0.3">
      <c r="B47" s="134">
        <f t="shared" si="0"/>
        <v>12</v>
      </c>
      <c r="C47" s="134">
        <f t="shared" si="1"/>
        <v>3858807.8706416115</v>
      </c>
      <c r="D47" s="134">
        <f t="shared" si="2"/>
        <v>38588.07870641612</v>
      </c>
      <c r="E47" s="134">
        <f t="shared" si="3"/>
        <v>-100000</v>
      </c>
      <c r="F47" s="134">
        <f t="shared" si="4"/>
        <v>3797395.9493480278</v>
      </c>
    </row>
    <row r="48" spans="1:6" x14ac:dyDescent="0.3">
      <c r="B48" s="134">
        <f t="shared" si="0"/>
        <v>13</v>
      </c>
      <c r="C48" s="134">
        <f t="shared" si="1"/>
        <v>3797395.9493480278</v>
      </c>
      <c r="D48" s="134">
        <f t="shared" si="2"/>
        <v>37973.959493480281</v>
      </c>
      <c r="E48" s="134">
        <f t="shared" si="3"/>
        <v>-100000</v>
      </c>
      <c r="F48" s="134">
        <f t="shared" si="4"/>
        <v>3735369.908841508</v>
      </c>
    </row>
    <row r="49" spans="2:6" x14ac:dyDescent="0.3">
      <c r="B49" s="134">
        <f t="shared" si="0"/>
        <v>14</v>
      </c>
      <c r="C49" s="134">
        <f t="shared" si="1"/>
        <v>3735369.908841508</v>
      </c>
      <c r="D49" s="134">
        <f t="shared" si="2"/>
        <v>37353.69908841508</v>
      </c>
      <c r="E49" s="134">
        <f t="shared" si="3"/>
        <v>-100000</v>
      </c>
      <c r="F49" s="134">
        <f t="shared" si="4"/>
        <v>3672723.6079299231</v>
      </c>
    </row>
    <row r="50" spans="2:6" x14ac:dyDescent="0.3">
      <c r="B50" s="134">
        <f t="shared" si="0"/>
        <v>15</v>
      </c>
      <c r="C50" s="134">
        <f t="shared" si="1"/>
        <v>3672723.6079299231</v>
      </c>
      <c r="D50" s="134">
        <f t="shared" si="2"/>
        <v>36727.236079299233</v>
      </c>
      <c r="E50" s="134">
        <f t="shared" si="3"/>
        <v>-100000</v>
      </c>
      <c r="F50" s="134">
        <f t="shared" si="4"/>
        <v>3609450.8440092225</v>
      </c>
    </row>
    <row r="51" spans="2:6" x14ac:dyDescent="0.3">
      <c r="B51" s="134">
        <f t="shared" si="0"/>
        <v>16</v>
      </c>
      <c r="C51" s="134">
        <f t="shared" si="1"/>
        <v>3609450.8440092225</v>
      </c>
      <c r="D51" s="134">
        <f t="shared" si="2"/>
        <v>36094.508440092228</v>
      </c>
      <c r="E51" s="134">
        <f t="shared" si="3"/>
        <v>-100000</v>
      </c>
      <c r="F51" s="134">
        <f t="shared" si="4"/>
        <v>3545545.3524493147</v>
      </c>
    </row>
    <row r="52" spans="2:6" x14ac:dyDescent="0.3">
      <c r="B52" s="134">
        <f t="shared" si="0"/>
        <v>17</v>
      </c>
      <c r="C52" s="134">
        <f t="shared" si="1"/>
        <v>3545545.3524493147</v>
      </c>
      <c r="D52" s="134">
        <f t="shared" si="2"/>
        <v>35455.453524493147</v>
      </c>
      <c r="E52" s="134">
        <f t="shared" si="3"/>
        <v>-100000</v>
      </c>
      <c r="F52" s="134">
        <f t="shared" si="4"/>
        <v>3481000.8059738078</v>
      </c>
    </row>
    <row r="53" spans="2:6" x14ac:dyDescent="0.3">
      <c r="B53" s="134">
        <f t="shared" si="0"/>
        <v>18</v>
      </c>
      <c r="C53" s="134">
        <f t="shared" si="1"/>
        <v>3481000.8059738078</v>
      </c>
      <c r="D53" s="134">
        <f t="shared" si="2"/>
        <v>34810.00805973808</v>
      </c>
      <c r="E53" s="134">
        <f t="shared" si="3"/>
        <v>-100000</v>
      </c>
      <c r="F53" s="134">
        <f t="shared" si="4"/>
        <v>3415810.814033546</v>
      </c>
    </row>
    <row r="54" spans="2:6" x14ac:dyDescent="0.3">
      <c r="B54" s="134">
        <f t="shared" si="0"/>
        <v>19</v>
      </c>
      <c r="C54" s="134">
        <f t="shared" si="1"/>
        <v>3415810.814033546</v>
      </c>
      <c r="D54" s="134">
        <f t="shared" si="2"/>
        <v>34158.108140335462</v>
      </c>
      <c r="E54" s="134">
        <f t="shared" si="3"/>
        <v>-100000</v>
      </c>
      <c r="F54" s="134">
        <f t="shared" si="4"/>
        <v>3349968.9221738814</v>
      </c>
    </row>
    <row r="55" spans="2:6" x14ac:dyDescent="0.3">
      <c r="B55" s="134">
        <f t="shared" si="0"/>
        <v>20</v>
      </c>
      <c r="C55" s="134">
        <f t="shared" si="1"/>
        <v>3349968.9221738814</v>
      </c>
      <c r="D55" s="134">
        <f t="shared" si="2"/>
        <v>33499.689221738816</v>
      </c>
      <c r="E55" s="134">
        <f t="shared" si="3"/>
        <v>-100000</v>
      </c>
      <c r="F55" s="134">
        <f t="shared" si="4"/>
        <v>3283468.6113956203</v>
      </c>
    </row>
    <row r="56" spans="2:6" x14ac:dyDescent="0.3">
      <c r="B56" s="134">
        <f t="shared" si="0"/>
        <v>21</v>
      </c>
      <c r="C56" s="134">
        <f t="shared" si="1"/>
        <v>3283468.6113956203</v>
      </c>
      <c r="D56" s="134">
        <f t="shared" si="2"/>
        <v>32834.686113956202</v>
      </c>
      <c r="E56" s="134">
        <f t="shared" si="3"/>
        <v>-100000</v>
      </c>
      <c r="F56" s="134">
        <f t="shared" si="4"/>
        <v>3216303.2975095767</v>
      </c>
    </row>
    <row r="57" spans="2:6" x14ac:dyDescent="0.3">
      <c r="B57" s="134">
        <f t="shared" si="0"/>
        <v>22</v>
      </c>
      <c r="C57" s="134">
        <f t="shared" si="1"/>
        <v>3216303.2975095767</v>
      </c>
      <c r="D57" s="134">
        <f t="shared" si="2"/>
        <v>32163.032975095768</v>
      </c>
      <c r="E57" s="134">
        <f t="shared" si="3"/>
        <v>-100000</v>
      </c>
      <c r="F57" s="134">
        <f t="shared" si="4"/>
        <v>3148466.3304846724</v>
      </c>
    </row>
    <row r="58" spans="2:6" x14ac:dyDescent="0.3">
      <c r="B58" s="134">
        <f t="shared" si="0"/>
        <v>23</v>
      </c>
      <c r="C58" s="134">
        <f t="shared" si="1"/>
        <v>3148466.3304846724</v>
      </c>
      <c r="D58" s="134">
        <f t="shared" si="2"/>
        <v>31484.663304846727</v>
      </c>
      <c r="E58" s="134">
        <f t="shared" si="3"/>
        <v>-100000</v>
      </c>
      <c r="F58" s="134">
        <f t="shared" si="4"/>
        <v>3079950.9937895192</v>
      </c>
    </row>
    <row r="59" spans="2:6" x14ac:dyDescent="0.3">
      <c r="B59" s="134">
        <f t="shared" si="0"/>
        <v>24</v>
      </c>
      <c r="C59" s="134">
        <f t="shared" si="1"/>
        <v>3079950.9937895192</v>
      </c>
      <c r="D59" s="134">
        <f t="shared" si="2"/>
        <v>30799.509937895193</v>
      </c>
      <c r="E59" s="134">
        <f t="shared" si="3"/>
        <v>-100000</v>
      </c>
      <c r="F59" s="134">
        <f t="shared" si="4"/>
        <v>3010750.5037274142</v>
      </c>
    </row>
    <row r="60" spans="2:6" x14ac:dyDescent="0.3">
      <c r="B60" s="134">
        <f t="shared" si="0"/>
        <v>25</v>
      </c>
      <c r="C60" s="134">
        <f t="shared" si="1"/>
        <v>3010750.5037274142</v>
      </c>
      <c r="D60" s="134">
        <f t="shared" si="2"/>
        <v>30107.505037274143</v>
      </c>
      <c r="E60" s="134">
        <f t="shared" si="3"/>
        <v>-100000</v>
      </c>
      <c r="F60" s="134">
        <f t="shared" si="4"/>
        <v>2940858.0087646884</v>
      </c>
    </row>
    <row r="61" spans="2:6" x14ac:dyDescent="0.3">
      <c r="B61" s="134">
        <f t="shared" si="0"/>
        <v>26</v>
      </c>
      <c r="C61" s="134">
        <f t="shared" si="1"/>
        <v>2940858.0087646884</v>
      </c>
      <c r="D61" s="134">
        <f t="shared" si="2"/>
        <v>29408.580087646886</v>
      </c>
      <c r="E61" s="134">
        <f t="shared" si="3"/>
        <v>-100000</v>
      </c>
      <c r="F61" s="134">
        <f t="shared" si="4"/>
        <v>2870266.5888523352</v>
      </c>
    </row>
    <row r="62" spans="2:6" x14ac:dyDescent="0.3">
      <c r="B62" s="134">
        <f t="shared" si="0"/>
        <v>27</v>
      </c>
      <c r="C62" s="134">
        <f t="shared" si="1"/>
        <v>2870266.5888523352</v>
      </c>
      <c r="D62" s="134">
        <f t="shared" si="2"/>
        <v>28702.665888523352</v>
      </c>
      <c r="E62" s="134">
        <f t="shared" si="3"/>
        <v>-100000</v>
      </c>
      <c r="F62" s="134">
        <f t="shared" si="4"/>
        <v>2798969.2547408585</v>
      </c>
    </row>
    <row r="63" spans="2:6" x14ac:dyDescent="0.3">
      <c r="B63" s="134">
        <f t="shared" si="0"/>
        <v>28</v>
      </c>
      <c r="C63" s="134">
        <f t="shared" si="1"/>
        <v>2798969.2547408585</v>
      </c>
      <c r="D63" s="134">
        <f t="shared" si="2"/>
        <v>27989.692547408584</v>
      </c>
      <c r="E63" s="134">
        <f t="shared" si="3"/>
        <v>-100000</v>
      </c>
      <c r="F63" s="134">
        <f t="shared" si="4"/>
        <v>2726958.9472882668</v>
      </c>
    </row>
    <row r="64" spans="2:6" x14ac:dyDescent="0.3">
      <c r="B64" s="134">
        <f t="shared" si="0"/>
        <v>29</v>
      </c>
      <c r="C64" s="134">
        <f t="shared" si="1"/>
        <v>2726958.9472882668</v>
      </c>
      <c r="D64" s="134">
        <f t="shared" si="2"/>
        <v>27269.589472882668</v>
      </c>
      <c r="E64" s="134">
        <f t="shared" si="3"/>
        <v>-100000</v>
      </c>
      <c r="F64" s="134">
        <f t="shared" si="4"/>
        <v>2654228.5367611493</v>
      </c>
    </row>
    <row r="65" spans="2:6" x14ac:dyDescent="0.3">
      <c r="B65" s="134">
        <f t="shared" si="0"/>
        <v>30</v>
      </c>
      <c r="C65" s="134">
        <f t="shared" si="1"/>
        <v>2654228.5367611493</v>
      </c>
      <c r="D65" s="134">
        <f t="shared" si="2"/>
        <v>26542.285367611494</v>
      </c>
      <c r="E65" s="134">
        <f t="shared" si="3"/>
        <v>-100000</v>
      </c>
      <c r="F65" s="134">
        <f t="shared" si="4"/>
        <v>2580770.8221287606</v>
      </c>
    </row>
    <row r="66" spans="2:6" x14ac:dyDescent="0.3">
      <c r="B66" s="134">
        <f t="shared" si="0"/>
        <v>31</v>
      </c>
      <c r="C66" s="134">
        <f t="shared" si="1"/>
        <v>2580770.8221287606</v>
      </c>
      <c r="D66" s="134">
        <f t="shared" si="2"/>
        <v>25807.708221287608</v>
      </c>
      <c r="E66" s="134">
        <f t="shared" si="3"/>
        <v>-100000</v>
      </c>
      <c r="F66" s="134">
        <f t="shared" si="4"/>
        <v>2506578.5303500481</v>
      </c>
    </row>
    <row r="67" spans="2:6" x14ac:dyDescent="0.3">
      <c r="B67" s="134">
        <f t="shared" si="0"/>
        <v>32</v>
      </c>
      <c r="C67" s="134">
        <f t="shared" si="1"/>
        <v>2506578.5303500481</v>
      </c>
      <c r="D67" s="134">
        <f t="shared" si="2"/>
        <v>25065.785303500481</v>
      </c>
      <c r="E67" s="134">
        <f t="shared" si="3"/>
        <v>-100000</v>
      </c>
      <c r="F67" s="134">
        <f t="shared" si="4"/>
        <v>2431644.3156535486</v>
      </c>
    </row>
    <row r="68" spans="2:6" x14ac:dyDescent="0.3">
      <c r="B68" s="134">
        <f t="shared" si="0"/>
        <v>33</v>
      </c>
      <c r="C68" s="134">
        <f t="shared" si="1"/>
        <v>2431644.3156535486</v>
      </c>
      <c r="D68" s="134">
        <f t="shared" si="2"/>
        <v>24316.443156535486</v>
      </c>
      <c r="E68" s="134">
        <f t="shared" si="3"/>
        <v>-100000</v>
      </c>
      <c r="F68" s="134">
        <f t="shared" si="4"/>
        <v>2355960.7588100838</v>
      </c>
    </row>
    <row r="69" spans="2:6" x14ac:dyDescent="0.3">
      <c r="B69" s="134">
        <f t="shared" si="0"/>
        <v>34</v>
      </c>
      <c r="C69" s="134">
        <f t="shared" si="1"/>
        <v>2355960.7588100838</v>
      </c>
      <c r="D69" s="134">
        <f t="shared" si="2"/>
        <v>23559.60758810084</v>
      </c>
      <c r="E69" s="134">
        <f t="shared" si="3"/>
        <v>-100000</v>
      </c>
      <c r="F69" s="134">
        <f t="shared" si="4"/>
        <v>2279520.3663981846</v>
      </c>
    </row>
    <row r="70" spans="2:6" x14ac:dyDescent="0.3">
      <c r="B70" s="134">
        <f t="shared" si="0"/>
        <v>35</v>
      </c>
      <c r="C70" s="134">
        <f t="shared" si="1"/>
        <v>2279520.3663981846</v>
      </c>
      <c r="D70" s="134">
        <f t="shared" si="2"/>
        <v>22795.203663981847</v>
      </c>
      <c r="E70" s="134">
        <f t="shared" si="3"/>
        <v>-100000</v>
      </c>
      <c r="F70" s="134">
        <f t="shared" si="4"/>
        <v>2202315.5700621665</v>
      </c>
    </row>
    <row r="71" spans="2:6" x14ac:dyDescent="0.3">
      <c r="B71" s="134">
        <f t="shared" si="0"/>
        <v>36</v>
      </c>
      <c r="C71" s="134">
        <f t="shared" si="1"/>
        <v>2202315.5700621665</v>
      </c>
      <c r="D71" s="134">
        <f t="shared" si="2"/>
        <v>22023.155700621664</v>
      </c>
      <c r="E71" s="134">
        <f t="shared" si="3"/>
        <v>-100000</v>
      </c>
      <c r="F71" s="134">
        <f t="shared" si="4"/>
        <v>2124338.7257627882</v>
      </c>
    </row>
    <row r="72" spans="2:6" x14ac:dyDescent="0.3">
      <c r="B72" s="134">
        <f t="shared" si="0"/>
        <v>37</v>
      </c>
      <c r="C72" s="134">
        <f t="shared" si="1"/>
        <v>2124338.7257627882</v>
      </c>
      <c r="D72" s="134">
        <f t="shared" si="2"/>
        <v>21243.387257627881</v>
      </c>
      <c r="E72" s="134">
        <f t="shared" si="3"/>
        <v>-100000</v>
      </c>
      <c r="F72" s="134">
        <f t="shared" si="4"/>
        <v>2045582.1130204159</v>
      </c>
    </row>
    <row r="73" spans="2:6" x14ac:dyDescent="0.3">
      <c r="B73" s="134">
        <f t="shared" si="0"/>
        <v>38</v>
      </c>
      <c r="C73" s="134">
        <f t="shared" si="1"/>
        <v>2045582.1130204159</v>
      </c>
      <c r="D73" s="134">
        <f t="shared" si="2"/>
        <v>20455.82113020416</v>
      </c>
      <c r="E73" s="134">
        <f t="shared" si="3"/>
        <v>-100000</v>
      </c>
      <c r="F73" s="134">
        <f t="shared" si="4"/>
        <v>1966037.9341506201</v>
      </c>
    </row>
    <row r="74" spans="2:6" x14ac:dyDescent="0.3">
      <c r="B74" s="134">
        <f t="shared" si="0"/>
        <v>39</v>
      </c>
      <c r="C74" s="134">
        <f t="shared" si="1"/>
        <v>1966037.9341506201</v>
      </c>
      <c r="D74" s="134">
        <f t="shared" si="2"/>
        <v>19660.379341506203</v>
      </c>
      <c r="E74" s="134">
        <f t="shared" si="3"/>
        <v>-100000</v>
      </c>
      <c r="F74" s="134">
        <f t="shared" si="4"/>
        <v>1885698.3134921263</v>
      </c>
    </row>
    <row r="75" spans="2:6" x14ac:dyDescent="0.3">
      <c r="B75" s="134">
        <f t="shared" si="0"/>
        <v>40</v>
      </c>
      <c r="C75" s="134">
        <f t="shared" si="1"/>
        <v>1885698.3134921263</v>
      </c>
      <c r="D75" s="134">
        <f t="shared" si="2"/>
        <v>18856.983134921262</v>
      </c>
      <c r="E75" s="134">
        <f t="shared" si="3"/>
        <v>-100000</v>
      </c>
      <c r="F75" s="134">
        <f t="shared" si="4"/>
        <v>1804555.2966270475</v>
      </c>
    </row>
    <row r="76" spans="2:6" x14ac:dyDescent="0.3">
      <c r="B76" s="134">
        <f t="shared" si="0"/>
        <v>41</v>
      </c>
      <c r="C76" s="134">
        <f t="shared" si="1"/>
        <v>1804555.2966270475</v>
      </c>
      <c r="D76" s="134">
        <f t="shared" si="2"/>
        <v>18045.552966270476</v>
      </c>
      <c r="E76" s="134">
        <f t="shared" si="3"/>
        <v>-100000</v>
      </c>
      <c r="F76" s="134">
        <f t="shared" si="4"/>
        <v>1722600.8495933178</v>
      </c>
    </row>
    <row r="77" spans="2:6" x14ac:dyDescent="0.3">
      <c r="B77" s="134">
        <f t="shared" si="0"/>
        <v>42</v>
      </c>
      <c r="C77" s="134">
        <f t="shared" si="1"/>
        <v>1722600.8495933178</v>
      </c>
      <c r="D77" s="134">
        <f t="shared" si="2"/>
        <v>17226.00849593318</v>
      </c>
      <c r="E77" s="134">
        <f t="shared" si="3"/>
        <v>-100000</v>
      </c>
      <c r="F77" s="134">
        <f t="shared" si="4"/>
        <v>1639826.858089251</v>
      </c>
    </row>
    <row r="78" spans="2:6" x14ac:dyDescent="0.3">
      <c r="B78" s="134">
        <f t="shared" si="0"/>
        <v>43</v>
      </c>
      <c r="C78" s="134">
        <f t="shared" si="1"/>
        <v>1639826.858089251</v>
      </c>
      <c r="D78" s="134">
        <f t="shared" si="2"/>
        <v>16398.268580892509</v>
      </c>
      <c r="E78" s="134">
        <f t="shared" si="3"/>
        <v>-100000</v>
      </c>
      <c r="F78" s="134">
        <f t="shared" si="4"/>
        <v>1556225.1266701436</v>
      </c>
    </row>
    <row r="79" spans="2:6" x14ac:dyDescent="0.3">
      <c r="B79" s="134">
        <f t="shared" si="0"/>
        <v>44</v>
      </c>
      <c r="C79" s="134">
        <f t="shared" si="1"/>
        <v>1556225.1266701436</v>
      </c>
      <c r="D79" s="134">
        <f t="shared" si="2"/>
        <v>15562.251266701436</v>
      </c>
      <c r="E79" s="134">
        <f t="shared" si="3"/>
        <v>-100000</v>
      </c>
      <c r="F79" s="134">
        <f t="shared" si="4"/>
        <v>1471787.3779368449</v>
      </c>
    </row>
    <row r="80" spans="2:6" x14ac:dyDescent="0.3">
      <c r="B80" s="134">
        <f t="shared" si="0"/>
        <v>45</v>
      </c>
      <c r="C80" s="134">
        <f t="shared" si="1"/>
        <v>1471787.3779368449</v>
      </c>
      <c r="D80" s="134">
        <f t="shared" si="2"/>
        <v>14717.87377936845</v>
      </c>
      <c r="E80" s="134">
        <f t="shared" si="3"/>
        <v>-100000</v>
      </c>
      <c r="F80" s="134">
        <f t="shared" si="4"/>
        <v>1386505.2517162133</v>
      </c>
    </row>
    <row r="81" spans="2:6" x14ac:dyDescent="0.3">
      <c r="B81" s="134">
        <f t="shared" si="0"/>
        <v>46</v>
      </c>
      <c r="C81" s="134">
        <f t="shared" si="1"/>
        <v>1386505.2517162133</v>
      </c>
      <c r="D81" s="134">
        <f t="shared" si="2"/>
        <v>13865.052517162134</v>
      </c>
      <c r="E81" s="134">
        <f t="shared" si="3"/>
        <v>-100000</v>
      </c>
      <c r="F81" s="134">
        <f t="shared" si="4"/>
        <v>1300370.3042333755</v>
      </c>
    </row>
    <row r="82" spans="2:6" x14ac:dyDescent="0.3">
      <c r="B82" s="134">
        <f t="shared" si="0"/>
        <v>47</v>
      </c>
      <c r="C82" s="134">
        <f t="shared" si="1"/>
        <v>1300370.3042333755</v>
      </c>
      <c r="D82" s="134">
        <f t="shared" si="2"/>
        <v>13003.703042333755</v>
      </c>
      <c r="E82" s="134">
        <f t="shared" si="3"/>
        <v>-100000</v>
      </c>
      <c r="F82" s="134">
        <f t="shared" si="4"/>
        <v>1213374.0072757092</v>
      </c>
    </row>
    <row r="83" spans="2:6" x14ac:dyDescent="0.3">
      <c r="B83" s="134">
        <f t="shared" si="0"/>
        <v>48</v>
      </c>
      <c r="C83" s="134">
        <f t="shared" si="1"/>
        <v>1213374.0072757092</v>
      </c>
      <c r="D83" s="134">
        <f t="shared" si="2"/>
        <v>12133.740072757091</v>
      </c>
      <c r="E83" s="134">
        <f t="shared" si="3"/>
        <v>-100000</v>
      </c>
      <c r="F83" s="134">
        <f t="shared" si="4"/>
        <v>1125507.7473484662</v>
      </c>
    </row>
    <row r="84" spans="2:6" x14ac:dyDescent="0.3">
      <c r="B84" s="134">
        <f t="shared" si="0"/>
        <v>49</v>
      </c>
      <c r="C84" s="134">
        <f t="shared" si="1"/>
        <v>1125507.7473484662</v>
      </c>
      <c r="D84" s="134">
        <f t="shared" si="2"/>
        <v>11255.077473484662</v>
      </c>
      <c r="E84" s="134">
        <f t="shared" si="3"/>
        <v>-100000</v>
      </c>
      <c r="F84" s="134">
        <f t="shared" si="4"/>
        <v>1036762.8248219509</v>
      </c>
    </row>
    <row r="85" spans="2:6" x14ac:dyDescent="0.3">
      <c r="B85" s="134">
        <f t="shared" si="0"/>
        <v>50</v>
      </c>
      <c r="C85" s="134">
        <f t="shared" si="1"/>
        <v>1036762.8248219509</v>
      </c>
      <c r="D85" s="134">
        <f t="shared" si="2"/>
        <v>10367.628248219509</v>
      </c>
      <c r="E85" s="134">
        <f t="shared" si="3"/>
        <v>-100000</v>
      </c>
      <c r="F85" s="134">
        <f t="shared" si="4"/>
        <v>947130.45307017036</v>
      </c>
    </row>
    <row r="86" spans="2:6" x14ac:dyDescent="0.3">
      <c r="B86" s="134">
        <f t="shared" si="0"/>
        <v>51</v>
      </c>
      <c r="C86" s="134">
        <f t="shared" si="1"/>
        <v>947130.45307017036</v>
      </c>
      <c r="D86" s="134">
        <f t="shared" si="2"/>
        <v>9471.3045307017037</v>
      </c>
      <c r="E86" s="134">
        <f t="shared" si="3"/>
        <v>-100000</v>
      </c>
      <c r="F86" s="134">
        <f t="shared" si="4"/>
        <v>856601.75760087208</v>
      </c>
    </row>
    <row r="87" spans="2:6" x14ac:dyDescent="0.3">
      <c r="B87" s="134">
        <f t="shared" si="0"/>
        <v>52</v>
      </c>
      <c r="C87" s="134">
        <f t="shared" si="1"/>
        <v>856601.75760087208</v>
      </c>
      <c r="D87" s="134">
        <f t="shared" si="2"/>
        <v>8566.0175760087204</v>
      </c>
      <c r="E87" s="134">
        <f t="shared" si="3"/>
        <v>-100000</v>
      </c>
      <c r="F87" s="134">
        <f t="shared" si="4"/>
        <v>765167.77517688076</v>
      </c>
    </row>
    <row r="88" spans="2:6" x14ac:dyDescent="0.3">
      <c r="B88" s="134">
        <f t="shared" si="0"/>
        <v>53</v>
      </c>
      <c r="C88" s="134">
        <f t="shared" si="1"/>
        <v>765167.77517688076</v>
      </c>
      <c r="D88" s="134">
        <f t="shared" si="2"/>
        <v>7651.6777517688079</v>
      </c>
      <c r="E88" s="134">
        <f t="shared" si="3"/>
        <v>-100000</v>
      </c>
      <c r="F88" s="134">
        <f t="shared" si="4"/>
        <v>672819.45292864961</v>
      </c>
    </row>
    <row r="89" spans="2:6" x14ac:dyDescent="0.3">
      <c r="B89" s="134">
        <f t="shared" si="0"/>
        <v>54</v>
      </c>
      <c r="C89" s="134">
        <f t="shared" si="1"/>
        <v>672819.45292864961</v>
      </c>
      <c r="D89" s="134">
        <f t="shared" si="2"/>
        <v>6728.1945292864966</v>
      </c>
      <c r="E89" s="134">
        <f t="shared" si="3"/>
        <v>-100000</v>
      </c>
      <c r="F89" s="134">
        <f t="shared" si="4"/>
        <v>579547.64745793608</v>
      </c>
    </row>
    <row r="90" spans="2:6" x14ac:dyDescent="0.3">
      <c r="B90" s="134">
        <f t="shared" si="0"/>
        <v>55</v>
      </c>
      <c r="C90" s="134">
        <f t="shared" si="1"/>
        <v>579547.64745793608</v>
      </c>
      <c r="D90" s="134">
        <f t="shared" si="2"/>
        <v>5795.4764745793609</v>
      </c>
      <c r="E90" s="134">
        <f t="shared" si="3"/>
        <v>-100000</v>
      </c>
      <c r="F90" s="134">
        <f t="shared" si="4"/>
        <v>485343.12393251539</v>
      </c>
    </row>
    <row r="91" spans="2:6" x14ac:dyDescent="0.3">
      <c r="B91" s="134">
        <f t="shared" si="0"/>
        <v>56</v>
      </c>
      <c r="C91" s="134">
        <f t="shared" si="1"/>
        <v>485343.12393251539</v>
      </c>
      <c r="D91" s="134">
        <f t="shared" si="2"/>
        <v>4853.4312393251539</v>
      </c>
      <c r="E91" s="134">
        <f t="shared" si="3"/>
        <v>-100000</v>
      </c>
      <c r="F91" s="134">
        <f t="shared" si="4"/>
        <v>390196.55517184053</v>
      </c>
    </row>
    <row r="92" spans="2:6" x14ac:dyDescent="0.3">
      <c r="B92" s="134">
        <f t="shared" si="0"/>
        <v>57</v>
      </c>
      <c r="C92" s="134">
        <f t="shared" si="1"/>
        <v>390196.55517184053</v>
      </c>
      <c r="D92" s="134">
        <f t="shared" si="2"/>
        <v>3901.9655517184055</v>
      </c>
      <c r="E92" s="134">
        <f t="shared" si="3"/>
        <v>-100000</v>
      </c>
      <c r="F92" s="134">
        <f t="shared" si="4"/>
        <v>294098.52072355896</v>
      </c>
    </row>
    <row r="93" spans="2:6" x14ac:dyDescent="0.3">
      <c r="B93" s="134">
        <f t="shared" si="0"/>
        <v>58</v>
      </c>
      <c r="C93" s="134">
        <f t="shared" si="1"/>
        <v>294098.52072355896</v>
      </c>
      <c r="D93" s="134">
        <f t="shared" si="2"/>
        <v>2940.9852072355898</v>
      </c>
      <c r="E93" s="134">
        <f t="shared" si="3"/>
        <v>-100000</v>
      </c>
      <c r="F93" s="134">
        <f t="shared" si="4"/>
        <v>197039.50593079458</v>
      </c>
    </row>
    <row r="94" spans="2:6" x14ac:dyDescent="0.3">
      <c r="B94" s="134">
        <f t="shared" si="0"/>
        <v>59</v>
      </c>
      <c r="C94" s="134">
        <f t="shared" si="1"/>
        <v>197039.50593079458</v>
      </c>
      <c r="D94" s="134">
        <f t="shared" si="2"/>
        <v>1970.3950593079458</v>
      </c>
      <c r="E94" s="134">
        <f t="shared" si="3"/>
        <v>-100000</v>
      </c>
      <c r="F94" s="134">
        <f t="shared" si="4"/>
        <v>99009.900990102527</v>
      </c>
    </row>
    <row r="95" spans="2:6" x14ac:dyDescent="0.3">
      <c r="B95" s="134">
        <f t="shared" si="0"/>
        <v>60</v>
      </c>
      <c r="C95" s="134">
        <f t="shared" si="1"/>
        <v>99009.900990102527</v>
      </c>
      <c r="D95" s="134">
        <f t="shared" si="2"/>
        <v>990.09900990102528</v>
      </c>
      <c r="E95" s="134">
        <f t="shared" si="3"/>
        <v>-100000</v>
      </c>
      <c r="F95" s="145">
        <f t="shared" si="4"/>
        <v>3.5506673157215118E-9</v>
      </c>
    </row>
    <row r="98" spans="1:55" x14ac:dyDescent="0.3">
      <c r="A98" s="135" t="s">
        <v>287</v>
      </c>
    </row>
    <row r="99" spans="1:55" x14ac:dyDescent="0.3">
      <c r="C99" s="146" t="s">
        <v>289</v>
      </c>
      <c r="D99" s="146" t="s">
        <v>289</v>
      </c>
      <c r="E99" s="146" t="s">
        <v>289</v>
      </c>
      <c r="G99" s="146"/>
      <c r="BC99" s="134"/>
    </row>
    <row r="100" spans="1:55" x14ac:dyDescent="0.3">
      <c r="C100" s="146" t="s">
        <v>288</v>
      </c>
      <c r="D100" s="146" t="s">
        <v>284</v>
      </c>
      <c r="E100" s="146" t="s">
        <v>291</v>
      </c>
      <c r="F100" s="144"/>
      <c r="G100" s="146" t="s">
        <v>290</v>
      </c>
      <c r="BC100" s="134"/>
    </row>
    <row r="101" spans="1:55" x14ac:dyDescent="0.3">
      <c r="A101" s="147">
        <v>2023</v>
      </c>
      <c r="B101" s="134">
        <v>1</v>
      </c>
      <c r="C101" s="134">
        <f>+E31</f>
        <v>74925.064010373389</v>
      </c>
      <c r="D101" s="134">
        <f>+D36</f>
        <v>44955.038406224041</v>
      </c>
      <c r="E101" s="134">
        <f t="shared" ref="E101:E113" si="5">+C101+D101</f>
        <v>119880.10241659742</v>
      </c>
      <c r="G101" s="134">
        <f t="shared" ref="G101:G113" si="6">-E36</f>
        <v>100000</v>
      </c>
      <c r="BC101" s="134"/>
    </row>
    <row r="102" spans="1:55" x14ac:dyDescent="0.3">
      <c r="A102" s="147">
        <v>2023</v>
      </c>
      <c r="B102" s="134">
        <f>+B101+1</f>
        <v>2</v>
      </c>
      <c r="C102" s="134">
        <f>+C101</f>
        <v>74925.064010373389</v>
      </c>
      <c r="D102" s="134">
        <f t="shared" ref="D102:D160" si="7">+D37</f>
        <v>44404.588790286274</v>
      </c>
      <c r="E102" s="134">
        <f t="shared" si="5"/>
        <v>119329.65280065966</v>
      </c>
      <c r="G102" s="134">
        <f t="shared" si="6"/>
        <v>100000</v>
      </c>
      <c r="BC102" s="134"/>
    </row>
    <row r="103" spans="1:55" x14ac:dyDescent="0.3">
      <c r="A103" s="147">
        <v>2023</v>
      </c>
      <c r="B103" s="134">
        <f t="shared" ref="B103:B160" si="8">+B102+1</f>
        <v>3</v>
      </c>
      <c r="C103" s="134">
        <f t="shared" ref="C103:C160" si="9">+C102</f>
        <v>74925.064010373389</v>
      </c>
      <c r="D103" s="134">
        <f t="shared" si="7"/>
        <v>43848.634678189141</v>
      </c>
      <c r="E103" s="134">
        <f t="shared" si="5"/>
        <v>118773.69868856252</v>
      </c>
      <c r="G103" s="134">
        <f t="shared" si="6"/>
        <v>100000</v>
      </c>
      <c r="BC103" s="134"/>
    </row>
    <row r="104" spans="1:55" x14ac:dyDescent="0.3">
      <c r="A104" s="147">
        <v>2023</v>
      </c>
      <c r="B104" s="134">
        <f t="shared" si="8"/>
        <v>4</v>
      </c>
      <c r="C104" s="134">
        <f t="shared" si="9"/>
        <v>74925.064010373389</v>
      </c>
      <c r="D104" s="134">
        <f t="shared" si="7"/>
        <v>43287.121024971028</v>
      </c>
      <c r="E104" s="134">
        <f t="shared" si="5"/>
        <v>118212.18503534442</v>
      </c>
      <c r="G104" s="134">
        <f t="shared" si="6"/>
        <v>100000</v>
      </c>
      <c r="BC104" s="134"/>
    </row>
    <row r="105" spans="1:55" x14ac:dyDescent="0.3">
      <c r="A105" s="147">
        <v>2023</v>
      </c>
      <c r="B105" s="134">
        <f t="shared" si="8"/>
        <v>5</v>
      </c>
      <c r="C105" s="134">
        <f t="shared" si="9"/>
        <v>74925.064010373389</v>
      </c>
      <c r="D105" s="134">
        <f t="shared" si="7"/>
        <v>42719.992235220736</v>
      </c>
      <c r="E105" s="134">
        <f t="shared" si="5"/>
        <v>117645.05624559413</v>
      </c>
      <c r="G105" s="134">
        <f t="shared" si="6"/>
        <v>100000</v>
      </c>
      <c r="BC105" s="134"/>
    </row>
    <row r="106" spans="1:55" x14ac:dyDescent="0.3">
      <c r="A106" s="147">
        <v>2023</v>
      </c>
      <c r="B106" s="134">
        <f t="shared" si="8"/>
        <v>6</v>
      </c>
      <c r="C106" s="134">
        <f t="shared" si="9"/>
        <v>74925.064010373389</v>
      </c>
      <c r="D106" s="134">
        <f t="shared" si="7"/>
        <v>42147.192157572943</v>
      </c>
      <c r="E106" s="134">
        <f t="shared" si="5"/>
        <v>117072.25616794633</v>
      </c>
      <c r="G106" s="134">
        <f t="shared" si="6"/>
        <v>100000</v>
      </c>
      <c r="BC106" s="134"/>
    </row>
    <row r="107" spans="1:55" x14ac:dyDescent="0.3">
      <c r="A107" s="134">
        <v>2024</v>
      </c>
      <c r="B107" s="134">
        <f t="shared" si="8"/>
        <v>7</v>
      </c>
      <c r="C107" s="134">
        <f t="shared" si="9"/>
        <v>74925.064010373389</v>
      </c>
      <c r="D107" s="134">
        <f t="shared" si="7"/>
        <v>41568.664079148679</v>
      </c>
      <c r="E107" s="134">
        <f t="shared" si="5"/>
        <v>116493.72808952208</v>
      </c>
      <c r="G107" s="134">
        <f t="shared" si="6"/>
        <v>100000</v>
      </c>
      <c r="BC107" s="134"/>
    </row>
    <row r="108" spans="1:55" x14ac:dyDescent="0.3">
      <c r="A108" s="134">
        <v>2024</v>
      </c>
      <c r="B108" s="134">
        <f t="shared" si="8"/>
        <v>8</v>
      </c>
      <c r="C108" s="134">
        <f t="shared" si="9"/>
        <v>74925.064010373389</v>
      </c>
      <c r="D108" s="134">
        <f t="shared" si="7"/>
        <v>40984.350719940157</v>
      </c>
      <c r="E108" s="134">
        <f t="shared" si="5"/>
        <v>115909.41473031355</v>
      </c>
      <c r="G108" s="134">
        <f t="shared" si="6"/>
        <v>100000</v>
      </c>
      <c r="BC108" s="134"/>
    </row>
    <row r="109" spans="1:55" x14ac:dyDescent="0.3">
      <c r="A109" s="134">
        <v>2024</v>
      </c>
      <c r="B109" s="134">
        <f t="shared" si="8"/>
        <v>9</v>
      </c>
      <c r="C109" s="134">
        <f t="shared" si="9"/>
        <v>74925.064010373389</v>
      </c>
      <c r="D109" s="134">
        <f t="shared" si="7"/>
        <v>40394.194227139567</v>
      </c>
      <c r="E109" s="134">
        <f t="shared" si="5"/>
        <v>115319.25823751296</v>
      </c>
      <c r="G109" s="134">
        <f t="shared" si="6"/>
        <v>100000</v>
      </c>
      <c r="BC109" s="134"/>
    </row>
    <row r="110" spans="1:55" x14ac:dyDescent="0.3">
      <c r="A110" s="134">
        <v>2024</v>
      </c>
      <c r="B110" s="134">
        <f t="shared" si="8"/>
        <v>10</v>
      </c>
      <c r="C110" s="134">
        <f t="shared" si="9"/>
        <v>74925.064010373389</v>
      </c>
      <c r="D110" s="134">
        <f t="shared" si="7"/>
        <v>39798.136169410958</v>
      </c>
      <c r="E110" s="134">
        <f t="shared" si="5"/>
        <v>114723.20017978435</v>
      </c>
      <c r="G110" s="134">
        <f t="shared" si="6"/>
        <v>100000</v>
      </c>
      <c r="BC110" s="134"/>
    </row>
    <row r="111" spans="1:55" x14ac:dyDescent="0.3">
      <c r="A111" s="134">
        <v>2024</v>
      </c>
      <c r="B111" s="134">
        <f t="shared" si="8"/>
        <v>11</v>
      </c>
      <c r="C111" s="134">
        <f t="shared" si="9"/>
        <v>74925.064010373389</v>
      </c>
      <c r="D111" s="134">
        <f t="shared" si="7"/>
        <v>39196.117531105068</v>
      </c>
      <c r="E111" s="134">
        <f t="shared" si="5"/>
        <v>114121.18154147847</v>
      </c>
      <c r="G111" s="134">
        <f t="shared" si="6"/>
        <v>100000</v>
      </c>
      <c r="BC111" s="134"/>
    </row>
    <row r="112" spans="1:55" x14ac:dyDescent="0.3">
      <c r="A112" s="134">
        <v>2024</v>
      </c>
      <c r="B112" s="134">
        <f t="shared" si="8"/>
        <v>12</v>
      </c>
      <c r="C112" s="134">
        <f t="shared" si="9"/>
        <v>74925.064010373389</v>
      </c>
      <c r="D112" s="134">
        <f t="shared" si="7"/>
        <v>38588.07870641612</v>
      </c>
      <c r="E112" s="134">
        <f t="shared" si="5"/>
        <v>113513.1427167895</v>
      </c>
      <c r="G112" s="134">
        <f t="shared" si="6"/>
        <v>100000</v>
      </c>
      <c r="BC112" s="134"/>
    </row>
    <row r="113" spans="1:55" x14ac:dyDescent="0.3">
      <c r="A113" s="134">
        <v>2024</v>
      </c>
      <c r="B113" s="134">
        <f t="shared" si="8"/>
        <v>13</v>
      </c>
      <c r="C113" s="134">
        <f t="shared" si="9"/>
        <v>74925.064010373389</v>
      </c>
      <c r="D113" s="134">
        <f t="shared" si="7"/>
        <v>37973.959493480281</v>
      </c>
      <c r="E113" s="134">
        <f t="shared" si="5"/>
        <v>112899.02350385368</v>
      </c>
      <c r="G113" s="134">
        <f t="shared" si="6"/>
        <v>100000</v>
      </c>
      <c r="BC113" s="134"/>
    </row>
    <row r="114" spans="1:55" x14ac:dyDescent="0.3">
      <c r="A114" s="134">
        <v>2024</v>
      </c>
      <c r="B114" s="134">
        <f t="shared" si="8"/>
        <v>14</v>
      </c>
      <c r="C114" s="134">
        <f t="shared" si="9"/>
        <v>74925.064010373389</v>
      </c>
      <c r="D114" s="134">
        <f t="shared" si="7"/>
        <v>37353.69908841508</v>
      </c>
      <c r="E114" s="134">
        <f t="shared" ref="E114:E160" si="10">+C114+D114</f>
        <v>112278.76309878848</v>
      </c>
      <c r="G114" s="134">
        <f t="shared" ref="G114:G160" si="11">-E49</f>
        <v>100000</v>
      </c>
    </row>
    <row r="115" spans="1:55" x14ac:dyDescent="0.3">
      <c r="A115" s="134">
        <v>2024</v>
      </c>
      <c r="B115" s="134">
        <f t="shared" si="8"/>
        <v>15</v>
      </c>
      <c r="C115" s="134">
        <f t="shared" si="9"/>
        <v>74925.064010373389</v>
      </c>
      <c r="D115" s="134">
        <f t="shared" si="7"/>
        <v>36727.236079299233</v>
      </c>
      <c r="E115" s="134">
        <f t="shared" si="10"/>
        <v>111652.30008967262</v>
      </c>
      <c r="G115" s="134">
        <f t="shared" si="11"/>
        <v>100000</v>
      </c>
    </row>
    <row r="116" spans="1:55" x14ac:dyDescent="0.3">
      <c r="A116" s="134">
        <v>2024</v>
      </c>
      <c r="B116" s="134">
        <f t="shared" si="8"/>
        <v>16</v>
      </c>
      <c r="C116" s="134">
        <f t="shared" si="9"/>
        <v>74925.064010373389</v>
      </c>
      <c r="D116" s="134">
        <f t="shared" si="7"/>
        <v>36094.508440092228</v>
      </c>
      <c r="E116" s="134">
        <f t="shared" si="10"/>
        <v>111019.57245046561</v>
      </c>
      <c r="G116" s="134">
        <f t="shared" si="11"/>
        <v>100000</v>
      </c>
    </row>
    <row r="117" spans="1:55" x14ac:dyDescent="0.3">
      <c r="A117" s="134">
        <v>2024</v>
      </c>
      <c r="B117" s="134">
        <f t="shared" si="8"/>
        <v>17</v>
      </c>
      <c r="C117" s="134">
        <f t="shared" si="9"/>
        <v>74925.064010373389</v>
      </c>
      <c r="D117" s="134">
        <f t="shared" si="7"/>
        <v>35455.453524493147</v>
      </c>
      <c r="E117" s="134">
        <f t="shared" si="10"/>
        <v>110380.51753486654</v>
      </c>
      <c r="G117" s="134">
        <f t="shared" si="11"/>
        <v>100000</v>
      </c>
    </row>
    <row r="118" spans="1:55" x14ac:dyDescent="0.3">
      <c r="A118" s="134">
        <v>2024</v>
      </c>
      <c r="B118" s="134">
        <f t="shared" si="8"/>
        <v>18</v>
      </c>
      <c r="C118" s="134">
        <f t="shared" si="9"/>
        <v>74925.064010373389</v>
      </c>
      <c r="D118" s="134">
        <f t="shared" si="7"/>
        <v>34810.00805973808</v>
      </c>
      <c r="E118" s="134">
        <f t="shared" si="10"/>
        <v>109735.07207011146</v>
      </c>
      <c r="G118" s="134">
        <f t="shared" si="11"/>
        <v>100000</v>
      </c>
    </row>
    <row r="119" spans="1:55" x14ac:dyDescent="0.3">
      <c r="A119" s="149">
        <f>+A107+1</f>
        <v>2025</v>
      </c>
      <c r="B119" s="134">
        <f t="shared" si="8"/>
        <v>19</v>
      </c>
      <c r="C119" s="134">
        <f t="shared" si="9"/>
        <v>74925.064010373389</v>
      </c>
      <c r="D119" s="134">
        <f t="shared" si="7"/>
        <v>34158.108140335462</v>
      </c>
      <c r="E119" s="134">
        <f t="shared" si="10"/>
        <v>109083.17215070885</v>
      </c>
      <c r="G119" s="134">
        <f t="shared" si="11"/>
        <v>100000</v>
      </c>
    </row>
    <row r="120" spans="1:55" x14ac:dyDescent="0.3">
      <c r="A120" s="149">
        <f>+A119</f>
        <v>2025</v>
      </c>
      <c r="B120" s="134">
        <f t="shared" si="8"/>
        <v>20</v>
      </c>
      <c r="C120" s="134">
        <f t="shared" si="9"/>
        <v>74925.064010373389</v>
      </c>
      <c r="D120" s="134">
        <f t="shared" si="7"/>
        <v>33499.689221738816</v>
      </c>
      <c r="E120" s="134">
        <f t="shared" si="10"/>
        <v>108424.75323211221</v>
      </c>
      <c r="G120" s="134">
        <f t="shared" si="11"/>
        <v>100000</v>
      </c>
    </row>
    <row r="121" spans="1:55" x14ac:dyDescent="0.3">
      <c r="A121" s="149">
        <f t="shared" ref="A121:A130" si="12">+A120</f>
        <v>2025</v>
      </c>
      <c r="B121" s="134">
        <f t="shared" si="8"/>
        <v>21</v>
      </c>
      <c r="C121" s="134">
        <f t="shared" si="9"/>
        <v>74925.064010373389</v>
      </c>
      <c r="D121" s="134">
        <f t="shared" si="7"/>
        <v>32834.686113956202</v>
      </c>
      <c r="E121" s="134">
        <f t="shared" si="10"/>
        <v>107759.75012432958</v>
      </c>
      <c r="G121" s="134">
        <f t="shared" si="11"/>
        <v>100000</v>
      </c>
    </row>
    <row r="122" spans="1:55" x14ac:dyDescent="0.3">
      <c r="A122" s="149">
        <f t="shared" si="12"/>
        <v>2025</v>
      </c>
      <c r="B122" s="134">
        <f t="shared" si="8"/>
        <v>22</v>
      </c>
      <c r="C122" s="134">
        <f t="shared" si="9"/>
        <v>74925.064010373389</v>
      </c>
      <c r="D122" s="134">
        <f t="shared" si="7"/>
        <v>32163.032975095768</v>
      </c>
      <c r="E122" s="134">
        <f t="shared" si="10"/>
        <v>107088.09698546916</v>
      </c>
      <c r="G122" s="134">
        <f t="shared" si="11"/>
        <v>100000</v>
      </c>
    </row>
    <row r="123" spans="1:55" x14ac:dyDescent="0.3">
      <c r="A123" s="149">
        <f t="shared" si="12"/>
        <v>2025</v>
      </c>
      <c r="B123" s="134">
        <f t="shared" si="8"/>
        <v>23</v>
      </c>
      <c r="C123" s="134">
        <f t="shared" si="9"/>
        <v>74925.064010373389</v>
      </c>
      <c r="D123" s="134">
        <f t="shared" si="7"/>
        <v>31484.663304846727</v>
      </c>
      <c r="E123" s="134">
        <f t="shared" si="10"/>
        <v>106409.72731522011</v>
      </c>
      <c r="G123" s="134">
        <f t="shared" si="11"/>
        <v>100000</v>
      </c>
    </row>
    <row r="124" spans="1:55" x14ac:dyDescent="0.3">
      <c r="A124" s="149">
        <f t="shared" si="12"/>
        <v>2025</v>
      </c>
      <c r="B124" s="134">
        <f t="shared" si="8"/>
        <v>24</v>
      </c>
      <c r="C124" s="134">
        <f t="shared" si="9"/>
        <v>74925.064010373389</v>
      </c>
      <c r="D124" s="134">
        <f t="shared" si="7"/>
        <v>30799.509937895193</v>
      </c>
      <c r="E124" s="134">
        <f t="shared" si="10"/>
        <v>105724.57394826857</v>
      </c>
      <c r="G124" s="134">
        <f t="shared" si="11"/>
        <v>100000</v>
      </c>
    </row>
    <row r="125" spans="1:55" x14ac:dyDescent="0.3">
      <c r="A125" s="149">
        <f t="shared" si="12"/>
        <v>2025</v>
      </c>
      <c r="B125" s="134">
        <f t="shared" si="8"/>
        <v>25</v>
      </c>
      <c r="C125" s="134">
        <f t="shared" si="9"/>
        <v>74925.064010373389</v>
      </c>
      <c r="D125" s="134">
        <f t="shared" si="7"/>
        <v>30107.505037274143</v>
      </c>
      <c r="E125" s="134">
        <f t="shared" si="10"/>
        <v>105032.56904764753</v>
      </c>
      <c r="G125" s="134">
        <f t="shared" si="11"/>
        <v>100000</v>
      </c>
    </row>
    <row r="126" spans="1:55" x14ac:dyDescent="0.3">
      <c r="A126" s="149">
        <f t="shared" si="12"/>
        <v>2025</v>
      </c>
      <c r="B126" s="134">
        <f t="shared" si="8"/>
        <v>26</v>
      </c>
      <c r="C126" s="134">
        <f t="shared" si="9"/>
        <v>74925.064010373389</v>
      </c>
      <c r="D126" s="134">
        <f t="shared" si="7"/>
        <v>29408.580087646886</v>
      </c>
      <c r="E126" s="134">
        <f t="shared" si="10"/>
        <v>104333.64409802028</v>
      </c>
      <c r="G126" s="134">
        <f t="shared" si="11"/>
        <v>100000</v>
      </c>
    </row>
    <row r="127" spans="1:55" x14ac:dyDescent="0.3">
      <c r="A127" s="149">
        <f t="shared" si="12"/>
        <v>2025</v>
      </c>
      <c r="B127" s="134">
        <f t="shared" si="8"/>
        <v>27</v>
      </c>
      <c r="C127" s="134">
        <f t="shared" si="9"/>
        <v>74925.064010373389</v>
      </c>
      <c r="D127" s="134">
        <f t="shared" si="7"/>
        <v>28702.665888523352</v>
      </c>
      <c r="E127" s="134">
        <f t="shared" si="10"/>
        <v>103627.72989889674</v>
      </c>
      <c r="G127" s="134">
        <f t="shared" si="11"/>
        <v>100000</v>
      </c>
    </row>
    <row r="128" spans="1:55" x14ac:dyDescent="0.3">
      <c r="A128" s="149">
        <f t="shared" si="12"/>
        <v>2025</v>
      </c>
      <c r="B128" s="134">
        <f t="shared" si="8"/>
        <v>28</v>
      </c>
      <c r="C128" s="134">
        <f t="shared" si="9"/>
        <v>74925.064010373389</v>
      </c>
      <c r="D128" s="134">
        <f t="shared" si="7"/>
        <v>27989.692547408584</v>
      </c>
      <c r="E128" s="134">
        <f t="shared" si="10"/>
        <v>102914.75655778198</v>
      </c>
      <c r="G128" s="134">
        <f t="shared" si="11"/>
        <v>100000</v>
      </c>
    </row>
    <row r="129" spans="1:7" x14ac:dyDescent="0.3">
      <c r="A129" s="149">
        <f t="shared" si="12"/>
        <v>2025</v>
      </c>
      <c r="B129" s="134">
        <f t="shared" si="8"/>
        <v>29</v>
      </c>
      <c r="C129" s="134">
        <f t="shared" si="9"/>
        <v>74925.064010373389</v>
      </c>
      <c r="D129" s="134">
        <f t="shared" si="7"/>
        <v>27269.589472882668</v>
      </c>
      <c r="E129" s="134">
        <f t="shared" si="10"/>
        <v>102194.65348325606</v>
      </c>
      <c r="G129" s="134">
        <f t="shared" si="11"/>
        <v>100000</v>
      </c>
    </row>
    <row r="130" spans="1:7" x14ac:dyDescent="0.3">
      <c r="A130" s="149">
        <f t="shared" si="12"/>
        <v>2025</v>
      </c>
      <c r="B130" s="134">
        <f t="shared" si="8"/>
        <v>30</v>
      </c>
      <c r="C130" s="134">
        <f t="shared" si="9"/>
        <v>74925.064010373389</v>
      </c>
      <c r="D130" s="134">
        <f t="shared" si="7"/>
        <v>26542.285367611494</v>
      </c>
      <c r="E130" s="134">
        <f t="shared" si="10"/>
        <v>101467.34937798488</v>
      </c>
      <c r="G130" s="134">
        <f t="shared" si="11"/>
        <v>100000</v>
      </c>
    </row>
    <row r="131" spans="1:7" x14ac:dyDescent="0.3">
      <c r="A131" s="134">
        <f>+A130+1</f>
        <v>2026</v>
      </c>
      <c r="B131" s="134">
        <f t="shared" si="8"/>
        <v>31</v>
      </c>
      <c r="C131" s="134">
        <f t="shared" si="9"/>
        <v>74925.064010373389</v>
      </c>
      <c r="D131" s="134">
        <f t="shared" si="7"/>
        <v>25807.708221287608</v>
      </c>
      <c r="E131" s="134">
        <f t="shared" si="10"/>
        <v>100732.772231661</v>
      </c>
      <c r="G131" s="134">
        <f t="shared" si="11"/>
        <v>100000</v>
      </c>
    </row>
    <row r="132" spans="1:7" x14ac:dyDescent="0.3">
      <c r="A132" s="134">
        <f>+A131</f>
        <v>2026</v>
      </c>
      <c r="B132" s="134">
        <f t="shared" si="8"/>
        <v>32</v>
      </c>
      <c r="C132" s="134">
        <f t="shared" si="9"/>
        <v>74925.064010373389</v>
      </c>
      <c r="D132" s="134">
        <f t="shared" si="7"/>
        <v>25065.785303500481</v>
      </c>
      <c r="E132" s="134">
        <f t="shared" si="10"/>
        <v>99990.84931387387</v>
      </c>
      <c r="G132" s="134">
        <f t="shared" si="11"/>
        <v>100000</v>
      </c>
    </row>
    <row r="133" spans="1:7" x14ac:dyDescent="0.3">
      <c r="A133" s="134">
        <f t="shared" ref="A133:A142" si="13">+A132</f>
        <v>2026</v>
      </c>
      <c r="B133" s="134">
        <f t="shared" si="8"/>
        <v>33</v>
      </c>
      <c r="C133" s="134">
        <f t="shared" si="9"/>
        <v>74925.064010373389</v>
      </c>
      <c r="D133" s="134">
        <f t="shared" si="7"/>
        <v>24316.443156535486</v>
      </c>
      <c r="E133" s="134">
        <f t="shared" si="10"/>
        <v>99241.507166908879</v>
      </c>
      <c r="G133" s="134">
        <f t="shared" si="11"/>
        <v>100000</v>
      </c>
    </row>
    <row r="134" spans="1:7" x14ac:dyDescent="0.3">
      <c r="A134" s="134">
        <f t="shared" si="13"/>
        <v>2026</v>
      </c>
      <c r="B134" s="134">
        <f t="shared" si="8"/>
        <v>34</v>
      </c>
      <c r="C134" s="134">
        <f t="shared" si="9"/>
        <v>74925.064010373389</v>
      </c>
      <c r="D134" s="134">
        <f t="shared" si="7"/>
        <v>23559.60758810084</v>
      </c>
      <c r="E134" s="134">
        <f t="shared" si="10"/>
        <v>98484.671598474233</v>
      </c>
      <c r="G134" s="134">
        <f t="shared" si="11"/>
        <v>100000</v>
      </c>
    </row>
    <row r="135" spans="1:7" x14ac:dyDescent="0.3">
      <c r="A135" s="134">
        <f t="shared" si="13"/>
        <v>2026</v>
      </c>
      <c r="B135" s="134">
        <f t="shared" si="8"/>
        <v>35</v>
      </c>
      <c r="C135" s="134">
        <f t="shared" si="9"/>
        <v>74925.064010373389</v>
      </c>
      <c r="D135" s="134">
        <f t="shared" si="7"/>
        <v>22795.203663981847</v>
      </c>
      <c r="E135" s="134">
        <f t="shared" si="10"/>
        <v>97720.267674355244</v>
      </c>
      <c r="G135" s="134">
        <f t="shared" si="11"/>
        <v>100000</v>
      </c>
    </row>
    <row r="136" spans="1:7" x14ac:dyDescent="0.3">
      <c r="A136" s="134">
        <f t="shared" si="13"/>
        <v>2026</v>
      </c>
      <c r="B136" s="134">
        <f t="shared" si="8"/>
        <v>36</v>
      </c>
      <c r="C136" s="134">
        <f t="shared" si="9"/>
        <v>74925.064010373389</v>
      </c>
      <c r="D136" s="134">
        <f t="shared" si="7"/>
        <v>22023.155700621664</v>
      </c>
      <c r="E136" s="134">
        <f t="shared" si="10"/>
        <v>96948.21971099505</v>
      </c>
      <c r="G136" s="134">
        <f t="shared" si="11"/>
        <v>100000</v>
      </c>
    </row>
    <row r="137" spans="1:7" x14ac:dyDescent="0.3">
      <c r="A137" s="134">
        <f t="shared" si="13"/>
        <v>2026</v>
      </c>
      <c r="B137" s="134">
        <f t="shared" si="8"/>
        <v>37</v>
      </c>
      <c r="C137" s="134">
        <f t="shared" si="9"/>
        <v>74925.064010373389</v>
      </c>
      <c r="D137" s="134">
        <f t="shared" si="7"/>
        <v>21243.387257627881</v>
      </c>
      <c r="E137" s="134">
        <f t="shared" si="10"/>
        <v>96168.45126800127</v>
      </c>
      <c r="G137" s="134">
        <f t="shared" si="11"/>
        <v>100000</v>
      </c>
    </row>
    <row r="138" spans="1:7" x14ac:dyDescent="0.3">
      <c r="A138" s="134">
        <f t="shared" si="13"/>
        <v>2026</v>
      </c>
      <c r="B138" s="134">
        <f t="shared" si="8"/>
        <v>38</v>
      </c>
      <c r="C138" s="134">
        <f t="shared" si="9"/>
        <v>74925.064010373389</v>
      </c>
      <c r="D138" s="134">
        <f t="shared" si="7"/>
        <v>20455.82113020416</v>
      </c>
      <c r="E138" s="134">
        <f t="shared" si="10"/>
        <v>95380.885140577549</v>
      </c>
      <c r="G138" s="134">
        <f t="shared" si="11"/>
        <v>100000</v>
      </c>
    </row>
    <row r="139" spans="1:7" x14ac:dyDescent="0.3">
      <c r="A139" s="134">
        <f t="shared" si="13"/>
        <v>2026</v>
      </c>
      <c r="B139" s="134">
        <f t="shared" si="8"/>
        <v>39</v>
      </c>
      <c r="C139" s="134">
        <f t="shared" si="9"/>
        <v>74925.064010373389</v>
      </c>
      <c r="D139" s="134">
        <f t="shared" si="7"/>
        <v>19660.379341506203</v>
      </c>
      <c r="E139" s="134">
        <f t="shared" si="10"/>
        <v>94585.4433518796</v>
      </c>
      <c r="G139" s="134">
        <f t="shared" si="11"/>
        <v>100000</v>
      </c>
    </row>
    <row r="140" spans="1:7" x14ac:dyDescent="0.3">
      <c r="A140" s="134">
        <f t="shared" si="13"/>
        <v>2026</v>
      </c>
      <c r="B140" s="134">
        <f t="shared" si="8"/>
        <v>40</v>
      </c>
      <c r="C140" s="134">
        <f t="shared" si="9"/>
        <v>74925.064010373389</v>
      </c>
      <c r="D140" s="134">
        <f t="shared" si="7"/>
        <v>18856.983134921262</v>
      </c>
      <c r="E140" s="134">
        <f t="shared" si="10"/>
        <v>93782.047145294651</v>
      </c>
      <c r="G140" s="134">
        <f t="shared" si="11"/>
        <v>100000</v>
      </c>
    </row>
    <row r="141" spans="1:7" x14ac:dyDescent="0.3">
      <c r="A141" s="134">
        <f t="shared" si="13"/>
        <v>2026</v>
      </c>
      <c r="B141" s="134">
        <f t="shared" si="8"/>
        <v>41</v>
      </c>
      <c r="C141" s="134">
        <f t="shared" si="9"/>
        <v>74925.064010373389</v>
      </c>
      <c r="D141" s="134">
        <f t="shared" si="7"/>
        <v>18045.552966270476</v>
      </c>
      <c r="E141" s="134">
        <f t="shared" si="10"/>
        <v>92970.616976643869</v>
      </c>
      <c r="G141" s="134">
        <f t="shared" si="11"/>
        <v>100000</v>
      </c>
    </row>
    <row r="142" spans="1:7" x14ac:dyDescent="0.3">
      <c r="A142" s="134">
        <f t="shared" si="13"/>
        <v>2026</v>
      </c>
      <c r="B142" s="134">
        <f t="shared" si="8"/>
        <v>42</v>
      </c>
      <c r="C142" s="134">
        <f t="shared" si="9"/>
        <v>74925.064010373389</v>
      </c>
      <c r="D142" s="134">
        <f t="shared" si="7"/>
        <v>17226.00849593318</v>
      </c>
      <c r="E142" s="134">
        <f t="shared" si="10"/>
        <v>92151.072506306577</v>
      </c>
      <c r="G142" s="134">
        <f t="shared" si="11"/>
        <v>100000</v>
      </c>
    </row>
    <row r="143" spans="1:7" x14ac:dyDescent="0.3">
      <c r="A143" s="149">
        <f>+A131+1</f>
        <v>2027</v>
      </c>
      <c r="B143" s="134">
        <f t="shared" si="8"/>
        <v>43</v>
      </c>
      <c r="C143" s="134">
        <f t="shared" si="9"/>
        <v>74925.064010373389</v>
      </c>
      <c r="D143" s="134">
        <f t="shared" si="7"/>
        <v>16398.268580892509</v>
      </c>
      <c r="E143" s="134">
        <f t="shared" si="10"/>
        <v>91323.332591265906</v>
      </c>
      <c r="G143" s="134">
        <f t="shared" si="11"/>
        <v>100000</v>
      </c>
    </row>
    <row r="144" spans="1:7" x14ac:dyDescent="0.3">
      <c r="A144" s="149">
        <f>+A143</f>
        <v>2027</v>
      </c>
      <c r="B144" s="134">
        <f t="shared" si="8"/>
        <v>44</v>
      </c>
      <c r="C144" s="134">
        <f t="shared" si="9"/>
        <v>74925.064010373389</v>
      </c>
      <c r="D144" s="134">
        <f t="shared" si="7"/>
        <v>15562.251266701436</v>
      </c>
      <c r="E144" s="134">
        <f t="shared" si="10"/>
        <v>90487.315277074827</v>
      </c>
      <c r="G144" s="134">
        <f t="shared" si="11"/>
        <v>100000</v>
      </c>
    </row>
    <row r="145" spans="1:7" x14ac:dyDescent="0.3">
      <c r="A145" s="149">
        <f t="shared" ref="A145:A154" si="14">+A144</f>
        <v>2027</v>
      </c>
      <c r="B145" s="134">
        <f t="shared" si="8"/>
        <v>45</v>
      </c>
      <c r="C145" s="134">
        <f t="shared" si="9"/>
        <v>74925.064010373389</v>
      </c>
      <c r="D145" s="134">
        <f t="shared" si="7"/>
        <v>14717.87377936845</v>
      </c>
      <c r="E145" s="134">
        <f t="shared" si="10"/>
        <v>89642.937789741845</v>
      </c>
      <c r="G145" s="134">
        <f t="shared" si="11"/>
        <v>100000</v>
      </c>
    </row>
    <row r="146" spans="1:7" x14ac:dyDescent="0.3">
      <c r="A146" s="149">
        <f t="shared" si="14"/>
        <v>2027</v>
      </c>
      <c r="B146" s="134">
        <f t="shared" si="8"/>
        <v>46</v>
      </c>
      <c r="C146" s="134">
        <f t="shared" si="9"/>
        <v>74925.064010373389</v>
      </c>
      <c r="D146" s="134">
        <f t="shared" si="7"/>
        <v>13865.052517162134</v>
      </c>
      <c r="E146" s="134">
        <f t="shared" si="10"/>
        <v>88790.116527535516</v>
      </c>
      <c r="G146" s="134">
        <f t="shared" si="11"/>
        <v>100000</v>
      </c>
    </row>
    <row r="147" spans="1:7" x14ac:dyDescent="0.3">
      <c r="A147" s="149">
        <f t="shared" si="14"/>
        <v>2027</v>
      </c>
      <c r="B147" s="134">
        <f t="shared" si="8"/>
        <v>47</v>
      </c>
      <c r="C147" s="134">
        <f t="shared" si="9"/>
        <v>74925.064010373389</v>
      </c>
      <c r="D147" s="134">
        <f t="shared" si="7"/>
        <v>13003.703042333755</v>
      </c>
      <c r="E147" s="134">
        <f t="shared" si="10"/>
        <v>87928.767052707146</v>
      </c>
      <c r="G147" s="134">
        <f t="shared" si="11"/>
        <v>100000</v>
      </c>
    </row>
    <row r="148" spans="1:7" x14ac:dyDescent="0.3">
      <c r="A148" s="149">
        <f t="shared" si="14"/>
        <v>2027</v>
      </c>
      <c r="B148" s="134">
        <f t="shared" si="8"/>
        <v>48</v>
      </c>
      <c r="C148" s="134">
        <f t="shared" si="9"/>
        <v>74925.064010373389</v>
      </c>
      <c r="D148" s="134">
        <f t="shared" si="7"/>
        <v>12133.740072757091</v>
      </c>
      <c r="E148" s="134">
        <f t="shared" si="10"/>
        <v>87058.804083130482</v>
      </c>
      <c r="G148" s="134">
        <f t="shared" si="11"/>
        <v>100000</v>
      </c>
    </row>
    <row r="149" spans="1:7" x14ac:dyDescent="0.3">
      <c r="A149" s="149">
        <f t="shared" si="14"/>
        <v>2027</v>
      </c>
      <c r="B149" s="134">
        <f t="shared" si="8"/>
        <v>49</v>
      </c>
      <c r="C149" s="134">
        <f t="shared" si="9"/>
        <v>74925.064010373389</v>
      </c>
      <c r="D149" s="134">
        <f t="shared" si="7"/>
        <v>11255.077473484662</v>
      </c>
      <c r="E149" s="134">
        <f t="shared" si="10"/>
        <v>86180.141483858053</v>
      </c>
      <c r="G149" s="134">
        <f t="shared" si="11"/>
        <v>100000</v>
      </c>
    </row>
    <row r="150" spans="1:7" x14ac:dyDescent="0.3">
      <c r="A150" s="149">
        <f t="shared" si="14"/>
        <v>2027</v>
      </c>
      <c r="B150" s="134">
        <f t="shared" si="8"/>
        <v>50</v>
      </c>
      <c r="C150" s="134">
        <f t="shared" si="9"/>
        <v>74925.064010373389</v>
      </c>
      <c r="D150" s="134">
        <f t="shared" si="7"/>
        <v>10367.628248219509</v>
      </c>
      <c r="E150" s="134">
        <f t="shared" si="10"/>
        <v>85292.692258592899</v>
      </c>
      <c r="G150" s="134">
        <f t="shared" si="11"/>
        <v>100000</v>
      </c>
    </row>
    <row r="151" spans="1:7" x14ac:dyDescent="0.3">
      <c r="A151" s="149">
        <f t="shared" si="14"/>
        <v>2027</v>
      </c>
      <c r="B151" s="134">
        <f t="shared" si="8"/>
        <v>51</v>
      </c>
      <c r="C151" s="134">
        <f t="shared" si="9"/>
        <v>74925.064010373389</v>
      </c>
      <c r="D151" s="134">
        <f t="shared" si="7"/>
        <v>9471.3045307017037</v>
      </c>
      <c r="E151" s="134">
        <f t="shared" si="10"/>
        <v>84396.368541075091</v>
      </c>
      <c r="G151" s="134">
        <f t="shared" si="11"/>
        <v>100000</v>
      </c>
    </row>
    <row r="152" spans="1:7" x14ac:dyDescent="0.3">
      <c r="A152" s="149">
        <f t="shared" si="14"/>
        <v>2027</v>
      </c>
      <c r="B152" s="134">
        <f t="shared" si="8"/>
        <v>52</v>
      </c>
      <c r="C152" s="134">
        <f t="shared" si="9"/>
        <v>74925.064010373389</v>
      </c>
      <c r="D152" s="134">
        <f t="shared" si="7"/>
        <v>8566.0175760087204</v>
      </c>
      <c r="E152" s="134">
        <f t="shared" si="10"/>
        <v>83491.081586382104</v>
      </c>
      <c r="G152" s="134">
        <f t="shared" si="11"/>
        <v>100000</v>
      </c>
    </row>
    <row r="153" spans="1:7" x14ac:dyDescent="0.3">
      <c r="A153" s="149">
        <f t="shared" si="14"/>
        <v>2027</v>
      </c>
      <c r="B153" s="134">
        <f t="shared" si="8"/>
        <v>53</v>
      </c>
      <c r="C153" s="134">
        <f t="shared" si="9"/>
        <v>74925.064010373389</v>
      </c>
      <c r="D153" s="134">
        <f t="shared" si="7"/>
        <v>7651.6777517688079</v>
      </c>
      <c r="E153" s="134">
        <f t="shared" si="10"/>
        <v>82576.741762142192</v>
      </c>
      <c r="G153" s="134">
        <f t="shared" si="11"/>
        <v>100000</v>
      </c>
    </row>
    <row r="154" spans="1:7" x14ac:dyDescent="0.3">
      <c r="A154" s="149">
        <f t="shared" si="14"/>
        <v>2027</v>
      </c>
      <c r="B154" s="134">
        <f t="shared" si="8"/>
        <v>54</v>
      </c>
      <c r="C154" s="134">
        <f t="shared" si="9"/>
        <v>74925.064010373389</v>
      </c>
      <c r="D154" s="134">
        <f t="shared" si="7"/>
        <v>6728.1945292864966</v>
      </c>
      <c r="E154" s="134">
        <f t="shared" si="10"/>
        <v>81653.258539659888</v>
      </c>
      <c r="G154" s="134">
        <f t="shared" si="11"/>
        <v>100000</v>
      </c>
    </row>
    <row r="155" spans="1:7" x14ac:dyDescent="0.3">
      <c r="A155" s="134">
        <f>+A154+1</f>
        <v>2028</v>
      </c>
      <c r="B155" s="134">
        <f t="shared" si="8"/>
        <v>55</v>
      </c>
      <c r="C155" s="134">
        <f t="shared" si="9"/>
        <v>74925.064010373389</v>
      </c>
      <c r="D155" s="134">
        <f t="shared" si="7"/>
        <v>5795.4764745793609</v>
      </c>
      <c r="E155" s="134">
        <f t="shared" si="10"/>
        <v>80720.540484952755</v>
      </c>
      <c r="G155" s="134">
        <f t="shared" si="11"/>
        <v>100000</v>
      </c>
    </row>
    <row r="156" spans="1:7" x14ac:dyDescent="0.3">
      <c r="A156" s="134">
        <f>+A155</f>
        <v>2028</v>
      </c>
      <c r="B156" s="134">
        <f t="shared" si="8"/>
        <v>56</v>
      </c>
      <c r="C156" s="134">
        <f t="shared" si="9"/>
        <v>74925.064010373389</v>
      </c>
      <c r="D156" s="134">
        <f t="shared" si="7"/>
        <v>4853.4312393251539</v>
      </c>
      <c r="E156" s="134">
        <f t="shared" si="10"/>
        <v>79778.49524969855</v>
      </c>
      <c r="G156" s="134">
        <f t="shared" si="11"/>
        <v>100000</v>
      </c>
    </row>
    <row r="157" spans="1:7" x14ac:dyDescent="0.3">
      <c r="A157" s="134">
        <f>+A156</f>
        <v>2028</v>
      </c>
      <c r="B157" s="134">
        <f t="shared" si="8"/>
        <v>57</v>
      </c>
      <c r="C157" s="134">
        <f t="shared" si="9"/>
        <v>74925.064010373389</v>
      </c>
      <c r="D157" s="134">
        <f t="shared" si="7"/>
        <v>3901.9655517184055</v>
      </c>
      <c r="E157" s="134">
        <f t="shared" si="10"/>
        <v>78827.02956209179</v>
      </c>
      <c r="G157" s="134">
        <f t="shared" si="11"/>
        <v>100000</v>
      </c>
    </row>
    <row r="158" spans="1:7" x14ac:dyDescent="0.3">
      <c r="A158" s="134">
        <f>+A157</f>
        <v>2028</v>
      </c>
      <c r="B158" s="134">
        <f t="shared" si="8"/>
        <v>58</v>
      </c>
      <c r="C158" s="134">
        <f t="shared" si="9"/>
        <v>74925.064010373389</v>
      </c>
      <c r="D158" s="134">
        <f t="shared" si="7"/>
        <v>2940.9852072355898</v>
      </c>
      <c r="E158" s="134">
        <f t="shared" si="10"/>
        <v>77866.049217608976</v>
      </c>
      <c r="G158" s="134">
        <f t="shared" si="11"/>
        <v>100000</v>
      </c>
    </row>
    <row r="159" spans="1:7" x14ac:dyDescent="0.3">
      <c r="A159" s="134">
        <f>+A158</f>
        <v>2028</v>
      </c>
      <c r="B159" s="134">
        <f t="shared" si="8"/>
        <v>59</v>
      </c>
      <c r="C159" s="134">
        <f t="shared" si="9"/>
        <v>74925.064010373389</v>
      </c>
      <c r="D159" s="134">
        <f t="shared" si="7"/>
        <v>1970.3950593079458</v>
      </c>
      <c r="E159" s="134">
        <f t="shared" si="10"/>
        <v>76895.459069681339</v>
      </c>
      <c r="G159" s="134">
        <f t="shared" si="11"/>
        <v>100000</v>
      </c>
    </row>
    <row r="160" spans="1:7" x14ac:dyDescent="0.3">
      <c r="A160" s="134">
        <f>+A159</f>
        <v>2028</v>
      </c>
      <c r="B160" s="134">
        <f t="shared" si="8"/>
        <v>60</v>
      </c>
      <c r="C160" s="134">
        <f t="shared" si="9"/>
        <v>74925.064010373389</v>
      </c>
      <c r="D160" s="134">
        <f t="shared" si="7"/>
        <v>990.09900990102528</v>
      </c>
      <c r="E160" s="134">
        <f t="shared" si="10"/>
        <v>75915.163020274413</v>
      </c>
      <c r="G160" s="134">
        <f t="shared" si="11"/>
        <v>100000</v>
      </c>
    </row>
    <row r="161" spans="1:8" x14ac:dyDescent="0.3">
      <c r="C161" s="141">
        <f>SUM(C101:C160)</f>
        <v>4495503.8406224009</v>
      </c>
      <c r="D161" s="141">
        <f>SUM(D101:D160)</f>
        <v>1504496.1593776022</v>
      </c>
      <c r="E161" s="148">
        <f>SUM(E101:E160)</f>
        <v>6000000.0000000056</v>
      </c>
      <c r="G161" s="148">
        <f>SUM(G101:G160)</f>
        <v>6000000</v>
      </c>
    </row>
    <row r="164" spans="1:8" x14ac:dyDescent="0.3">
      <c r="A164" s="135" t="s">
        <v>292</v>
      </c>
    </row>
    <row r="165" spans="1:8" x14ac:dyDescent="0.3">
      <c r="A165" s="135"/>
    </row>
    <row r="166" spans="1:8" x14ac:dyDescent="0.3">
      <c r="A166" s="147" t="s">
        <v>296</v>
      </c>
      <c r="B166" s="147"/>
      <c r="C166" s="150">
        <v>2023</v>
      </c>
      <c r="D166" s="150">
        <f>+C166+1</f>
        <v>2024</v>
      </c>
      <c r="E166" s="150">
        <f>+D166+1</f>
        <v>2025</v>
      </c>
      <c r="F166" s="150">
        <f>+E166+1</f>
        <v>2026</v>
      </c>
      <c r="G166" s="150">
        <f>+F166+1</f>
        <v>2027</v>
      </c>
      <c r="H166" s="150">
        <f>+G166+1</f>
        <v>2028</v>
      </c>
    </row>
    <row r="167" spans="1:8" x14ac:dyDescent="0.3">
      <c r="C167" s="144" t="s">
        <v>272</v>
      </c>
      <c r="D167" s="144" t="s">
        <v>272</v>
      </c>
      <c r="E167" s="144" t="s">
        <v>272</v>
      </c>
      <c r="F167" s="144" t="s">
        <v>272</v>
      </c>
      <c r="G167" s="144" t="s">
        <v>272</v>
      </c>
      <c r="H167" s="144" t="s">
        <v>272</v>
      </c>
    </row>
    <row r="168" spans="1:8" x14ac:dyDescent="0.3">
      <c r="A168" s="151" t="s">
        <v>297</v>
      </c>
      <c r="B168" s="151"/>
      <c r="C168" s="151">
        <f>+E28</f>
        <v>4495503.8406224037</v>
      </c>
      <c r="D168" s="151">
        <f ca="1">+C171</f>
        <v>4156866.4079148676</v>
      </c>
      <c r="E168" s="151">
        <f ca="1">+D171</f>
        <v>3415810.8140335465</v>
      </c>
      <c r="F168" s="151">
        <f ca="1">+E171</f>
        <v>2580770.8221287616</v>
      </c>
      <c r="G168" s="151">
        <f ca="1">+F171</f>
        <v>1639826.8580892528</v>
      </c>
      <c r="H168" s="151">
        <f ca="1">+G171</f>
        <v>579547.64745793818</v>
      </c>
    </row>
    <row r="169" spans="1:8" x14ac:dyDescent="0.3">
      <c r="A169" s="134" t="s">
        <v>298</v>
      </c>
      <c r="C169" s="134">
        <f t="shared" ref="C169:H169" ca="1" si="15">SUMIF($A$101:$D$160,C166,$D$101:$D$160)</f>
        <v>261362.5672924642</v>
      </c>
      <c r="D169" s="134">
        <f t="shared" ca="1" si="15"/>
        <v>458944.40611867857</v>
      </c>
      <c r="E169" s="134">
        <f t="shared" ca="1" si="15"/>
        <v>364960.00809521531</v>
      </c>
      <c r="F169" s="134">
        <f t="shared" ca="1" si="15"/>
        <v>259056.03596049108</v>
      </c>
      <c r="G169" s="134">
        <f t="shared" ca="1" si="15"/>
        <v>139720.78936868528</v>
      </c>
      <c r="H169" s="134">
        <f t="shared" ca="1" si="15"/>
        <v>20452.352542067485</v>
      </c>
    </row>
    <row r="170" spans="1:8" x14ac:dyDescent="0.3">
      <c r="A170" s="134" t="s">
        <v>299</v>
      </c>
      <c r="C170" s="134">
        <f>-$D$18*6</f>
        <v>-600000</v>
      </c>
      <c r="D170" s="134">
        <f>-$D$18*12</f>
        <v>-1200000</v>
      </c>
      <c r="E170" s="134">
        <f>-$D$18*12</f>
        <v>-1200000</v>
      </c>
      <c r="F170" s="134">
        <f>-$D$18*12</f>
        <v>-1200000</v>
      </c>
      <c r="G170" s="134">
        <f>-$D$18*12</f>
        <v>-1200000</v>
      </c>
      <c r="H170" s="134">
        <f>-$D$18*6</f>
        <v>-600000</v>
      </c>
    </row>
    <row r="171" spans="1:8" x14ac:dyDescent="0.3">
      <c r="A171" s="151" t="s">
        <v>300</v>
      </c>
      <c r="B171" s="151"/>
      <c r="C171" s="151">
        <f t="shared" ref="C171:H171" ca="1" si="16">SUM(C168:C170)</f>
        <v>4156866.4079148676</v>
      </c>
      <c r="D171" s="151">
        <f t="shared" ca="1" si="16"/>
        <v>3415810.8140335465</v>
      </c>
      <c r="E171" s="151">
        <f t="shared" ca="1" si="16"/>
        <v>2580770.8221287616</v>
      </c>
      <c r="F171" s="151">
        <f t="shared" ca="1" si="16"/>
        <v>1639826.8580892528</v>
      </c>
      <c r="G171" s="151">
        <f t="shared" ca="1" si="16"/>
        <v>579547.64745793818</v>
      </c>
      <c r="H171" s="151">
        <f t="shared" ca="1" si="16"/>
        <v>5.7043507695198059E-9</v>
      </c>
    </row>
    <row r="173" spans="1:8" x14ac:dyDescent="0.3">
      <c r="A173" s="147" t="s">
        <v>293</v>
      </c>
      <c r="B173" s="147"/>
      <c r="C173" s="150">
        <v>2023</v>
      </c>
      <c r="D173" s="150">
        <f>+C173+1</f>
        <v>2024</v>
      </c>
      <c r="E173" s="150">
        <f>+D173+1</f>
        <v>2025</v>
      </c>
      <c r="F173" s="150">
        <f>+E173+1</f>
        <v>2026</v>
      </c>
      <c r="G173" s="150">
        <f>+F173+1</f>
        <v>2027</v>
      </c>
      <c r="H173" s="150">
        <f>+G173+1</f>
        <v>2028</v>
      </c>
    </row>
    <row r="174" spans="1:8" x14ac:dyDescent="0.3">
      <c r="C174" s="144" t="s">
        <v>272</v>
      </c>
      <c r="D174" s="144" t="s">
        <v>272</v>
      </c>
      <c r="E174" s="144" t="s">
        <v>272</v>
      </c>
      <c r="F174" s="144" t="s">
        <v>272</v>
      </c>
      <c r="G174" s="144" t="s">
        <v>272</v>
      </c>
      <c r="H174" s="144" t="s">
        <v>272</v>
      </c>
    </row>
    <row r="175" spans="1:8" x14ac:dyDescent="0.3">
      <c r="A175" s="134" t="s">
        <v>293</v>
      </c>
      <c r="C175" s="134">
        <f>+D27</f>
        <v>4495503.8406224037</v>
      </c>
      <c r="D175" s="134">
        <f>+C175</f>
        <v>4495503.8406224037</v>
      </c>
      <c r="E175" s="134">
        <f>+D175</f>
        <v>4495503.8406224037</v>
      </c>
      <c r="F175" s="134">
        <f>+E175</f>
        <v>4495503.8406224037</v>
      </c>
      <c r="G175" s="134">
        <f>+F175</f>
        <v>4495503.8406224037</v>
      </c>
      <c r="H175" s="134">
        <f>+G175</f>
        <v>4495503.8406224037</v>
      </c>
    </row>
    <row r="176" spans="1:8" x14ac:dyDescent="0.3">
      <c r="A176" s="134" t="s">
        <v>294</v>
      </c>
      <c r="C176" s="134">
        <f>-$E$31*6</f>
        <v>-449550.38406224037</v>
      </c>
      <c r="D176" s="134">
        <f>-$E$31*18</f>
        <v>-1348651.1521867211</v>
      </c>
      <c r="E176" s="134">
        <f>-$E$31*30</f>
        <v>-2247751.9203112018</v>
      </c>
      <c r="F176" s="134">
        <f>-$E$31*42</f>
        <v>-3146852.6884356826</v>
      </c>
      <c r="G176" s="134">
        <f>-$E$31*54</f>
        <v>-4045953.4565601628</v>
      </c>
      <c r="H176" s="134">
        <f>-$E$31*60</f>
        <v>-4495503.8406224037</v>
      </c>
    </row>
    <row r="177" spans="1:54" x14ac:dyDescent="0.3">
      <c r="A177" s="151" t="s">
        <v>295</v>
      </c>
      <c r="B177" s="151"/>
      <c r="C177" s="151">
        <f t="shared" ref="C177:H177" si="17">+C175+C176</f>
        <v>4045953.4565601633</v>
      </c>
      <c r="D177" s="151">
        <f t="shared" si="17"/>
        <v>3146852.6884356826</v>
      </c>
      <c r="E177" s="151">
        <f t="shared" si="17"/>
        <v>2247751.9203112018</v>
      </c>
      <c r="F177" s="151">
        <f t="shared" si="17"/>
        <v>1348651.1521867211</v>
      </c>
      <c r="G177" s="151">
        <f t="shared" si="17"/>
        <v>449550.38406224083</v>
      </c>
      <c r="H177" s="151">
        <f t="shared" si="17"/>
        <v>0</v>
      </c>
    </row>
    <row r="178" spans="1:54" ht="20.25" thickBot="1" x14ac:dyDescent="0.35"/>
    <row r="179" spans="1:54" s="1" customFormat="1" ht="20.25" thickBot="1" x14ac:dyDescent="0.35">
      <c r="A179" s="152" t="s">
        <v>301</v>
      </c>
      <c r="B179" s="153"/>
      <c r="C179" s="153">
        <f t="shared" ref="C179:H179" ca="1" si="18">+C171-C177</f>
        <v>110912.95135470433</v>
      </c>
      <c r="D179" s="153">
        <f t="shared" ca="1" si="18"/>
        <v>268958.12559786392</v>
      </c>
      <c r="E179" s="153">
        <f t="shared" ca="1" si="18"/>
        <v>333018.90181755973</v>
      </c>
      <c r="F179" s="153">
        <f t="shared" ca="1" si="18"/>
        <v>291175.70590253174</v>
      </c>
      <c r="G179" s="153">
        <f t="shared" ca="1" si="18"/>
        <v>129997.26339569734</v>
      </c>
      <c r="H179" s="154">
        <f t="shared" ca="1" si="18"/>
        <v>5.7043507695198059E-9</v>
      </c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  <c r="BB179" s="135"/>
    </row>
    <row r="181" spans="1:54" x14ac:dyDescent="0.3">
      <c r="A181" s="134" t="s">
        <v>172</v>
      </c>
      <c r="C181" s="155">
        <v>0.3</v>
      </c>
      <c r="D181" s="155">
        <v>0.3</v>
      </c>
      <c r="E181" s="155">
        <v>0.3</v>
      </c>
      <c r="F181" s="155">
        <v>0.3</v>
      </c>
      <c r="G181" s="155">
        <v>0.3</v>
      </c>
      <c r="H181" s="155">
        <v>0.3</v>
      </c>
    </row>
    <row r="182" spans="1:54" ht="20.25" thickBot="1" x14ac:dyDescent="0.35"/>
    <row r="183" spans="1:54" s="1" customFormat="1" ht="20.25" thickBot="1" x14ac:dyDescent="0.35">
      <c r="A183" s="152" t="s">
        <v>302</v>
      </c>
      <c r="B183" s="153"/>
      <c r="C183" s="153">
        <f t="shared" ref="C183:H183" ca="1" si="19">+C179*C181</f>
        <v>33273.885406411297</v>
      </c>
      <c r="D183" s="153">
        <f t="shared" ca="1" si="19"/>
        <v>80687.43767935918</v>
      </c>
      <c r="E183" s="153">
        <f t="shared" ca="1" si="19"/>
        <v>99905.670545267916</v>
      </c>
      <c r="F183" s="153">
        <f t="shared" ca="1" si="19"/>
        <v>87352.711770759517</v>
      </c>
      <c r="G183" s="153">
        <f t="shared" ca="1" si="19"/>
        <v>38999.179018709205</v>
      </c>
      <c r="H183" s="154">
        <f t="shared" ca="1" si="19"/>
        <v>1.7113052308559417E-9</v>
      </c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5"/>
      <c r="AO183" s="135"/>
      <c r="AP183" s="135"/>
      <c r="AQ183" s="135"/>
      <c r="AR183" s="135"/>
      <c r="AS183" s="135"/>
      <c r="AT183" s="135"/>
      <c r="AU183" s="135"/>
      <c r="AV183" s="135"/>
      <c r="AW183" s="135"/>
      <c r="AX183" s="135"/>
      <c r="AY183" s="135"/>
      <c r="AZ183" s="135"/>
      <c r="BA183" s="135"/>
      <c r="BB183" s="135"/>
    </row>
    <row r="184" spans="1:54" ht="20.25" thickBot="1" x14ac:dyDescent="0.35"/>
    <row r="185" spans="1:54" x14ac:dyDescent="0.3">
      <c r="A185" s="156" t="s">
        <v>303</v>
      </c>
      <c r="B185" s="157"/>
      <c r="C185" s="158" t="s">
        <v>190</v>
      </c>
      <c r="D185" s="159" t="s">
        <v>191</v>
      </c>
      <c r="E185" s="156" t="s">
        <v>306</v>
      </c>
      <c r="F185" s="157"/>
      <c r="G185" s="158" t="s">
        <v>190</v>
      </c>
      <c r="H185" s="159" t="s">
        <v>191</v>
      </c>
    </row>
    <row r="186" spans="1:54" x14ac:dyDescent="0.3">
      <c r="A186" s="160" t="s">
        <v>302</v>
      </c>
      <c r="B186" s="161"/>
      <c r="C186" s="161">
        <f ca="1">+C183</f>
        <v>33273.885406411297</v>
      </c>
      <c r="D186" s="162"/>
      <c r="E186" s="160" t="s">
        <v>302</v>
      </c>
      <c r="F186" s="161"/>
      <c r="G186" s="161"/>
      <c r="H186" s="162">
        <f ca="1">+E183-F183</f>
        <v>12552.958774508399</v>
      </c>
    </row>
    <row r="187" spans="1:54" x14ac:dyDescent="0.3">
      <c r="A187" s="160" t="s">
        <v>189</v>
      </c>
      <c r="B187" s="161"/>
      <c r="C187" s="161"/>
      <c r="D187" s="162">
        <f ca="1">+C186</f>
        <v>33273.885406411297</v>
      </c>
      <c r="E187" s="160" t="s">
        <v>189</v>
      </c>
      <c r="F187" s="161"/>
      <c r="G187" s="161">
        <f ca="1">+H186</f>
        <v>12552.958774508399</v>
      </c>
      <c r="H187" s="162"/>
    </row>
    <row r="188" spans="1:54" x14ac:dyDescent="0.3">
      <c r="A188" s="160"/>
      <c r="B188" s="161"/>
      <c r="C188" s="161"/>
      <c r="D188" s="162"/>
      <c r="E188" s="160"/>
      <c r="F188" s="161"/>
      <c r="G188" s="161"/>
      <c r="H188" s="162"/>
    </row>
    <row r="189" spans="1:54" x14ac:dyDescent="0.3">
      <c r="A189" s="160" t="s">
        <v>304</v>
      </c>
      <c r="B189" s="161"/>
      <c r="C189" s="163" t="s">
        <v>190</v>
      </c>
      <c r="D189" s="164" t="s">
        <v>191</v>
      </c>
      <c r="E189" s="160" t="s">
        <v>307</v>
      </c>
      <c r="F189" s="161"/>
      <c r="G189" s="163" t="s">
        <v>190</v>
      </c>
      <c r="H189" s="164" t="s">
        <v>191</v>
      </c>
    </row>
    <row r="190" spans="1:54" x14ac:dyDescent="0.3">
      <c r="A190" s="160" t="s">
        <v>302</v>
      </c>
      <c r="B190" s="161"/>
      <c r="C190" s="161">
        <f ca="1">+D183-C183</f>
        <v>47413.552272947883</v>
      </c>
      <c r="D190" s="162"/>
      <c r="E190" s="160" t="s">
        <v>302</v>
      </c>
      <c r="F190" s="161"/>
      <c r="G190" s="161"/>
      <c r="H190" s="162">
        <f ca="1">+F183-G183</f>
        <v>48353.532752050312</v>
      </c>
    </row>
    <row r="191" spans="1:54" x14ac:dyDescent="0.3">
      <c r="A191" s="160" t="s">
        <v>189</v>
      </c>
      <c r="B191" s="161"/>
      <c r="C191" s="161"/>
      <c r="D191" s="162">
        <f ca="1">+C190</f>
        <v>47413.552272947883</v>
      </c>
      <c r="E191" s="160" t="s">
        <v>189</v>
      </c>
      <c r="F191" s="161"/>
      <c r="G191" s="161">
        <f ca="1">+H190</f>
        <v>48353.532752050312</v>
      </c>
      <c r="H191" s="162"/>
    </row>
    <row r="192" spans="1:54" x14ac:dyDescent="0.3">
      <c r="A192" s="160"/>
      <c r="B192" s="161"/>
      <c r="C192" s="161"/>
      <c r="D192" s="162"/>
      <c r="E192" s="160"/>
      <c r="F192" s="161"/>
      <c r="G192" s="161"/>
      <c r="H192" s="162"/>
    </row>
    <row r="193" spans="1:8" x14ac:dyDescent="0.3">
      <c r="A193" s="160" t="s">
        <v>305</v>
      </c>
      <c r="B193" s="161"/>
      <c r="C193" s="163" t="s">
        <v>190</v>
      </c>
      <c r="D193" s="164" t="s">
        <v>191</v>
      </c>
      <c r="E193" s="160" t="s">
        <v>308</v>
      </c>
      <c r="F193" s="161"/>
      <c r="G193" s="163" t="s">
        <v>190</v>
      </c>
      <c r="H193" s="164" t="s">
        <v>191</v>
      </c>
    </row>
    <row r="194" spans="1:8" x14ac:dyDescent="0.3">
      <c r="A194" s="160" t="s">
        <v>302</v>
      </c>
      <c r="B194" s="161"/>
      <c r="C194" s="161">
        <f ca="1">+E183-D183</f>
        <v>19218.232865908736</v>
      </c>
      <c r="D194" s="162"/>
      <c r="E194" s="160" t="s">
        <v>302</v>
      </c>
      <c r="F194" s="161"/>
      <c r="G194" s="161"/>
      <c r="H194" s="162">
        <f ca="1">+G183</f>
        <v>38999.179018709205</v>
      </c>
    </row>
    <row r="195" spans="1:8" ht="20.25" thickBot="1" x14ac:dyDescent="0.35">
      <c r="A195" s="165" t="s">
        <v>189</v>
      </c>
      <c r="B195" s="166"/>
      <c r="C195" s="166"/>
      <c r="D195" s="167">
        <f ca="1">+C194</f>
        <v>19218.232865908736</v>
      </c>
      <c r="E195" s="165" t="s">
        <v>189</v>
      </c>
      <c r="F195" s="166"/>
      <c r="G195" s="166">
        <f ca="1">+H194</f>
        <v>38999.179018709205</v>
      </c>
      <c r="H195" s="167"/>
    </row>
    <row r="196" spans="1:8" ht="20.25" thickBot="1" x14ac:dyDescent="0.35"/>
    <row r="197" spans="1:8" x14ac:dyDescent="0.3">
      <c r="A197" s="168" t="s">
        <v>309</v>
      </c>
      <c r="B197" s="169"/>
      <c r="C197" s="170">
        <v>2023</v>
      </c>
      <c r="D197" s="170">
        <f>+C197+1</f>
        <v>2024</v>
      </c>
      <c r="E197" s="170">
        <f>+D197+1</f>
        <v>2025</v>
      </c>
      <c r="F197" s="170">
        <f>+E197+1</f>
        <v>2026</v>
      </c>
      <c r="G197" s="170">
        <f>+F197+1</f>
        <v>2027</v>
      </c>
      <c r="H197" s="171">
        <f>+G197+1</f>
        <v>2028</v>
      </c>
    </row>
    <row r="198" spans="1:8" x14ac:dyDescent="0.3">
      <c r="A198" s="160"/>
      <c r="B198" s="161"/>
      <c r="C198" s="161"/>
      <c r="D198" s="161"/>
      <c r="E198" s="161"/>
      <c r="F198" s="161"/>
      <c r="G198" s="161"/>
      <c r="H198" s="162"/>
    </row>
    <row r="199" spans="1:8" ht="20.25" thickBot="1" x14ac:dyDescent="0.35">
      <c r="A199" s="165" t="s">
        <v>310</v>
      </c>
      <c r="B199" s="166"/>
      <c r="C199" s="166">
        <f ca="1">+D187</f>
        <v>33273.885406411297</v>
      </c>
      <c r="D199" s="166">
        <f ca="1">+D191</f>
        <v>47413.552272947883</v>
      </c>
      <c r="E199" s="166">
        <f ca="1">+D195</f>
        <v>19218.232865908736</v>
      </c>
      <c r="F199" s="166">
        <f ca="1">-G187</f>
        <v>-12552.958774508399</v>
      </c>
      <c r="G199" s="166">
        <f ca="1">-G191</f>
        <v>-48353.532752050312</v>
      </c>
      <c r="H199" s="167">
        <f ca="1">-G195</f>
        <v>-38999.179018709205</v>
      </c>
    </row>
    <row r="205" spans="1:8" ht="20.25" thickBot="1" x14ac:dyDescent="0.35"/>
    <row r="206" spans="1:8" x14ac:dyDescent="0.3">
      <c r="A206" s="168" t="s">
        <v>313</v>
      </c>
      <c r="B206" s="169"/>
      <c r="C206" s="170">
        <v>2023</v>
      </c>
      <c r="D206" s="170">
        <f>+C206+1</f>
        <v>2024</v>
      </c>
      <c r="E206" s="170">
        <f>+D206+1</f>
        <v>2025</v>
      </c>
      <c r="F206" s="170">
        <f>+E206+1</f>
        <v>2026</v>
      </c>
      <c r="G206" s="170">
        <f>+F206+1</f>
        <v>2027</v>
      </c>
      <c r="H206" s="171">
        <f>+G206+1</f>
        <v>2028</v>
      </c>
    </row>
    <row r="207" spans="1:8" ht="20.25" thickBot="1" x14ac:dyDescent="0.35">
      <c r="A207" s="160"/>
      <c r="B207" s="161"/>
      <c r="C207" s="163" t="s">
        <v>272</v>
      </c>
      <c r="D207" s="163" t="s">
        <v>272</v>
      </c>
      <c r="E207" s="163" t="s">
        <v>272</v>
      </c>
      <c r="F207" s="163" t="s">
        <v>272</v>
      </c>
      <c r="G207" s="163" t="s">
        <v>272</v>
      </c>
      <c r="H207" s="164" t="s">
        <v>272</v>
      </c>
    </row>
    <row r="208" spans="1:8" ht="20.25" thickBot="1" x14ac:dyDescent="0.35">
      <c r="A208" s="174" t="s">
        <v>311</v>
      </c>
      <c r="B208" s="175"/>
      <c r="C208" s="175">
        <v>1000000</v>
      </c>
      <c r="D208" s="175">
        <f>+C208+1000000</f>
        <v>2000000</v>
      </c>
      <c r="E208" s="175">
        <f>+D208+1000000</f>
        <v>3000000</v>
      </c>
      <c r="F208" s="175">
        <f>+E208+1000000</f>
        <v>4000000</v>
      </c>
      <c r="G208" s="175">
        <f>+F208+1000000</f>
        <v>5000000</v>
      </c>
      <c r="H208" s="176">
        <f>+G208+1000000</f>
        <v>6000000</v>
      </c>
    </row>
    <row r="209" spans="1:8" x14ac:dyDescent="0.3">
      <c r="A209" s="160" t="s">
        <v>314</v>
      </c>
      <c r="B209" s="161"/>
      <c r="C209" s="161">
        <f>-+C176</f>
        <v>449550.38406224037</v>
      </c>
      <c r="D209" s="161">
        <f>+-D176+C176</f>
        <v>899100.76812448073</v>
      </c>
      <c r="E209" s="161">
        <f>+-E176+D176</f>
        <v>899100.76812448073</v>
      </c>
      <c r="F209" s="161">
        <f>+-F176+E176</f>
        <v>899100.76812448073</v>
      </c>
      <c r="G209" s="161">
        <f>+-G176+F176</f>
        <v>899100.76812448027</v>
      </c>
      <c r="H209" s="162">
        <f>+-H176+G176</f>
        <v>449550.38406224083</v>
      </c>
    </row>
    <row r="210" spans="1:8" x14ac:dyDescent="0.3">
      <c r="A210" s="160" t="s">
        <v>315</v>
      </c>
      <c r="B210" s="161"/>
      <c r="C210" s="161">
        <f ca="1">+C169</f>
        <v>261362.5672924642</v>
      </c>
      <c r="D210" s="161">
        <f t="shared" ref="D210:H211" ca="1" si="20">+D169</f>
        <v>458944.40611867857</v>
      </c>
      <c r="E210" s="161">
        <f t="shared" ca="1" si="20"/>
        <v>364960.00809521531</v>
      </c>
      <c r="F210" s="161">
        <f t="shared" ca="1" si="20"/>
        <v>259056.03596049108</v>
      </c>
      <c r="G210" s="161">
        <f t="shared" ca="1" si="20"/>
        <v>139720.78936868528</v>
      </c>
      <c r="H210" s="162">
        <f t="shared" ca="1" si="20"/>
        <v>20452.352542067485</v>
      </c>
    </row>
    <row r="211" spans="1:8" ht="20.25" thickBot="1" x14ac:dyDescent="0.35">
      <c r="A211" s="160" t="s">
        <v>316</v>
      </c>
      <c r="B211" s="161"/>
      <c r="C211" s="161">
        <f>+C170</f>
        <v>-600000</v>
      </c>
      <c r="D211" s="161">
        <f t="shared" si="20"/>
        <v>-1200000</v>
      </c>
      <c r="E211" s="161">
        <f t="shared" si="20"/>
        <v>-1200000</v>
      </c>
      <c r="F211" s="161">
        <f t="shared" si="20"/>
        <v>-1200000</v>
      </c>
      <c r="G211" s="161">
        <f t="shared" si="20"/>
        <v>-1200000</v>
      </c>
      <c r="H211" s="162">
        <f t="shared" si="20"/>
        <v>-600000</v>
      </c>
    </row>
    <row r="212" spans="1:8" ht="20.25" thickBot="1" x14ac:dyDescent="0.35">
      <c r="A212" s="174" t="s">
        <v>312</v>
      </c>
      <c r="B212" s="175"/>
      <c r="C212" s="175">
        <f t="shared" ref="C212:H212" ca="1" si="21">SUM(C208:C211)</f>
        <v>1110912.9513547046</v>
      </c>
      <c r="D212" s="175">
        <f t="shared" ca="1" si="21"/>
        <v>2158045.1742431591</v>
      </c>
      <c r="E212" s="175">
        <f t="shared" ca="1" si="21"/>
        <v>3064060.7762196958</v>
      </c>
      <c r="F212" s="175">
        <f t="shared" ca="1" si="21"/>
        <v>3958156.8040849715</v>
      </c>
      <c r="G212" s="175">
        <f t="shared" ca="1" si="21"/>
        <v>4838821.5574931651</v>
      </c>
      <c r="H212" s="176">
        <f t="shared" ca="1" si="21"/>
        <v>5870002.7366043087</v>
      </c>
    </row>
    <row r="213" spans="1:8" ht="20.25" thickBot="1" x14ac:dyDescent="0.35">
      <c r="A213" s="160" t="s">
        <v>172</v>
      </c>
      <c r="B213" s="161"/>
      <c r="C213" s="177">
        <v>0.3</v>
      </c>
      <c r="D213" s="177">
        <v>0.3</v>
      </c>
      <c r="E213" s="177">
        <v>0.3</v>
      </c>
      <c r="F213" s="177">
        <v>0.3</v>
      </c>
      <c r="G213" s="177">
        <v>0.3</v>
      </c>
      <c r="H213" s="178">
        <v>0.3</v>
      </c>
    </row>
    <row r="214" spans="1:8" ht="20.25" thickBot="1" x14ac:dyDescent="0.35">
      <c r="A214" s="174" t="s">
        <v>317</v>
      </c>
      <c r="B214" s="175"/>
      <c r="C214" s="175">
        <f t="shared" ref="C214:H214" ca="1" si="22">+C212*C213</f>
        <v>333273.88540641137</v>
      </c>
      <c r="D214" s="175">
        <f t="shared" ca="1" si="22"/>
        <v>647413.55227294774</v>
      </c>
      <c r="E214" s="175">
        <f t="shared" ca="1" si="22"/>
        <v>919218.23286590877</v>
      </c>
      <c r="F214" s="175">
        <f t="shared" ca="1" si="22"/>
        <v>1187447.0412254913</v>
      </c>
      <c r="G214" s="175">
        <f t="shared" ca="1" si="22"/>
        <v>1451646.4672479494</v>
      </c>
      <c r="H214" s="176">
        <f t="shared" ca="1" si="22"/>
        <v>1761000.8209812925</v>
      </c>
    </row>
    <row r="215" spans="1:8" ht="20.25" thickBot="1" x14ac:dyDescent="0.35"/>
    <row r="216" spans="1:8" x14ac:dyDescent="0.3">
      <c r="A216" s="156" t="s">
        <v>303</v>
      </c>
      <c r="B216" s="157"/>
      <c r="C216" s="158" t="s">
        <v>190</v>
      </c>
      <c r="D216" s="159" t="s">
        <v>191</v>
      </c>
      <c r="E216" s="156" t="s">
        <v>306</v>
      </c>
      <c r="F216" s="157"/>
      <c r="G216" s="158" t="s">
        <v>190</v>
      </c>
      <c r="H216" s="159" t="s">
        <v>191</v>
      </c>
    </row>
    <row r="217" spans="1:8" x14ac:dyDescent="0.3">
      <c r="A217" s="160" t="s">
        <v>318</v>
      </c>
      <c r="B217" s="161"/>
      <c r="C217" s="161">
        <f ca="1">+C214</f>
        <v>333273.88540641137</v>
      </c>
      <c r="D217" s="162"/>
      <c r="E217" s="160" t="s">
        <v>318</v>
      </c>
      <c r="F217" s="161"/>
      <c r="G217" s="161">
        <f ca="1">+F214</f>
        <v>1187447.0412254913</v>
      </c>
      <c r="H217" s="162"/>
    </row>
    <row r="218" spans="1:8" x14ac:dyDescent="0.3">
      <c r="A218" s="160" t="s">
        <v>202</v>
      </c>
      <c r="B218" s="161"/>
      <c r="C218" s="161"/>
      <c r="D218" s="162">
        <f ca="1">+C217</f>
        <v>333273.88540641137</v>
      </c>
      <c r="E218" s="160" t="s">
        <v>202</v>
      </c>
      <c r="F218" s="161"/>
      <c r="G218" s="161"/>
      <c r="H218" s="162">
        <f ca="1">+G217</f>
        <v>1187447.0412254913</v>
      </c>
    </row>
    <row r="219" spans="1:8" x14ac:dyDescent="0.3">
      <c r="A219" s="160"/>
      <c r="B219" s="161"/>
      <c r="C219" s="161"/>
      <c r="D219" s="162"/>
      <c r="E219" s="160"/>
      <c r="F219" s="161"/>
      <c r="G219" s="161"/>
      <c r="H219" s="162"/>
    </row>
    <row r="220" spans="1:8" x14ac:dyDescent="0.3">
      <c r="A220" s="160" t="s">
        <v>304</v>
      </c>
      <c r="B220" s="161"/>
      <c r="C220" s="163" t="s">
        <v>190</v>
      </c>
      <c r="D220" s="164" t="s">
        <v>191</v>
      </c>
      <c r="E220" s="160" t="s">
        <v>307</v>
      </c>
      <c r="F220" s="161"/>
      <c r="G220" s="163" t="s">
        <v>190</v>
      </c>
      <c r="H220" s="164" t="s">
        <v>191</v>
      </c>
    </row>
    <row r="221" spans="1:8" x14ac:dyDescent="0.3">
      <c r="A221" s="160" t="s">
        <v>318</v>
      </c>
      <c r="B221" s="161"/>
      <c r="C221" s="161">
        <f ca="1">+D214</f>
        <v>647413.55227294774</v>
      </c>
      <c r="D221" s="162"/>
      <c r="E221" s="160" t="s">
        <v>318</v>
      </c>
      <c r="F221" s="161"/>
      <c r="G221" s="161">
        <f ca="1">+G214</f>
        <v>1451646.4672479494</v>
      </c>
      <c r="H221" s="162"/>
    </row>
    <row r="222" spans="1:8" x14ac:dyDescent="0.3">
      <c r="A222" s="160" t="s">
        <v>202</v>
      </c>
      <c r="B222" s="161"/>
      <c r="C222" s="161"/>
      <c r="D222" s="162">
        <f ca="1">+C221</f>
        <v>647413.55227294774</v>
      </c>
      <c r="E222" s="160" t="s">
        <v>202</v>
      </c>
      <c r="F222" s="161"/>
      <c r="G222" s="161"/>
      <c r="H222" s="162">
        <f ca="1">+G221</f>
        <v>1451646.4672479494</v>
      </c>
    </row>
    <row r="223" spans="1:8" x14ac:dyDescent="0.3">
      <c r="A223" s="160"/>
      <c r="B223" s="161"/>
      <c r="C223" s="161"/>
      <c r="D223" s="162"/>
      <c r="E223" s="160"/>
      <c r="F223" s="161"/>
      <c r="G223" s="161"/>
      <c r="H223" s="162"/>
    </row>
    <row r="224" spans="1:8" x14ac:dyDescent="0.3">
      <c r="A224" s="160" t="s">
        <v>305</v>
      </c>
      <c r="B224" s="161"/>
      <c r="C224" s="163" t="s">
        <v>190</v>
      </c>
      <c r="D224" s="164" t="s">
        <v>191</v>
      </c>
      <c r="E224" s="160" t="s">
        <v>308</v>
      </c>
      <c r="F224" s="161"/>
      <c r="G224" s="163" t="s">
        <v>190</v>
      </c>
      <c r="H224" s="164" t="s">
        <v>191</v>
      </c>
    </row>
    <row r="225" spans="1:8" x14ac:dyDescent="0.3">
      <c r="A225" s="160" t="s">
        <v>318</v>
      </c>
      <c r="B225" s="161"/>
      <c r="C225" s="161">
        <f ca="1">+E214</f>
        <v>919218.23286590877</v>
      </c>
      <c r="D225" s="162"/>
      <c r="E225" s="160" t="s">
        <v>318</v>
      </c>
      <c r="F225" s="161"/>
      <c r="G225" s="161">
        <f ca="1">+H214</f>
        <v>1761000.8209812925</v>
      </c>
      <c r="H225" s="162"/>
    </row>
    <row r="226" spans="1:8" ht="20.25" thickBot="1" x14ac:dyDescent="0.35">
      <c r="A226" s="165" t="s">
        <v>202</v>
      </c>
      <c r="B226" s="166"/>
      <c r="C226" s="166"/>
      <c r="D226" s="167">
        <f ca="1">+C225</f>
        <v>919218.23286590877</v>
      </c>
      <c r="E226" s="165" t="s">
        <v>202</v>
      </c>
      <c r="F226" s="166"/>
      <c r="G226" s="166"/>
      <c r="H226" s="167">
        <f ca="1">+G225</f>
        <v>1761000.8209812925</v>
      </c>
    </row>
    <row r="228" spans="1:8" ht="20.25" thickBot="1" x14ac:dyDescent="0.35"/>
    <row r="229" spans="1:8" x14ac:dyDescent="0.3">
      <c r="A229" s="179" t="s">
        <v>319</v>
      </c>
      <c r="B229" s="180"/>
      <c r="C229" s="170">
        <v>2023</v>
      </c>
      <c r="D229" s="170">
        <f>+C229+1</f>
        <v>2024</v>
      </c>
      <c r="E229" s="170">
        <f>+D229+1</f>
        <v>2025</v>
      </c>
      <c r="F229" s="170">
        <f>+E229+1</f>
        <v>2026</v>
      </c>
      <c r="G229" s="170">
        <f>+F229+1</f>
        <v>2027</v>
      </c>
      <c r="H229" s="171">
        <f>+G229+1</f>
        <v>2028</v>
      </c>
    </row>
    <row r="230" spans="1:8" x14ac:dyDescent="0.3">
      <c r="A230" s="160"/>
      <c r="B230" s="161"/>
      <c r="C230" s="163" t="s">
        <v>272</v>
      </c>
      <c r="D230" s="163" t="s">
        <v>272</v>
      </c>
      <c r="E230" s="163" t="s">
        <v>272</v>
      </c>
      <c r="F230" s="163" t="s">
        <v>272</v>
      </c>
      <c r="G230" s="163" t="s">
        <v>272</v>
      </c>
      <c r="H230" s="164" t="s">
        <v>272</v>
      </c>
    </row>
    <row r="231" spans="1:8" x14ac:dyDescent="0.3">
      <c r="A231" s="160" t="s">
        <v>320</v>
      </c>
      <c r="B231" s="161"/>
      <c r="C231" s="163"/>
      <c r="D231" s="163"/>
      <c r="E231" s="163"/>
      <c r="F231" s="163"/>
      <c r="G231" s="163"/>
      <c r="H231" s="164"/>
    </row>
    <row r="232" spans="1:8" x14ac:dyDescent="0.3">
      <c r="A232" s="160" t="s">
        <v>321</v>
      </c>
      <c r="B232" s="161"/>
      <c r="C232" s="163"/>
      <c r="D232" s="163"/>
      <c r="E232" s="163"/>
      <c r="F232" s="163"/>
      <c r="G232" s="163"/>
      <c r="H232" s="164"/>
    </row>
    <row r="233" spans="1:8" x14ac:dyDescent="0.3">
      <c r="A233" s="160" t="s">
        <v>206</v>
      </c>
      <c r="B233" s="161"/>
      <c r="C233" s="163"/>
      <c r="D233" s="163"/>
      <c r="E233" s="163"/>
      <c r="F233" s="163"/>
      <c r="G233" s="163"/>
      <c r="H233" s="164"/>
    </row>
    <row r="234" spans="1:8" x14ac:dyDescent="0.3">
      <c r="A234" s="160" t="s">
        <v>207</v>
      </c>
      <c r="B234" s="161"/>
      <c r="C234" s="163"/>
      <c r="D234" s="163"/>
      <c r="E234" s="177"/>
      <c r="F234" s="163"/>
      <c r="G234" s="163"/>
      <c r="H234" s="164"/>
    </row>
    <row r="235" spans="1:8" x14ac:dyDescent="0.3">
      <c r="A235" s="160" t="s">
        <v>207</v>
      </c>
      <c r="B235" s="161"/>
      <c r="C235" s="163"/>
      <c r="D235" s="163"/>
      <c r="E235" s="163"/>
      <c r="F235" s="163"/>
      <c r="G235" s="163"/>
      <c r="H235" s="164"/>
    </row>
    <row r="236" spans="1:8" x14ac:dyDescent="0.3">
      <c r="A236" s="160" t="s">
        <v>207</v>
      </c>
      <c r="B236" s="161"/>
      <c r="C236" s="163"/>
      <c r="D236" s="163"/>
      <c r="E236" s="163"/>
      <c r="F236" s="163"/>
      <c r="G236" s="163"/>
      <c r="H236" s="164"/>
    </row>
    <row r="237" spans="1:8" ht="20.25" thickBot="1" x14ac:dyDescent="0.35">
      <c r="A237" s="160" t="s">
        <v>207</v>
      </c>
      <c r="B237" s="161"/>
      <c r="C237" s="163"/>
      <c r="D237" s="163"/>
      <c r="E237" s="163"/>
      <c r="F237" s="163"/>
      <c r="G237" s="163"/>
      <c r="H237" s="164"/>
    </row>
    <row r="238" spans="1:8" ht="20.25" thickBot="1" x14ac:dyDescent="0.35">
      <c r="A238" s="174" t="s">
        <v>311</v>
      </c>
      <c r="B238" s="175"/>
      <c r="C238" s="175">
        <f t="shared" ref="C238:H238" si="23">+C208</f>
        <v>1000000</v>
      </c>
      <c r="D238" s="175">
        <f t="shared" si="23"/>
        <v>2000000</v>
      </c>
      <c r="E238" s="175">
        <f t="shared" si="23"/>
        <v>3000000</v>
      </c>
      <c r="F238" s="175">
        <f t="shared" si="23"/>
        <v>4000000</v>
      </c>
      <c r="G238" s="175">
        <f t="shared" si="23"/>
        <v>5000000</v>
      </c>
      <c r="H238" s="176">
        <f t="shared" si="23"/>
        <v>6000000</v>
      </c>
    </row>
    <row r="239" spans="1:8" x14ac:dyDescent="0.3">
      <c r="A239" s="187" t="s">
        <v>322</v>
      </c>
      <c r="B239" s="188"/>
      <c r="C239" s="188">
        <f t="shared" ref="C239:H239" ca="1" si="24">-C214</f>
        <v>-333273.88540641137</v>
      </c>
      <c r="D239" s="188">
        <f t="shared" ca="1" si="24"/>
        <v>-647413.55227294774</v>
      </c>
      <c r="E239" s="188">
        <f t="shared" ca="1" si="24"/>
        <v>-919218.23286590877</v>
      </c>
      <c r="F239" s="188">
        <f t="shared" ca="1" si="24"/>
        <v>-1187447.0412254913</v>
      </c>
      <c r="G239" s="188">
        <f t="shared" ca="1" si="24"/>
        <v>-1451646.4672479494</v>
      </c>
      <c r="H239" s="189">
        <f t="shared" ca="1" si="24"/>
        <v>-1761000.8209812925</v>
      </c>
    </row>
    <row r="240" spans="1:8" ht="20.25" thickBot="1" x14ac:dyDescent="0.35">
      <c r="A240" s="160" t="s">
        <v>323</v>
      </c>
      <c r="B240" s="161"/>
      <c r="C240" s="161">
        <v>33274</v>
      </c>
      <c r="D240" s="161">
        <v>47414</v>
      </c>
      <c r="E240" s="161">
        <v>19218</v>
      </c>
      <c r="F240" s="161">
        <v>-12553</v>
      </c>
      <c r="G240" s="161">
        <v>-48354</v>
      </c>
      <c r="H240" s="162">
        <v>-38999</v>
      </c>
    </row>
    <row r="241" spans="1:8" ht="20.25" thickBot="1" x14ac:dyDescent="0.35">
      <c r="A241" s="174" t="s">
        <v>211</v>
      </c>
      <c r="B241" s="175"/>
      <c r="C241" s="175">
        <f t="shared" ref="C241:H241" ca="1" si="25">SUM(C238:C240)</f>
        <v>700000.11459358863</v>
      </c>
      <c r="D241" s="175">
        <f t="shared" ca="1" si="25"/>
        <v>1400000.4477270523</v>
      </c>
      <c r="E241" s="175">
        <f t="shared" ca="1" si="25"/>
        <v>2099999.7671340914</v>
      </c>
      <c r="F241" s="175">
        <f t="shared" ca="1" si="25"/>
        <v>2799999.9587745089</v>
      </c>
      <c r="G241" s="175">
        <f t="shared" ca="1" si="25"/>
        <v>3499999.5327520506</v>
      </c>
      <c r="H241" s="176">
        <f t="shared" ca="1" si="25"/>
        <v>4200000.1790187079</v>
      </c>
    </row>
    <row r="243" spans="1:8" x14ac:dyDescent="0.3">
      <c r="A243" s="134" t="s">
        <v>324</v>
      </c>
      <c r="C243" s="143">
        <f t="shared" ref="C243:H243" ca="1" si="26">(C239+C240)/C238</f>
        <v>-0.29999988540641137</v>
      </c>
      <c r="D243" s="143">
        <f t="shared" ca="1" si="26"/>
        <v>-0.29999977613647388</v>
      </c>
      <c r="E243" s="143">
        <f t="shared" ca="1" si="26"/>
        <v>-0.30000007762196956</v>
      </c>
      <c r="F243" s="143">
        <f t="shared" ca="1" si="26"/>
        <v>-0.30000001030637286</v>
      </c>
      <c r="G243" s="143">
        <f t="shared" ca="1" si="26"/>
        <v>-0.30000009344958989</v>
      </c>
      <c r="H243" s="143">
        <f t="shared" ca="1" si="26"/>
        <v>-0.29999997016354873</v>
      </c>
    </row>
    <row r="245" spans="1:8" x14ac:dyDescent="0.3">
      <c r="E245" s="190">
        <f>SUM(C240:H240)</f>
        <v>0</v>
      </c>
    </row>
    <row r="249" spans="1:8" ht="20.25" thickBot="1" x14ac:dyDescent="0.35"/>
    <row r="250" spans="1:8" x14ac:dyDescent="0.3">
      <c r="A250" s="182" t="s">
        <v>311</v>
      </c>
      <c r="B250" s="183"/>
      <c r="C250" s="184">
        <v>1</v>
      </c>
    </row>
    <row r="251" spans="1:8" x14ac:dyDescent="0.3">
      <c r="A251" s="181" t="s">
        <v>322</v>
      </c>
      <c r="B251" s="181"/>
      <c r="C251" s="186">
        <v>0.3</v>
      </c>
    </row>
    <row r="252" spans="1:8" x14ac:dyDescent="0.3">
      <c r="A252" s="181" t="s">
        <v>323</v>
      </c>
      <c r="B252" s="181"/>
      <c r="C252" s="186"/>
    </row>
    <row r="253" spans="1:8" ht="20.25" thickBot="1" x14ac:dyDescent="0.35">
      <c r="A253" s="172" t="s">
        <v>211</v>
      </c>
      <c r="B253" s="173"/>
      <c r="C253" s="185">
        <v>0.7</v>
      </c>
    </row>
  </sheetData>
  <phoneticPr fontId="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4B9D-AA86-43C7-A6C0-1ED26C32D163}">
  <dimension ref="A1:M128"/>
  <sheetViews>
    <sheetView topLeftCell="A111" zoomScale="130" zoomScaleNormal="130" workbookViewId="0">
      <selection activeCell="D126" sqref="D126"/>
    </sheetView>
  </sheetViews>
  <sheetFormatPr baseColWidth="10" defaultRowHeight="21" x14ac:dyDescent="0.35"/>
  <cols>
    <col min="1" max="1" width="7.7109375" style="191" customWidth="1"/>
    <col min="2" max="2" width="17.28515625" style="191" customWidth="1"/>
    <col min="3" max="4" width="11.42578125" style="191"/>
    <col min="5" max="5" width="16.85546875" style="191" bestFit="1" customWidth="1"/>
    <col min="6" max="6" width="11.42578125" style="191"/>
    <col min="7" max="8" width="13.7109375" style="191" bestFit="1" customWidth="1"/>
    <col min="9" max="9" width="11.42578125" style="191"/>
    <col min="10" max="10" width="13.85546875" style="191" bestFit="1" customWidth="1"/>
    <col min="11" max="11" width="12.42578125" style="191" customWidth="1"/>
    <col min="12" max="16384" width="11.42578125" style="191"/>
  </cols>
  <sheetData>
    <row r="1" spans="1:13" s="193" customFormat="1" ht="23.25" x14ac:dyDescent="0.35">
      <c r="A1" s="196" t="s">
        <v>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s="194" customFormat="1" ht="23.25" x14ac:dyDescent="0.35">
      <c r="A2" s="197" t="s">
        <v>325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 s="194" customFormat="1" ht="23.25" x14ac:dyDescent="0.35">
      <c r="A3" s="197" t="s">
        <v>326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s="192" customFormat="1" ht="23.25" x14ac:dyDescent="0.35"/>
    <row r="5" spans="1:13" s="192" customFormat="1" ht="23.25" x14ac:dyDescent="0.35"/>
    <row r="6" spans="1:13" s="192" customFormat="1" ht="23.25" x14ac:dyDescent="0.35"/>
    <row r="7" spans="1:13" s="192" customFormat="1" ht="23.25" x14ac:dyDescent="0.35"/>
    <row r="8" spans="1:13" s="192" customFormat="1" ht="23.25" x14ac:dyDescent="0.35"/>
    <row r="9" spans="1:13" s="192" customFormat="1" ht="23.25" x14ac:dyDescent="0.35"/>
    <row r="10" spans="1:13" s="192" customFormat="1" ht="23.25" x14ac:dyDescent="0.35"/>
    <row r="11" spans="1:13" s="192" customFormat="1" ht="23.25" x14ac:dyDescent="0.35"/>
    <row r="12" spans="1:13" s="192" customFormat="1" ht="23.25" x14ac:dyDescent="0.35"/>
    <row r="13" spans="1:13" s="192" customFormat="1" ht="23.25" x14ac:dyDescent="0.35"/>
    <row r="14" spans="1:13" s="192" customFormat="1" ht="23.25" x14ac:dyDescent="0.35"/>
    <row r="15" spans="1:13" s="192" customFormat="1" ht="23.25" x14ac:dyDescent="0.35"/>
    <row r="16" spans="1:13" s="192" customFormat="1" ht="23.25" x14ac:dyDescent="0.35"/>
    <row r="17" spans="2:10" s="192" customFormat="1" ht="23.25" x14ac:dyDescent="0.35"/>
    <row r="18" spans="2:10" s="192" customFormat="1" ht="23.25" x14ac:dyDescent="0.35">
      <c r="B18" s="196" t="s">
        <v>328</v>
      </c>
      <c r="C18" s="196"/>
      <c r="D18" s="196"/>
      <c r="E18" s="196"/>
      <c r="F18" s="196"/>
      <c r="G18" s="196"/>
      <c r="H18" s="196"/>
      <c r="I18" s="196"/>
      <c r="J18" s="196"/>
    </row>
    <row r="19" spans="2:10" s="192" customFormat="1" ht="23.25" x14ac:dyDescent="0.35"/>
    <row r="20" spans="2:10" s="192" customFormat="1" ht="23.25" x14ac:dyDescent="0.35"/>
    <row r="21" spans="2:10" s="192" customFormat="1" ht="23.25" x14ac:dyDescent="0.35"/>
    <row r="22" spans="2:10" s="192" customFormat="1" ht="23.25" x14ac:dyDescent="0.35"/>
    <row r="23" spans="2:10" s="192" customFormat="1" ht="23.25" x14ac:dyDescent="0.35"/>
    <row r="24" spans="2:10" s="192" customFormat="1" ht="23.25" x14ac:dyDescent="0.35"/>
    <row r="25" spans="2:10" s="192" customFormat="1" ht="23.25" x14ac:dyDescent="0.35"/>
    <row r="26" spans="2:10" s="192" customFormat="1" ht="23.25" x14ac:dyDescent="0.35"/>
    <row r="27" spans="2:10" s="192" customFormat="1" ht="23.25" x14ac:dyDescent="0.35"/>
    <row r="28" spans="2:10" s="192" customFormat="1" ht="23.25" x14ac:dyDescent="0.35"/>
    <row r="29" spans="2:10" s="192" customFormat="1" ht="23.25" x14ac:dyDescent="0.35"/>
    <row r="30" spans="2:10" s="192" customFormat="1" ht="23.25" x14ac:dyDescent="0.35">
      <c r="B30" s="195" t="s">
        <v>327</v>
      </c>
      <c r="C30" s="195"/>
      <c r="D30" s="195"/>
      <c r="E30" s="195"/>
      <c r="F30" s="195"/>
      <c r="G30" s="195"/>
      <c r="H30" s="195"/>
      <c r="I30" s="195"/>
      <c r="J30" s="195"/>
    </row>
    <row r="31" spans="2:10" s="192" customFormat="1" ht="23.25" x14ac:dyDescent="0.35"/>
    <row r="32" spans="2:10" s="192" customFormat="1" ht="23.25" x14ac:dyDescent="0.35"/>
    <row r="33" s="192" customFormat="1" ht="23.25" x14ac:dyDescent="0.35"/>
    <row r="34" s="192" customFormat="1" ht="23.25" x14ac:dyDescent="0.35"/>
    <row r="35" s="192" customFormat="1" ht="23.25" x14ac:dyDescent="0.35"/>
    <row r="36" s="192" customFormat="1" ht="23.25" x14ac:dyDescent="0.35"/>
    <row r="37" s="192" customFormat="1" ht="23.25" x14ac:dyDescent="0.35"/>
    <row r="38" s="192" customFormat="1" ht="23.25" x14ac:dyDescent="0.35"/>
    <row r="39" s="192" customFormat="1" ht="23.25" x14ac:dyDescent="0.35"/>
    <row r="40" s="192" customFormat="1" ht="23.25" x14ac:dyDescent="0.35"/>
    <row r="41" s="192" customFormat="1" ht="23.25" x14ac:dyDescent="0.35"/>
    <row r="42" s="192" customFormat="1" ht="23.25" x14ac:dyDescent="0.35"/>
    <row r="43" s="192" customFormat="1" ht="23.25" x14ac:dyDescent="0.35"/>
    <row r="44" s="192" customFormat="1" ht="23.25" x14ac:dyDescent="0.35"/>
    <row r="45" s="192" customFormat="1" ht="23.25" x14ac:dyDescent="0.35"/>
    <row r="46" s="192" customFormat="1" ht="23.25" x14ac:dyDescent="0.35"/>
    <row r="47" s="192" customFormat="1" ht="23.25" x14ac:dyDescent="0.35"/>
    <row r="48" s="192" customFormat="1" ht="23.25" x14ac:dyDescent="0.35"/>
    <row r="49" spans="1:12" s="192" customFormat="1" ht="23.25" x14ac:dyDescent="0.35"/>
    <row r="50" spans="1:12" s="192" customFormat="1" ht="23.25" x14ac:dyDescent="0.35"/>
    <row r="51" spans="1:12" s="192" customFormat="1" ht="23.25" x14ac:dyDescent="0.35"/>
    <row r="52" spans="1:12" s="192" customFormat="1" ht="23.25" x14ac:dyDescent="0.35"/>
    <row r="53" spans="1:12" s="192" customFormat="1" ht="23.25" x14ac:dyDescent="0.35"/>
    <row r="55" spans="1:12" x14ac:dyDescent="0.35">
      <c r="B55" s="211" t="s">
        <v>329</v>
      </c>
      <c r="C55" s="211"/>
      <c r="D55" s="211"/>
      <c r="E55" s="211" t="s">
        <v>207</v>
      </c>
      <c r="F55" s="211" t="s">
        <v>330</v>
      </c>
    </row>
    <row r="56" spans="1:12" x14ac:dyDescent="0.35">
      <c r="B56" s="211" t="s">
        <v>331</v>
      </c>
      <c r="C56" s="211"/>
      <c r="D56" s="211"/>
      <c r="E56" s="211" t="s">
        <v>207</v>
      </c>
      <c r="F56" s="211" t="s">
        <v>332</v>
      </c>
    </row>
    <row r="58" spans="1:12" s="201" customFormat="1" x14ac:dyDescent="0.35">
      <c r="B58" s="202"/>
      <c r="C58" s="202"/>
      <c r="D58" s="202"/>
      <c r="E58" s="202" t="s">
        <v>334</v>
      </c>
      <c r="F58" s="203" t="s">
        <v>247</v>
      </c>
      <c r="G58" s="203" t="s">
        <v>342</v>
      </c>
      <c r="H58" s="203" t="s">
        <v>343</v>
      </c>
      <c r="I58" s="203" t="s">
        <v>339</v>
      </c>
      <c r="J58" s="203" t="s">
        <v>340</v>
      </c>
      <c r="K58" s="203" t="s">
        <v>341</v>
      </c>
      <c r="L58" s="191"/>
    </row>
    <row r="59" spans="1:12" x14ac:dyDescent="0.35">
      <c r="B59" s="204" t="s">
        <v>333</v>
      </c>
      <c r="C59" s="204"/>
      <c r="D59" s="204"/>
      <c r="E59" s="205">
        <v>45565</v>
      </c>
      <c r="F59" s="206">
        <v>1000</v>
      </c>
      <c r="G59" s="204">
        <v>3.722</v>
      </c>
      <c r="H59" s="208">
        <f>+F59*G59</f>
        <v>3722</v>
      </c>
      <c r="I59" s="207">
        <v>3.77</v>
      </c>
      <c r="J59" s="210">
        <f>+F59*I59</f>
        <v>3770</v>
      </c>
      <c r="K59" s="209">
        <f>+F59*G59</f>
        <v>3722</v>
      </c>
      <c r="L59" s="210">
        <f>+J59-H59</f>
        <v>48</v>
      </c>
    </row>
    <row r="60" spans="1:12" x14ac:dyDescent="0.35">
      <c r="B60" s="204" t="s">
        <v>338</v>
      </c>
      <c r="C60" s="204"/>
      <c r="D60" s="204"/>
      <c r="E60" s="205">
        <v>45565</v>
      </c>
      <c r="F60" s="206">
        <v>1000</v>
      </c>
      <c r="G60" s="204">
        <v>3.722</v>
      </c>
      <c r="H60" s="208">
        <f>+F60*G60</f>
        <v>3722</v>
      </c>
      <c r="I60" s="207">
        <v>3.77</v>
      </c>
      <c r="J60" s="208">
        <f>+F60*I60</f>
        <v>3770</v>
      </c>
      <c r="K60" s="210">
        <f>+F60*G60</f>
        <v>3722</v>
      </c>
      <c r="L60" s="210">
        <f>+K60-H60</f>
        <v>0</v>
      </c>
    </row>
    <row r="61" spans="1:12" x14ac:dyDescent="0.35">
      <c r="B61" s="204" t="s">
        <v>335</v>
      </c>
      <c r="C61" s="204"/>
      <c r="D61" s="204"/>
      <c r="E61" s="205">
        <v>45473</v>
      </c>
      <c r="F61" s="206">
        <v>1000</v>
      </c>
      <c r="G61" s="204">
        <v>3.8370000000000002</v>
      </c>
      <c r="H61" s="208">
        <f>+F61*G61</f>
        <v>3837</v>
      </c>
      <c r="I61" s="207">
        <v>3.77</v>
      </c>
      <c r="J61" s="208">
        <f>+F61*I61</f>
        <v>3770</v>
      </c>
      <c r="K61" s="210">
        <f>+F61*G61</f>
        <v>3837</v>
      </c>
      <c r="L61" s="210">
        <f>+K61-H61</f>
        <v>0</v>
      </c>
    </row>
    <row r="62" spans="1:12" s="201" customFormat="1" x14ac:dyDescent="0.35">
      <c r="A62" s="201" t="s">
        <v>358</v>
      </c>
      <c r="B62" s="215" t="s">
        <v>336</v>
      </c>
      <c r="C62" s="215"/>
      <c r="D62" s="215"/>
      <c r="E62" s="216">
        <v>45580</v>
      </c>
      <c r="F62" s="206">
        <v>1000</v>
      </c>
      <c r="G62" s="215">
        <v>3.7629999999999999</v>
      </c>
      <c r="H62" s="209">
        <f>+F62*G62</f>
        <v>3763</v>
      </c>
      <c r="I62" s="217">
        <v>3.77</v>
      </c>
      <c r="J62" s="209">
        <f>+F62*I62</f>
        <v>3770</v>
      </c>
      <c r="K62" s="210">
        <f>+F62*G62</f>
        <v>3763</v>
      </c>
      <c r="L62" s="210">
        <f>+K62-H62</f>
        <v>0</v>
      </c>
    </row>
    <row r="63" spans="1:12" s="201" customFormat="1" x14ac:dyDescent="0.35">
      <c r="A63" s="201" t="s">
        <v>358</v>
      </c>
      <c r="B63" s="215" t="s">
        <v>337</v>
      </c>
      <c r="C63" s="215"/>
      <c r="D63" s="215"/>
      <c r="E63" s="216">
        <v>45607</v>
      </c>
      <c r="F63" s="206">
        <v>1000</v>
      </c>
      <c r="G63" s="215">
        <v>3.7450000000000001</v>
      </c>
      <c r="H63" s="209">
        <f>+F63*G63</f>
        <v>3745</v>
      </c>
      <c r="I63" s="217">
        <v>3.77</v>
      </c>
      <c r="J63" s="209">
        <f>+F63*I63</f>
        <v>3770</v>
      </c>
      <c r="K63" s="210">
        <f>+F63*G63</f>
        <v>3745</v>
      </c>
      <c r="L63" s="210"/>
    </row>
    <row r="65" spans="2:5" x14ac:dyDescent="0.35">
      <c r="B65" s="201" t="s">
        <v>344</v>
      </c>
    </row>
    <row r="66" spans="2:5" x14ac:dyDescent="0.35">
      <c r="B66" s="201"/>
    </row>
    <row r="67" spans="2:5" x14ac:dyDescent="0.35">
      <c r="B67" s="191" t="s">
        <v>345</v>
      </c>
    </row>
    <row r="69" spans="2:5" x14ac:dyDescent="0.35">
      <c r="B69" s="201" t="s">
        <v>348</v>
      </c>
    </row>
    <row r="71" spans="2:5" x14ac:dyDescent="0.35">
      <c r="B71" s="191" t="s">
        <v>349</v>
      </c>
    </row>
    <row r="72" spans="2:5" x14ac:dyDescent="0.35">
      <c r="B72" s="191" t="s">
        <v>350</v>
      </c>
    </row>
    <row r="74" spans="2:5" x14ac:dyDescent="0.35">
      <c r="B74" s="201" t="s">
        <v>351</v>
      </c>
    </row>
    <row r="78" spans="2:5" x14ac:dyDescent="0.35">
      <c r="B78" s="201" t="s">
        <v>352</v>
      </c>
    </row>
    <row r="80" spans="2:5" x14ac:dyDescent="0.35">
      <c r="C80" s="201" t="s">
        <v>353</v>
      </c>
      <c r="D80" s="201"/>
      <c r="E80" s="212">
        <v>1130</v>
      </c>
    </row>
    <row r="82" spans="3:7" x14ac:dyDescent="0.35">
      <c r="D82" s="191" t="s">
        <v>354</v>
      </c>
    </row>
    <row r="83" spans="3:7" x14ac:dyDescent="0.35">
      <c r="D83" s="191" t="s">
        <v>355</v>
      </c>
    </row>
    <row r="84" spans="3:7" x14ac:dyDescent="0.35">
      <c r="D84" s="191" t="s">
        <v>356</v>
      </c>
    </row>
    <row r="86" spans="3:7" x14ac:dyDescent="0.35">
      <c r="F86" s="199" t="s">
        <v>247</v>
      </c>
      <c r="G86" s="199" t="s">
        <v>247</v>
      </c>
    </row>
    <row r="87" spans="3:7" x14ac:dyDescent="0.35">
      <c r="C87" s="191" t="s">
        <v>358</v>
      </c>
      <c r="D87" s="213" t="s">
        <v>357</v>
      </c>
      <c r="E87" s="213"/>
      <c r="F87" s="213">
        <v>500</v>
      </c>
      <c r="G87" s="213"/>
    </row>
    <row r="88" spans="3:7" s="201" customFormat="1" x14ac:dyDescent="0.35">
      <c r="C88" s="201" t="s">
        <v>359</v>
      </c>
      <c r="D88" s="214" t="s">
        <v>346</v>
      </c>
      <c r="E88" s="214"/>
      <c r="F88" s="214"/>
      <c r="G88" s="214">
        <f>+F87</f>
        <v>500</v>
      </c>
    </row>
    <row r="92" spans="3:7" x14ac:dyDescent="0.35">
      <c r="C92" s="201" t="s">
        <v>353</v>
      </c>
      <c r="D92" s="201"/>
      <c r="E92" s="212">
        <v>1130</v>
      </c>
    </row>
    <row r="94" spans="3:7" x14ac:dyDescent="0.35">
      <c r="D94" s="191" t="s">
        <v>361</v>
      </c>
    </row>
    <row r="96" spans="3:7" x14ac:dyDescent="0.35">
      <c r="F96" s="199" t="s">
        <v>247</v>
      </c>
      <c r="G96" s="199" t="s">
        <v>247</v>
      </c>
    </row>
    <row r="97" spans="1:9" x14ac:dyDescent="0.35">
      <c r="D97" s="213" t="s">
        <v>347</v>
      </c>
      <c r="E97" s="213"/>
      <c r="F97" s="213">
        <v>500</v>
      </c>
      <c r="G97" s="213"/>
    </row>
    <row r="98" spans="1:9" x14ac:dyDescent="0.35">
      <c r="C98" s="201"/>
      <c r="D98" s="214" t="s">
        <v>360</v>
      </c>
      <c r="E98" s="214"/>
      <c r="F98" s="214"/>
      <c r="G98" s="214">
        <f>+F97</f>
        <v>500</v>
      </c>
      <c r="H98" s="201"/>
      <c r="I98" s="201"/>
    </row>
    <row r="103" spans="1:9" x14ac:dyDescent="0.35">
      <c r="A103" s="218"/>
      <c r="B103" s="218"/>
      <c r="C103" s="218"/>
      <c r="D103" s="218"/>
      <c r="E103" s="218"/>
      <c r="F103" s="218" t="s">
        <v>247</v>
      </c>
      <c r="G103" s="218" t="s">
        <v>247</v>
      </c>
    </row>
    <row r="104" spans="1:9" x14ac:dyDescent="0.35">
      <c r="A104" s="218"/>
      <c r="B104" s="218"/>
      <c r="C104" s="218" t="s">
        <v>360</v>
      </c>
      <c r="D104" s="218"/>
      <c r="E104" s="218"/>
      <c r="F104" s="219">
        <v>1000</v>
      </c>
      <c r="G104" s="218"/>
    </row>
    <row r="105" spans="1:9" x14ac:dyDescent="0.35">
      <c r="A105" s="218"/>
      <c r="B105" s="218"/>
      <c r="C105" s="218" t="s">
        <v>362</v>
      </c>
      <c r="D105" s="218"/>
      <c r="E105" s="218"/>
      <c r="F105" s="218"/>
      <c r="G105" s="219">
        <f>+F104</f>
        <v>1000</v>
      </c>
    </row>
    <row r="107" spans="1:9" x14ac:dyDescent="0.35">
      <c r="A107" s="218"/>
      <c r="B107" s="218"/>
      <c r="C107" s="218"/>
      <c r="D107" s="218"/>
      <c r="E107" s="218"/>
      <c r="F107" s="218" t="s">
        <v>247</v>
      </c>
      <c r="G107" s="218" t="s">
        <v>247</v>
      </c>
    </row>
    <row r="108" spans="1:9" x14ac:dyDescent="0.35">
      <c r="A108" s="218"/>
      <c r="B108" s="218"/>
      <c r="C108" s="218" t="s">
        <v>363</v>
      </c>
      <c r="D108" s="218"/>
      <c r="E108" s="218"/>
      <c r="F108" s="219">
        <v>1000</v>
      </c>
      <c r="G108" s="218"/>
    </row>
    <row r="109" spans="1:9" x14ac:dyDescent="0.35">
      <c r="A109" s="218"/>
      <c r="B109" s="218"/>
      <c r="C109" s="218" t="s">
        <v>360</v>
      </c>
      <c r="D109" s="218"/>
      <c r="E109" s="218"/>
      <c r="F109" s="218"/>
      <c r="G109" s="219">
        <f>+F108</f>
        <v>1000</v>
      </c>
    </row>
    <row r="112" spans="1:9" x14ac:dyDescent="0.35">
      <c r="B112" s="191" t="s">
        <v>364</v>
      </c>
    </row>
    <row r="113" spans="2:8" x14ac:dyDescent="0.35">
      <c r="B113" s="191" t="s">
        <v>365</v>
      </c>
    </row>
    <row r="114" spans="2:8" x14ac:dyDescent="0.35">
      <c r="B114" s="191" t="s">
        <v>366</v>
      </c>
    </row>
    <row r="115" spans="2:8" x14ac:dyDescent="0.35">
      <c r="B115" s="191" t="s">
        <v>367</v>
      </c>
    </row>
    <row r="118" spans="2:8" x14ac:dyDescent="0.35">
      <c r="B118" s="200">
        <v>45473</v>
      </c>
      <c r="G118" s="199" t="s">
        <v>190</v>
      </c>
      <c r="H118" s="199" t="s">
        <v>191</v>
      </c>
    </row>
    <row r="119" spans="2:8" x14ac:dyDescent="0.35">
      <c r="B119" s="198">
        <v>1000000</v>
      </c>
      <c r="D119" s="191" t="s">
        <v>368</v>
      </c>
      <c r="G119" s="198">
        <f>+B119*B120</f>
        <v>3685000</v>
      </c>
    </row>
    <row r="120" spans="2:8" x14ac:dyDescent="0.35">
      <c r="B120" s="191">
        <v>3.6850000000000001</v>
      </c>
      <c r="D120" s="191" t="s">
        <v>253</v>
      </c>
      <c r="H120" s="198">
        <f>+G119</f>
        <v>3685000</v>
      </c>
    </row>
    <row r="122" spans="2:8" x14ac:dyDescent="0.35">
      <c r="B122" s="200">
        <v>45657</v>
      </c>
      <c r="G122" s="199" t="s">
        <v>190</v>
      </c>
      <c r="H122" s="199" t="s">
        <v>191</v>
      </c>
    </row>
    <row r="123" spans="2:8" x14ac:dyDescent="0.35">
      <c r="B123" s="198">
        <v>1000000</v>
      </c>
      <c r="D123" s="191" t="s">
        <v>368</v>
      </c>
      <c r="G123" s="198">
        <f>+B123*B124-G119</f>
        <v>30000</v>
      </c>
    </row>
    <row r="124" spans="2:8" x14ac:dyDescent="0.35">
      <c r="B124" s="191">
        <v>3.7149999999999999</v>
      </c>
      <c r="D124" s="191" t="s">
        <v>369</v>
      </c>
      <c r="H124" s="198">
        <f>+G123</f>
        <v>30000</v>
      </c>
    </row>
    <row r="127" spans="2:8" x14ac:dyDescent="0.35">
      <c r="G127" s="198"/>
    </row>
    <row r="128" spans="2:8" x14ac:dyDescent="0.35">
      <c r="G128" s="19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85FD-2F9B-4E05-AB25-DACEB8E690B9}">
  <dimension ref="A1:G72"/>
  <sheetViews>
    <sheetView zoomScale="170" zoomScaleNormal="170" workbookViewId="0">
      <selection activeCell="G15" sqref="G15"/>
    </sheetView>
  </sheetViews>
  <sheetFormatPr baseColWidth="10" defaultRowHeight="15" x14ac:dyDescent="0.25"/>
  <cols>
    <col min="1" max="1" width="7.140625" bestFit="1" customWidth="1"/>
    <col min="4" max="4" width="12.5703125" customWidth="1"/>
  </cols>
  <sheetData>
    <row r="1" spans="1:7" x14ac:dyDescent="0.25">
      <c r="A1" s="99" t="s">
        <v>29</v>
      </c>
      <c r="B1" s="220" t="s">
        <v>370</v>
      </c>
      <c r="C1" s="221"/>
      <c r="D1" s="221"/>
      <c r="E1" s="221"/>
      <c r="F1" s="221"/>
      <c r="G1" s="221"/>
    </row>
    <row r="2" spans="1:7" ht="15.75" thickBot="1" x14ac:dyDescent="0.3">
      <c r="A2" s="94"/>
      <c r="B2" s="221"/>
      <c r="C2" s="221"/>
      <c r="D2" s="221"/>
      <c r="E2" s="221"/>
      <c r="F2" s="221"/>
      <c r="G2" s="221"/>
    </row>
    <row r="3" spans="1:7" ht="15.75" thickBot="1" x14ac:dyDescent="0.3">
      <c r="A3" s="94"/>
      <c r="B3" s="463" t="s">
        <v>371</v>
      </c>
      <c r="C3" s="464"/>
      <c r="D3" s="464"/>
      <c r="E3" s="465"/>
      <c r="F3" s="221"/>
      <c r="G3" s="221"/>
    </row>
    <row r="4" spans="1:7" x14ac:dyDescent="0.25">
      <c r="A4" s="94"/>
      <c r="B4" s="221"/>
      <c r="C4" s="221"/>
      <c r="D4" s="221"/>
      <c r="E4" s="221"/>
      <c r="F4" s="221"/>
      <c r="G4" s="221"/>
    </row>
    <row r="5" spans="1:7" x14ac:dyDescent="0.25">
      <c r="A5" s="94"/>
      <c r="B5" s="231"/>
      <c r="C5" s="231"/>
      <c r="D5" s="232" t="s">
        <v>377</v>
      </c>
      <c r="E5" s="231"/>
      <c r="F5" s="231"/>
      <c r="G5" s="221"/>
    </row>
    <row r="6" spans="1:7" x14ac:dyDescent="0.25">
      <c r="A6" s="94"/>
      <c r="B6" s="231"/>
      <c r="C6" s="231"/>
      <c r="D6" s="232" t="s">
        <v>378</v>
      </c>
      <c r="E6" s="231"/>
      <c r="F6" s="231"/>
      <c r="G6" s="221"/>
    </row>
    <row r="7" spans="1:7" ht="15.75" x14ac:dyDescent="0.25">
      <c r="A7" s="94"/>
      <c r="B7" s="231"/>
      <c r="C7" s="231"/>
      <c r="D7" s="233" t="s">
        <v>21</v>
      </c>
      <c r="E7" s="231"/>
      <c r="F7" s="231"/>
      <c r="G7" s="221"/>
    </row>
    <row r="8" spans="1:7" ht="15.75" x14ac:dyDescent="0.25">
      <c r="A8" s="94"/>
      <c r="B8" s="231"/>
      <c r="C8" s="231"/>
      <c r="D8" s="233" t="s">
        <v>27</v>
      </c>
      <c r="E8" s="231"/>
      <c r="F8" s="231"/>
      <c r="G8" s="221"/>
    </row>
    <row r="9" spans="1:7" x14ac:dyDescent="0.25">
      <c r="A9" s="94"/>
      <c r="B9" s="231"/>
      <c r="C9" s="231"/>
      <c r="D9" s="231"/>
      <c r="E9" s="231"/>
      <c r="F9" s="231"/>
      <c r="G9" s="221"/>
    </row>
    <row r="10" spans="1:7" x14ac:dyDescent="0.25">
      <c r="A10" s="94"/>
      <c r="B10" s="231"/>
      <c r="C10" s="231"/>
      <c r="D10" s="231"/>
      <c r="E10" s="231"/>
      <c r="F10" s="236">
        <v>0.5</v>
      </c>
      <c r="G10" s="224"/>
    </row>
    <row r="11" spans="1:7" x14ac:dyDescent="0.25">
      <c r="A11" s="94"/>
      <c r="B11" s="228"/>
      <c r="C11" s="228"/>
      <c r="D11" s="229" t="s">
        <v>375</v>
      </c>
      <c r="E11" s="228"/>
      <c r="F11" s="228"/>
      <c r="G11" s="221"/>
    </row>
    <row r="12" spans="1:7" x14ac:dyDescent="0.25">
      <c r="A12" s="94"/>
      <c r="B12" s="228"/>
      <c r="C12" s="228"/>
      <c r="D12" s="229" t="s">
        <v>376</v>
      </c>
      <c r="E12" s="228"/>
      <c r="F12" s="228"/>
      <c r="G12" s="221"/>
    </row>
    <row r="13" spans="1:7" ht="15.75" x14ac:dyDescent="0.25">
      <c r="A13" s="94"/>
      <c r="B13" s="228"/>
      <c r="C13" s="228"/>
      <c r="D13" s="230" t="s">
        <v>11</v>
      </c>
      <c r="E13" s="228"/>
      <c r="F13" s="228"/>
      <c r="G13" s="221"/>
    </row>
    <row r="14" spans="1:7" x14ac:dyDescent="0.25">
      <c r="A14" s="94"/>
      <c r="B14" s="228"/>
      <c r="C14" s="228"/>
      <c r="D14" s="228"/>
      <c r="E14" s="228"/>
      <c r="F14" s="228"/>
      <c r="G14" s="221"/>
    </row>
    <row r="15" spans="1:7" x14ac:dyDescent="0.25">
      <c r="A15" s="94"/>
      <c r="B15" s="228"/>
      <c r="C15" s="228"/>
      <c r="D15" s="228"/>
      <c r="E15" s="228"/>
      <c r="F15" s="228"/>
      <c r="G15" s="221"/>
    </row>
    <row r="16" spans="1:7" x14ac:dyDescent="0.25">
      <c r="A16" s="94"/>
      <c r="B16" s="228"/>
      <c r="C16" s="228"/>
      <c r="D16" s="228"/>
      <c r="E16" s="228"/>
      <c r="F16" s="235">
        <v>0.2</v>
      </c>
      <c r="G16" s="224"/>
    </row>
    <row r="17" spans="1:7" x14ac:dyDescent="0.25">
      <c r="A17" s="94"/>
      <c r="B17" s="221"/>
      <c r="C17" s="225"/>
      <c r="D17" s="226" t="s">
        <v>372</v>
      </c>
      <c r="E17" s="225"/>
      <c r="F17" s="225"/>
      <c r="G17" s="221"/>
    </row>
    <row r="18" spans="1:7" x14ac:dyDescent="0.25">
      <c r="A18" s="94"/>
      <c r="B18" s="221"/>
      <c r="C18" s="225"/>
      <c r="D18" s="226" t="s">
        <v>373</v>
      </c>
      <c r="E18" s="225"/>
      <c r="F18" s="225"/>
      <c r="G18" s="221"/>
    </row>
    <row r="19" spans="1:7" ht="20.25" customHeight="1" x14ac:dyDescent="0.25">
      <c r="A19" s="94"/>
      <c r="B19" s="221"/>
      <c r="C19" s="225"/>
      <c r="D19" s="227" t="s">
        <v>374</v>
      </c>
      <c r="E19" s="225"/>
      <c r="F19" s="225"/>
      <c r="G19" s="221"/>
    </row>
    <row r="20" spans="1:7" x14ac:dyDescent="0.25">
      <c r="A20" s="94"/>
      <c r="B20" s="221"/>
      <c r="C20" s="221"/>
      <c r="D20" s="221"/>
      <c r="E20" s="221"/>
      <c r="F20" s="221"/>
      <c r="G20" s="221"/>
    </row>
    <row r="21" spans="1:7" x14ac:dyDescent="0.25">
      <c r="A21" s="94"/>
      <c r="B21" s="221"/>
      <c r="C21" s="221"/>
      <c r="D21" s="221"/>
      <c r="E21" s="221"/>
      <c r="F21" s="221"/>
      <c r="G21" s="221"/>
    </row>
    <row r="22" spans="1:7" x14ac:dyDescent="0.25">
      <c r="A22" s="94"/>
      <c r="B22" s="221"/>
      <c r="C22" s="221"/>
      <c r="D22" s="221"/>
      <c r="E22" s="221"/>
      <c r="F22" s="221"/>
      <c r="G22" s="221"/>
    </row>
    <row r="23" spans="1:7" x14ac:dyDescent="0.25">
      <c r="A23" s="94"/>
      <c r="B23" s="221"/>
      <c r="C23" s="221"/>
      <c r="D23" s="221"/>
      <c r="E23" s="221"/>
      <c r="F23" s="221"/>
      <c r="G23" s="221"/>
    </row>
    <row r="24" spans="1:7" x14ac:dyDescent="0.25">
      <c r="A24" s="94"/>
      <c r="B24" s="221"/>
      <c r="C24" s="221"/>
      <c r="D24" s="221"/>
      <c r="E24" s="221"/>
      <c r="F24" s="221"/>
      <c r="G24" s="221"/>
    </row>
    <row r="25" spans="1:7" x14ac:dyDescent="0.25">
      <c r="A25" s="94"/>
      <c r="B25" s="221"/>
      <c r="C25" s="221"/>
      <c r="D25" s="221"/>
      <c r="E25" s="221"/>
      <c r="F25" s="221"/>
      <c r="G25" s="221"/>
    </row>
    <row r="26" spans="1:7" x14ac:dyDescent="0.25">
      <c r="A26" s="94"/>
      <c r="B26" s="220" t="s">
        <v>380</v>
      </c>
      <c r="C26" s="221"/>
      <c r="D26" s="221"/>
      <c r="E26" s="221"/>
      <c r="F26" s="220" t="s">
        <v>379</v>
      </c>
      <c r="G26" s="221"/>
    </row>
    <row r="27" spans="1:7" x14ac:dyDescent="0.25">
      <c r="A27" s="94"/>
      <c r="B27" s="221"/>
      <c r="C27" s="221"/>
      <c r="D27" s="221"/>
      <c r="E27" s="221"/>
      <c r="F27" s="221"/>
      <c r="G27" s="221"/>
    </row>
    <row r="28" spans="1:7" x14ac:dyDescent="0.25">
      <c r="A28" s="94"/>
      <c r="B28" s="222"/>
      <c r="C28" s="222">
        <v>0.5</v>
      </c>
      <c r="D28" s="221"/>
      <c r="E28" s="234">
        <v>0.5</v>
      </c>
      <c r="F28" s="221"/>
      <c r="G28" s="221"/>
    </row>
    <row r="29" spans="1:7" x14ac:dyDescent="0.25">
      <c r="A29" s="94"/>
      <c r="B29" s="221"/>
      <c r="C29" s="221"/>
      <c r="D29" s="220"/>
      <c r="E29" s="221"/>
      <c r="F29" s="221"/>
      <c r="G29" s="221"/>
    </row>
    <row r="30" spans="1:7" x14ac:dyDescent="0.25">
      <c r="A30" s="94"/>
      <c r="B30" s="221"/>
      <c r="C30" s="221"/>
      <c r="D30" s="220" t="s">
        <v>381</v>
      </c>
      <c r="E30" s="221"/>
      <c r="F30" s="221"/>
      <c r="G30" s="221"/>
    </row>
    <row r="31" spans="1:7" x14ac:dyDescent="0.25">
      <c r="A31" s="94"/>
      <c r="B31" s="221"/>
      <c r="C31" s="221"/>
      <c r="D31" s="220" t="s">
        <v>382</v>
      </c>
      <c r="E31" s="221"/>
      <c r="F31" s="221"/>
      <c r="G31" s="221"/>
    </row>
    <row r="32" spans="1:7" x14ac:dyDescent="0.25">
      <c r="A32" s="94"/>
      <c r="B32" s="221"/>
      <c r="C32" s="221"/>
      <c r="D32" s="220"/>
      <c r="E32" s="221"/>
      <c r="F32" s="221"/>
      <c r="G32" s="221"/>
    </row>
    <row r="33" spans="1:7" x14ac:dyDescent="0.25">
      <c r="A33" s="94"/>
      <c r="B33" s="221"/>
      <c r="C33" s="221"/>
      <c r="D33" s="220"/>
      <c r="E33" s="221"/>
      <c r="F33" s="221"/>
      <c r="G33" s="221"/>
    </row>
    <row r="34" spans="1:7" x14ac:dyDescent="0.25">
      <c r="A34" s="94"/>
      <c r="B34" s="221"/>
      <c r="C34" s="221"/>
      <c r="D34" s="220"/>
      <c r="E34" s="221"/>
      <c r="F34" s="221"/>
      <c r="G34" s="221"/>
    </row>
    <row r="35" spans="1:7" x14ac:dyDescent="0.25">
      <c r="A35" s="94"/>
      <c r="B35" s="221"/>
      <c r="C35" s="221"/>
      <c r="D35" s="220"/>
      <c r="E35" s="221"/>
      <c r="F35" s="221"/>
      <c r="G35" s="221"/>
    </row>
    <row r="36" spans="1:7" x14ac:dyDescent="0.25">
      <c r="A36" s="94"/>
      <c r="B36" s="221"/>
      <c r="C36" s="221"/>
      <c r="D36" s="220"/>
      <c r="E36" s="221"/>
      <c r="F36" s="221"/>
      <c r="G36" s="221"/>
    </row>
    <row r="37" spans="1:7" x14ac:dyDescent="0.25">
      <c r="A37" s="94"/>
      <c r="B37" s="221"/>
      <c r="C37" s="221"/>
      <c r="D37" s="220"/>
      <c r="E37" s="221"/>
      <c r="F37" s="221"/>
      <c r="G37" s="221"/>
    </row>
    <row r="38" spans="1:7" x14ac:dyDescent="0.25">
      <c r="A38" s="94"/>
      <c r="B38" s="221"/>
      <c r="C38" s="221"/>
      <c r="D38" s="220"/>
      <c r="E38" s="221"/>
      <c r="F38" s="221"/>
      <c r="G38" s="221"/>
    </row>
    <row r="39" spans="1:7" x14ac:dyDescent="0.25">
      <c r="A39" s="94"/>
      <c r="B39" s="221"/>
      <c r="C39" s="221"/>
      <c r="D39" s="220"/>
      <c r="E39" s="221"/>
      <c r="F39" s="221"/>
      <c r="G39" s="221"/>
    </row>
    <row r="40" spans="1:7" x14ac:dyDescent="0.25">
      <c r="A40" s="94"/>
      <c r="B40" s="220" t="s">
        <v>384</v>
      </c>
      <c r="C40" s="221"/>
      <c r="D40" s="221"/>
      <c r="E40" s="221"/>
      <c r="F40" s="220" t="s">
        <v>385</v>
      </c>
      <c r="G40" s="221"/>
    </row>
    <row r="41" spans="1:7" x14ac:dyDescent="0.25">
      <c r="A41" s="94"/>
      <c r="B41" s="221"/>
      <c r="C41" s="221"/>
      <c r="D41" s="221"/>
      <c r="E41" s="221"/>
      <c r="F41" s="221"/>
      <c r="G41" s="221"/>
    </row>
    <row r="42" spans="1:7" s="1" customFormat="1" x14ac:dyDescent="0.25">
      <c r="A42" s="99"/>
      <c r="B42" s="223"/>
      <c r="C42" s="223">
        <v>0.6</v>
      </c>
      <c r="D42" s="220"/>
      <c r="E42" s="224">
        <v>0.4</v>
      </c>
      <c r="F42" s="220"/>
      <c r="G42" s="220"/>
    </row>
    <row r="43" spans="1:7" ht="15.75" thickBot="1" x14ac:dyDescent="0.3">
      <c r="A43" s="94"/>
      <c r="B43" s="221"/>
      <c r="C43" s="221"/>
      <c r="D43" s="220"/>
      <c r="E43" s="221"/>
      <c r="F43" s="221"/>
      <c r="G43" s="221"/>
    </row>
    <row r="44" spans="1:7" ht="15.75" thickBot="1" x14ac:dyDescent="0.3">
      <c r="A44" s="94"/>
      <c r="B44" s="221"/>
      <c r="C44" s="221"/>
      <c r="D44" s="237" t="s">
        <v>383</v>
      </c>
      <c r="E44" s="221"/>
      <c r="F44" s="221"/>
      <c r="G44" s="221"/>
    </row>
    <row r="45" spans="1:7" x14ac:dyDescent="0.25">
      <c r="A45" s="94"/>
      <c r="B45" s="221"/>
      <c r="C45" s="221"/>
      <c r="D45" s="220"/>
      <c r="E45" s="221"/>
      <c r="F45" s="221"/>
      <c r="G45" s="221"/>
    </row>
    <row r="46" spans="1:7" x14ac:dyDescent="0.25">
      <c r="A46" s="94"/>
      <c r="B46" s="220" t="s">
        <v>387</v>
      </c>
      <c r="C46" s="221"/>
      <c r="D46" s="220"/>
      <c r="E46" s="221"/>
      <c r="F46" s="221"/>
      <c r="G46" s="221"/>
    </row>
    <row r="47" spans="1:7" x14ac:dyDescent="0.25">
      <c r="A47" s="94"/>
      <c r="B47" s="220" t="s">
        <v>386</v>
      </c>
      <c r="C47" s="221"/>
      <c r="D47" s="238">
        <v>0.7</v>
      </c>
      <c r="E47" s="221"/>
      <c r="F47" s="221"/>
      <c r="G47" s="221"/>
    </row>
    <row r="48" spans="1:7" x14ac:dyDescent="0.25">
      <c r="A48" s="94"/>
      <c r="B48" s="221"/>
      <c r="C48" s="221"/>
      <c r="D48" s="221"/>
      <c r="E48" s="221"/>
      <c r="F48" s="221"/>
      <c r="G48" s="221"/>
    </row>
    <row r="49" spans="1:7" x14ac:dyDescent="0.25">
      <c r="A49" s="94"/>
      <c r="B49" s="221"/>
      <c r="C49" s="221"/>
      <c r="D49" s="221"/>
      <c r="E49" s="221"/>
      <c r="F49" s="221"/>
      <c r="G49" s="221"/>
    </row>
    <row r="50" spans="1:7" x14ac:dyDescent="0.25">
      <c r="A50" s="94"/>
      <c r="B50" s="221"/>
      <c r="C50" s="221"/>
      <c r="D50" s="221"/>
      <c r="E50" s="221"/>
      <c r="F50" s="221"/>
      <c r="G50" s="221"/>
    </row>
    <row r="51" spans="1:7" x14ac:dyDescent="0.25">
      <c r="A51" s="94"/>
      <c r="B51" s="221"/>
      <c r="C51" s="221"/>
      <c r="D51" s="221"/>
      <c r="E51" s="221"/>
      <c r="F51" s="221"/>
      <c r="G51" s="221"/>
    </row>
    <row r="52" spans="1:7" ht="15.75" thickBot="1" x14ac:dyDescent="0.3">
      <c r="A52" s="94"/>
      <c r="B52" s="221"/>
      <c r="C52" s="221"/>
      <c r="D52" s="221"/>
      <c r="E52" s="221"/>
      <c r="F52" s="221"/>
      <c r="G52" s="221"/>
    </row>
    <row r="53" spans="1:7" x14ac:dyDescent="0.25">
      <c r="A53" s="94"/>
      <c r="B53" s="240" t="s">
        <v>389</v>
      </c>
      <c r="C53" s="241"/>
      <c r="D53" s="241"/>
      <c r="E53" s="241"/>
      <c r="F53" s="242"/>
      <c r="G53" s="221"/>
    </row>
    <row r="54" spans="1:7" x14ac:dyDescent="0.25">
      <c r="A54" s="94"/>
      <c r="B54" s="243"/>
      <c r="C54" s="221"/>
      <c r="D54" s="221"/>
      <c r="E54" s="221"/>
      <c r="F54" s="244"/>
      <c r="G54" s="221"/>
    </row>
    <row r="55" spans="1:7" x14ac:dyDescent="0.25">
      <c r="A55" s="94"/>
      <c r="B55" s="245"/>
      <c r="C55" s="246">
        <v>0.19500000000000001</v>
      </c>
      <c r="D55" s="220"/>
      <c r="E55" s="224"/>
      <c r="F55" s="247"/>
      <c r="G55" s="221"/>
    </row>
    <row r="56" spans="1:7" ht="15.75" thickBot="1" x14ac:dyDescent="0.3">
      <c r="A56" s="94"/>
      <c r="B56" s="243"/>
      <c r="C56" s="221"/>
      <c r="D56" s="220"/>
      <c r="E56" s="221"/>
      <c r="F56" s="244"/>
      <c r="G56" s="221"/>
    </row>
    <row r="57" spans="1:7" ht="15.75" thickBot="1" x14ac:dyDescent="0.3">
      <c r="A57" s="94"/>
      <c r="B57" s="243"/>
      <c r="C57" s="221"/>
      <c r="D57" s="239" t="s">
        <v>388</v>
      </c>
      <c r="E57" s="221"/>
      <c r="F57" s="244"/>
      <c r="G57" s="221"/>
    </row>
    <row r="58" spans="1:7" x14ac:dyDescent="0.25">
      <c r="A58" s="94"/>
      <c r="B58" s="243"/>
      <c r="C58" s="221"/>
      <c r="D58" s="220"/>
      <c r="E58" s="221"/>
      <c r="F58" s="244"/>
      <c r="G58" s="221"/>
    </row>
    <row r="59" spans="1:7" x14ac:dyDescent="0.25">
      <c r="A59" s="94"/>
      <c r="B59" s="243"/>
      <c r="C59" s="221"/>
      <c r="D59" s="220" t="s">
        <v>390</v>
      </c>
      <c r="E59" s="221"/>
      <c r="F59" s="244"/>
      <c r="G59" s="221"/>
    </row>
    <row r="60" spans="1:7" x14ac:dyDescent="0.25">
      <c r="A60" s="94"/>
      <c r="B60" s="243"/>
      <c r="C60" s="221"/>
      <c r="D60" s="221"/>
      <c r="E60" s="221"/>
      <c r="F60" s="244"/>
      <c r="G60" s="221"/>
    </row>
    <row r="61" spans="1:7" x14ac:dyDescent="0.25">
      <c r="A61" s="94"/>
      <c r="B61" s="243"/>
      <c r="C61" s="221"/>
      <c r="D61" s="221"/>
      <c r="E61" s="221"/>
      <c r="F61" s="244"/>
      <c r="G61" s="221"/>
    </row>
    <row r="62" spans="1:7" ht="15.75" thickBot="1" x14ac:dyDescent="0.3">
      <c r="A62" s="94"/>
      <c r="B62" s="248" t="s">
        <v>375</v>
      </c>
      <c r="C62" s="249"/>
      <c r="D62" s="249"/>
      <c r="E62" s="249"/>
      <c r="F62" s="250"/>
      <c r="G62" s="221"/>
    </row>
    <row r="63" spans="1:7" x14ac:dyDescent="0.25">
      <c r="A63" s="94"/>
      <c r="B63" s="221"/>
      <c r="C63" s="221"/>
      <c r="D63" s="221"/>
      <c r="E63" s="221"/>
      <c r="F63" s="221"/>
      <c r="G63" s="221"/>
    </row>
    <row r="64" spans="1:7" x14ac:dyDescent="0.25">
      <c r="A64" s="94"/>
      <c r="B64" s="221"/>
      <c r="C64" s="221"/>
      <c r="D64" s="221"/>
      <c r="E64" s="221"/>
      <c r="F64" s="221"/>
      <c r="G64" s="221"/>
    </row>
    <row r="65" spans="1:7" x14ac:dyDescent="0.25">
      <c r="A65" s="94"/>
      <c r="B65" s="221"/>
      <c r="C65" s="221"/>
      <c r="D65" s="221"/>
      <c r="E65" s="221"/>
      <c r="F65" s="221"/>
      <c r="G65" s="221"/>
    </row>
    <row r="66" spans="1:7" x14ac:dyDescent="0.25">
      <c r="A66" s="94"/>
      <c r="B66" s="221"/>
      <c r="C66" s="221"/>
      <c r="D66" s="221"/>
      <c r="E66" s="221"/>
      <c r="F66" s="221"/>
      <c r="G66" s="221"/>
    </row>
    <row r="67" spans="1:7" x14ac:dyDescent="0.25">
      <c r="A67" s="94"/>
      <c r="B67" s="221"/>
      <c r="C67" s="221"/>
      <c r="D67" s="221"/>
      <c r="E67" s="221"/>
      <c r="F67" s="221"/>
      <c r="G67" s="221"/>
    </row>
    <row r="68" spans="1:7" x14ac:dyDescent="0.25">
      <c r="A68" s="94"/>
      <c r="B68" s="221"/>
      <c r="C68" s="221"/>
      <c r="D68" s="221"/>
      <c r="E68" s="221"/>
      <c r="F68" s="221"/>
      <c r="G68" s="221"/>
    </row>
    <row r="69" spans="1:7" x14ac:dyDescent="0.25">
      <c r="A69" s="94"/>
      <c r="B69" s="221"/>
      <c r="C69" s="221"/>
      <c r="D69" s="221"/>
      <c r="E69" s="221"/>
      <c r="F69" s="221"/>
      <c r="G69" s="221"/>
    </row>
    <row r="70" spans="1:7" x14ac:dyDescent="0.25">
      <c r="A70" s="94"/>
      <c r="B70" s="221"/>
      <c r="C70" s="221"/>
      <c r="D70" s="221"/>
      <c r="E70" s="221"/>
      <c r="F70" s="221"/>
      <c r="G70" s="221"/>
    </row>
    <row r="71" spans="1:7" x14ac:dyDescent="0.25">
      <c r="A71" s="94"/>
      <c r="B71" s="221"/>
      <c r="C71" s="221"/>
      <c r="D71" s="221"/>
      <c r="E71" s="221"/>
      <c r="F71" s="221"/>
      <c r="G71" s="221"/>
    </row>
    <row r="72" spans="1:7" x14ac:dyDescent="0.25">
      <c r="A72" s="94"/>
      <c r="B72" s="221"/>
      <c r="C72" s="221"/>
      <c r="D72" s="221"/>
      <c r="E72" s="221"/>
      <c r="F72" s="221"/>
      <c r="G72" s="221"/>
    </row>
  </sheetData>
  <mergeCells count="1">
    <mergeCell ref="B3:E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DDFB-37A1-4280-9698-BD4BA1E38AE6}">
  <dimension ref="A1:R116"/>
  <sheetViews>
    <sheetView topLeftCell="A78" zoomScale="115" zoomScaleNormal="115" workbookViewId="0">
      <selection activeCell="I86" sqref="I86"/>
    </sheetView>
  </sheetViews>
  <sheetFormatPr baseColWidth="10" defaultRowHeight="18.75" x14ac:dyDescent="0.3"/>
  <cols>
    <col min="1" max="1" width="4.28515625" style="252" customWidth="1"/>
    <col min="2" max="4" width="11.42578125" style="252"/>
    <col min="5" max="5" width="14.7109375" style="252" customWidth="1"/>
    <col min="6" max="6" width="7.5703125" style="252" customWidth="1"/>
    <col min="7" max="7" width="15.85546875" style="252" bestFit="1" customWidth="1"/>
    <col min="8" max="8" width="11.42578125" style="252"/>
    <col min="9" max="9" width="13.28515625" style="252" customWidth="1"/>
    <col min="10" max="10" width="12.28515625" style="252" customWidth="1"/>
    <col min="11" max="14" width="11.42578125" style="252"/>
  </cols>
  <sheetData>
    <row r="1" spans="1:14" s="9" customFormat="1" x14ac:dyDescent="0.3">
      <c r="A1" s="251" t="s">
        <v>391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x14ac:dyDescent="0.3">
      <c r="A2" s="253" t="s">
        <v>392</v>
      </c>
    </row>
    <row r="3" spans="1:14" x14ac:dyDescent="0.3">
      <c r="B3" s="255" t="s">
        <v>393</v>
      </c>
      <c r="C3" s="256"/>
      <c r="D3" s="256"/>
      <c r="E3" s="256"/>
      <c r="F3" s="256"/>
      <c r="G3" s="256"/>
      <c r="H3" s="256"/>
      <c r="I3" s="256"/>
    </row>
    <row r="4" spans="1:14" x14ac:dyDescent="0.3">
      <c r="B4" s="254" t="s">
        <v>394</v>
      </c>
    </row>
    <row r="5" spans="1:14" x14ac:dyDescent="0.3">
      <c r="B5" s="254" t="s">
        <v>395</v>
      </c>
    </row>
    <row r="6" spans="1:14" x14ac:dyDescent="0.3">
      <c r="B6" s="254" t="s">
        <v>396</v>
      </c>
    </row>
    <row r="14" spans="1:14" x14ac:dyDescent="0.3">
      <c r="B14" s="260">
        <v>6</v>
      </c>
    </row>
    <row r="78" spans="2:10" ht="19.5" thickBot="1" x14ac:dyDescent="0.35"/>
    <row r="79" spans="2:10" ht="19.5" thickBot="1" x14ac:dyDescent="0.35">
      <c r="B79" s="257" t="s">
        <v>418</v>
      </c>
      <c r="C79" s="258"/>
      <c r="D79" s="258"/>
      <c r="E79" s="258"/>
      <c r="F79" s="258"/>
      <c r="G79" s="258"/>
      <c r="H79" s="259"/>
      <c r="I79" s="263"/>
      <c r="J79" s="264"/>
    </row>
    <row r="80" spans="2:10" x14ac:dyDescent="0.3">
      <c r="B80" s="265"/>
      <c r="J80" s="266">
        <v>0.05</v>
      </c>
    </row>
    <row r="81" spans="2:10" x14ac:dyDescent="0.3">
      <c r="B81" s="267" t="s">
        <v>393</v>
      </c>
      <c r="D81" s="253"/>
      <c r="E81" s="253"/>
      <c r="F81" s="268" t="s">
        <v>247</v>
      </c>
      <c r="G81" s="269">
        <f>E92</f>
        <v>218450.2</v>
      </c>
      <c r="J81" s="266">
        <v>0.08</v>
      </c>
    </row>
    <row r="82" spans="2:10" x14ac:dyDescent="0.3">
      <c r="B82" s="265"/>
      <c r="J82" s="270"/>
    </row>
    <row r="83" spans="2:10" x14ac:dyDescent="0.3">
      <c r="B83" s="271" t="s">
        <v>397</v>
      </c>
      <c r="C83" s="251"/>
      <c r="D83" s="251"/>
      <c r="E83" s="272" t="s">
        <v>409</v>
      </c>
      <c r="G83" s="273"/>
      <c r="H83" s="274" t="s">
        <v>411</v>
      </c>
      <c r="I83" s="274" t="s">
        <v>415</v>
      </c>
      <c r="J83" s="275" t="s">
        <v>415</v>
      </c>
    </row>
    <row r="84" spans="2:10" x14ac:dyDescent="0.3">
      <c r="B84" s="271"/>
      <c r="C84" s="276" t="s">
        <v>404</v>
      </c>
      <c r="D84" s="276" t="s">
        <v>405</v>
      </c>
      <c r="E84" s="272" t="s">
        <v>406</v>
      </c>
      <c r="G84" s="273" t="s">
        <v>409</v>
      </c>
      <c r="H84" s="274" t="s">
        <v>412</v>
      </c>
      <c r="I84" s="274" t="s">
        <v>416</v>
      </c>
      <c r="J84" s="275" t="s">
        <v>416</v>
      </c>
    </row>
    <row r="85" spans="2:10" x14ac:dyDescent="0.3">
      <c r="B85" s="271"/>
      <c r="C85" s="276"/>
      <c r="D85" s="276"/>
      <c r="E85" s="272" t="s">
        <v>174</v>
      </c>
      <c r="G85" s="273" t="s">
        <v>410</v>
      </c>
      <c r="H85" s="274" t="s">
        <v>338</v>
      </c>
      <c r="I85" s="274" t="s">
        <v>414</v>
      </c>
      <c r="J85" s="275" t="s">
        <v>417</v>
      </c>
    </row>
    <row r="86" spans="2:10" x14ac:dyDescent="0.3">
      <c r="B86" s="277" t="s">
        <v>398</v>
      </c>
      <c r="C86" s="278">
        <v>2312</v>
      </c>
      <c r="D86" s="279">
        <v>16.600000000000001</v>
      </c>
      <c r="E86" s="280">
        <f t="shared" ref="E86:E91" si="0">+C86*D86</f>
        <v>38379.200000000004</v>
      </c>
      <c r="G86" s="281">
        <f t="shared" ref="G86:G91" si="1">SUM(H86:J86)</f>
        <v>39.15</v>
      </c>
      <c r="H86" s="282">
        <v>45</v>
      </c>
      <c r="I86" s="252">
        <v>0</v>
      </c>
      <c r="J86" s="270">
        <f>-(J80+J81)*H86</f>
        <v>-5.8500000000000005</v>
      </c>
    </row>
    <row r="87" spans="2:10" x14ac:dyDescent="0.3">
      <c r="B87" s="265" t="s">
        <v>399</v>
      </c>
      <c r="C87" s="283">
        <v>2203</v>
      </c>
      <c r="D87" s="282">
        <v>12.9</v>
      </c>
      <c r="E87" s="284">
        <f t="shared" si="0"/>
        <v>28418.7</v>
      </c>
      <c r="G87" s="284">
        <f t="shared" si="1"/>
        <v>0</v>
      </c>
      <c r="J87" s="270"/>
    </row>
    <row r="88" spans="2:10" x14ac:dyDescent="0.3">
      <c r="B88" s="265" t="s">
        <v>400</v>
      </c>
      <c r="C88" s="283">
        <v>1214</v>
      </c>
      <c r="D88" s="282">
        <v>14.3</v>
      </c>
      <c r="E88" s="284">
        <f t="shared" si="0"/>
        <v>17360.2</v>
      </c>
      <c r="G88" s="284">
        <f t="shared" si="1"/>
        <v>0</v>
      </c>
      <c r="J88" s="270"/>
    </row>
    <row r="89" spans="2:10" x14ac:dyDescent="0.3">
      <c r="B89" s="265" t="s">
        <v>401</v>
      </c>
      <c r="C89" s="283">
        <v>1599</v>
      </c>
      <c r="D89" s="282">
        <v>28</v>
      </c>
      <c r="E89" s="284">
        <f t="shared" si="0"/>
        <v>44772</v>
      </c>
      <c r="G89" s="284">
        <f t="shared" si="1"/>
        <v>0</v>
      </c>
      <c r="J89" s="270"/>
    </row>
    <row r="90" spans="2:10" x14ac:dyDescent="0.3">
      <c r="B90" s="265" t="s">
        <v>402</v>
      </c>
      <c r="C90" s="283">
        <v>2029</v>
      </c>
      <c r="D90" s="282">
        <v>23.5</v>
      </c>
      <c r="E90" s="284">
        <f t="shared" si="0"/>
        <v>47681.5</v>
      </c>
      <c r="G90" s="284">
        <f t="shared" si="1"/>
        <v>0</v>
      </c>
      <c r="J90" s="270"/>
    </row>
    <row r="91" spans="2:10" x14ac:dyDescent="0.3">
      <c r="B91" s="265" t="s">
        <v>403</v>
      </c>
      <c r="C91" s="283">
        <v>2031</v>
      </c>
      <c r="D91" s="282">
        <v>20.6</v>
      </c>
      <c r="E91" s="284">
        <f t="shared" si="0"/>
        <v>41838.600000000006</v>
      </c>
      <c r="G91" s="284">
        <f t="shared" si="1"/>
        <v>0</v>
      </c>
      <c r="J91" s="270"/>
    </row>
    <row r="92" spans="2:10" ht="19.5" thickBot="1" x14ac:dyDescent="0.35">
      <c r="B92" s="285"/>
      <c r="C92" s="286"/>
      <c r="D92" s="286"/>
      <c r="E92" s="287">
        <f>SUM(E86:E91)</f>
        <v>218450.2</v>
      </c>
      <c r="F92" s="288"/>
      <c r="G92" s="287">
        <f>SUM(G86:G91)</f>
        <v>39.15</v>
      </c>
      <c r="H92" s="288"/>
      <c r="I92" s="288"/>
      <c r="J92" s="289"/>
    </row>
    <row r="93" spans="2:10" ht="19.5" thickBot="1" x14ac:dyDescent="0.35"/>
    <row r="94" spans="2:10" x14ac:dyDescent="0.3">
      <c r="B94" s="297" t="s">
        <v>422</v>
      </c>
      <c r="C94" s="290"/>
      <c r="D94" s="290"/>
      <c r="E94" s="290"/>
      <c r="F94" s="290"/>
      <c r="G94" s="290"/>
      <c r="H94" s="290"/>
      <c r="I94" s="290"/>
      <c r="J94" s="291"/>
    </row>
    <row r="95" spans="2:10" x14ac:dyDescent="0.3">
      <c r="B95" s="292"/>
      <c r="C95" s="262"/>
      <c r="D95" s="262"/>
      <c r="E95" s="262"/>
      <c r="F95" s="262"/>
      <c r="G95" s="262"/>
      <c r="H95" s="262"/>
      <c r="I95" s="262"/>
      <c r="J95" s="293"/>
    </row>
    <row r="96" spans="2:10" x14ac:dyDescent="0.3">
      <c r="B96" s="292" t="s">
        <v>423</v>
      </c>
      <c r="C96" s="262"/>
      <c r="D96" s="262"/>
      <c r="E96" s="262"/>
      <c r="F96" s="262"/>
      <c r="G96" s="262"/>
      <c r="H96" s="262"/>
      <c r="I96" s="262"/>
      <c r="J96" s="293"/>
    </row>
    <row r="97" spans="2:18" x14ac:dyDescent="0.3">
      <c r="B97" s="292"/>
      <c r="C97" s="262"/>
      <c r="D97" s="262"/>
      <c r="E97" s="262"/>
      <c r="F97" s="262"/>
      <c r="G97" s="262"/>
      <c r="H97" s="262"/>
      <c r="I97" s="262"/>
      <c r="J97" s="293"/>
    </row>
    <row r="98" spans="2:18" x14ac:dyDescent="0.3">
      <c r="B98" s="292" t="s">
        <v>424</v>
      </c>
      <c r="C98" s="262"/>
      <c r="D98" s="262"/>
      <c r="E98" s="262"/>
      <c r="F98" s="262"/>
      <c r="G98" s="262"/>
      <c r="H98" s="262"/>
      <c r="I98" s="262"/>
      <c r="J98" s="293"/>
    </row>
    <row r="99" spans="2:18" x14ac:dyDescent="0.3">
      <c r="B99" s="292"/>
      <c r="C99" s="262"/>
      <c r="D99" s="262"/>
      <c r="E99" s="262"/>
      <c r="F99" s="262"/>
      <c r="G99" s="262"/>
      <c r="H99" s="262"/>
      <c r="I99" s="262"/>
      <c r="J99" s="293"/>
    </row>
    <row r="100" spans="2:18" ht="19.5" thickBot="1" x14ac:dyDescent="0.35">
      <c r="B100" s="294" t="s">
        <v>425</v>
      </c>
      <c r="C100" s="295"/>
      <c r="D100" s="295"/>
      <c r="E100" s="295"/>
      <c r="F100" s="295"/>
      <c r="G100" s="295"/>
      <c r="H100" s="295"/>
      <c r="I100" s="295"/>
      <c r="J100" s="296"/>
    </row>
    <row r="109" spans="2:18" x14ac:dyDescent="0.3">
      <c r="R109">
        <f>+C91*D91</f>
        <v>41838.600000000006</v>
      </c>
    </row>
    <row r="112" spans="2:18" x14ac:dyDescent="0.3">
      <c r="B112" s="261" t="s">
        <v>421</v>
      </c>
      <c r="C112" s="262"/>
      <c r="D112" s="262"/>
      <c r="E112" s="262"/>
      <c r="F112" s="262"/>
    </row>
    <row r="114" spans="2:4" x14ac:dyDescent="0.3">
      <c r="D114" s="253" t="s">
        <v>419</v>
      </c>
    </row>
    <row r="115" spans="2:4" x14ac:dyDescent="0.3">
      <c r="B115" s="253" t="s">
        <v>413</v>
      </c>
      <c r="D115" s="253"/>
    </row>
    <row r="116" spans="2:4" x14ac:dyDescent="0.3">
      <c r="D116" s="253" t="s">
        <v>420</v>
      </c>
    </row>
  </sheetData>
  <phoneticPr fontId="4" type="noConversion"/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1E67-C30C-4610-AF19-81EA0A971E09}"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407</v>
      </c>
    </row>
    <row r="2" spans="1:1" x14ac:dyDescent="0.25">
      <c r="A2" t="s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Menu</vt:lpstr>
      <vt:lpstr>Hoja4</vt:lpstr>
      <vt:lpstr>06ENE</vt:lpstr>
      <vt:lpstr>07ENE</vt:lpstr>
      <vt:lpstr>09ENE</vt:lpstr>
      <vt:lpstr>13ENE</vt:lpstr>
      <vt:lpstr>14ENE</vt:lpstr>
      <vt:lpstr>15ENE</vt:lpstr>
      <vt:lpstr>nic421</vt:lpstr>
      <vt:lpstr>17ENE</vt:lpstr>
      <vt:lpstr>27ENE</vt:lpstr>
      <vt:lpstr>28ENE</vt:lpstr>
      <vt:lpstr>29ENE</vt:lpstr>
      <vt:lpstr>29E</vt:lpstr>
      <vt:lpstr>0</vt:lpstr>
      <vt:lpstr>DIPLOMADO</vt:lpstr>
      <vt:lpstr>Click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2015-06-05T18:19:34Z</dcterms:created>
  <dcterms:modified xsi:type="dcterms:W3CDTF">2025-01-30T06:05:59Z</dcterms:modified>
</cp:coreProperties>
</file>