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0E264EC5-F6FB-48B5-B3C0-AE6766988FAF}" xr6:coauthVersionLast="47" xr6:coauthVersionMax="47" xr10:uidLastSave="{00000000-0000-0000-0000-000000000000}"/>
  <bookViews>
    <workbookView xWindow="-120" yWindow="-120" windowWidth="29040" windowHeight="15720" activeTab="9" xr2:uid="{25E2EC87-FE58-429E-A115-F7DAEC6CD4AF}"/>
  </bookViews>
  <sheets>
    <sheet name="Caratula" sheetId="1" r:id="rId1"/>
    <sheet name="10-Feb" sheetId="3" r:id="rId2"/>
    <sheet name="11-Feb" sheetId="6" r:id="rId3"/>
    <sheet name="11-Feb (2)" sheetId="7" r:id="rId4"/>
    <sheet name="12-Feb(1)" sheetId="9" r:id="rId5"/>
    <sheet name="12Feb(2)" sheetId="11" r:id="rId6"/>
    <sheet name="11-Feb (3)" sheetId="8" r:id="rId7"/>
    <sheet name="19FEb" sheetId="12" r:id="rId8"/>
    <sheet name="LINK" sheetId="5" r:id="rId9"/>
    <sheet name="Aprende NIIF conMIGO" sheetId="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2" l="1"/>
  <c r="M8" i="12"/>
  <c r="L9" i="12"/>
  <c r="J32" i="12"/>
  <c r="G25" i="12"/>
  <c r="F8" i="12" s="1"/>
  <c r="D55" i="12"/>
  <c r="D54" i="12"/>
  <c r="F50" i="12"/>
  <c r="F51" i="12" s="1"/>
  <c r="E8" i="12"/>
  <c r="D41" i="12"/>
  <c r="D40" i="12"/>
  <c r="D38" i="12"/>
  <c r="D37" i="12"/>
  <c r="D32" i="12"/>
  <c r="E25" i="12"/>
  <c r="E30" i="12"/>
  <c r="E29" i="12"/>
  <c r="E28" i="12"/>
  <c r="E27" i="12"/>
  <c r="E26" i="12"/>
  <c r="E24" i="12"/>
  <c r="E23" i="12"/>
  <c r="E19" i="12"/>
  <c r="E18" i="12"/>
  <c r="E17" i="12"/>
  <c r="E9" i="12"/>
  <c r="E7" i="12"/>
  <c r="E6" i="12"/>
  <c r="E16" i="11"/>
  <c r="F16" i="11" s="1"/>
  <c r="G16" i="11" s="1"/>
  <c r="H16" i="11" s="1"/>
  <c r="I16" i="11" s="1"/>
  <c r="J16" i="11" s="1"/>
  <c r="K16" i="11" s="1"/>
  <c r="L16" i="11" s="1"/>
  <c r="D16" i="11"/>
  <c r="L19" i="11"/>
  <c r="K19" i="11"/>
  <c r="J19" i="11"/>
  <c r="I19" i="11"/>
  <c r="H19" i="11"/>
  <c r="G19" i="11"/>
  <c r="C4" i="11"/>
  <c r="D4" i="11" s="1"/>
  <c r="E4" i="11" s="1"/>
  <c r="F4" i="11" s="1"/>
  <c r="F19" i="11" s="1"/>
  <c r="C3" i="11"/>
  <c r="D3" i="11" s="1"/>
  <c r="E3" i="11" s="1"/>
  <c r="F3" i="11" s="1"/>
  <c r="G3" i="11" s="1"/>
  <c r="H3" i="11" s="1"/>
  <c r="I3" i="11" s="1"/>
  <c r="J3" i="11" s="1"/>
  <c r="K3" i="11" s="1"/>
  <c r="L3" i="11" s="1"/>
  <c r="L18" i="11" s="1"/>
  <c r="K56" i="9"/>
  <c r="K20" i="9"/>
  <c r="L40" i="7"/>
  <c r="C40" i="7"/>
  <c r="L22" i="7"/>
  <c r="C22" i="7"/>
  <c r="H25" i="7"/>
  <c r="H24" i="7"/>
  <c r="I23" i="7" s="1"/>
  <c r="L11" i="8"/>
  <c r="K11" i="8"/>
  <c r="J11" i="8"/>
  <c r="I11" i="8"/>
  <c r="H11" i="8"/>
  <c r="G11" i="8"/>
  <c r="F11" i="8"/>
  <c r="E11" i="8"/>
  <c r="D11" i="8"/>
  <c r="C11" i="8"/>
  <c r="D1" i="8"/>
  <c r="L10" i="8"/>
  <c r="K10" i="8"/>
  <c r="J10" i="8"/>
  <c r="I10" i="8"/>
  <c r="H10" i="8"/>
  <c r="G10" i="8"/>
  <c r="F10" i="8"/>
  <c r="E10" i="8"/>
  <c r="D10" i="8"/>
  <c r="C10" i="8"/>
  <c r="C5" i="8"/>
  <c r="C9" i="8" s="1"/>
  <c r="C4" i="8"/>
  <c r="D4" i="8" s="1"/>
  <c r="E4" i="8" s="1"/>
  <c r="F4" i="8" s="1"/>
  <c r="G4" i="8" s="1"/>
  <c r="H4" i="8" s="1"/>
  <c r="I4" i="8" s="1"/>
  <c r="J4" i="8" s="1"/>
  <c r="K4" i="8" s="1"/>
  <c r="L4" i="8" s="1"/>
  <c r="E3" i="8"/>
  <c r="F3" i="8" s="1"/>
  <c r="G3" i="8" s="1"/>
  <c r="H3" i="8" s="1"/>
  <c r="I3" i="8" s="1"/>
  <c r="J3" i="8" s="1"/>
  <c r="K3" i="8" s="1"/>
  <c r="L3" i="8" s="1"/>
  <c r="D3" i="8"/>
  <c r="I21" i="7"/>
  <c r="N14" i="7"/>
  <c r="N16" i="7" s="1"/>
  <c r="N17" i="7" s="1"/>
  <c r="C40" i="6"/>
  <c r="H24" i="6"/>
  <c r="I23" i="6" s="1"/>
  <c r="L22" i="6" s="1"/>
  <c r="L40" i="6" s="1"/>
  <c r="H40" i="6" s="1"/>
  <c r="N14" i="6"/>
  <c r="N16" i="6" s="1"/>
  <c r="N17" i="6" s="1"/>
  <c r="I21" i="6"/>
  <c r="I32" i="3"/>
  <c r="E41" i="12" l="1"/>
  <c r="E10" i="12"/>
  <c r="H18" i="11"/>
  <c r="H21" i="11" s="1"/>
  <c r="H22" i="11" s="1"/>
  <c r="H24" i="11" s="1"/>
  <c r="H26" i="11" s="1"/>
  <c r="H28" i="11" s="1"/>
  <c r="I18" i="11"/>
  <c r="I21" i="11" s="1"/>
  <c r="I22" i="11" s="1"/>
  <c r="I24" i="11" s="1"/>
  <c r="I26" i="11" s="1"/>
  <c r="I28" i="11" s="1"/>
  <c r="J18" i="11"/>
  <c r="J21" i="11" s="1"/>
  <c r="J22" i="11" s="1"/>
  <c r="J24" i="11" s="1"/>
  <c r="J26" i="11" s="1"/>
  <c r="J28" i="11" s="1"/>
  <c r="L21" i="11"/>
  <c r="L22" i="11" s="1"/>
  <c r="L24" i="11" s="1"/>
  <c r="L26" i="11" s="1"/>
  <c r="L28" i="11" s="1"/>
  <c r="C19" i="11"/>
  <c r="K18" i="11"/>
  <c r="K21" i="11" s="1"/>
  <c r="K22" i="11" s="1"/>
  <c r="K24" i="11" s="1"/>
  <c r="K26" i="11" s="1"/>
  <c r="K28" i="11" s="1"/>
  <c r="C18" i="11"/>
  <c r="C21" i="11" s="1"/>
  <c r="C22" i="11" s="1"/>
  <c r="C24" i="11" s="1"/>
  <c r="C26" i="11" s="1"/>
  <c r="C28" i="11" s="1"/>
  <c r="E19" i="11"/>
  <c r="D18" i="11"/>
  <c r="D19" i="11"/>
  <c r="E18" i="11"/>
  <c r="E21" i="11" s="1"/>
  <c r="E22" i="11" s="1"/>
  <c r="E24" i="11" s="1"/>
  <c r="E26" i="11" s="1"/>
  <c r="E28" i="11" s="1"/>
  <c r="F18" i="11"/>
  <c r="F21" i="11" s="1"/>
  <c r="F22" i="11" s="1"/>
  <c r="F24" i="11" s="1"/>
  <c r="F26" i="11" s="1"/>
  <c r="F28" i="11" s="1"/>
  <c r="G18" i="11"/>
  <c r="G21" i="11" s="1"/>
  <c r="G22" i="11" s="1"/>
  <c r="G24" i="11" s="1"/>
  <c r="G26" i="11" s="1"/>
  <c r="G28" i="11" s="1"/>
  <c r="C6" i="11"/>
  <c r="D6" i="11" s="1"/>
  <c r="C7" i="11"/>
  <c r="D7" i="11" s="1"/>
  <c r="E7" i="11" s="1"/>
  <c r="F7" i="11" s="1"/>
  <c r="G7" i="11" s="1"/>
  <c r="H7" i="11" s="1"/>
  <c r="I7" i="11" s="1"/>
  <c r="J7" i="11" s="1"/>
  <c r="K7" i="11" s="1"/>
  <c r="L7" i="11" s="1"/>
  <c r="D5" i="8"/>
  <c r="E5" i="8" s="1"/>
  <c r="F5" i="8" s="1"/>
  <c r="C8" i="8"/>
  <c r="D8" i="8" s="1"/>
  <c r="E8" i="8" s="1"/>
  <c r="F8" i="8" s="1"/>
  <c r="G8" i="8" s="1"/>
  <c r="H8" i="8" s="1"/>
  <c r="I8" i="8" s="1"/>
  <c r="J8" i="8" s="1"/>
  <c r="K8" i="8" s="1"/>
  <c r="L8" i="8" s="1"/>
  <c r="I30" i="7"/>
  <c r="I34" i="7" s="1"/>
  <c r="H15" i="7" s="1"/>
  <c r="I35" i="7"/>
  <c r="H16" i="7" s="1"/>
  <c r="H40" i="7"/>
  <c r="I35" i="6"/>
  <c r="H16" i="6" s="1"/>
  <c r="I30" i="6"/>
  <c r="I34" i="6" s="1"/>
  <c r="AN19" i="3"/>
  <c r="AM18" i="3"/>
  <c r="AM15" i="3"/>
  <c r="AN16" i="3" s="1"/>
  <c r="AM12" i="3"/>
  <c r="AN13" i="3" s="1"/>
  <c r="AM9" i="3"/>
  <c r="AN10" i="3" s="1"/>
  <c r="AN7" i="3"/>
  <c r="AN3" i="3"/>
  <c r="AM2" i="3" s="1"/>
  <c r="E27" i="3"/>
  <c r="E29" i="3"/>
  <c r="E23" i="3"/>
  <c r="E22" i="3"/>
  <c r="E17" i="3"/>
  <c r="E16" i="3"/>
  <c r="E8" i="3"/>
  <c r="E7" i="3"/>
  <c r="E6" i="3"/>
  <c r="O6" i="3"/>
  <c r="P6" i="3" s="1"/>
  <c r="X6" i="3" s="1"/>
  <c r="S18" i="3"/>
  <c r="T18" i="3" s="1"/>
  <c r="M7" i="3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R4" i="3"/>
  <c r="Q8" i="3" s="1"/>
  <c r="Y8" i="3" s="1"/>
  <c r="V4" i="3"/>
  <c r="U30" i="3" s="1"/>
  <c r="C28" i="3"/>
  <c r="E28" i="3" s="1"/>
  <c r="C26" i="3"/>
  <c r="E26" i="3" s="1"/>
  <c r="AD10" i="3"/>
  <c r="C9" i="3" s="1"/>
  <c r="C25" i="3"/>
  <c r="E25" i="3" s="1"/>
  <c r="C13" i="3"/>
  <c r="C18" i="3" s="1"/>
  <c r="E18" i="3" s="1"/>
  <c r="D9" i="3"/>
  <c r="H8" i="12" l="1"/>
  <c r="H10" i="12"/>
  <c r="D21" i="11"/>
  <c r="D22" i="11" s="1"/>
  <c r="D24" i="11" s="1"/>
  <c r="D26" i="11" s="1"/>
  <c r="D28" i="11" s="1"/>
  <c r="C8" i="11"/>
  <c r="C11" i="11" s="1"/>
  <c r="C12" i="11" s="1"/>
  <c r="D8" i="11"/>
  <c r="D11" i="11" s="1"/>
  <c r="E6" i="11"/>
  <c r="E36" i="9"/>
  <c r="K22" i="9"/>
  <c r="K33" i="9" s="1"/>
  <c r="D9" i="8"/>
  <c r="E9" i="8" s="1"/>
  <c r="F9" i="8" s="1"/>
  <c r="G9" i="8" s="1"/>
  <c r="H9" i="8" s="1"/>
  <c r="I9" i="8" s="1"/>
  <c r="J9" i="8" s="1"/>
  <c r="K9" i="8" s="1"/>
  <c r="L9" i="8" s="1"/>
  <c r="I36" i="7"/>
  <c r="I14" i="7"/>
  <c r="I17" i="7" s="1"/>
  <c r="H15" i="6"/>
  <c r="I14" i="6" s="1"/>
  <c r="J14" i="6" s="1"/>
  <c r="I36" i="6"/>
  <c r="AN20" i="3"/>
  <c r="E9" i="3"/>
  <c r="AM5" i="3"/>
  <c r="E13" i="3"/>
  <c r="AD16" i="3"/>
  <c r="W6" i="3"/>
  <c r="U51" i="3"/>
  <c r="Y51" i="3" s="1"/>
  <c r="U39" i="3"/>
  <c r="U27" i="3"/>
  <c r="Q41" i="3"/>
  <c r="Q29" i="3"/>
  <c r="Q17" i="3"/>
  <c r="Y17" i="3" s="1"/>
  <c r="U50" i="3"/>
  <c r="Y50" i="3" s="1"/>
  <c r="U38" i="3"/>
  <c r="U26" i="3"/>
  <c r="Q40" i="3"/>
  <c r="Q28" i="3"/>
  <c r="Q16" i="3"/>
  <c r="Y16" i="3" s="1"/>
  <c r="U41" i="3"/>
  <c r="Q31" i="3"/>
  <c r="U37" i="3"/>
  <c r="Q39" i="3"/>
  <c r="Q15" i="3"/>
  <c r="Y15" i="3" s="1"/>
  <c r="U48" i="3"/>
  <c r="Y48" i="3" s="1"/>
  <c r="U36" i="3"/>
  <c r="U24" i="3"/>
  <c r="Q26" i="3"/>
  <c r="Q14" i="3"/>
  <c r="Y14" i="3" s="1"/>
  <c r="U35" i="3"/>
  <c r="U23" i="3"/>
  <c r="Q37" i="3"/>
  <c r="Q25" i="3"/>
  <c r="Q13" i="3"/>
  <c r="Y13" i="3" s="1"/>
  <c r="U53" i="3"/>
  <c r="Y53" i="3" s="1"/>
  <c r="Q7" i="3"/>
  <c r="Y7" i="3" s="1"/>
  <c r="U25" i="3"/>
  <c r="Q38" i="3"/>
  <c r="U47" i="3"/>
  <c r="Y47" i="3" s="1"/>
  <c r="U46" i="3"/>
  <c r="Y46" i="3" s="1"/>
  <c r="U34" i="3"/>
  <c r="U22" i="3"/>
  <c r="Q36" i="3"/>
  <c r="Q24" i="3"/>
  <c r="Q12" i="3"/>
  <c r="Y12" i="3" s="1"/>
  <c r="U29" i="3"/>
  <c r="Q19" i="3"/>
  <c r="U40" i="3"/>
  <c r="Q30" i="3"/>
  <c r="Y30" i="3" s="1"/>
  <c r="U49" i="3"/>
  <c r="Y49" i="3" s="1"/>
  <c r="Q27" i="3"/>
  <c r="U45" i="3"/>
  <c r="Y45" i="3" s="1"/>
  <c r="U21" i="3"/>
  <c r="Q23" i="3"/>
  <c r="U44" i="3"/>
  <c r="Y44" i="3" s="1"/>
  <c r="U32" i="3"/>
  <c r="U20" i="3"/>
  <c r="Q34" i="3"/>
  <c r="Q22" i="3"/>
  <c r="Q10" i="3"/>
  <c r="Y10" i="3" s="1"/>
  <c r="Q6" i="3"/>
  <c r="Y6" i="3" s="1"/>
  <c r="U52" i="3"/>
  <c r="Y52" i="3" s="1"/>
  <c r="U28" i="3"/>
  <c r="Q18" i="3"/>
  <c r="U33" i="3"/>
  <c r="Q35" i="3"/>
  <c r="Y35" i="3" s="1"/>
  <c r="Q11" i="3"/>
  <c r="Y11" i="3" s="1"/>
  <c r="U18" i="3"/>
  <c r="V18" i="3" s="1"/>
  <c r="S19" i="3" s="1"/>
  <c r="T19" i="3" s="1"/>
  <c r="U43" i="3"/>
  <c r="Y43" i="3" s="1"/>
  <c r="U31" i="3"/>
  <c r="Q33" i="3"/>
  <c r="Q21" i="3"/>
  <c r="Q9" i="3"/>
  <c r="Y9" i="3" s="1"/>
  <c r="U19" i="3"/>
  <c r="U42" i="3"/>
  <c r="Y42" i="3" s="1"/>
  <c r="Q32" i="3"/>
  <c r="Q20" i="3"/>
  <c r="H7" i="12" l="1"/>
  <c r="H17" i="12"/>
  <c r="H28" i="12"/>
  <c r="H30" i="12"/>
  <c r="H9" i="12"/>
  <c r="H19" i="12"/>
  <c r="H26" i="12"/>
  <c r="H27" i="12"/>
  <c r="H24" i="12"/>
  <c r="H23" i="12"/>
  <c r="I23" i="12" s="1"/>
  <c r="H29" i="12"/>
  <c r="H14" i="12"/>
  <c r="G32" i="12"/>
  <c r="H25" i="12"/>
  <c r="I25" i="12" s="1"/>
  <c r="H18" i="12"/>
  <c r="H6" i="12"/>
  <c r="F32" i="12"/>
  <c r="D12" i="11"/>
  <c r="F6" i="11"/>
  <c r="E8" i="11"/>
  <c r="E11" i="11" s="1"/>
  <c r="E12" i="11" s="1"/>
  <c r="K28" i="9"/>
  <c r="K32" i="9" s="1"/>
  <c r="N21" i="9"/>
  <c r="N36" i="9" s="1"/>
  <c r="J36" i="9" s="1"/>
  <c r="J15" i="9"/>
  <c r="J14" i="7"/>
  <c r="I17" i="6"/>
  <c r="F7" i="3"/>
  <c r="G17" i="3"/>
  <c r="G28" i="3"/>
  <c r="G27" i="3"/>
  <c r="F18" i="3"/>
  <c r="G15" i="3"/>
  <c r="G14" i="3"/>
  <c r="F14" i="3"/>
  <c r="F26" i="3"/>
  <c r="G11" i="3"/>
  <c r="G13" i="3"/>
  <c r="F19" i="3"/>
  <c r="G25" i="3"/>
  <c r="G10" i="3"/>
  <c r="F9" i="3"/>
  <c r="F13" i="3"/>
  <c r="F15" i="3"/>
  <c r="G19" i="3"/>
  <c r="F10" i="3"/>
  <c r="G8" i="3"/>
  <c r="Y41" i="3"/>
  <c r="AM6" i="3"/>
  <c r="G7" i="3" s="1"/>
  <c r="Y40" i="3"/>
  <c r="Y20" i="3"/>
  <c r="Y32" i="3"/>
  <c r="Y18" i="3"/>
  <c r="Y27" i="3"/>
  <c r="Y29" i="3"/>
  <c r="Y39" i="3"/>
  <c r="Y26" i="3"/>
  <c r="Y22" i="3"/>
  <c r="Y21" i="3"/>
  <c r="Y34" i="3"/>
  <c r="Y25" i="3"/>
  <c r="Y31" i="3"/>
  <c r="Y37" i="3"/>
  <c r="Y38" i="3"/>
  <c r="Y33" i="3"/>
  <c r="Y19" i="3"/>
  <c r="Y24" i="3"/>
  <c r="Y36" i="3"/>
  <c r="Y23" i="3"/>
  <c r="Y28" i="3"/>
  <c r="Z6" i="3"/>
  <c r="W7" i="3" s="1"/>
  <c r="R6" i="3"/>
  <c r="O7" i="3" s="1"/>
  <c r="P7" i="3" s="1"/>
  <c r="X7" i="3" s="1"/>
  <c r="V19" i="3"/>
  <c r="S20" i="3" s="1"/>
  <c r="T20" i="3" s="1"/>
  <c r="V20" i="3" s="1"/>
  <c r="S21" i="3" s="1"/>
  <c r="I32" i="12" l="1"/>
  <c r="G6" i="11"/>
  <c r="F8" i="11"/>
  <c r="F11" i="11" s="1"/>
  <c r="F12" i="11" s="1"/>
  <c r="K34" i="9"/>
  <c r="J14" i="9"/>
  <c r="K13" i="9" s="1"/>
  <c r="K16" i="9" s="1"/>
  <c r="F23" i="3"/>
  <c r="G20" i="3"/>
  <c r="F11" i="3"/>
  <c r="F24" i="3"/>
  <c r="G22" i="3"/>
  <c r="G9" i="3"/>
  <c r="F20" i="3"/>
  <c r="F30" i="3"/>
  <c r="F25" i="3"/>
  <c r="F12" i="3"/>
  <c r="G12" i="3"/>
  <c r="F27" i="3"/>
  <c r="F28" i="3"/>
  <c r="G26" i="3"/>
  <c r="G21" i="3"/>
  <c r="F22" i="3"/>
  <c r="F16" i="3"/>
  <c r="F29" i="3"/>
  <c r="G16" i="3"/>
  <c r="G18" i="3"/>
  <c r="F17" i="3"/>
  <c r="H17" i="3" s="1"/>
  <c r="G24" i="3"/>
  <c r="G30" i="3"/>
  <c r="G23" i="3"/>
  <c r="F8" i="3"/>
  <c r="F21" i="3"/>
  <c r="G29" i="3"/>
  <c r="H7" i="3"/>
  <c r="H13" i="3"/>
  <c r="F6" i="3"/>
  <c r="G6" i="3"/>
  <c r="AD18" i="3"/>
  <c r="Z7" i="3"/>
  <c r="W8" i="3" s="1"/>
  <c r="R7" i="3"/>
  <c r="O8" i="3" s="1"/>
  <c r="P8" i="3" s="1"/>
  <c r="X8" i="3" s="1"/>
  <c r="T21" i="3"/>
  <c r="V21" i="3" s="1"/>
  <c r="S22" i="3" s="1"/>
  <c r="H6" i="11" l="1"/>
  <c r="G8" i="11"/>
  <c r="G11" i="11" s="1"/>
  <c r="G12" i="11" s="1"/>
  <c r="Q10" i="9"/>
  <c r="H23" i="3"/>
  <c r="H22" i="3"/>
  <c r="H29" i="3"/>
  <c r="K32" i="3"/>
  <c r="H18" i="3"/>
  <c r="H9" i="3"/>
  <c r="I9" i="3" s="1"/>
  <c r="H28" i="3"/>
  <c r="H25" i="3"/>
  <c r="H26" i="3"/>
  <c r="H16" i="3"/>
  <c r="H27" i="3"/>
  <c r="F31" i="3"/>
  <c r="G31" i="3"/>
  <c r="H6" i="3"/>
  <c r="H8" i="3"/>
  <c r="R8" i="3"/>
  <c r="O9" i="3" s="1"/>
  <c r="P9" i="3" s="1"/>
  <c r="X9" i="3" s="1"/>
  <c r="Z8" i="3"/>
  <c r="W9" i="3" s="1"/>
  <c r="T22" i="3"/>
  <c r="V22" i="3" s="1"/>
  <c r="S23" i="3" s="1"/>
  <c r="I6" i="11" l="1"/>
  <c r="H8" i="11"/>
  <c r="H11" i="11" s="1"/>
  <c r="H12" i="11" s="1"/>
  <c r="Z9" i="3"/>
  <c r="W10" i="3" s="1"/>
  <c r="R9" i="3"/>
  <c r="O10" i="3" s="1"/>
  <c r="P10" i="3" s="1"/>
  <c r="X10" i="3" s="1"/>
  <c r="T23" i="3"/>
  <c r="V23" i="3" s="1"/>
  <c r="S24" i="3" s="1"/>
  <c r="T24" i="3" s="1"/>
  <c r="V24" i="3" s="1"/>
  <c r="S25" i="3" s="1"/>
  <c r="J6" i="11" l="1"/>
  <c r="I8" i="11"/>
  <c r="I11" i="11" s="1"/>
  <c r="I12" i="11" s="1"/>
  <c r="R10" i="3"/>
  <c r="O11" i="3" s="1"/>
  <c r="P11" i="3" s="1"/>
  <c r="X11" i="3" s="1"/>
  <c r="Z10" i="3"/>
  <c r="W11" i="3" s="1"/>
  <c r="T25" i="3"/>
  <c r="V25" i="3" s="1"/>
  <c r="S26" i="3" s="1"/>
  <c r="K6" i="11" l="1"/>
  <c r="J8" i="11"/>
  <c r="J11" i="11" s="1"/>
  <c r="J12" i="11" s="1"/>
  <c r="Z11" i="3"/>
  <c r="W12" i="3" s="1"/>
  <c r="R11" i="3"/>
  <c r="O12" i="3" s="1"/>
  <c r="P12" i="3" s="1"/>
  <c r="X12" i="3" s="1"/>
  <c r="T26" i="3"/>
  <c r="V26" i="3" s="1"/>
  <c r="S27" i="3" s="1"/>
  <c r="L6" i="11" l="1"/>
  <c r="L8" i="11" s="1"/>
  <c r="L11" i="11" s="1"/>
  <c r="K8" i="11"/>
  <c r="K11" i="11" s="1"/>
  <c r="K12" i="11" s="1"/>
  <c r="Z12" i="3"/>
  <c r="W13" i="3" s="1"/>
  <c r="R12" i="3"/>
  <c r="O13" i="3" s="1"/>
  <c r="P13" i="3" s="1"/>
  <c r="X13" i="3" s="1"/>
  <c r="T27" i="3"/>
  <c r="V27" i="3" s="1"/>
  <c r="S28" i="3" s="1"/>
  <c r="T28" i="3" s="1"/>
  <c r="V28" i="3" s="1"/>
  <c r="S29" i="3" s="1"/>
  <c r="L12" i="11" l="1"/>
  <c r="Z13" i="3"/>
  <c r="W14" i="3" s="1"/>
  <c r="R13" i="3"/>
  <c r="O14" i="3" s="1"/>
  <c r="P14" i="3" s="1"/>
  <c r="X14" i="3" s="1"/>
  <c r="T29" i="3"/>
  <c r="V29" i="3" s="1"/>
  <c r="S30" i="3" s="1"/>
  <c r="T30" i="3" s="1"/>
  <c r="V30" i="3" s="1"/>
  <c r="S31" i="3" s="1"/>
  <c r="Z14" i="3" l="1"/>
  <c r="W15" i="3" s="1"/>
  <c r="R14" i="3"/>
  <c r="O15" i="3" s="1"/>
  <c r="P15" i="3" s="1"/>
  <c r="X15" i="3" s="1"/>
  <c r="T31" i="3"/>
  <c r="V31" i="3" s="1"/>
  <c r="S32" i="3" s="1"/>
  <c r="T32" i="3" s="1"/>
  <c r="V32" i="3" s="1"/>
  <c r="S33" i="3" s="1"/>
  <c r="Z15" i="3" l="1"/>
  <c r="W16" i="3" s="1"/>
  <c r="R15" i="3"/>
  <c r="O16" i="3" s="1"/>
  <c r="P16" i="3" s="1"/>
  <c r="X16" i="3" s="1"/>
  <c r="T33" i="3"/>
  <c r="V33" i="3" s="1"/>
  <c r="S34" i="3" s="1"/>
  <c r="Z16" i="3" l="1"/>
  <c r="W17" i="3" s="1"/>
  <c r="R16" i="3"/>
  <c r="O17" i="3" s="1"/>
  <c r="P17" i="3" s="1"/>
  <c r="X17" i="3" s="1"/>
  <c r="T34" i="3"/>
  <c r="V34" i="3" s="1"/>
  <c r="S35" i="3" s="1"/>
  <c r="Z17" i="3" l="1"/>
  <c r="AD15" i="3" s="1"/>
  <c r="D12" i="3" s="1"/>
  <c r="R17" i="3"/>
  <c r="O18" i="3" s="1"/>
  <c r="P18" i="3" s="1"/>
  <c r="X18" i="3" s="1"/>
  <c r="T35" i="3"/>
  <c r="V35" i="3" s="1"/>
  <c r="S36" i="3" s="1"/>
  <c r="W18" i="3" l="1"/>
  <c r="Z18" i="3" s="1"/>
  <c r="W19" i="3" s="1"/>
  <c r="R18" i="3"/>
  <c r="O19" i="3" s="1"/>
  <c r="P19" i="3" s="1"/>
  <c r="X19" i="3" s="1"/>
  <c r="D31" i="3"/>
  <c r="T36" i="3"/>
  <c r="V36" i="3" s="1"/>
  <c r="S37" i="3" s="1"/>
  <c r="R19" i="3" l="1"/>
  <c r="O20" i="3" s="1"/>
  <c r="P20" i="3" s="1"/>
  <c r="X20" i="3" s="1"/>
  <c r="Z19" i="3"/>
  <c r="W20" i="3" s="1"/>
  <c r="T37" i="3"/>
  <c r="V37" i="3" s="1"/>
  <c r="S38" i="3" s="1"/>
  <c r="Z20" i="3" l="1"/>
  <c r="W21" i="3" s="1"/>
  <c r="R20" i="3"/>
  <c r="O21" i="3" s="1"/>
  <c r="P21" i="3" s="1"/>
  <c r="X21" i="3" s="1"/>
  <c r="T38" i="3"/>
  <c r="V38" i="3" s="1"/>
  <c r="S39" i="3" s="1"/>
  <c r="Z21" i="3" l="1"/>
  <c r="W22" i="3" s="1"/>
  <c r="R21" i="3"/>
  <c r="O22" i="3" s="1"/>
  <c r="P22" i="3" s="1"/>
  <c r="X22" i="3" s="1"/>
  <c r="T39" i="3"/>
  <c r="V39" i="3" s="1"/>
  <c r="S40" i="3" s="1"/>
  <c r="R22" i="3" l="1"/>
  <c r="O23" i="3" s="1"/>
  <c r="P23" i="3" s="1"/>
  <c r="X23" i="3" s="1"/>
  <c r="Z22" i="3"/>
  <c r="W23" i="3" s="1"/>
  <c r="T40" i="3"/>
  <c r="V40" i="3" s="1"/>
  <c r="S41" i="3" s="1"/>
  <c r="R23" i="3" l="1"/>
  <c r="O24" i="3" s="1"/>
  <c r="P24" i="3" s="1"/>
  <c r="X24" i="3" s="1"/>
  <c r="Z23" i="3"/>
  <c r="W24" i="3" s="1"/>
  <c r="T41" i="3"/>
  <c r="V41" i="3" s="1"/>
  <c r="S42" i="3" s="1"/>
  <c r="R24" i="3" l="1"/>
  <c r="O25" i="3" s="1"/>
  <c r="P25" i="3" s="1"/>
  <c r="X25" i="3" s="1"/>
  <c r="Z24" i="3"/>
  <c r="W25" i="3" s="1"/>
  <c r="T42" i="3"/>
  <c r="Z25" i="3" l="1"/>
  <c r="W26" i="3" s="1"/>
  <c r="R25" i="3"/>
  <c r="O26" i="3" s="1"/>
  <c r="P26" i="3" s="1"/>
  <c r="X26" i="3" s="1"/>
  <c r="V42" i="3"/>
  <c r="S43" i="3" s="1"/>
  <c r="T43" i="3" s="1"/>
  <c r="X43" i="3" s="1"/>
  <c r="X42" i="3"/>
  <c r="R26" i="3" l="1"/>
  <c r="O27" i="3" s="1"/>
  <c r="P27" i="3" s="1"/>
  <c r="X27" i="3" s="1"/>
  <c r="Z26" i="3"/>
  <c r="W27" i="3" s="1"/>
  <c r="V43" i="3"/>
  <c r="S44" i="3" s="1"/>
  <c r="T44" i="3" s="1"/>
  <c r="X44" i="3" s="1"/>
  <c r="R27" i="3" l="1"/>
  <c r="O28" i="3" s="1"/>
  <c r="P28" i="3" s="1"/>
  <c r="X28" i="3" s="1"/>
  <c r="Z27" i="3"/>
  <c r="W28" i="3" s="1"/>
  <c r="V44" i="3"/>
  <c r="S45" i="3" s="1"/>
  <c r="T45" i="3" s="1"/>
  <c r="X45" i="3" s="1"/>
  <c r="Z28" i="3" l="1"/>
  <c r="W29" i="3" s="1"/>
  <c r="R28" i="3"/>
  <c r="O29" i="3" s="1"/>
  <c r="P29" i="3" s="1"/>
  <c r="X29" i="3" s="1"/>
  <c r="AD17" i="3" s="1"/>
  <c r="Z29" i="3"/>
  <c r="W30" i="3" s="1"/>
  <c r="V45" i="3"/>
  <c r="S46" i="3" s="1"/>
  <c r="T46" i="3" s="1"/>
  <c r="X46" i="3" s="1"/>
  <c r="R29" i="3"/>
  <c r="O30" i="3" s="1"/>
  <c r="P30" i="3" s="1"/>
  <c r="X30" i="3" s="1"/>
  <c r="C30" i="3" l="1"/>
  <c r="E30" i="3" s="1"/>
  <c r="H30" i="3" s="1"/>
  <c r="K30" i="3" s="1"/>
  <c r="AD23" i="3"/>
  <c r="AD24" i="3"/>
  <c r="AD19" i="3"/>
  <c r="C12" i="3" s="1"/>
  <c r="Z30" i="3"/>
  <c r="W31" i="3" s="1"/>
  <c r="V46" i="3"/>
  <c r="S47" i="3" s="1"/>
  <c r="T47" i="3" s="1"/>
  <c r="X47" i="3" s="1"/>
  <c r="R30" i="3"/>
  <c r="O31" i="3" s="1"/>
  <c r="P31" i="3" s="1"/>
  <c r="AD25" i="3" l="1"/>
  <c r="C31" i="3"/>
  <c r="E12" i="3"/>
  <c r="H12" i="3" s="1"/>
  <c r="X31" i="3"/>
  <c r="Z31" i="3" s="1"/>
  <c r="W32" i="3" s="1"/>
  <c r="V47" i="3"/>
  <c r="S48" i="3" s="1"/>
  <c r="T48" i="3" s="1"/>
  <c r="X48" i="3" s="1"/>
  <c r="R31" i="3"/>
  <c r="O32" i="3" s="1"/>
  <c r="P32" i="3" s="1"/>
  <c r="J12" i="3" l="1"/>
  <c r="J31" i="3" s="1"/>
  <c r="E31" i="3"/>
  <c r="X32" i="3"/>
  <c r="Z32" i="3" s="1"/>
  <c r="W33" i="3" s="1"/>
  <c r="V48" i="3"/>
  <c r="S49" i="3" s="1"/>
  <c r="T49" i="3" s="1"/>
  <c r="X49" i="3" s="1"/>
  <c r="R32" i="3"/>
  <c r="O33" i="3" s="1"/>
  <c r="P33" i="3" s="1"/>
  <c r="H31" i="3" l="1"/>
  <c r="K31" i="3"/>
  <c r="K33" i="3" s="1"/>
  <c r="X33" i="3"/>
  <c r="Z33" i="3" s="1"/>
  <c r="W34" i="3" s="1"/>
  <c r="V49" i="3"/>
  <c r="S50" i="3" s="1"/>
  <c r="T50" i="3" s="1"/>
  <c r="X50" i="3" s="1"/>
  <c r="R33" i="3"/>
  <c r="O34" i="3" s="1"/>
  <c r="P34" i="3" s="1"/>
  <c r="X34" i="3" l="1"/>
  <c r="Z34" i="3" s="1"/>
  <c r="W35" i="3" s="1"/>
  <c r="V50" i="3"/>
  <c r="S51" i="3" s="1"/>
  <c r="T51" i="3" s="1"/>
  <c r="X51" i="3" s="1"/>
  <c r="R34" i="3"/>
  <c r="O35" i="3" s="1"/>
  <c r="P35" i="3" s="1"/>
  <c r="X35" i="3" l="1"/>
  <c r="Z35" i="3" s="1"/>
  <c r="W36" i="3" s="1"/>
  <c r="V51" i="3"/>
  <c r="S52" i="3" s="1"/>
  <c r="T52" i="3" s="1"/>
  <c r="X52" i="3" s="1"/>
  <c r="R35" i="3"/>
  <c r="O36" i="3" s="1"/>
  <c r="P36" i="3" s="1"/>
  <c r="X36" i="3" l="1"/>
  <c r="Z36" i="3" s="1"/>
  <c r="W37" i="3" s="1"/>
  <c r="V52" i="3"/>
  <c r="S53" i="3" s="1"/>
  <c r="T53" i="3" s="1"/>
  <c r="X53" i="3" s="1"/>
  <c r="R36" i="3"/>
  <c r="O37" i="3" s="1"/>
  <c r="P37" i="3" s="1"/>
  <c r="X37" i="3" l="1"/>
  <c r="Z37" i="3" s="1"/>
  <c r="W38" i="3" s="1"/>
  <c r="V53" i="3"/>
  <c r="R37" i="3"/>
  <c r="O38" i="3" s="1"/>
  <c r="P38" i="3" s="1"/>
  <c r="X38" i="3" l="1"/>
  <c r="Z38" i="3" s="1"/>
  <c r="W39" i="3" s="1"/>
  <c r="R38" i="3"/>
  <c r="O39" i="3" s="1"/>
  <c r="P39" i="3" s="1"/>
  <c r="X39" i="3" l="1"/>
  <c r="Z39" i="3" s="1"/>
  <c r="W40" i="3" s="1"/>
  <c r="R39" i="3"/>
  <c r="O40" i="3" s="1"/>
  <c r="P40" i="3" s="1"/>
  <c r="X40" i="3" l="1"/>
  <c r="Z40" i="3" s="1"/>
  <c r="W41" i="3" s="1"/>
  <c r="R40" i="3"/>
  <c r="O41" i="3" s="1"/>
  <c r="P41" i="3" s="1"/>
  <c r="X41" i="3" l="1"/>
  <c r="Z41" i="3" s="1"/>
  <c r="W42" i="3" s="1"/>
  <c r="Z42" i="3" s="1"/>
  <c r="W43" i="3" s="1"/>
  <c r="Z43" i="3" s="1"/>
  <c r="W44" i="3" s="1"/>
  <c r="Z44" i="3" s="1"/>
  <c r="W45" i="3" s="1"/>
  <c r="Z45" i="3" s="1"/>
  <c r="W46" i="3" s="1"/>
  <c r="Z46" i="3" s="1"/>
  <c r="W47" i="3" s="1"/>
  <c r="Z47" i="3" s="1"/>
  <c r="W48" i="3" s="1"/>
  <c r="Z48" i="3" s="1"/>
  <c r="W49" i="3" s="1"/>
  <c r="Z49" i="3" s="1"/>
  <c r="W50" i="3" s="1"/>
  <c r="Z50" i="3" s="1"/>
  <c r="W51" i="3" s="1"/>
  <c r="Z51" i="3" s="1"/>
  <c r="W52" i="3" s="1"/>
  <c r="Z52" i="3" s="1"/>
  <c r="W53" i="3" s="1"/>
  <c r="Z53" i="3" s="1"/>
  <c r="R41" i="3"/>
  <c r="I31" i="3"/>
  <c r="E31" i="12" l="1"/>
  <c r="H31" i="12" s="1"/>
  <c r="C32" i="12" l="1"/>
  <c r="H13" i="12" l="1"/>
  <c r="E32" i="12"/>
  <c r="H32" i="12" l="1"/>
</calcChain>
</file>

<file path=xl/sharedStrings.xml><?xml version="1.0" encoding="utf-8"?>
<sst xmlns="http://schemas.openxmlformats.org/spreadsheetml/2006/main" count="492" uniqueCount="277">
  <si>
    <t>HOJA DE TRABAJO DEL FLUJO DE EFECTIVO</t>
  </si>
  <si>
    <t>HOY: ACTIVOS FIJOS Y LEASING</t>
  </si>
  <si>
    <t>ACTIVOS</t>
  </si>
  <si>
    <t>PASIVOS</t>
  </si>
  <si>
    <t>PATRIMONIO</t>
  </si>
  <si>
    <t>Capital social</t>
  </si>
  <si>
    <t>RESULTADOS</t>
  </si>
  <si>
    <t>Efectivo</t>
  </si>
  <si>
    <t>Otros activos</t>
  </si>
  <si>
    <t>PPE</t>
  </si>
  <si>
    <t>PPE, neto</t>
  </si>
  <si>
    <t>Arrend financ</t>
  </si>
  <si>
    <t>Resultad. Acum.</t>
  </si>
  <si>
    <t>Ventas</t>
  </si>
  <si>
    <t>Costo de ventas</t>
  </si>
  <si>
    <t>Saldo inicial</t>
  </si>
  <si>
    <t>Saldo final</t>
  </si>
  <si>
    <t>(+) Compras en efectivo</t>
  </si>
  <si>
    <t>(+) Compras en Leasing</t>
  </si>
  <si>
    <t>(-) Depreciación</t>
  </si>
  <si>
    <t>(+) Revaluación</t>
  </si>
  <si>
    <t>Exced. Revaluac.</t>
  </si>
  <si>
    <t>Pasivo IRD</t>
  </si>
  <si>
    <t>Tasa Irta</t>
  </si>
  <si>
    <t>Gasto deprec</t>
  </si>
  <si>
    <t>(-) Bajas (venta/destr)</t>
  </si>
  <si>
    <t>(-) Deterioro (NIC36)</t>
  </si>
  <si>
    <t>(-) Reclasificación NIIF 5</t>
  </si>
  <si>
    <t>Deterioro de PPE</t>
  </si>
  <si>
    <t>ANCD para la Vta</t>
  </si>
  <si>
    <t>Pérdida VR de ANDV</t>
  </si>
  <si>
    <t>Pasivos Arrendamiento Financiero</t>
  </si>
  <si>
    <t>(+) Gastos financieros</t>
  </si>
  <si>
    <t>V.R.</t>
  </si>
  <si>
    <t>Tasa mensual</t>
  </si>
  <si>
    <t>Pago</t>
  </si>
  <si>
    <t>Meses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</si>
  <si>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</si>
  <si>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</si>
  <si>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</si>
  <si>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</si>
  <si>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</si>
  <si>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</si>
  <si>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</si>
  <si>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</si>
  <si>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</si>
  <si>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</si>
  <si>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</si>
  <si>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</si>
  <si>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(-) Pagos</t>
  </si>
  <si>
    <t>Gastos financieros</t>
  </si>
  <si>
    <t>Acumulado</t>
  </si>
  <si>
    <t>Variación</t>
  </si>
  <si>
    <t>Neta</t>
  </si>
  <si>
    <t>Costo de bajas PPE</t>
  </si>
  <si>
    <t>Venta PPE</t>
  </si>
  <si>
    <t>Compra</t>
  </si>
  <si>
    <t>D</t>
  </si>
  <si>
    <t>H</t>
  </si>
  <si>
    <t xml:space="preserve">                          Eliminaciones </t>
  </si>
  <si>
    <t>Eliminaciones</t>
  </si>
  <si>
    <t>Normas de Presentación</t>
  </si>
  <si>
    <t>NIC 07</t>
  </si>
  <si>
    <t>Estado de Flujos de efectivo *</t>
  </si>
  <si>
    <t>NIC 08</t>
  </si>
  <si>
    <t>Bases de Elaboración de los Estados Financieros *</t>
  </si>
  <si>
    <t>NIIF 18</t>
  </si>
  <si>
    <t>Presentación y revelación en estados financieros*</t>
  </si>
  <si>
    <t>NIC 34</t>
  </si>
  <si>
    <t>Estados financieros intermedios</t>
  </si>
  <si>
    <t>Normas de Grupos Empresariales</t>
  </si>
  <si>
    <t>NIC 24</t>
  </si>
  <si>
    <t>Información a revelar sobre partes relacionadas</t>
  </si>
  <si>
    <t>NIC 27</t>
  </si>
  <si>
    <t>Estados financieros consolidados y separados</t>
  </si>
  <si>
    <t>NIC 28</t>
  </si>
  <si>
    <t>Inversiones en asociadas y Negocios Conjuntos</t>
  </si>
  <si>
    <t>NIIF 11</t>
  </si>
  <si>
    <t>Acuerdos conjuntos</t>
  </si>
  <si>
    <t>NIIF 03</t>
  </si>
  <si>
    <t>Combinación de Negocios</t>
  </si>
  <si>
    <t>NIIF 10</t>
  </si>
  <si>
    <t>Estados financieros consolidados</t>
  </si>
  <si>
    <t>NIIF 12</t>
  </si>
  <si>
    <t>Revelación de participaciones en otras entidades</t>
  </si>
  <si>
    <t>NIIF 19</t>
  </si>
  <si>
    <t>Subsidiarias sin responsabilidad pública*</t>
  </si>
  <si>
    <t>Activos de Larga Duración</t>
  </si>
  <si>
    <t>NIC 16</t>
  </si>
  <si>
    <t>Propiedad, planta y Equipo</t>
  </si>
  <si>
    <t>NIC 23</t>
  </si>
  <si>
    <t>Costos financieros</t>
  </si>
  <si>
    <t>NIC 40</t>
  </si>
  <si>
    <t>Inversiones inmobiliarias</t>
  </si>
  <si>
    <t>NIC 36</t>
  </si>
  <si>
    <t>Deterioro de activos</t>
  </si>
  <si>
    <t>NIIF 16</t>
  </si>
  <si>
    <t>Arrendamientos</t>
  </si>
  <si>
    <t>NIIF 05</t>
  </si>
  <si>
    <t>Activos no corrientes disponibles para la venta …</t>
  </si>
  <si>
    <t>NIIF 06</t>
  </si>
  <si>
    <t xml:space="preserve">Exploración y evaluación de recursos minerales </t>
  </si>
  <si>
    <t>Normas sobre pasivos no financieros</t>
  </si>
  <si>
    <t>NIC 19</t>
  </si>
  <si>
    <t>Beneficios a los empleados</t>
  </si>
  <si>
    <t>NIIF 02</t>
  </si>
  <si>
    <t>Pagos basados en acciones</t>
  </si>
  <si>
    <t>NIC 37</t>
  </si>
  <si>
    <t>Provisiones, pasivos y activos contingentes</t>
  </si>
  <si>
    <t>Instrumentos financieros</t>
  </si>
  <si>
    <t>NIC 32</t>
  </si>
  <si>
    <t>Instrumentos financieros : Presentación</t>
  </si>
  <si>
    <t>NIIF 09</t>
  </si>
  <si>
    <t>Instrumentos financieros - Inst Financiero Basicos I</t>
  </si>
  <si>
    <t>Instrumentos financieros - Inst Financiero Basicos II</t>
  </si>
  <si>
    <t>Instrumentos financieros - Contabilidad de Coberturas</t>
  </si>
  <si>
    <t>NIIF 07</t>
  </si>
  <si>
    <t>Instrumentos financieros : Revelaciones</t>
  </si>
  <si>
    <t>Los ingresos</t>
  </si>
  <si>
    <t>NIIF 15</t>
  </si>
  <si>
    <t>Ingresos de contratos con clientes</t>
  </si>
  <si>
    <t>Los inventarios</t>
  </si>
  <si>
    <t>NIC 02</t>
  </si>
  <si>
    <t>Inventarios</t>
  </si>
  <si>
    <t>El Impuesto a la renta</t>
  </si>
  <si>
    <t>NIC 12</t>
  </si>
  <si>
    <t>Impuesto a la renta</t>
  </si>
  <si>
    <t>El Valor Razonable</t>
  </si>
  <si>
    <t>NIIF 13</t>
  </si>
  <si>
    <t>Medición del valor razonable</t>
  </si>
  <si>
    <t>La diferencia de cambio</t>
  </si>
  <si>
    <t>NIC 21</t>
  </si>
  <si>
    <t>Efecto de las variaciones de las tasas de cambio</t>
  </si>
  <si>
    <t>Varias</t>
  </si>
  <si>
    <t>NIC 10</t>
  </si>
  <si>
    <t>Eventos posteriores</t>
  </si>
  <si>
    <t>NIC 33</t>
  </si>
  <si>
    <t>Utilidad por acción</t>
  </si>
  <si>
    <t>NIC 20</t>
  </si>
  <si>
    <t>Contabilización de las Subvenciones del Gobierno…</t>
  </si>
  <si>
    <t>NIIF 08</t>
  </si>
  <si>
    <t>Segmentos de operación</t>
  </si>
  <si>
    <t>Sesión extra</t>
  </si>
  <si>
    <t>NIIF 01</t>
  </si>
  <si>
    <t>Adopción de NIIF por Primera Vez</t>
  </si>
  <si>
    <t>V</t>
  </si>
  <si>
    <t>APRENDE GRATIS</t>
  </si>
  <si>
    <t>SESION</t>
  </si>
  <si>
    <t>Eliminar</t>
  </si>
  <si>
    <t>Al Flujo de efectivo</t>
  </si>
  <si>
    <t>contrato 2023</t>
  </si>
  <si>
    <t>contrato 2024</t>
  </si>
  <si>
    <t>A donde llegar</t>
  </si>
  <si>
    <t>Pago de interreses</t>
  </si>
  <si>
    <t>Pago de principal</t>
  </si>
  <si>
    <t>A Financimiento</t>
  </si>
  <si>
    <t>Pago de deuda Financi</t>
  </si>
  <si>
    <t>Actividad de Financ</t>
  </si>
  <si>
    <t>Interes</t>
  </si>
  <si>
    <t>Principal</t>
  </si>
  <si>
    <t>YOTUBE</t>
  </si>
  <si>
    <t>FAS ESCUELA DE CONTADORES</t>
  </si>
  <si>
    <t>ESTADOS DE RESULTADOS</t>
  </si>
  <si>
    <t>Utilidad bruta</t>
  </si>
  <si>
    <t>Gasto de administración</t>
  </si>
  <si>
    <t>Gasto de ventas</t>
  </si>
  <si>
    <t>Utilidad operativa</t>
  </si>
  <si>
    <t>Diferencia de cambio</t>
  </si>
  <si>
    <t>Utilidad antes de impuestos</t>
  </si>
  <si>
    <t>Corriente</t>
  </si>
  <si>
    <t>Diferido</t>
  </si>
  <si>
    <t>Utilidad neta</t>
  </si>
  <si>
    <t>xxxxxx</t>
  </si>
  <si>
    <t>UTILIDAD CONTABLE</t>
  </si>
  <si>
    <t>(+/-) Adiciones/Deducc Temporales</t>
  </si>
  <si>
    <t>(+/-) Adiciones/Deducc Permanentes</t>
  </si>
  <si>
    <t>UTILIDAD TRIBUTARIA</t>
  </si>
  <si>
    <t>Año X</t>
  </si>
  <si>
    <t>Año X+1</t>
  </si>
  <si>
    <t xml:space="preserve">Diferencia </t>
  </si>
  <si>
    <t>Temporaria</t>
  </si>
  <si>
    <t>EL MISTERIO DEL IMPUESTO</t>
  </si>
  <si>
    <t>DIFERIDO</t>
  </si>
  <si>
    <t>Impuesto a la renta del año</t>
  </si>
  <si>
    <t>Tasa Efectiva del I.Rta.</t>
  </si>
  <si>
    <t>TASA LEGAL</t>
  </si>
  <si>
    <t>Impuestos</t>
  </si>
  <si>
    <t>C+D =</t>
  </si>
  <si>
    <t>1. La NIC 12 quiere que la tasa efectiva = tasa legal</t>
  </si>
  <si>
    <t>2. No se cumple el punto 1 debido a la Diferencia Permanente</t>
  </si>
  <si>
    <t>Dif Perm</t>
  </si>
  <si>
    <t>Impuesto</t>
  </si>
  <si>
    <t>de la Perm</t>
  </si>
  <si>
    <t>% Mayor Costo</t>
  </si>
  <si>
    <t>IMPUESTO DIFERIDO</t>
  </si>
  <si>
    <t>3. El efecto combinado solo depende de la UAI y la Dif Perm.</t>
  </si>
  <si>
    <t>USD</t>
  </si>
  <si>
    <t>4. Las temporales tienen un carácter ACUMULATIVO</t>
  </si>
  <si>
    <t>Deterioro de inventarios</t>
  </si>
  <si>
    <t>AIRD</t>
  </si>
  <si>
    <t>COSTO</t>
  </si>
  <si>
    <t>DEPRECIACION NIC 16</t>
  </si>
  <si>
    <t>DEPRECIACION TAX</t>
  </si>
  <si>
    <t>DEPREC. ACUM NIC 16</t>
  </si>
  <si>
    <t>DEPREC. ACUM TAX</t>
  </si>
  <si>
    <t>COSTO - DEPRECIACION ACUMULADA NIC 16</t>
  </si>
  <si>
    <t>COSTO - DEPRECIACION ACUMULADA TAX</t>
  </si>
  <si>
    <t>=</t>
  </si>
  <si>
    <t xml:space="preserve">BASE FISCAL            </t>
  </si>
  <si>
    <t xml:space="preserve">VALOR EN LIBROS  </t>
  </si>
  <si>
    <t>VL =</t>
  </si>
  <si>
    <t>BF =</t>
  </si>
  <si>
    <t>VL - BF =</t>
  </si>
  <si>
    <t>DIF TEMPORARIA</t>
  </si>
  <si>
    <t>DEPRECIACION ACUMULADA NIC 16 - DEPRECIACION ACUMULADA TAX</t>
  </si>
  <si>
    <t>DIFERENCIA TEMPORARIA</t>
  </si>
  <si>
    <t>Depreciacion NIC16</t>
  </si>
  <si>
    <t>Depreciacion TAX</t>
  </si>
  <si>
    <t>PIRD</t>
  </si>
  <si>
    <t>TASA EFECTIVA</t>
  </si>
  <si>
    <t>AIRD / PIRD</t>
  </si>
  <si>
    <t>EXTRACONTABLE</t>
  </si>
  <si>
    <t>Diferido (método del rtdo)</t>
  </si>
  <si>
    <t>UTILIDAD ANTES DE IMPUESTOS</t>
  </si>
  <si>
    <t>DIFERENCIA PERMANENTE</t>
  </si>
  <si>
    <t>TASA IMPOSITIVA</t>
  </si>
  <si>
    <t>UTILIDAD NETA</t>
  </si>
  <si>
    <t>(+/-) Permanentes: Multa</t>
  </si>
  <si>
    <t>VL</t>
  </si>
  <si>
    <t>BF</t>
  </si>
  <si>
    <t>DT</t>
  </si>
  <si>
    <t>(+) Vac Deveng</t>
  </si>
  <si>
    <t>(-) Vac Pagadas</t>
  </si>
  <si>
    <t>METODO DE LOS GURUS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</si>
  <si>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</si>
  <si>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</si>
  <si>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</si>
  <si>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</si>
  <si>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</si>
  <si>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</si>
  <si>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</si>
  <si>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</si>
  <si>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</si>
  <si>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</si>
  <si>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Depreciacion NIC 16</t>
  </si>
  <si>
    <t>Depreciacion NIC TAX</t>
  </si>
  <si>
    <t>VL &gt; BF =&gt; Pasivo IRD</t>
  </si>
  <si>
    <t>PIRD = TASA X DT</t>
  </si>
  <si>
    <t>IRD DEL AÑO</t>
  </si>
  <si>
    <t>CONCILIACION TRIBUTARIA</t>
  </si>
  <si>
    <t>(+) Depr contable</t>
  </si>
  <si>
    <t>(-) Depr tributario</t>
  </si>
  <si>
    <t>IMPUESTO POR PAGAR</t>
  </si>
  <si>
    <t>GASTO</t>
  </si>
  <si>
    <t>GASTO I.RTA.</t>
  </si>
  <si>
    <t>Costo tributario</t>
  </si>
  <si>
    <t>Deterioro de CxC</t>
  </si>
  <si>
    <t>FLUJO DEL EFECTIVO</t>
  </si>
  <si>
    <t>NIC 7</t>
  </si>
  <si>
    <t>Cuentas por cobrar, neto</t>
  </si>
  <si>
    <t>Cobros</t>
  </si>
  <si>
    <t>a Clientes</t>
  </si>
  <si>
    <t>HOY: CUENTAS POR COBRAR ==&gt;&gt;&gt; COBROS A CLIENTES</t>
  </si>
  <si>
    <t>Movimiento de las C x Cobrar:</t>
  </si>
  <si>
    <t>(+) Ventas</t>
  </si>
  <si>
    <t>(-) Cobros a clientes</t>
  </si>
  <si>
    <t>¿…...........?</t>
  </si>
  <si>
    <t>(-) Deterioros del año</t>
  </si>
  <si>
    <t>Deterioro acumulado</t>
  </si>
  <si>
    <t>FACTURA</t>
  </si>
  <si>
    <t>1 MAQUINARIA…...................</t>
  </si>
  <si>
    <t>IGV (IVA)</t>
  </si>
  <si>
    <t>EL EFE, SE PRESENTARÁ:</t>
  </si>
  <si>
    <t>A) Pago por compra de PPE</t>
  </si>
  <si>
    <t>B) Pago por compra de PPE</t>
  </si>
  <si>
    <t>IVA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</si>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</sst>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#"/>
    <numFmt numFmtId="166" formatCode="0.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0"/>
      <name val="Calibri"/>
      <family val="2"/>
      <scheme val="minor"/>
    </font>
    <font>
      <sz val="72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1">
    <xf numFmtId="0" fontId="0" fillId="0" borderId="0" xfId="0"/>
    <xf numFmtId="3" fontId="0" fillId="0" borderId="0" xfId="0" applyNumberFormat="1"/>
    <xf numFmtId="0" fontId="0" fillId="3" borderId="0" xfId="0" applyFill="1"/>
    <xf numFmtId="3" fontId="0" fillId="3" borderId="0" xfId="0" applyNumberFormat="1" applyFill="1"/>
    <xf numFmtId="0" fontId="4" fillId="4" borderId="0" xfId="0" applyFont="1" applyFill="1"/>
    <xf numFmtId="0" fontId="2" fillId="4" borderId="0" xfId="0" applyFont="1" applyFill="1"/>
    <xf numFmtId="0" fontId="0" fillId="6" borderId="0" xfId="0" applyFill="1"/>
    <xf numFmtId="0" fontId="5" fillId="6" borderId="0" xfId="0" applyFont="1" applyFill="1"/>
    <xf numFmtId="0" fontId="3" fillId="0" borderId="0" xfId="0" applyFont="1"/>
    <xf numFmtId="0" fontId="3" fillId="7" borderId="0" xfId="0" applyFont="1" applyFill="1"/>
    <xf numFmtId="0" fontId="0" fillId="8" borderId="0" xfId="0" applyFill="1"/>
    <xf numFmtId="3" fontId="0" fillId="8" borderId="0" xfId="0" applyNumberFormat="1" applyFill="1"/>
    <xf numFmtId="10" fontId="0" fillId="8" borderId="0" xfId="0" applyNumberFormat="1" applyFill="1"/>
    <xf numFmtId="0" fontId="0" fillId="9" borderId="0" xfId="0" applyFill="1"/>
    <xf numFmtId="3" fontId="0" fillId="9" borderId="0" xfId="0" applyNumberFormat="1" applyFill="1"/>
    <xf numFmtId="10" fontId="0" fillId="9" borderId="0" xfId="0" applyNumberFormat="1" applyFill="1"/>
    <xf numFmtId="0" fontId="0" fillId="10" borderId="0" xfId="0" applyFill="1"/>
    <xf numFmtId="3" fontId="0" fillId="10" borderId="0" xfId="0" applyNumberFormat="1" applyFill="1"/>
    <xf numFmtId="10" fontId="0" fillId="10" borderId="0" xfId="0" applyNumberFormat="1" applyFill="1"/>
    <xf numFmtId="3" fontId="0" fillId="6" borderId="0" xfId="0" applyNumberFormat="1" applyFill="1"/>
    <xf numFmtId="3" fontId="0" fillId="11" borderId="2" xfId="0" applyNumberFormat="1" applyFill="1" applyBorder="1"/>
    <xf numFmtId="3" fontId="0" fillId="11" borderId="3" xfId="0" applyNumberFormat="1" applyFill="1" applyBorder="1"/>
    <xf numFmtId="3" fontId="0" fillId="11" borderId="5" xfId="0" applyNumberFormat="1" applyFill="1" applyBorder="1"/>
    <xf numFmtId="3" fontId="0" fillId="11" borderId="0" xfId="0" applyNumberFormat="1" applyFill="1"/>
    <xf numFmtId="3" fontId="0" fillId="11" borderId="6" xfId="0" applyNumberFormat="1" applyFill="1" applyBorder="1"/>
    <xf numFmtId="3" fontId="0" fillId="11" borderId="7" xfId="0" applyNumberFormat="1" applyFill="1" applyBorder="1"/>
    <xf numFmtId="3" fontId="0" fillId="11" borderId="8" xfId="0" applyNumberFormat="1" applyFill="1" applyBorder="1"/>
    <xf numFmtId="0" fontId="0" fillId="12" borderId="0" xfId="0" applyFill="1"/>
    <xf numFmtId="0" fontId="4" fillId="12" borderId="0" xfId="0" applyFont="1" applyFill="1"/>
    <xf numFmtId="0" fontId="2" fillId="12" borderId="0" xfId="0" applyFont="1" applyFill="1" applyAlignment="1">
      <alignment horizontal="center"/>
    </xf>
    <xf numFmtId="0" fontId="0" fillId="13" borderId="0" xfId="0" applyFill="1"/>
    <xf numFmtId="0" fontId="4" fillId="13" borderId="0" xfId="0" applyFont="1" applyFill="1"/>
    <xf numFmtId="3" fontId="4" fillId="13" borderId="0" xfId="0" applyNumberFormat="1" applyFont="1" applyFill="1"/>
    <xf numFmtId="0" fontId="3" fillId="10" borderId="0" xfId="0" applyFont="1" applyFill="1"/>
    <xf numFmtId="0" fontId="2" fillId="12" borderId="13" xfId="0" applyFont="1" applyFill="1" applyBorder="1" applyAlignment="1">
      <alignment horizontal="center"/>
    </xf>
    <xf numFmtId="0" fontId="0" fillId="6" borderId="14" xfId="0" applyFill="1" applyBorder="1"/>
    <xf numFmtId="0" fontId="5" fillId="6" borderId="14" xfId="0" applyFont="1" applyFill="1" applyBorder="1"/>
    <xf numFmtId="3" fontId="4" fillId="13" borderId="15" xfId="0" applyNumberFormat="1" applyFont="1" applyFill="1" applyBorder="1"/>
    <xf numFmtId="3" fontId="0" fillId="14" borderId="14" xfId="0" applyNumberFormat="1" applyFill="1" applyBorder="1"/>
    <xf numFmtId="0" fontId="0" fillId="14" borderId="14" xfId="0" applyFill="1" applyBorder="1"/>
    <xf numFmtId="0" fontId="2" fillId="15" borderId="13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3" fontId="0" fillId="0" borderId="6" xfId="0" applyNumberFormat="1" applyBorder="1"/>
    <xf numFmtId="0" fontId="0" fillId="0" borderId="7" xfId="0" applyBorder="1"/>
    <xf numFmtId="0" fontId="0" fillId="0" borderId="8" xfId="0" applyBorder="1"/>
    <xf numFmtId="3" fontId="0" fillId="0" borderId="9" xfId="0" applyNumberFormat="1" applyBorder="1"/>
    <xf numFmtId="0" fontId="0" fillId="0" borderId="4" xfId="0" applyBorder="1"/>
    <xf numFmtId="3" fontId="0" fillId="0" borderId="2" xfId="0" applyNumberFormat="1" applyBorder="1"/>
    <xf numFmtId="3" fontId="0" fillId="0" borderId="5" xfId="0" applyNumberFormat="1" applyBorder="1"/>
    <xf numFmtId="164" fontId="0" fillId="0" borderId="0" xfId="1" applyNumberFormat="1" applyFont="1"/>
    <xf numFmtId="0" fontId="5" fillId="16" borderId="10" xfId="0" applyFont="1" applyFill="1" applyBorder="1"/>
    <xf numFmtId="0" fontId="0" fillId="16" borderId="11" xfId="0" applyFill="1" applyBorder="1"/>
    <xf numFmtId="0" fontId="3" fillId="16" borderId="10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165" fontId="2" fillId="17" borderId="10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8" borderId="1" xfId="0" applyFill="1" applyBorder="1"/>
    <xf numFmtId="165" fontId="2" fillId="17" borderId="2" xfId="0" applyNumberFormat="1" applyFont="1" applyFill="1" applyBorder="1" applyAlignment="1">
      <alignment horizontal="center"/>
    </xf>
    <xf numFmtId="165" fontId="2" fillId="17" borderId="7" xfId="0" applyNumberFormat="1" applyFont="1" applyFill="1" applyBorder="1" applyAlignment="1">
      <alignment horizontal="center"/>
    </xf>
    <xf numFmtId="165" fontId="2" fillId="17" borderId="5" xfId="0" applyNumberFormat="1" applyFont="1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18" borderId="13" xfId="0" applyFill="1" applyBorder="1"/>
    <xf numFmtId="0" fontId="0" fillId="7" borderId="8" xfId="0" applyFill="1" applyBorder="1" applyAlignment="1">
      <alignment horizontal="center"/>
    </xf>
    <xf numFmtId="0" fontId="0" fillId="18" borderId="15" xfId="0" applyFill="1" applyBorder="1"/>
    <xf numFmtId="0" fontId="2" fillId="17" borderId="7" xfId="0" applyFont="1" applyFill="1" applyBorder="1"/>
    <xf numFmtId="0" fontId="0" fillId="18" borderId="10" xfId="0" applyFill="1" applyBorder="1"/>
    <xf numFmtId="0" fontId="0" fillId="18" borderId="2" xfId="0" applyFill="1" applyBorder="1"/>
    <xf numFmtId="0" fontId="0" fillId="18" borderId="7" xfId="0" applyFill="1" applyBorder="1"/>
    <xf numFmtId="0" fontId="0" fillId="18" borderId="12" xfId="0" applyFill="1" applyBorder="1"/>
    <xf numFmtId="0" fontId="0" fillId="18" borderId="4" xfId="0" applyFill="1" applyBorder="1"/>
    <xf numFmtId="0" fontId="0" fillId="18" borderId="9" xfId="0" applyFill="1" applyBorder="1"/>
    <xf numFmtId="0" fontId="0" fillId="18" borderId="11" xfId="0" applyFill="1" applyBorder="1"/>
    <xf numFmtId="0" fontId="0" fillId="18" borderId="3" xfId="0" applyFill="1" applyBorder="1"/>
    <xf numFmtId="0" fontId="0" fillId="18" borderId="8" xfId="0" applyFill="1" applyBorder="1"/>
    <xf numFmtId="0" fontId="0" fillId="18" borderId="0" xfId="0" applyFill="1"/>
    <xf numFmtId="0" fontId="2" fillId="12" borderId="2" xfId="0" applyFont="1" applyFill="1" applyBorder="1"/>
    <xf numFmtId="0" fontId="2" fillId="12" borderId="3" xfId="0" applyFont="1" applyFill="1" applyBorder="1" applyAlignment="1">
      <alignment horizontal="center"/>
    </xf>
    <xf numFmtId="0" fontId="4" fillId="12" borderId="3" xfId="0" applyFont="1" applyFill="1" applyBorder="1"/>
    <xf numFmtId="0" fontId="4" fillId="12" borderId="4" xfId="0" applyFont="1" applyFill="1" applyBorder="1"/>
    <xf numFmtId="0" fontId="2" fillId="12" borderId="5" xfId="0" applyFont="1" applyFill="1" applyBorder="1"/>
    <xf numFmtId="0" fontId="4" fillId="12" borderId="6" xfId="0" applyFont="1" applyFill="1" applyBorder="1"/>
    <xf numFmtId="0" fontId="7" fillId="12" borderId="0" xfId="0" applyFont="1" applyFill="1"/>
    <xf numFmtId="0" fontId="8" fillId="12" borderId="0" xfId="0" applyFont="1" applyFill="1"/>
    <xf numFmtId="0" fontId="8" fillId="13" borderId="0" xfId="0" applyFont="1" applyFill="1"/>
    <xf numFmtId="15" fontId="8" fillId="12" borderId="0" xfId="0" applyNumberFormat="1" applyFont="1" applyFill="1" applyAlignment="1">
      <alignment horizontal="left"/>
    </xf>
    <xf numFmtId="3" fontId="9" fillId="0" borderId="0" xfId="0" applyNumberFormat="1" applyFont="1"/>
    <xf numFmtId="0" fontId="9" fillId="0" borderId="0" xfId="0" applyFont="1"/>
    <xf numFmtId="3" fontId="10" fillId="0" borderId="0" xfId="0" applyNumberFormat="1" applyFont="1"/>
    <xf numFmtId="3" fontId="0" fillId="14" borderId="19" xfId="0" applyNumberFormat="1" applyFill="1" applyBorder="1"/>
    <xf numFmtId="0" fontId="0" fillId="2" borderId="17" xfId="0" applyFill="1" applyBorder="1"/>
    <xf numFmtId="3" fontId="10" fillId="2" borderId="18" xfId="0" applyNumberFormat="1" applyFont="1" applyFill="1" applyBorder="1"/>
    <xf numFmtId="3" fontId="9" fillId="2" borderId="18" xfId="0" applyNumberFormat="1" applyFont="1" applyFill="1" applyBorder="1"/>
    <xf numFmtId="0" fontId="10" fillId="0" borderId="0" xfId="0" applyFont="1"/>
    <xf numFmtId="3" fontId="0" fillId="2" borderId="19" xfId="0" applyNumberFormat="1" applyFill="1" applyBorder="1"/>
    <xf numFmtId="0" fontId="3" fillId="8" borderId="0" xfId="0" applyFont="1" applyFill="1"/>
    <xf numFmtId="0" fontId="3" fillId="9" borderId="0" xfId="0" applyFont="1" applyFill="1"/>
    <xf numFmtId="3" fontId="0" fillId="6" borderId="16" xfId="0" applyNumberFormat="1" applyFill="1" applyBorder="1"/>
    <xf numFmtId="3" fontId="0" fillId="6" borderId="9" xfId="0" applyNumberFormat="1" applyFill="1" applyBorder="1"/>
    <xf numFmtId="0" fontId="3" fillId="16" borderId="0" xfId="0" applyFont="1" applyFill="1"/>
    <xf numFmtId="3" fontId="9" fillId="16" borderId="0" xfId="0" applyNumberFormat="1" applyFont="1" applyFill="1"/>
    <xf numFmtId="0" fontId="3" fillId="2" borderId="0" xfId="0" applyFont="1" applyFill="1"/>
    <xf numFmtId="3" fontId="9" fillId="2" borderId="0" xfId="0" applyNumberFormat="1" applyFont="1" applyFill="1"/>
    <xf numFmtId="0" fontId="0" fillId="17" borderId="0" xfId="0" applyFill="1"/>
    <xf numFmtId="3" fontId="10" fillId="17" borderId="0" xfId="0" applyNumberFormat="1" applyFont="1" applyFill="1"/>
    <xf numFmtId="3" fontId="9" fillId="17" borderId="0" xfId="0" applyNumberFormat="1" applyFont="1" applyFill="1"/>
    <xf numFmtId="3" fontId="9" fillId="3" borderId="0" xfId="0" applyNumberFormat="1" applyFont="1" applyFill="1"/>
    <xf numFmtId="164" fontId="0" fillId="19" borderId="0" xfId="1" applyNumberFormat="1" applyFont="1" applyFill="1"/>
    <xf numFmtId="164" fontId="9" fillId="19" borderId="0" xfId="1" applyNumberFormat="1" applyFont="1" applyFill="1"/>
    <xf numFmtId="0" fontId="3" fillId="3" borderId="17" xfId="0" applyFont="1" applyFill="1" applyBorder="1"/>
    <xf numFmtId="0" fontId="3" fillId="3" borderId="18" xfId="0" applyFont="1" applyFill="1" applyBorder="1"/>
    <xf numFmtId="3" fontId="3" fillId="3" borderId="20" xfId="0" applyNumberFormat="1" applyFont="1" applyFill="1" applyBorder="1"/>
    <xf numFmtId="3" fontId="10" fillId="2" borderId="0" xfId="0" applyNumberFormat="1" applyFont="1" applyFill="1"/>
    <xf numFmtId="0" fontId="3" fillId="5" borderId="17" xfId="0" applyFont="1" applyFill="1" applyBorder="1"/>
    <xf numFmtId="0" fontId="3" fillId="5" borderId="18" xfId="0" applyFont="1" applyFill="1" applyBorder="1"/>
    <xf numFmtId="9" fontId="3" fillId="5" borderId="20" xfId="0" applyNumberFormat="1" applyFont="1" applyFill="1" applyBorder="1"/>
    <xf numFmtId="0" fontId="2" fillId="15" borderId="0" xfId="0" applyFont="1" applyFill="1"/>
    <xf numFmtId="3" fontId="2" fillId="15" borderId="0" xfId="0" applyNumberFormat="1" applyFont="1" applyFill="1"/>
    <xf numFmtId="3" fontId="2" fillId="13" borderId="15" xfId="0" applyNumberFormat="1" applyFont="1" applyFill="1" applyBorder="1"/>
    <xf numFmtId="0" fontId="0" fillId="9" borderId="14" xfId="0" applyFill="1" applyBorder="1"/>
    <xf numFmtId="3" fontId="3" fillId="9" borderId="14" xfId="0" applyNumberFormat="1" applyFont="1" applyFill="1" applyBorder="1"/>
    <xf numFmtId="0" fontId="3" fillId="9" borderId="14" xfId="0" applyFont="1" applyFill="1" applyBorder="1"/>
    <xf numFmtId="3" fontId="0" fillId="9" borderId="14" xfId="0" applyNumberFormat="1" applyFill="1" applyBorder="1"/>
    <xf numFmtId="0" fontId="5" fillId="9" borderId="14" xfId="0" applyFont="1" applyFill="1" applyBorder="1"/>
    <xf numFmtId="0" fontId="11" fillId="0" borderId="0" xfId="0" applyFont="1"/>
    <xf numFmtId="0" fontId="12" fillId="12" borderId="0" xfId="0" applyFont="1" applyFill="1"/>
    <xf numFmtId="0" fontId="3" fillId="9" borderId="17" xfId="0" applyFont="1" applyFill="1" applyBorder="1"/>
    <xf numFmtId="0" fontId="0" fillId="9" borderId="18" xfId="0" applyFill="1" applyBorder="1"/>
    <xf numFmtId="164" fontId="0" fillId="9" borderId="20" xfId="1" applyNumberFormat="1" applyFont="1" applyFill="1" applyBorder="1"/>
    <xf numFmtId="0" fontId="0" fillId="0" borderId="21" xfId="0" applyBorder="1"/>
    <xf numFmtId="0" fontId="0" fillId="0" borderId="22" xfId="0" applyBorder="1"/>
    <xf numFmtId="164" fontId="0" fillId="0" borderId="22" xfId="1" applyNumberFormat="1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164" fontId="0" fillId="0" borderId="0" xfId="1" applyNumberFormat="1" applyFont="1" applyBorder="1"/>
    <xf numFmtId="0" fontId="5" fillId="8" borderId="0" xfId="0" applyFont="1" applyFill="1"/>
    <xf numFmtId="164" fontId="0" fillId="8" borderId="0" xfId="1" applyNumberFormat="1" applyFont="1" applyFill="1" applyBorder="1"/>
    <xf numFmtId="0" fontId="0" fillId="0" borderId="26" xfId="0" applyBorder="1"/>
    <xf numFmtId="0" fontId="0" fillId="0" borderId="27" xfId="0" applyBorder="1"/>
    <xf numFmtId="164" fontId="0" fillId="0" borderId="27" xfId="1" applyNumberFormat="1" applyFont="1" applyBorder="1"/>
    <xf numFmtId="0" fontId="0" fillId="0" borderId="28" xfId="0" applyBorder="1"/>
    <xf numFmtId="164" fontId="0" fillId="0" borderId="0" xfId="1" applyNumberFormat="1" applyFont="1" applyBorder="1" applyAlignment="1">
      <alignment horizontal="right"/>
    </xf>
    <xf numFmtId="164" fontId="0" fillId="8" borderId="0" xfId="1" applyNumberFormat="1" applyFont="1" applyFill="1" applyBorder="1" applyAlignment="1">
      <alignment horizontal="right"/>
    </xf>
    <xf numFmtId="0" fontId="0" fillId="8" borderId="21" xfId="0" applyFill="1" applyBorder="1"/>
    <xf numFmtId="0" fontId="0" fillId="8" borderId="22" xfId="0" applyFill="1" applyBorder="1"/>
    <xf numFmtId="164" fontId="0" fillId="8" borderId="22" xfId="1" applyNumberFormat="1" applyFont="1" applyFill="1" applyBorder="1"/>
    <xf numFmtId="0" fontId="0" fillId="8" borderId="23" xfId="0" applyFill="1" applyBorder="1"/>
    <xf numFmtId="0" fontId="0" fillId="8" borderId="24" xfId="0" applyFill="1" applyBorder="1"/>
    <xf numFmtId="0" fontId="0" fillId="8" borderId="25" xfId="0" applyFill="1" applyBorder="1"/>
    <xf numFmtId="0" fontId="0" fillId="8" borderId="26" xfId="0" applyFill="1" applyBorder="1"/>
    <xf numFmtId="0" fontId="0" fillId="8" borderId="27" xfId="0" applyFill="1" applyBorder="1"/>
    <xf numFmtId="164" fontId="0" fillId="8" borderId="27" xfId="1" applyNumberFormat="1" applyFont="1" applyFill="1" applyBorder="1"/>
    <xf numFmtId="0" fontId="0" fillId="8" borderId="28" xfId="0" applyFill="1" applyBorder="1"/>
    <xf numFmtId="164" fontId="3" fillId="8" borderId="20" xfId="1" applyNumberFormat="1" applyFont="1" applyFill="1" applyBorder="1"/>
    <xf numFmtId="0" fontId="3" fillId="16" borderId="17" xfId="0" applyFont="1" applyFill="1" applyBorder="1"/>
    <xf numFmtId="0" fontId="3" fillId="16" borderId="18" xfId="0" applyFont="1" applyFill="1" applyBorder="1"/>
    <xf numFmtId="164" fontId="3" fillId="16" borderId="20" xfId="1" applyNumberFormat="1" applyFont="1" applyFill="1" applyBorder="1"/>
    <xf numFmtId="0" fontId="3" fillId="0" borderId="17" xfId="0" applyFont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0" borderId="0" xfId="0" applyFont="1" applyAlignment="1">
      <alignment horizontal="center"/>
    </xf>
    <xf numFmtId="164" fontId="0" fillId="2" borderId="16" xfId="1" applyNumberFormat="1" applyFont="1" applyFill="1" applyBorder="1"/>
    <xf numFmtId="164" fontId="0" fillId="3" borderId="16" xfId="1" applyNumberFormat="1" applyFont="1" applyFill="1" applyBorder="1"/>
    <xf numFmtId="0" fontId="0" fillId="8" borderId="1" xfId="0" applyFill="1" applyBorder="1"/>
    <xf numFmtId="0" fontId="3" fillId="17" borderId="0" xfId="0" applyFont="1" applyFill="1"/>
    <xf numFmtId="0" fontId="14" fillId="0" borderId="0" xfId="0" applyFont="1" applyAlignment="1">
      <alignment horizontal="left" indent="1"/>
    </xf>
    <xf numFmtId="0" fontId="14" fillId="0" borderId="0" xfId="0" applyFont="1"/>
    <xf numFmtId="0" fontId="5" fillId="8" borderId="17" xfId="0" applyFont="1" applyFill="1" applyBorder="1"/>
    <xf numFmtId="0" fontId="0" fillId="8" borderId="18" xfId="0" applyFill="1" applyBorder="1"/>
    <xf numFmtId="0" fontId="0" fillId="0" borderId="20" xfId="0" applyBorder="1"/>
    <xf numFmtId="10" fontId="3" fillId="2" borderId="20" xfId="0" applyNumberFormat="1" applyFont="1" applyFill="1" applyBorder="1"/>
    <xf numFmtId="10" fontId="10" fillId="0" borderId="25" xfId="2" applyNumberFormat="1" applyFont="1" applyBorder="1"/>
    <xf numFmtId="164" fontId="3" fillId="0" borderId="0" xfId="1" applyNumberFormat="1" applyFont="1"/>
    <xf numFmtId="164" fontId="10" fillId="0" borderId="0" xfId="1" applyNumberFormat="1" applyFont="1"/>
    <xf numFmtId="164" fontId="3" fillId="0" borderId="0" xfId="1" applyNumberFormat="1" applyFont="1" applyBorder="1"/>
    <xf numFmtId="0" fontId="3" fillId="0" borderId="10" xfId="0" applyFont="1" applyBorder="1"/>
    <xf numFmtId="0" fontId="0" fillId="0" borderId="11" xfId="0" applyBorder="1"/>
    <xf numFmtId="0" fontId="0" fillId="0" borderId="12" xfId="0" applyBorder="1"/>
    <xf numFmtId="0" fontId="3" fillId="20" borderId="21" xfId="0" applyFont="1" applyFill="1" applyBorder="1"/>
    <xf numFmtId="164" fontId="3" fillId="20" borderId="22" xfId="0" applyNumberFormat="1" applyFont="1" applyFill="1" applyBorder="1"/>
    <xf numFmtId="164" fontId="3" fillId="20" borderId="23" xfId="0" applyNumberFormat="1" applyFont="1" applyFill="1" applyBorder="1"/>
    <xf numFmtId="0" fontId="3" fillId="16" borderId="24" xfId="0" applyFont="1" applyFill="1" applyBorder="1"/>
    <xf numFmtId="0" fontId="0" fillId="16" borderId="0" xfId="0" applyFill="1"/>
    <xf numFmtId="0" fontId="0" fillId="16" borderId="25" xfId="0" applyFill="1" applyBorder="1"/>
    <xf numFmtId="164" fontId="3" fillId="16" borderId="0" xfId="1" applyNumberFormat="1" applyFont="1" applyFill="1" applyBorder="1"/>
    <xf numFmtId="164" fontId="3" fillId="16" borderId="25" xfId="1" applyNumberFormat="1" applyFont="1" applyFill="1" applyBorder="1"/>
    <xf numFmtId="0" fontId="3" fillId="21" borderId="26" xfId="0" applyFont="1" applyFill="1" applyBorder="1"/>
    <xf numFmtId="164" fontId="3" fillId="21" borderId="27" xfId="1" applyNumberFormat="1" applyFont="1" applyFill="1" applyBorder="1"/>
    <xf numFmtId="166" fontId="3" fillId="21" borderId="28" xfId="2" applyNumberFormat="1" applyFont="1" applyFill="1" applyBorder="1"/>
    <xf numFmtId="164" fontId="3" fillId="0" borderId="0" xfId="1" applyNumberFormat="1" applyFont="1" applyBorder="1" applyAlignment="1">
      <alignment horizontal="center"/>
    </xf>
    <xf numFmtId="0" fontId="3" fillId="22" borderId="0" xfId="0" applyFont="1" applyFill="1"/>
    <xf numFmtId="0" fontId="0" fillId="22" borderId="0" xfId="0" applyFill="1"/>
    <xf numFmtId="0" fontId="0" fillId="0" borderId="18" xfId="0" applyBorder="1"/>
    <xf numFmtId="0" fontId="3" fillId="23" borderId="17" xfId="0" applyFont="1" applyFill="1" applyBorder="1"/>
    <xf numFmtId="164" fontId="3" fillId="23" borderId="18" xfId="0" applyNumberFormat="1" applyFont="1" applyFill="1" applyBorder="1"/>
    <xf numFmtId="0" fontId="0" fillId="23" borderId="18" xfId="0" applyFill="1" applyBorder="1"/>
    <xf numFmtId="164" fontId="3" fillId="23" borderId="20" xfId="0" applyNumberFormat="1" applyFont="1" applyFill="1" applyBorder="1"/>
    <xf numFmtId="3" fontId="0" fillId="2" borderId="1" xfId="0" applyNumberFormat="1" applyFill="1" applyBorder="1"/>
    <xf numFmtId="164" fontId="3" fillId="2" borderId="16" xfId="1" applyNumberFormat="1" applyFont="1" applyFill="1" applyBorder="1"/>
    <xf numFmtId="0" fontId="3" fillId="7" borderId="0" xfId="0" applyFont="1" applyFill="1" applyAlignment="1">
      <alignment horizontal="center"/>
    </xf>
    <xf numFmtId="0" fontId="3" fillId="24" borderId="0" xfId="0" applyFont="1" applyFill="1"/>
    <xf numFmtId="3" fontId="3" fillId="24" borderId="0" xfId="0" applyNumberFormat="1" applyFont="1" applyFill="1"/>
    <xf numFmtId="0" fontId="10" fillId="2" borderId="17" xfId="0" applyFont="1" applyFill="1" applyBorder="1"/>
    <xf numFmtId="0" fontId="13" fillId="2" borderId="18" xfId="0" applyFont="1" applyFill="1" applyBorder="1"/>
    <xf numFmtId="0" fontId="13" fillId="2" borderId="20" xfId="0" applyFont="1" applyFill="1" applyBorder="1"/>
    <xf numFmtId="10" fontId="3" fillId="0" borderId="0" xfId="0" applyNumberFormat="1" applyFont="1"/>
    <xf numFmtId="0" fontId="3" fillId="3" borderId="0" xfId="0" applyFont="1" applyFill="1"/>
    <xf numFmtId="164" fontId="3" fillId="3" borderId="0" xfId="1" applyNumberFormat="1" applyFont="1" applyFill="1"/>
    <xf numFmtId="0" fontId="0" fillId="0" borderId="29" xfId="0" applyBorder="1"/>
    <xf numFmtId="0" fontId="3" fillId="7" borderId="30" xfId="0" applyFont="1" applyFill="1" applyBorder="1" applyAlignment="1">
      <alignment horizontal="center"/>
    </xf>
    <xf numFmtId="164" fontId="3" fillId="0" borderId="30" xfId="1" applyNumberFormat="1" applyFont="1" applyBorder="1"/>
    <xf numFmtId="0" fontId="0" fillId="0" borderId="30" xfId="0" applyBorder="1"/>
    <xf numFmtId="164" fontId="3" fillId="3" borderId="30" xfId="1" applyNumberFormat="1" applyFont="1" applyFill="1" applyBorder="1"/>
    <xf numFmtId="0" fontId="0" fillId="0" borderId="31" xfId="0" applyBorder="1"/>
    <xf numFmtId="164" fontId="10" fillId="0" borderId="30" xfId="1" applyNumberFormat="1" applyFont="1" applyBorder="1"/>
    <xf numFmtId="164" fontId="0" fillId="8" borderId="1" xfId="1" applyNumberFormat="1" applyFont="1" applyFill="1" applyBorder="1"/>
    <xf numFmtId="164" fontId="3" fillId="25" borderId="16" xfId="1" applyNumberFormat="1" applyFont="1" applyFill="1" applyBorder="1"/>
    <xf numFmtId="0" fontId="3" fillId="0" borderId="24" xfId="0" applyFont="1" applyBorder="1"/>
    <xf numFmtId="0" fontId="15" fillId="0" borderId="0" xfId="0" applyFont="1"/>
    <xf numFmtId="164" fontId="15" fillId="0" borderId="0" xfId="1" applyNumberFormat="1" applyFont="1"/>
    <xf numFmtId="0" fontId="15" fillId="13" borderId="17" xfId="0" applyFont="1" applyFill="1" applyBorder="1"/>
    <xf numFmtId="0" fontId="15" fillId="13" borderId="18" xfId="0" applyFont="1" applyFill="1" applyBorder="1"/>
    <xf numFmtId="164" fontId="15" fillId="13" borderId="18" xfId="1" applyNumberFormat="1" applyFont="1" applyFill="1" applyBorder="1"/>
    <xf numFmtId="0" fontId="15" fillId="13" borderId="20" xfId="0" applyFont="1" applyFill="1" applyBorder="1"/>
    <xf numFmtId="0" fontId="16" fillId="17" borderId="2" xfId="0" applyFont="1" applyFill="1" applyBorder="1"/>
    <xf numFmtId="0" fontId="16" fillId="17" borderId="3" xfId="0" applyFont="1" applyFill="1" applyBorder="1"/>
    <xf numFmtId="0" fontId="16" fillId="17" borderId="4" xfId="0" applyFont="1" applyFill="1" applyBorder="1"/>
    <xf numFmtId="0" fontId="15" fillId="13" borderId="24" xfId="0" applyFont="1" applyFill="1" applyBorder="1"/>
    <xf numFmtId="0" fontId="16" fillId="9" borderId="26" xfId="0" applyFont="1" applyFill="1" applyBorder="1"/>
    <xf numFmtId="0" fontId="15" fillId="9" borderId="27" xfId="0" applyFont="1" applyFill="1" applyBorder="1"/>
    <xf numFmtId="164" fontId="15" fillId="9" borderId="28" xfId="1" applyNumberFormat="1" applyFont="1" applyFill="1" applyBorder="1"/>
    <xf numFmtId="0" fontId="15" fillId="13" borderId="25" xfId="0" applyFont="1" applyFill="1" applyBorder="1"/>
    <xf numFmtId="0" fontId="16" fillId="17" borderId="5" xfId="0" applyFont="1" applyFill="1" applyBorder="1"/>
    <xf numFmtId="0" fontId="16" fillId="17" borderId="0" xfId="0" applyFont="1" applyFill="1"/>
    <xf numFmtId="0" fontId="16" fillId="17" borderId="6" xfId="0" applyFont="1" applyFill="1" applyBorder="1"/>
    <xf numFmtId="164" fontId="15" fillId="0" borderId="0" xfId="1" applyNumberFormat="1" applyFont="1" applyBorder="1" applyAlignment="1">
      <alignment horizontal="right"/>
    </xf>
    <xf numFmtId="0" fontId="16" fillId="0" borderId="10" xfId="0" applyFont="1" applyBorder="1"/>
    <xf numFmtId="0" fontId="15" fillId="0" borderId="11" xfId="0" applyFont="1" applyBorder="1"/>
    <xf numFmtId="0" fontId="15" fillId="0" borderId="12" xfId="0" applyFont="1" applyBorder="1"/>
    <xf numFmtId="0" fontId="17" fillId="8" borderId="0" xfId="0" applyFont="1" applyFill="1"/>
    <xf numFmtId="0" fontId="15" fillId="8" borderId="0" xfId="0" applyFont="1" applyFill="1"/>
    <xf numFmtId="164" fontId="15" fillId="8" borderId="0" xfId="1" applyNumberFormat="1" applyFont="1" applyFill="1" applyBorder="1" applyAlignment="1">
      <alignment horizontal="right"/>
    </xf>
    <xf numFmtId="0" fontId="18" fillId="27" borderId="10" xfId="0" applyFont="1" applyFill="1" applyBorder="1"/>
    <xf numFmtId="0" fontId="18" fillId="27" borderId="11" xfId="0" applyFont="1" applyFill="1" applyBorder="1"/>
    <xf numFmtId="0" fontId="19" fillId="27" borderId="11" xfId="0" applyFont="1" applyFill="1" applyBorder="1"/>
    <xf numFmtId="10" fontId="18" fillId="27" borderId="12" xfId="0" applyNumberFormat="1" applyFont="1" applyFill="1" applyBorder="1"/>
    <xf numFmtId="0" fontId="18" fillId="27" borderId="7" xfId="0" applyFont="1" applyFill="1" applyBorder="1"/>
    <xf numFmtId="0" fontId="18" fillId="27" borderId="8" xfId="0" applyFont="1" applyFill="1" applyBorder="1"/>
    <xf numFmtId="0" fontId="19" fillId="27" borderId="8" xfId="0" applyFont="1" applyFill="1" applyBorder="1"/>
    <xf numFmtId="10" fontId="18" fillId="27" borderId="9" xfId="0" applyNumberFormat="1" applyFont="1" applyFill="1" applyBorder="1"/>
    <xf numFmtId="0" fontId="17" fillId="8" borderId="17" xfId="0" applyFont="1" applyFill="1" applyBorder="1"/>
    <xf numFmtId="0" fontId="15" fillId="8" borderId="18" xfId="0" applyFont="1" applyFill="1" applyBorder="1"/>
    <xf numFmtId="164" fontId="16" fillId="8" borderId="20" xfId="1" applyNumberFormat="1" applyFont="1" applyFill="1" applyBorder="1"/>
    <xf numFmtId="0" fontId="20" fillId="0" borderId="0" xfId="0" applyFont="1"/>
    <xf numFmtId="0" fontId="16" fillId="0" borderId="0" xfId="0" applyFont="1"/>
    <xf numFmtId="164" fontId="16" fillId="0" borderId="0" xfId="1" applyNumberFormat="1" applyFont="1" applyBorder="1"/>
    <xf numFmtId="10" fontId="18" fillId="13" borderId="25" xfId="2" applyNumberFormat="1" applyFont="1" applyFill="1" applyBorder="1"/>
    <xf numFmtId="164" fontId="15" fillId="0" borderId="0" xfId="1" applyNumberFormat="1" applyFont="1" applyBorder="1"/>
    <xf numFmtId="0" fontId="15" fillId="13" borderId="26" xfId="0" applyFont="1" applyFill="1" applyBorder="1"/>
    <xf numFmtId="0" fontId="15" fillId="13" borderId="27" xfId="0" applyFont="1" applyFill="1" applyBorder="1"/>
    <xf numFmtId="164" fontId="15" fillId="13" borderId="27" xfId="1" applyNumberFormat="1" applyFont="1" applyFill="1" applyBorder="1"/>
    <xf numFmtId="0" fontId="15" fillId="13" borderId="28" xfId="0" applyFont="1" applyFill="1" applyBorder="1"/>
    <xf numFmtId="0" fontId="15" fillId="0" borderId="21" xfId="0" applyFont="1" applyBorder="1"/>
    <xf numFmtId="0" fontId="15" fillId="0" borderId="22" xfId="0" applyFont="1" applyBorder="1"/>
    <xf numFmtId="0" fontId="16" fillId="26" borderId="16" xfId="0" applyFont="1" applyFill="1" applyBorder="1" applyAlignment="1">
      <alignment horizontal="center"/>
    </xf>
    <xf numFmtId="0" fontId="15" fillId="8" borderId="21" xfId="0" applyFont="1" applyFill="1" applyBorder="1"/>
    <xf numFmtId="0" fontId="15" fillId="8" borderId="22" xfId="0" applyFont="1" applyFill="1" applyBorder="1"/>
    <xf numFmtId="164" fontId="15" fillId="8" borderId="22" xfId="1" applyNumberFormat="1" applyFont="1" applyFill="1" applyBorder="1"/>
    <xf numFmtId="0" fontId="15" fillId="8" borderId="23" xfId="0" applyFont="1" applyFill="1" applyBorder="1"/>
    <xf numFmtId="0" fontId="15" fillId="0" borderId="23" xfId="0" applyFont="1" applyBorder="1"/>
    <xf numFmtId="0" fontId="16" fillId="22" borderId="24" xfId="0" applyFont="1" applyFill="1" applyBorder="1"/>
    <xf numFmtId="0" fontId="15" fillId="22" borderId="0" xfId="0" applyFont="1" applyFill="1"/>
    <xf numFmtId="0" fontId="15" fillId="8" borderId="24" xfId="0" applyFont="1" applyFill="1" applyBorder="1"/>
    <xf numFmtId="0" fontId="16" fillId="16" borderId="17" xfId="0" applyFont="1" applyFill="1" applyBorder="1"/>
    <xf numFmtId="0" fontId="16" fillId="16" borderId="18" xfId="0" applyFont="1" applyFill="1" applyBorder="1"/>
    <xf numFmtId="164" fontId="16" fillId="16" borderId="20" xfId="1" applyNumberFormat="1" applyFont="1" applyFill="1" applyBorder="1"/>
    <xf numFmtId="0" fontId="15" fillId="8" borderId="25" xfId="0" applyFont="1" applyFill="1" applyBorder="1"/>
    <xf numFmtId="0" fontId="16" fillId="22" borderId="0" xfId="0" applyFont="1" applyFill="1" applyAlignment="1">
      <alignment horizontal="right"/>
    </xf>
    <xf numFmtId="0" fontId="15" fillId="0" borderId="25" xfId="0" applyFont="1" applyBorder="1"/>
    <xf numFmtId="164" fontId="15" fillId="16" borderId="16" xfId="1" applyNumberFormat="1" applyFont="1" applyFill="1" applyBorder="1"/>
    <xf numFmtId="164" fontId="15" fillId="8" borderId="0" xfId="1" applyNumberFormat="1" applyFont="1" applyFill="1" applyBorder="1"/>
    <xf numFmtId="0" fontId="15" fillId="0" borderId="24" xfId="0" applyFont="1" applyBorder="1"/>
    <xf numFmtId="0" fontId="16" fillId="8" borderId="0" xfId="0" applyFont="1" applyFill="1"/>
    <xf numFmtId="164" fontId="15" fillId="23" borderId="16" xfId="1" applyNumberFormat="1" applyFont="1" applyFill="1" applyBorder="1"/>
    <xf numFmtId="0" fontId="15" fillId="5" borderId="1" xfId="0" applyFont="1" applyFill="1" applyBorder="1"/>
    <xf numFmtId="0" fontId="15" fillId="8" borderId="26" xfId="0" applyFont="1" applyFill="1" applyBorder="1"/>
    <xf numFmtId="0" fontId="15" fillId="8" borderId="27" xfId="0" applyFont="1" applyFill="1" applyBorder="1"/>
    <xf numFmtId="164" fontId="15" fillId="8" borderId="27" xfId="1" applyNumberFormat="1" applyFont="1" applyFill="1" applyBorder="1"/>
    <xf numFmtId="0" fontId="15" fillId="8" borderId="28" xfId="0" applyFont="1" applyFill="1" applyBorder="1"/>
    <xf numFmtId="0" fontId="16" fillId="0" borderId="17" xfId="0" applyFont="1" applyBorder="1"/>
    <xf numFmtId="0" fontId="15" fillId="0" borderId="18" xfId="0" applyFont="1" applyBorder="1"/>
    <xf numFmtId="0" fontId="15" fillId="0" borderId="20" xfId="0" applyFont="1" applyBorder="1"/>
    <xf numFmtId="164" fontId="20" fillId="0" borderId="0" xfId="1" applyNumberFormat="1" applyFont="1" applyBorder="1"/>
    <xf numFmtId="0" fontId="16" fillId="23" borderId="17" xfId="0" applyFont="1" applyFill="1" applyBorder="1"/>
    <xf numFmtId="164" fontId="16" fillId="23" borderId="18" xfId="0" applyNumberFormat="1" applyFont="1" applyFill="1" applyBorder="1"/>
    <xf numFmtId="0" fontId="15" fillId="23" borderId="18" xfId="0" applyFont="1" applyFill="1" applyBorder="1"/>
    <xf numFmtId="164" fontId="16" fillId="23" borderId="20" xfId="0" applyNumberFormat="1" applyFont="1" applyFill="1" applyBorder="1"/>
    <xf numFmtId="0" fontId="16" fillId="0" borderId="24" xfId="0" applyFont="1" applyBorder="1"/>
    <xf numFmtId="164" fontId="16" fillId="2" borderId="16" xfId="1" applyNumberFormat="1" applyFont="1" applyFill="1" applyBorder="1"/>
    <xf numFmtId="0" fontId="15" fillId="0" borderId="26" xfId="0" applyFont="1" applyBorder="1"/>
    <xf numFmtId="0" fontId="15" fillId="0" borderId="27" xfId="0" applyFont="1" applyBorder="1"/>
    <xf numFmtId="164" fontId="15" fillId="0" borderId="27" xfId="1" applyNumberFormat="1" applyFont="1" applyBorder="1"/>
    <xf numFmtId="0" fontId="15" fillId="0" borderId="28" xfId="0" applyFont="1" applyBorder="1"/>
    <xf numFmtId="0" fontId="16" fillId="8" borderId="22" xfId="0" applyFont="1" applyFill="1" applyBorder="1"/>
    <xf numFmtId="0" fontId="20" fillId="0" borderId="0" xfId="0" applyFont="1" applyAlignment="1">
      <alignment horizontal="left" indent="1"/>
    </xf>
    <xf numFmtId="3" fontId="16" fillId="5" borderId="1" xfId="0" applyNumberFormat="1" applyFont="1" applyFill="1" applyBorder="1"/>
    <xf numFmtId="164" fontId="16" fillId="0" borderId="20" xfId="1" applyNumberFormat="1" applyFont="1" applyBorder="1"/>
    <xf numFmtId="0" fontId="16" fillId="5" borderId="21" xfId="0" applyFont="1" applyFill="1" applyBorder="1"/>
    <xf numFmtId="0" fontId="16" fillId="5" borderId="22" xfId="0" applyFont="1" applyFill="1" applyBorder="1"/>
    <xf numFmtId="164" fontId="16" fillId="5" borderId="23" xfId="1" applyNumberFormat="1" applyFont="1" applyFill="1" applyBorder="1"/>
    <xf numFmtId="0" fontId="16" fillId="5" borderId="24" xfId="0" applyFont="1" applyFill="1" applyBorder="1"/>
    <xf numFmtId="0" fontId="0" fillId="5" borderId="0" xfId="0" applyFill="1"/>
    <xf numFmtId="164" fontId="16" fillId="5" borderId="25" xfId="1" applyNumberFormat="1" applyFont="1" applyFill="1" applyBorder="1"/>
    <xf numFmtId="0" fontId="16" fillId="5" borderId="26" xfId="0" applyFont="1" applyFill="1" applyBorder="1"/>
    <xf numFmtId="0" fontId="0" fillId="5" borderId="27" xfId="0" applyFill="1" applyBorder="1"/>
    <xf numFmtId="10" fontId="16" fillId="5" borderId="28" xfId="2" applyNumberFormat="1" applyFont="1" applyFill="1" applyBorder="1"/>
    <xf numFmtId="0" fontId="0" fillId="3" borderId="24" xfId="0" applyFill="1" applyBorder="1"/>
    <xf numFmtId="0" fontId="16" fillId="22" borderId="25" xfId="0" applyFont="1" applyFill="1" applyBorder="1" applyAlignment="1">
      <alignment horizontal="right"/>
    </xf>
    <xf numFmtId="3" fontId="20" fillId="0" borderId="16" xfId="0" applyNumberFormat="1" applyFont="1" applyBorder="1"/>
    <xf numFmtId="0" fontId="3" fillId="20" borderId="22" xfId="0" applyFont="1" applyFill="1" applyBorder="1"/>
    <xf numFmtId="3" fontId="3" fillId="20" borderId="22" xfId="0" applyNumberFormat="1" applyFont="1" applyFill="1" applyBorder="1"/>
    <xf numFmtId="3" fontId="3" fillId="20" borderId="23" xfId="0" applyNumberFormat="1" applyFont="1" applyFill="1" applyBorder="1"/>
    <xf numFmtId="0" fontId="3" fillId="20" borderId="26" xfId="0" applyFont="1" applyFill="1" applyBorder="1"/>
    <xf numFmtId="0" fontId="0" fillId="20" borderId="27" xfId="0" applyFill="1" applyBorder="1"/>
    <xf numFmtId="0" fontId="0" fillId="20" borderId="21" xfId="0" applyFill="1" applyBorder="1"/>
    <xf numFmtId="0" fontId="0" fillId="20" borderId="22" xfId="0" applyFill="1" applyBorder="1"/>
    <xf numFmtId="0" fontId="3" fillId="20" borderId="22" xfId="0" applyFont="1" applyFill="1" applyBorder="1" applyAlignment="1">
      <alignment horizontal="center"/>
    </xf>
    <xf numFmtId="0" fontId="3" fillId="20" borderId="23" xfId="0" applyFont="1" applyFill="1" applyBorder="1" applyAlignment="1">
      <alignment horizontal="center"/>
    </xf>
    <xf numFmtId="3" fontId="0" fillId="0" borderId="25" xfId="0" applyNumberFormat="1" applyBorder="1"/>
    <xf numFmtId="3" fontId="3" fillId="0" borderId="0" xfId="0" applyNumberFormat="1" applyFont="1"/>
    <xf numFmtId="3" fontId="3" fillId="0" borderId="25" xfId="0" applyNumberFormat="1" applyFont="1" applyBorder="1"/>
    <xf numFmtId="3" fontId="0" fillId="3" borderId="25" xfId="0" applyNumberFormat="1" applyFill="1" applyBorder="1"/>
    <xf numFmtId="0" fontId="0" fillId="3" borderId="25" xfId="0" applyFill="1" applyBorder="1"/>
    <xf numFmtId="0" fontId="3" fillId="3" borderId="24" xfId="0" applyFont="1" applyFill="1" applyBorder="1"/>
    <xf numFmtId="0" fontId="3" fillId="24" borderId="17" xfId="0" applyFont="1" applyFill="1" applyBorder="1"/>
    <xf numFmtId="0" fontId="3" fillId="24" borderId="18" xfId="0" applyFont="1" applyFill="1" applyBorder="1"/>
    <xf numFmtId="3" fontId="3" fillId="24" borderId="18" xfId="0" applyNumberFormat="1" applyFont="1" applyFill="1" applyBorder="1"/>
    <xf numFmtId="3" fontId="3" fillId="24" borderId="20" xfId="0" applyNumberFormat="1" applyFont="1" applyFill="1" applyBorder="1"/>
    <xf numFmtId="0" fontId="2" fillId="15" borderId="17" xfId="0" applyFont="1" applyFill="1" applyBorder="1"/>
    <xf numFmtId="0" fontId="2" fillId="15" borderId="18" xfId="0" applyFont="1" applyFill="1" applyBorder="1"/>
    <xf numFmtId="3" fontId="2" fillId="15" borderId="18" xfId="0" applyNumberFormat="1" applyFont="1" applyFill="1" applyBorder="1"/>
    <xf numFmtId="3" fontId="2" fillId="15" borderId="20" xfId="0" applyNumberFormat="1" applyFont="1" applyFill="1" applyBorder="1"/>
    <xf numFmtId="3" fontId="3" fillId="2" borderId="18" xfId="0" applyNumberFormat="1" applyFont="1" applyFill="1" applyBorder="1"/>
    <xf numFmtId="3" fontId="3" fillId="2" borderId="20" xfId="0" applyNumberFormat="1" applyFont="1" applyFill="1" applyBorder="1"/>
    <xf numFmtId="3" fontId="0" fillId="0" borderId="22" xfId="0" applyNumberFormat="1" applyBorder="1"/>
    <xf numFmtId="3" fontId="0" fillId="0" borderId="23" xfId="0" applyNumberFormat="1" applyBorder="1"/>
    <xf numFmtId="10" fontId="10" fillId="0" borderId="0" xfId="2" applyNumberFormat="1" applyFont="1"/>
    <xf numFmtId="3" fontId="10" fillId="28" borderId="17" xfId="0" applyNumberFormat="1" applyFont="1" applyFill="1" applyBorder="1"/>
    <xf numFmtId="3" fontId="10" fillId="28" borderId="18" xfId="0" applyNumberFormat="1" applyFont="1" applyFill="1" applyBorder="1"/>
    <xf numFmtId="3" fontId="10" fillId="28" borderId="20" xfId="0" applyNumberFormat="1" applyFont="1" applyFill="1" applyBorder="1"/>
    <xf numFmtId="3" fontId="2" fillId="29" borderId="17" xfId="0" applyNumberFormat="1" applyFont="1" applyFill="1" applyBorder="1"/>
    <xf numFmtId="3" fontId="2" fillId="29" borderId="18" xfId="0" applyNumberFormat="1" applyFont="1" applyFill="1" applyBorder="1"/>
    <xf numFmtId="3" fontId="2" fillId="29" borderId="20" xfId="0" applyNumberFormat="1" applyFont="1" applyFill="1" applyBorder="1"/>
    <xf numFmtId="3" fontId="9" fillId="5" borderId="0" xfId="0" applyNumberFormat="1" applyFont="1" applyFill="1"/>
    <xf numFmtId="0" fontId="5" fillId="24" borderId="14" xfId="0" applyFont="1" applyFill="1" applyBorder="1"/>
    <xf numFmtId="3" fontId="3" fillId="24" borderId="14" xfId="0" applyNumberFormat="1" applyFont="1" applyFill="1" applyBorder="1"/>
    <xf numFmtId="0" fontId="3" fillId="24" borderId="14" xfId="0" applyFont="1" applyFill="1" applyBorder="1"/>
    <xf numFmtId="0" fontId="0" fillId="7" borderId="0" xfId="0" applyFill="1"/>
    <xf numFmtId="3" fontId="3" fillId="7" borderId="0" xfId="0" applyNumberFormat="1" applyFont="1" applyFill="1"/>
    <xf numFmtId="164" fontId="0" fillId="2" borderId="0" xfId="1" applyNumberFormat="1" applyFont="1" applyFill="1"/>
    <xf numFmtId="0" fontId="10" fillId="2" borderId="0" xfId="0" applyFont="1" applyFill="1"/>
    <xf numFmtId="164" fontId="10" fillId="2" borderId="0" xfId="1" applyNumberFormat="1" applyFont="1" applyFill="1"/>
    <xf numFmtId="0" fontId="2" fillId="30" borderId="0" xfId="0" applyFont="1" applyFill="1"/>
    <xf numFmtId="0" fontId="4" fillId="30" borderId="0" xfId="0" applyFont="1" applyFill="1"/>
    <xf numFmtId="3" fontId="0" fillId="2" borderId="14" xfId="0" applyNumberFormat="1" applyFill="1" applyBorder="1"/>
    <xf numFmtId="3" fontId="3" fillId="2" borderId="14" xfId="0" applyNumberFormat="1" applyFont="1" applyFill="1" applyBorder="1"/>
    <xf numFmtId="3" fontId="0" fillId="16" borderId="0" xfId="0" applyNumberFormat="1" applyFill="1"/>
    <xf numFmtId="9" fontId="0" fillId="16" borderId="0" xfId="0" applyNumberFormat="1" applyFill="1"/>
    <xf numFmtId="3" fontId="3" fillId="16" borderId="0" xfId="0" applyNumberFormat="1" applyFont="1" applyFill="1"/>
    <xf numFmtId="0" fontId="3" fillId="5" borderId="21" xfId="0" applyFont="1" applyFill="1" applyBorder="1"/>
    <xf numFmtId="0" fontId="0" fillId="5" borderId="22" xfId="0" applyFill="1" applyBorder="1"/>
    <xf numFmtId="0" fontId="0" fillId="5" borderId="23" xfId="0" applyFill="1" applyBorder="1"/>
    <xf numFmtId="0" fontId="3" fillId="5" borderId="26" xfId="0" applyFont="1" applyFill="1" applyBorder="1"/>
    <xf numFmtId="0" fontId="3" fillId="5" borderId="27" xfId="0" applyFont="1" applyFill="1" applyBorder="1"/>
    <xf numFmtId="3" fontId="3" fillId="5" borderId="28" xfId="0" applyNumberFormat="1" applyFont="1" applyFill="1" applyBorder="1"/>
    <xf numFmtId="9" fontId="0" fillId="0" borderId="0" xfId="0" applyNumberFormat="1"/>
    <xf numFmtId="1" fontId="0" fillId="0" borderId="0" xfId="0" applyNumberForma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743557</xdr:colOff>
      <xdr:row>25</xdr:row>
      <xdr:rowOff>129940</xdr:rowOff>
    </xdr:from>
    <xdr:to>
      <xdr:col>30</xdr:col>
      <xdr:colOff>351371</xdr:colOff>
      <xdr:row>26</xdr:row>
      <xdr:rowOff>184196</xdr:rowOff>
    </xdr:to>
    <xdr:sp macro="" textlink="">
      <xdr:nvSpPr>
        <xdr:cNvPr id="3" name="Flecha: hacia arriba 2">
          <a:extLst>
            <a:ext uri="{FF2B5EF4-FFF2-40B4-BE49-F238E27FC236}">
              <a16:creationId xmlns:a16="http://schemas.microsoft.com/office/drawing/2014/main" id="{5257E15C-A25F-439A-8060-01D5B43A5021}"/>
            </a:ext>
          </a:extLst>
        </xdr:cNvPr>
        <xdr:cNvSpPr/>
      </xdr:nvSpPr>
      <xdr:spPr>
        <a:xfrm rot="16640072">
          <a:off x="21094336" y="4907843"/>
          <a:ext cx="244756" cy="369814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621980</xdr:colOff>
      <xdr:row>9</xdr:row>
      <xdr:rowOff>128940</xdr:rowOff>
    </xdr:from>
    <xdr:to>
      <xdr:col>7</xdr:col>
      <xdr:colOff>592129</xdr:colOff>
      <xdr:row>12</xdr:row>
      <xdr:rowOff>30477</xdr:rowOff>
    </xdr:to>
    <xdr:sp macro="" textlink="">
      <xdr:nvSpPr>
        <xdr:cNvPr id="4" name="Flecha: hacia arriba 3">
          <a:extLst>
            <a:ext uri="{FF2B5EF4-FFF2-40B4-BE49-F238E27FC236}">
              <a16:creationId xmlns:a16="http://schemas.microsoft.com/office/drawing/2014/main" id="{2AF1BFB1-41BA-1EB9-DF4C-C77BA0758A1B}"/>
            </a:ext>
          </a:extLst>
        </xdr:cNvPr>
        <xdr:cNvSpPr/>
      </xdr:nvSpPr>
      <xdr:spPr>
        <a:xfrm rot="16648363">
          <a:off x="4778012" y="1480089"/>
          <a:ext cx="499015" cy="129499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562843</xdr:colOff>
      <xdr:row>8</xdr:row>
      <xdr:rowOff>60616</xdr:rowOff>
    </xdr:from>
    <xdr:to>
      <xdr:col>15</xdr:col>
      <xdr:colOff>268433</xdr:colOff>
      <xdr:row>11</xdr:row>
      <xdr:rowOff>86594</xdr:rowOff>
    </xdr:to>
    <xdr:sp macro="" textlink="">
      <xdr:nvSpPr>
        <xdr:cNvPr id="3" name="Flecha: hacia arriba 2">
          <a:extLst>
            <a:ext uri="{FF2B5EF4-FFF2-40B4-BE49-F238E27FC236}">
              <a16:creationId xmlns:a16="http://schemas.microsoft.com/office/drawing/2014/main" id="{66529BA8-A2E2-9F0F-409F-C626AF5E7F4D}"/>
            </a:ext>
          </a:extLst>
        </xdr:cNvPr>
        <xdr:cNvSpPr/>
      </xdr:nvSpPr>
      <xdr:spPr>
        <a:xfrm rot="17727026">
          <a:off x="8369013" y="1666878"/>
          <a:ext cx="597478" cy="484908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2</xdr:col>
      <xdr:colOff>216478</xdr:colOff>
      <xdr:row>22</xdr:row>
      <xdr:rowOff>77932</xdr:rowOff>
    </xdr:from>
    <xdr:to>
      <xdr:col>2</xdr:col>
      <xdr:colOff>458932</xdr:colOff>
      <xdr:row>38</xdr:row>
      <xdr:rowOff>43295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29CDE210-D2DC-E73F-AA1A-9C13FDE56FDA}"/>
            </a:ext>
          </a:extLst>
        </xdr:cNvPr>
        <xdr:cNvSpPr/>
      </xdr:nvSpPr>
      <xdr:spPr>
        <a:xfrm>
          <a:off x="1004455" y="4277591"/>
          <a:ext cx="242454" cy="3099954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11</xdr:col>
      <xdr:colOff>316923</xdr:colOff>
      <xdr:row>22</xdr:row>
      <xdr:rowOff>74468</xdr:rowOff>
    </xdr:from>
    <xdr:to>
      <xdr:col>11</xdr:col>
      <xdr:colOff>559377</xdr:colOff>
      <xdr:row>38</xdr:row>
      <xdr:rowOff>39831</xdr:rowOff>
    </xdr:to>
    <xdr:sp macro="" textlink="">
      <xdr:nvSpPr>
        <xdr:cNvPr id="5" name="Flecha: hacia abajo 4">
          <a:extLst>
            <a:ext uri="{FF2B5EF4-FFF2-40B4-BE49-F238E27FC236}">
              <a16:creationId xmlns:a16="http://schemas.microsoft.com/office/drawing/2014/main" id="{E376A5F3-C616-4734-921C-80585EBF2544}"/>
            </a:ext>
          </a:extLst>
        </xdr:cNvPr>
        <xdr:cNvSpPr/>
      </xdr:nvSpPr>
      <xdr:spPr>
        <a:xfrm>
          <a:off x="6014605" y="4274127"/>
          <a:ext cx="242454" cy="3099954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7</xdr:col>
      <xdr:colOff>147205</xdr:colOff>
      <xdr:row>40</xdr:row>
      <xdr:rowOff>181843</xdr:rowOff>
    </xdr:from>
    <xdr:to>
      <xdr:col>7</xdr:col>
      <xdr:colOff>597478</xdr:colOff>
      <xdr:row>43</xdr:row>
      <xdr:rowOff>112569</xdr:rowOff>
    </xdr:to>
    <xdr:sp macro="" textlink="">
      <xdr:nvSpPr>
        <xdr:cNvPr id="6" name="Flecha: hacia arriba 5">
          <a:extLst>
            <a:ext uri="{FF2B5EF4-FFF2-40B4-BE49-F238E27FC236}">
              <a16:creationId xmlns:a16="http://schemas.microsoft.com/office/drawing/2014/main" id="{2B94A1F4-AF08-AB20-77C2-26EE4DDF080B}"/>
            </a:ext>
          </a:extLst>
        </xdr:cNvPr>
        <xdr:cNvSpPr/>
      </xdr:nvSpPr>
      <xdr:spPr>
        <a:xfrm>
          <a:off x="3593523" y="7914411"/>
          <a:ext cx="450273" cy="502226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216478</xdr:colOff>
      <xdr:row>22</xdr:row>
      <xdr:rowOff>77932</xdr:rowOff>
    </xdr:from>
    <xdr:to>
      <xdr:col>2</xdr:col>
      <xdr:colOff>458932</xdr:colOff>
      <xdr:row>38</xdr:row>
      <xdr:rowOff>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E61DFF1C-D0DA-4D22-A2EF-DAD1DA1995BF}"/>
            </a:ext>
          </a:extLst>
        </xdr:cNvPr>
        <xdr:cNvSpPr/>
      </xdr:nvSpPr>
      <xdr:spPr>
        <a:xfrm>
          <a:off x="1004455" y="4277591"/>
          <a:ext cx="242454" cy="3056659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11</xdr:col>
      <xdr:colOff>316923</xdr:colOff>
      <xdr:row>22</xdr:row>
      <xdr:rowOff>74468</xdr:rowOff>
    </xdr:from>
    <xdr:to>
      <xdr:col>11</xdr:col>
      <xdr:colOff>559377</xdr:colOff>
      <xdr:row>37</xdr:row>
      <xdr:rowOff>164523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40CF5198-3CA1-44C7-AD05-F6A7C036C38F}"/>
            </a:ext>
          </a:extLst>
        </xdr:cNvPr>
        <xdr:cNvSpPr/>
      </xdr:nvSpPr>
      <xdr:spPr>
        <a:xfrm>
          <a:off x="6014605" y="4274127"/>
          <a:ext cx="242454" cy="3034146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13</xdr:col>
      <xdr:colOff>233792</xdr:colOff>
      <xdr:row>19</xdr:row>
      <xdr:rowOff>77930</xdr:rowOff>
    </xdr:from>
    <xdr:to>
      <xdr:col>13</xdr:col>
      <xdr:colOff>684065</xdr:colOff>
      <xdr:row>21</xdr:row>
      <xdr:rowOff>181838</xdr:rowOff>
    </xdr:to>
    <xdr:sp macro="" textlink="">
      <xdr:nvSpPr>
        <xdr:cNvPr id="5" name="Flecha: hacia arriba 4">
          <a:extLst>
            <a:ext uri="{FF2B5EF4-FFF2-40B4-BE49-F238E27FC236}">
              <a16:creationId xmlns:a16="http://schemas.microsoft.com/office/drawing/2014/main" id="{7F8E7EAD-11B2-406F-BAAB-E5BD7EE6428F}"/>
            </a:ext>
          </a:extLst>
        </xdr:cNvPr>
        <xdr:cNvSpPr/>
      </xdr:nvSpPr>
      <xdr:spPr>
        <a:xfrm>
          <a:off x="7394860" y="3680112"/>
          <a:ext cx="450273" cy="502226"/>
        </a:xfrm>
        <a:prstGeom prst="up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216477</xdr:colOff>
      <xdr:row>21</xdr:row>
      <xdr:rowOff>77932</xdr:rowOff>
    </xdr:from>
    <xdr:to>
      <xdr:col>4</xdr:col>
      <xdr:colOff>497416</xdr:colOff>
      <xdr:row>33</xdr:row>
      <xdr:rowOff>201083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CE4707C3-A6C4-4514-86BF-06237C85B2FC}"/>
            </a:ext>
          </a:extLst>
        </xdr:cNvPr>
        <xdr:cNvSpPr/>
      </xdr:nvSpPr>
      <xdr:spPr>
        <a:xfrm>
          <a:off x="2195560" y="4427682"/>
          <a:ext cx="280939" cy="250440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13</xdr:col>
      <xdr:colOff>316922</xdr:colOff>
      <xdr:row>21</xdr:row>
      <xdr:rowOff>74468</xdr:rowOff>
    </xdr:from>
    <xdr:to>
      <xdr:col>13</xdr:col>
      <xdr:colOff>571499</xdr:colOff>
      <xdr:row>34</xdr:row>
      <xdr:rowOff>0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623052B4-B5AE-43E3-94FF-D35912FC3160}"/>
            </a:ext>
          </a:extLst>
        </xdr:cNvPr>
        <xdr:cNvSpPr/>
      </xdr:nvSpPr>
      <xdr:spPr>
        <a:xfrm>
          <a:off x="7354839" y="4424218"/>
          <a:ext cx="254577" cy="2550199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14</xdr:col>
      <xdr:colOff>158416</xdr:colOff>
      <xdr:row>14</xdr:row>
      <xdr:rowOff>97467</xdr:rowOff>
    </xdr:from>
    <xdr:to>
      <xdr:col>14</xdr:col>
      <xdr:colOff>653157</xdr:colOff>
      <xdr:row>16</xdr:row>
      <xdr:rowOff>155996</xdr:rowOff>
    </xdr:to>
    <xdr:sp macro="" textlink="">
      <xdr:nvSpPr>
        <xdr:cNvPr id="6" name="Flecha: hacia arriba 5">
          <a:extLst>
            <a:ext uri="{FF2B5EF4-FFF2-40B4-BE49-F238E27FC236}">
              <a16:creationId xmlns:a16="http://schemas.microsoft.com/office/drawing/2014/main" id="{BA25297A-443D-4AB2-BAAF-ED4F8B6F5862}"/>
            </a:ext>
          </a:extLst>
        </xdr:cNvPr>
        <xdr:cNvSpPr/>
      </xdr:nvSpPr>
      <xdr:spPr>
        <a:xfrm rot="16200000">
          <a:off x="8077833" y="2911098"/>
          <a:ext cx="476700" cy="494741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246530</xdr:colOff>
      <xdr:row>30</xdr:row>
      <xdr:rowOff>145676</xdr:rowOff>
    </xdr:from>
    <xdr:to>
      <xdr:col>8</xdr:col>
      <xdr:colOff>672353</xdr:colOff>
      <xdr:row>33</xdr:row>
      <xdr:rowOff>134471</xdr:rowOff>
    </xdr:to>
    <xdr:sp macro="" textlink="">
      <xdr:nvSpPr>
        <xdr:cNvPr id="3" name="Flecha: hacia arriba 2">
          <a:extLst>
            <a:ext uri="{FF2B5EF4-FFF2-40B4-BE49-F238E27FC236}">
              <a16:creationId xmlns:a16="http://schemas.microsoft.com/office/drawing/2014/main" id="{39C4A021-7E16-532D-91AB-BF8D847718EC}"/>
            </a:ext>
          </a:extLst>
        </xdr:cNvPr>
        <xdr:cNvSpPr/>
      </xdr:nvSpPr>
      <xdr:spPr>
        <a:xfrm>
          <a:off x="6342530" y="5995147"/>
          <a:ext cx="425823" cy="560295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273325</xdr:colOff>
      <xdr:row>12</xdr:row>
      <xdr:rowOff>190499</xdr:rowOff>
    </xdr:from>
    <xdr:to>
      <xdr:col>7</xdr:col>
      <xdr:colOff>8282</xdr:colOff>
      <xdr:row>16</xdr:row>
      <xdr:rowOff>132521</xdr:rowOff>
    </xdr:to>
    <xdr:sp macro="" textlink="">
      <xdr:nvSpPr>
        <xdr:cNvPr id="4" name="Flecha: hacia arriba 3">
          <a:extLst>
            <a:ext uri="{FF2B5EF4-FFF2-40B4-BE49-F238E27FC236}">
              <a16:creationId xmlns:a16="http://schemas.microsoft.com/office/drawing/2014/main" id="{CCFF3A8E-50F2-B4E0-B1B8-82596852D869}"/>
            </a:ext>
          </a:extLst>
        </xdr:cNvPr>
        <xdr:cNvSpPr/>
      </xdr:nvSpPr>
      <xdr:spPr>
        <a:xfrm>
          <a:off x="4878455" y="2493064"/>
          <a:ext cx="496957" cy="70402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623455</xdr:colOff>
      <xdr:row>28</xdr:row>
      <xdr:rowOff>103900</xdr:rowOff>
    </xdr:from>
    <xdr:to>
      <xdr:col>11</xdr:col>
      <xdr:colOff>510887</xdr:colOff>
      <xdr:row>30</xdr:row>
      <xdr:rowOff>190491</xdr:rowOff>
    </xdr:to>
    <xdr:sp macro="" textlink="">
      <xdr:nvSpPr>
        <xdr:cNvPr id="4" name="Flecha: hacia arriba 3">
          <a:extLst>
            <a:ext uri="{FF2B5EF4-FFF2-40B4-BE49-F238E27FC236}">
              <a16:creationId xmlns:a16="http://schemas.microsoft.com/office/drawing/2014/main" id="{8AE4C466-0765-4DA3-9D16-2E2EDD645E91}"/>
            </a:ext>
          </a:extLst>
        </xdr:cNvPr>
        <xdr:cNvSpPr/>
      </xdr:nvSpPr>
      <xdr:spPr>
        <a:xfrm rot="13948317">
          <a:off x="7602682" y="5273378"/>
          <a:ext cx="467591" cy="796636"/>
        </a:xfrm>
        <a:prstGeom prst="up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9524</xdr:rowOff>
    </xdr:from>
    <xdr:to>
      <xdr:col>5</xdr:col>
      <xdr:colOff>733425</xdr:colOff>
      <xdr:row>34</xdr:row>
      <xdr:rowOff>134991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BA690E-05D9-F111-1C23-6BB72D662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" y="200024"/>
          <a:ext cx="3657600" cy="6621517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18</xdr:row>
      <xdr:rowOff>66675</xdr:rowOff>
    </xdr:from>
    <xdr:to>
      <xdr:col>5</xdr:col>
      <xdr:colOff>619125</xdr:colOff>
      <xdr:row>20</xdr:row>
      <xdr:rowOff>114300</xdr:rowOff>
    </xdr:to>
    <xdr:sp macro="" textlink="">
      <xdr:nvSpPr>
        <xdr:cNvPr id="3" name="Flecha: hacia la izquierda 2">
          <a:extLst>
            <a:ext uri="{FF2B5EF4-FFF2-40B4-BE49-F238E27FC236}">
              <a16:creationId xmlns:a16="http://schemas.microsoft.com/office/drawing/2014/main" id="{0AB2C6A4-7FF1-D3BF-9CCE-A92E35C4F9F0}"/>
            </a:ext>
          </a:extLst>
        </xdr:cNvPr>
        <xdr:cNvSpPr/>
      </xdr:nvSpPr>
      <xdr:spPr>
        <a:xfrm>
          <a:off x="3495675" y="3705225"/>
          <a:ext cx="933450" cy="428625"/>
        </a:xfrm>
        <a:prstGeom prst="left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</xdr:col>
      <xdr:colOff>142875</xdr:colOff>
      <xdr:row>18</xdr:row>
      <xdr:rowOff>47625</xdr:rowOff>
    </xdr:from>
    <xdr:to>
      <xdr:col>2</xdr:col>
      <xdr:colOff>314325</xdr:colOff>
      <xdr:row>20</xdr:row>
      <xdr:rowOff>95250</xdr:rowOff>
    </xdr:to>
    <xdr:sp macro="" textlink="">
      <xdr:nvSpPr>
        <xdr:cNvPr id="4" name="Flecha: hacia la izquierda 3">
          <a:extLst>
            <a:ext uri="{FF2B5EF4-FFF2-40B4-BE49-F238E27FC236}">
              <a16:creationId xmlns:a16="http://schemas.microsoft.com/office/drawing/2014/main" id="{68C3123F-AB97-49E4-987A-3DBCB2F93238}"/>
            </a:ext>
          </a:extLst>
        </xdr:cNvPr>
        <xdr:cNvSpPr/>
      </xdr:nvSpPr>
      <xdr:spPr>
        <a:xfrm rot="10800000">
          <a:off x="904875" y="3686175"/>
          <a:ext cx="933450" cy="428625"/>
        </a:xfrm>
        <a:prstGeom prst="left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689721</xdr:colOff>
      <xdr:row>35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AEDE35-F67D-8329-7C08-4922046FF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85496" cy="6810375"/>
        </a:xfrm>
        <a:prstGeom prst="rect">
          <a:avLst/>
        </a:prstGeom>
      </xdr:spPr>
    </xdr:pic>
    <xdr:clientData/>
  </xdr:twoCellAnchor>
  <xdr:twoCellAnchor>
    <xdr:from>
      <xdr:col>0</xdr:col>
      <xdr:colOff>742950</xdr:colOff>
      <xdr:row>37</xdr:row>
      <xdr:rowOff>19051</xdr:rowOff>
    </xdr:from>
    <xdr:to>
      <xdr:col>7</xdr:col>
      <xdr:colOff>0</xdr:colOff>
      <xdr:row>40</xdr:row>
      <xdr:rowOff>0</xdr:rowOff>
    </xdr:to>
    <xdr:sp macro="" textlink="">
      <xdr:nvSpPr>
        <xdr:cNvPr id="3" name="CuadroTexto 3">
          <a:extLst>
            <a:ext uri="{FF2B5EF4-FFF2-40B4-BE49-F238E27FC236}">
              <a16:creationId xmlns:a16="http://schemas.microsoft.com/office/drawing/2014/main" id="{C0DFECBF-7E17-20A4-2A30-5ED10DD5470E}"/>
            </a:ext>
          </a:extLst>
        </xdr:cNvPr>
        <xdr:cNvSpPr txBox="1"/>
      </xdr:nvSpPr>
      <xdr:spPr>
        <a:xfrm>
          <a:off x="742950" y="7067551"/>
          <a:ext cx="5029200" cy="655949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just"/>
          <a:r>
            <a:rPr lang="es-PE" sz="1200"/>
            <a:t>En este Diplomado que comenzamos el </a:t>
          </a:r>
          <a:r>
            <a:rPr lang="es-PE" sz="1200" b="1">
              <a:solidFill>
                <a:srgbClr val="00B0F0"/>
              </a:solidFill>
            </a:rPr>
            <a:t>06 de Marzo 2025</a:t>
          </a:r>
          <a:r>
            <a:rPr lang="es-PE" sz="1200"/>
            <a:t>, incluiremos las nuevas normas lanzadas del IASB. El contenido del DIPLOMADO más práctico del mundo es el siguiente: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6</xdr:col>
      <xdr:colOff>704850</xdr:colOff>
      <xdr:row>93</xdr:row>
      <xdr:rowOff>87077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B196255-2082-48D2-865B-0951DED0E091}"/>
            </a:ext>
          </a:extLst>
        </xdr:cNvPr>
        <xdr:cNvSpPr txBox="1"/>
      </xdr:nvSpPr>
      <xdr:spPr>
        <a:xfrm>
          <a:off x="762000" y="17335500"/>
          <a:ext cx="5000625" cy="468077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 eaLnBrk="1" latinLnBrk="0" hangingPunct="1"/>
          <a:r>
            <a:rPr lang="es-PE" sz="12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Más por TU Inversión.</a:t>
          </a:r>
          <a:endParaRPr lang="es-PE" sz="1000">
            <a:effectLst/>
          </a:endParaRPr>
        </a:p>
        <a:p>
          <a:pPr rtl="0" eaLnBrk="1" latinLnBrk="0" hangingPunct="1"/>
          <a:r>
            <a:rPr lang="es-PE" sz="12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POR TU INSCRIPCION EN EL DIPLOMADO, tenemos regalos para ti.</a:t>
          </a:r>
          <a:endParaRPr lang="es-PE" sz="1000">
            <a:effectLst/>
          </a:endParaRPr>
        </a:p>
      </xdr:txBody>
    </xdr:sp>
    <xdr:clientData/>
  </xdr:twoCellAnchor>
  <xdr:twoCellAnchor editAs="oneCell">
    <xdr:from>
      <xdr:col>1</xdr:col>
      <xdr:colOff>85725</xdr:colOff>
      <xdr:row>93</xdr:row>
      <xdr:rowOff>85725</xdr:rowOff>
    </xdr:from>
    <xdr:to>
      <xdr:col>2</xdr:col>
      <xdr:colOff>266700</xdr:colOff>
      <xdr:row>94</xdr:row>
      <xdr:rowOff>159258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ECD79F1-235E-777C-3660-95B6AFD1D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7725" y="17802225"/>
          <a:ext cx="942975" cy="264033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95</xdr:row>
      <xdr:rowOff>133350</xdr:rowOff>
    </xdr:from>
    <xdr:to>
      <xdr:col>6</xdr:col>
      <xdr:colOff>152978</xdr:colOff>
      <xdr:row>113</xdr:row>
      <xdr:rowOff>57618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7C6C7F5-2DC1-711A-B6FB-DC36288DD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6800" y="18230850"/>
          <a:ext cx="4143953" cy="3353268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457201</xdr:colOff>
      <xdr:row>114</xdr:row>
      <xdr:rowOff>38100</xdr:rowOff>
    </xdr:from>
    <xdr:to>
      <xdr:col>5</xdr:col>
      <xdr:colOff>680800</xdr:colOff>
      <xdr:row>143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4A28041-D7B0-C5AC-355E-1784045B0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1" y="21755100"/>
          <a:ext cx="3757374" cy="55245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266701</xdr:colOff>
      <xdr:row>144</xdr:row>
      <xdr:rowOff>28576</xdr:rowOff>
    </xdr:from>
    <xdr:to>
      <xdr:col>6</xdr:col>
      <xdr:colOff>466726</xdr:colOff>
      <xdr:row>177</xdr:row>
      <xdr:rowOff>43566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933FEC3-940A-C26F-3B44-D6DAD7FF0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8701" y="27460576"/>
          <a:ext cx="4495800" cy="63014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178</xdr:row>
      <xdr:rowOff>76200</xdr:rowOff>
    </xdr:from>
    <xdr:to>
      <xdr:col>6</xdr:col>
      <xdr:colOff>419731</xdr:colOff>
      <xdr:row>210</xdr:row>
      <xdr:rowOff>57998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1E66C34-F3FD-F6A4-5EDB-D51A6BE07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00" y="33985200"/>
          <a:ext cx="4525006" cy="6077798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</xdr:colOff>
      <xdr:row>211</xdr:row>
      <xdr:rowOff>28575</xdr:rowOff>
    </xdr:from>
    <xdr:to>
      <xdr:col>6</xdr:col>
      <xdr:colOff>533399</xdr:colOff>
      <xdr:row>246</xdr:row>
      <xdr:rowOff>35743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76E0951-F308-6F5A-8110-7C331D33B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1049" y="40224075"/>
          <a:ext cx="4810125" cy="6674668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247</xdr:row>
      <xdr:rowOff>47625</xdr:rowOff>
    </xdr:from>
    <xdr:to>
      <xdr:col>6</xdr:col>
      <xdr:colOff>572165</xdr:colOff>
      <xdr:row>269</xdr:row>
      <xdr:rowOff>172052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0B4184F-3C58-FA1B-4473-DB60A3CC0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66775" y="47101125"/>
          <a:ext cx="4763165" cy="4315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229FF-DBBA-4C86-9913-06D323199F34}">
  <dimension ref="A1:X38"/>
  <sheetViews>
    <sheetView workbookViewId="0">
      <selection activeCell="A5" sqref="A5"/>
    </sheetView>
  </sheetViews>
  <sheetFormatPr baseColWidth="10" defaultRowHeight="15" x14ac:dyDescent="0.25"/>
  <cols>
    <col min="1" max="1" width="62" bestFit="1" customWidth="1"/>
  </cols>
  <sheetData>
    <row r="1" spans="1:24" ht="92.25" x14ac:dyDescent="1.35">
      <c r="A1" s="87" t="s">
        <v>146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27"/>
      <c r="U1" s="27"/>
      <c r="V1" s="27"/>
      <c r="W1" s="27"/>
      <c r="X1" s="27"/>
    </row>
    <row r="2" spans="1:24" ht="92.25" x14ac:dyDescent="1.35">
      <c r="A2" s="86" t="s">
        <v>257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ht="92.25" x14ac:dyDescent="1.35">
      <c r="A3" s="86" t="s">
        <v>258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</row>
    <row r="4" spans="1:24" ht="92.25" x14ac:dyDescent="1.35">
      <c r="A4" s="86" t="s">
        <v>147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1:24" ht="92.25" x14ac:dyDescent="1.35">
      <c r="A5" s="8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4" ht="92.25" x14ac:dyDescent="1.35">
      <c r="A6" s="88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4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4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pans="1:24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spans="1:24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pans="1:24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4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4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pans="1:24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4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4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1:24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1:24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24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24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spans="1:24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</row>
    <row r="31" spans="1:24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spans="1:24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spans="1:24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spans="1:24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spans="1:24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A869-B557-4057-88F9-D3C3006AC90F}">
  <dimension ref="B1:G212"/>
  <sheetViews>
    <sheetView tabSelected="1" workbookViewId="0">
      <selection activeCell="H15" sqref="H15"/>
    </sheetView>
  </sheetViews>
  <sheetFormatPr baseColWidth="10" defaultRowHeight="15" x14ac:dyDescent="0.25"/>
  <cols>
    <col min="2" max="3" width="11.42578125" style="78"/>
    <col min="4" max="4" width="14.85546875" style="78" customWidth="1"/>
    <col min="5" max="5" width="15.28515625" style="78" customWidth="1"/>
    <col min="6" max="6" width="11.42578125" style="78"/>
    <col min="7" max="7" width="10.7109375" style="78" customWidth="1"/>
  </cols>
  <sheetData>
    <row r="1" customFormat="1" x14ac:dyDescent="0.25"/>
    <row r="2" customFormat="1" x14ac:dyDescent="0.25"/>
    <row r="3" customFormat="1" x14ac:dyDescent="0.25"/>
    <row r="4" customFormat="1" x14ac:dyDescent="0.25"/>
    <row r="5" customFormat="1" x14ac:dyDescent="0.25"/>
    <row r="6" customFormat="1" x14ac:dyDescent="0.25"/>
    <row r="7" customFormat="1" x14ac:dyDescent="0.25"/>
    <row r="8" customFormat="1" x14ac:dyDescent="0.25"/>
    <row r="9" customFormat="1" x14ac:dyDescent="0.25"/>
    <row r="10" customFormat="1" x14ac:dyDescent="0.25"/>
    <row r="11" customFormat="1" x14ac:dyDescent="0.25"/>
    <row r="12" customFormat="1" x14ac:dyDescent="0.25"/>
    <row r="13" customFormat="1" x14ac:dyDescent="0.25"/>
    <row r="14" customFormat="1" x14ac:dyDescent="0.25"/>
    <row r="15" customFormat="1" x14ac:dyDescent="0.25"/>
    <row r="16" customFormat="1" x14ac:dyDescent="0.25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spans="2:7" x14ac:dyDescent="0.25">
      <c r="B33"/>
      <c r="C33"/>
      <c r="D33"/>
      <c r="E33"/>
      <c r="F33"/>
      <c r="G33"/>
    </row>
    <row r="34" spans="2:7" x14ac:dyDescent="0.25">
      <c r="B34"/>
      <c r="C34"/>
      <c r="D34"/>
      <c r="E34"/>
      <c r="F34"/>
      <c r="G34"/>
    </row>
    <row r="35" spans="2:7" x14ac:dyDescent="0.25">
      <c r="B35"/>
      <c r="C35"/>
      <c r="D35"/>
      <c r="E35"/>
      <c r="F35"/>
      <c r="G35"/>
    </row>
    <row r="36" spans="2:7" x14ac:dyDescent="0.25">
      <c r="B36"/>
      <c r="C36"/>
      <c r="D36"/>
      <c r="E36"/>
      <c r="F36"/>
      <c r="G36"/>
    </row>
    <row r="42" spans="2:7" x14ac:dyDescent="0.25">
      <c r="B42" s="79" t="s">
        <v>61</v>
      </c>
      <c r="C42" s="80"/>
      <c r="D42" s="81"/>
      <c r="E42" s="81"/>
      <c r="F42" s="81"/>
      <c r="G42" s="82"/>
    </row>
    <row r="43" spans="2:7" x14ac:dyDescent="0.25">
      <c r="B43" s="57">
        <v>1</v>
      </c>
      <c r="C43" s="58" t="s">
        <v>62</v>
      </c>
      <c r="D43" s="59" t="s">
        <v>63</v>
      </c>
      <c r="E43" s="69"/>
      <c r="F43" s="75"/>
      <c r="G43" s="72"/>
    </row>
    <row r="44" spans="2:7" x14ac:dyDescent="0.25">
      <c r="B44" s="57">
        <v>2</v>
      </c>
      <c r="C44" s="58" t="s">
        <v>64</v>
      </c>
      <c r="D44" s="59" t="s">
        <v>65</v>
      </c>
      <c r="E44" s="69"/>
      <c r="F44" s="75"/>
      <c r="G44" s="72"/>
    </row>
    <row r="45" spans="2:7" x14ac:dyDescent="0.25">
      <c r="B45" s="60">
        <v>3</v>
      </c>
      <c r="C45" s="58" t="s">
        <v>66</v>
      </c>
      <c r="D45" s="59" t="s">
        <v>67</v>
      </c>
      <c r="E45" s="69"/>
      <c r="F45" s="75"/>
      <c r="G45" s="72"/>
    </row>
    <row r="46" spans="2:7" x14ac:dyDescent="0.25">
      <c r="B46" s="61"/>
      <c r="C46" s="58" t="s">
        <v>68</v>
      </c>
      <c r="D46" s="59" t="s">
        <v>69</v>
      </c>
      <c r="E46" s="69"/>
      <c r="F46" s="75"/>
      <c r="G46" s="72"/>
    </row>
    <row r="47" spans="2:7" x14ac:dyDescent="0.25">
      <c r="B47" s="83" t="s">
        <v>70</v>
      </c>
      <c r="C47" s="29"/>
      <c r="D47" s="28"/>
      <c r="E47" s="28"/>
      <c r="F47" s="28"/>
      <c r="G47" s="84"/>
    </row>
    <row r="48" spans="2:7" x14ac:dyDescent="0.25">
      <c r="B48" s="60">
        <v>4</v>
      </c>
      <c r="C48" s="58" t="s">
        <v>71</v>
      </c>
      <c r="D48" s="59" t="s">
        <v>72</v>
      </c>
      <c r="E48" s="69"/>
      <c r="F48" s="75"/>
      <c r="G48" s="72"/>
    </row>
    <row r="49" spans="2:7" x14ac:dyDescent="0.25">
      <c r="B49" s="62"/>
      <c r="C49" s="58" t="s">
        <v>73</v>
      </c>
      <c r="D49" s="59" t="s">
        <v>74</v>
      </c>
      <c r="E49" s="69"/>
      <c r="F49" s="75"/>
      <c r="G49" s="72"/>
    </row>
    <row r="50" spans="2:7" x14ac:dyDescent="0.25">
      <c r="B50" s="62"/>
      <c r="C50" s="58" t="s">
        <v>75</v>
      </c>
      <c r="D50" s="59" t="s">
        <v>76</v>
      </c>
      <c r="E50" s="69"/>
      <c r="F50" s="75"/>
      <c r="G50" s="72"/>
    </row>
    <row r="51" spans="2:7" x14ac:dyDescent="0.25">
      <c r="B51" s="61"/>
      <c r="C51" s="58" t="s">
        <v>77</v>
      </c>
      <c r="D51" s="59" t="s">
        <v>78</v>
      </c>
      <c r="E51" s="69"/>
      <c r="F51" s="75"/>
      <c r="G51" s="72"/>
    </row>
    <row r="52" spans="2:7" x14ac:dyDescent="0.25">
      <c r="B52" s="57">
        <v>5</v>
      </c>
      <c r="C52" s="58" t="s">
        <v>79</v>
      </c>
      <c r="D52" s="59" t="s">
        <v>80</v>
      </c>
      <c r="E52" s="69"/>
      <c r="F52" s="75"/>
      <c r="G52" s="72"/>
    </row>
    <row r="53" spans="2:7" x14ac:dyDescent="0.25">
      <c r="B53" s="57">
        <v>6</v>
      </c>
      <c r="C53" s="58" t="s">
        <v>81</v>
      </c>
      <c r="D53" s="59" t="s">
        <v>82</v>
      </c>
      <c r="E53" s="69"/>
      <c r="F53" s="75"/>
      <c r="G53" s="72"/>
    </row>
    <row r="54" spans="2:7" x14ac:dyDescent="0.25">
      <c r="B54" s="60">
        <v>7</v>
      </c>
      <c r="C54" s="58" t="s">
        <v>83</v>
      </c>
      <c r="D54" s="59" t="s">
        <v>84</v>
      </c>
      <c r="E54" s="69"/>
      <c r="F54" s="75"/>
      <c r="G54" s="72"/>
    </row>
    <row r="55" spans="2:7" x14ac:dyDescent="0.25">
      <c r="B55" s="61"/>
      <c r="C55" s="58" t="s">
        <v>85</v>
      </c>
      <c r="D55" s="59" t="s">
        <v>86</v>
      </c>
      <c r="E55" s="69"/>
      <c r="F55" s="75"/>
      <c r="G55" s="72"/>
    </row>
    <row r="56" spans="2:7" x14ac:dyDescent="0.25">
      <c r="B56" s="83" t="s">
        <v>87</v>
      </c>
      <c r="C56" s="29"/>
      <c r="D56" s="28"/>
      <c r="E56" s="28"/>
      <c r="F56" s="28"/>
      <c r="G56" s="84"/>
    </row>
    <row r="57" spans="2:7" x14ac:dyDescent="0.25">
      <c r="B57" s="60">
        <v>8</v>
      </c>
      <c r="C57" s="58" t="s">
        <v>88</v>
      </c>
      <c r="D57" s="59" t="s">
        <v>89</v>
      </c>
      <c r="E57" s="69"/>
      <c r="F57" s="75"/>
      <c r="G57" s="72"/>
    </row>
    <row r="58" spans="2:7" x14ac:dyDescent="0.25">
      <c r="B58" s="61"/>
      <c r="C58" s="58" t="s">
        <v>90</v>
      </c>
      <c r="D58" s="59" t="s">
        <v>91</v>
      </c>
      <c r="E58" s="69"/>
      <c r="F58" s="75"/>
      <c r="G58" s="72"/>
    </row>
    <row r="59" spans="2:7" x14ac:dyDescent="0.25">
      <c r="B59" s="57">
        <v>9</v>
      </c>
      <c r="C59" s="58" t="s">
        <v>92</v>
      </c>
      <c r="D59" s="59" t="s">
        <v>93</v>
      </c>
      <c r="E59" s="69"/>
      <c r="F59" s="75"/>
      <c r="G59" s="72"/>
    </row>
    <row r="60" spans="2:7" x14ac:dyDescent="0.25">
      <c r="B60" s="57">
        <v>10</v>
      </c>
      <c r="C60" s="58" t="s">
        <v>94</v>
      </c>
      <c r="D60" s="59" t="s">
        <v>95</v>
      </c>
      <c r="E60" s="69"/>
      <c r="F60" s="75"/>
      <c r="G60" s="72"/>
    </row>
    <row r="61" spans="2:7" x14ac:dyDescent="0.25">
      <c r="B61" s="57">
        <v>11</v>
      </c>
      <c r="C61" s="58" t="s">
        <v>96</v>
      </c>
      <c r="D61" s="69" t="s">
        <v>97</v>
      </c>
      <c r="E61" s="75"/>
      <c r="F61" s="75"/>
      <c r="G61" s="72"/>
    </row>
    <row r="62" spans="2:7" x14ac:dyDescent="0.25">
      <c r="B62" s="60">
        <v>12</v>
      </c>
      <c r="C62" s="58" t="s">
        <v>98</v>
      </c>
      <c r="D62" s="59" t="s">
        <v>99</v>
      </c>
      <c r="E62" s="69"/>
      <c r="F62" s="75"/>
      <c r="G62" s="72"/>
    </row>
    <row r="63" spans="2:7" x14ac:dyDescent="0.25">
      <c r="B63" s="61"/>
      <c r="C63" s="58" t="s">
        <v>100</v>
      </c>
      <c r="D63" s="59" t="s">
        <v>101</v>
      </c>
      <c r="E63" s="69"/>
      <c r="F63" s="75"/>
      <c r="G63" s="72"/>
    </row>
    <row r="64" spans="2:7" x14ac:dyDescent="0.25">
      <c r="B64" s="83" t="s">
        <v>102</v>
      </c>
      <c r="C64" s="29"/>
      <c r="D64" s="28"/>
      <c r="E64" s="28"/>
      <c r="F64" s="28"/>
      <c r="G64" s="84"/>
    </row>
    <row r="65" spans="2:7" x14ac:dyDescent="0.25">
      <c r="B65" s="60">
        <v>13</v>
      </c>
      <c r="C65" s="58" t="s">
        <v>103</v>
      </c>
      <c r="D65" s="59" t="s">
        <v>104</v>
      </c>
      <c r="E65" s="69"/>
      <c r="F65" s="75"/>
      <c r="G65" s="72"/>
    </row>
    <row r="66" spans="2:7" x14ac:dyDescent="0.25">
      <c r="B66" s="61"/>
      <c r="C66" s="58" t="s">
        <v>105</v>
      </c>
      <c r="D66" s="59" t="s">
        <v>106</v>
      </c>
      <c r="E66" s="69"/>
      <c r="F66" s="75"/>
      <c r="G66" s="72"/>
    </row>
    <row r="67" spans="2:7" x14ac:dyDescent="0.25">
      <c r="B67" s="57">
        <v>14</v>
      </c>
      <c r="C67" s="58" t="s">
        <v>107</v>
      </c>
      <c r="D67" s="59" t="s">
        <v>108</v>
      </c>
      <c r="E67" s="69"/>
      <c r="F67" s="75"/>
      <c r="G67" s="72"/>
    </row>
    <row r="68" spans="2:7" x14ac:dyDescent="0.25">
      <c r="B68" s="83" t="s">
        <v>109</v>
      </c>
      <c r="C68" s="29"/>
      <c r="D68" s="28"/>
      <c r="E68" s="28"/>
      <c r="F68" s="28"/>
      <c r="G68" s="84"/>
    </row>
    <row r="69" spans="2:7" x14ac:dyDescent="0.25">
      <c r="B69" s="57">
        <v>15</v>
      </c>
      <c r="C69" s="63" t="s">
        <v>110</v>
      </c>
      <c r="D69" s="59" t="s">
        <v>111</v>
      </c>
      <c r="E69" s="69"/>
      <c r="F69" s="75"/>
      <c r="G69" s="72"/>
    </row>
    <row r="70" spans="2:7" x14ac:dyDescent="0.25">
      <c r="B70" s="57">
        <v>16</v>
      </c>
      <c r="C70" s="64" t="s">
        <v>112</v>
      </c>
      <c r="D70" s="65" t="s">
        <v>113</v>
      </c>
      <c r="E70" s="70"/>
      <c r="F70" s="76"/>
      <c r="G70" s="73"/>
    </row>
    <row r="71" spans="2:7" x14ac:dyDescent="0.25">
      <c r="B71" s="57">
        <v>17</v>
      </c>
      <c r="C71" s="63" t="s">
        <v>112</v>
      </c>
      <c r="D71" s="59" t="s">
        <v>114</v>
      </c>
      <c r="E71" s="69"/>
      <c r="F71" s="75"/>
      <c r="G71" s="72"/>
    </row>
    <row r="72" spans="2:7" x14ac:dyDescent="0.25">
      <c r="B72" s="57">
        <v>18</v>
      </c>
      <c r="C72" s="66" t="s">
        <v>112</v>
      </c>
      <c r="D72" s="67" t="s">
        <v>115</v>
      </c>
      <c r="E72" s="71"/>
      <c r="F72" s="77"/>
      <c r="G72" s="74"/>
    </row>
    <row r="73" spans="2:7" x14ac:dyDescent="0.25">
      <c r="B73" s="57">
        <v>19</v>
      </c>
      <c r="C73" s="66" t="s">
        <v>116</v>
      </c>
      <c r="D73" s="67" t="s">
        <v>117</v>
      </c>
      <c r="E73" s="71"/>
      <c r="F73" s="77"/>
      <c r="G73" s="74"/>
    </row>
    <row r="74" spans="2:7" x14ac:dyDescent="0.25">
      <c r="B74" s="83" t="s">
        <v>118</v>
      </c>
      <c r="C74" s="29"/>
      <c r="D74" s="28"/>
      <c r="E74" s="28"/>
      <c r="F74" s="28"/>
      <c r="G74" s="84"/>
    </row>
    <row r="75" spans="2:7" x14ac:dyDescent="0.25">
      <c r="B75" s="57">
        <v>20</v>
      </c>
      <c r="C75" s="63" t="s">
        <v>119</v>
      </c>
      <c r="D75" s="59" t="s">
        <v>120</v>
      </c>
      <c r="E75" s="69"/>
      <c r="F75" s="75"/>
      <c r="G75" s="72"/>
    </row>
    <row r="76" spans="2:7" x14ac:dyDescent="0.25">
      <c r="B76" s="83" t="s">
        <v>121</v>
      </c>
      <c r="C76" s="29"/>
      <c r="D76" s="28"/>
      <c r="E76" s="28"/>
      <c r="F76" s="28"/>
      <c r="G76" s="84"/>
    </row>
    <row r="77" spans="2:7" x14ac:dyDescent="0.25">
      <c r="B77" s="57">
        <v>21</v>
      </c>
      <c r="C77" s="63" t="s">
        <v>122</v>
      </c>
      <c r="D77" s="69" t="s">
        <v>123</v>
      </c>
      <c r="E77" s="75"/>
      <c r="F77" s="75"/>
      <c r="G77" s="72"/>
    </row>
    <row r="78" spans="2:7" x14ac:dyDescent="0.25">
      <c r="B78" s="83" t="s">
        <v>124</v>
      </c>
      <c r="C78" s="29"/>
      <c r="D78" s="28"/>
      <c r="E78" s="28"/>
      <c r="F78" s="28"/>
      <c r="G78" s="84"/>
    </row>
    <row r="79" spans="2:7" x14ac:dyDescent="0.25">
      <c r="B79" s="57">
        <v>22</v>
      </c>
      <c r="C79" s="63" t="s">
        <v>125</v>
      </c>
      <c r="D79" s="59" t="s">
        <v>126</v>
      </c>
      <c r="E79" s="69"/>
      <c r="F79" s="75"/>
      <c r="G79" s="72"/>
    </row>
    <row r="80" spans="2:7" x14ac:dyDescent="0.25">
      <c r="B80" s="83" t="s">
        <v>127</v>
      </c>
      <c r="C80" s="29"/>
      <c r="D80" s="28"/>
      <c r="E80" s="28"/>
      <c r="F80" s="28"/>
      <c r="G80" s="84"/>
    </row>
    <row r="81" spans="2:7" x14ac:dyDescent="0.25">
      <c r="B81" s="57">
        <v>23</v>
      </c>
      <c r="C81" s="63" t="s">
        <v>128</v>
      </c>
      <c r="D81" s="59" t="s">
        <v>129</v>
      </c>
      <c r="E81" s="69"/>
      <c r="F81" s="75"/>
      <c r="G81" s="72"/>
    </row>
    <row r="82" spans="2:7" x14ac:dyDescent="0.25">
      <c r="B82" s="83" t="s">
        <v>130</v>
      </c>
      <c r="C82" s="29"/>
      <c r="D82" s="28"/>
      <c r="E82" s="28"/>
      <c r="F82" s="28"/>
      <c r="G82" s="84"/>
    </row>
    <row r="83" spans="2:7" x14ac:dyDescent="0.25">
      <c r="B83" s="57">
        <v>24</v>
      </c>
      <c r="C83" s="63" t="s">
        <v>131</v>
      </c>
      <c r="D83" s="59" t="s">
        <v>132</v>
      </c>
      <c r="E83" s="69"/>
      <c r="F83" s="75"/>
      <c r="G83" s="72"/>
    </row>
    <row r="84" spans="2:7" x14ac:dyDescent="0.25">
      <c r="B84" s="83" t="s">
        <v>133</v>
      </c>
      <c r="C84" s="29"/>
      <c r="D84" s="28"/>
      <c r="E84" s="28"/>
      <c r="F84" s="28"/>
      <c r="G84" s="84"/>
    </row>
    <row r="85" spans="2:7" x14ac:dyDescent="0.25">
      <c r="B85" s="60">
        <v>25</v>
      </c>
      <c r="C85" s="58" t="s">
        <v>134</v>
      </c>
      <c r="D85" s="59" t="s">
        <v>135</v>
      </c>
      <c r="E85" s="69"/>
      <c r="F85" s="75"/>
      <c r="G85" s="72"/>
    </row>
    <row r="86" spans="2:7" x14ac:dyDescent="0.25">
      <c r="B86" s="68"/>
      <c r="C86" s="58" t="s">
        <v>136</v>
      </c>
      <c r="D86" s="59" t="s">
        <v>137</v>
      </c>
      <c r="E86" s="69"/>
      <c r="F86" s="75"/>
      <c r="G86" s="72"/>
    </row>
    <row r="87" spans="2:7" x14ac:dyDescent="0.25">
      <c r="B87" s="60">
        <v>26</v>
      </c>
      <c r="C87" s="58" t="s">
        <v>138</v>
      </c>
      <c r="D87" s="59" t="s">
        <v>139</v>
      </c>
      <c r="E87" s="69"/>
      <c r="F87" s="75"/>
      <c r="G87" s="72"/>
    </row>
    <row r="88" spans="2:7" x14ac:dyDescent="0.25">
      <c r="B88" s="68"/>
      <c r="C88" s="58" t="s">
        <v>140</v>
      </c>
      <c r="D88" s="59" t="s">
        <v>141</v>
      </c>
      <c r="E88" s="69"/>
      <c r="F88" s="75"/>
      <c r="G88" s="72"/>
    </row>
    <row r="89" spans="2:7" x14ac:dyDescent="0.25">
      <c r="B89" s="83" t="s">
        <v>142</v>
      </c>
      <c r="C89" s="29"/>
      <c r="D89" s="28"/>
      <c r="E89" s="28"/>
      <c r="F89" s="28"/>
      <c r="G89" s="84"/>
    </row>
    <row r="90" spans="2:7" x14ac:dyDescent="0.25">
      <c r="B90" s="57">
        <v>27</v>
      </c>
      <c r="C90" s="63" t="s">
        <v>143</v>
      </c>
      <c r="D90" s="59" t="s">
        <v>144</v>
      </c>
      <c r="E90" s="69"/>
      <c r="F90" s="75"/>
      <c r="G90" s="72"/>
    </row>
    <row r="212" spans="2:2" x14ac:dyDescent="0.25">
      <c r="B212" s="78" t="s">
        <v>145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72E1E-026B-4EC6-8435-7AFDFBEC9A50}">
  <sheetPr>
    <tabColor rgb="FFC00000"/>
  </sheetPr>
  <dimension ref="B1:AN54"/>
  <sheetViews>
    <sheetView zoomScale="110" zoomScaleNormal="110" workbookViewId="0">
      <selection activeCell="F15" sqref="F15"/>
    </sheetView>
  </sheetViews>
  <sheetFormatPr baseColWidth="10" defaultRowHeight="15" x14ac:dyDescent="0.25"/>
  <cols>
    <col min="1" max="1" width="2.28515625" customWidth="1"/>
    <col min="2" max="2" width="19.7109375" customWidth="1"/>
    <col min="6" max="6" width="10" customWidth="1"/>
    <col min="7" max="7" width="9.85546875" customWidth="1"/>
    <col min="13" max="13" width="4" customWidth="1"/>
    <col min="14" max="14" width="6.42578125" customWidth="1"/>
    <col min="15" max="15" width="12.7109375" customWidth="1"/>
    <col min="19" max="19" width="12.85546875" bestFit="1" customWidth="1"/>
    <col min="23" max="23" width="12.85546875" bestFit="1" customWidth="1"/>
    <col min="27" max="27" width="5.42578125" customWidth="1"/>
    <col min="31" max="34" width="5.42578125" customWidth="1"/>
    <col min="36" max="36" width="9.42578125" customWidth="1"/>
    <col min="37" max="38" width="5.42578125" customWidth="1"/>
  </cols>
  <sheetData>
    <row r="1" spans="2:40" ht="15.75" thickBot="1" x14ac:dyDescent="0.3">
      <c r="B1" s="9" t="s">
        <v>0</v>
      </c>
      <c r="C1" s="9"/>
      <c r="D1" s="9"/>
      <c r="E1" s="9"/>
      <c r="H1" s="9"/>
      <c r="I1" s="9"/>
      <c r="J1" s="9" t="s">
        <v>157</v>
      </c>
      <c r="K1" s="9"/>
      <c r="M1" s="4"/>
      <c r="N1" s="10" t="s">
        <v>33</v>
      </c>
      <c r="O1" s="10"/>
      <c r="P1" s="10"/>
      <c r="Q1" s="10"/>
      <c r="R1" s="11">
        <v>30000</v>
      </c>
      <c r="S1" s="13" t="s">
        <v>33</v>
      </c>
      <c r="T1" s="13"/>
      <c r="U1" s="13"/>
      <c r="V1" s="14">
        <v>24000</v>
      </c>
      <c r="W1" s="33" t="s">
        <v>51</v>
      </c>
      <c r="X1" s="16"/>
      <c r="Y1" s="16"/>
      <c r="Z1" s="17"/>
      <c r="AB1" s="5" t="s">
        <v>10</v>
      </c>
      <c r="AC1" s="5"/>
      <c r="AD1" s="5"/>
      <c r="AI1" s="53" t="s">
        <v>60</v>
      </c>
      <c r="AJ1" s="54"/>
      <c r="AK1" s="54"/>
      <c r="AL1" s="54"/>
      <c r="AM1" s="55" t="s">
        <v>57</v>
      </c>
      <c r="AN1" s="56" t="s">
        <v>58</v>
      </c>
    </row>
    <row r="2" spans="2:40" ht="15.75" thickBot="1" x14ac:dyDescent="0.3">
      <c r="B2" s="9" t="s">
        <v>1</v>
      </c>
      <c r="C2" s="9"/>
      <c r="D2" s="9"/>
      <c r="E2" s="9"/>
      <c r="H2" s="9"/>
      <c r="I2" s="9"/>
      <c r="J2" s="9" t="s">
        <v>156</v>
      </c>
      <c r="K2" s="9"/>
      <c r="M2" s="4"/>
      <c r="N2" s="10" t="s">
        <v>34</v>
      </c>
      <c r="O2" s="10"/>
      <c r="P2" s="10"/>
      <c r="Q2" s="10"/>
      <c r="R2" s="12">
        <v>1.0500000000000001E-2</v>
      </c>
      <c r="S2" s="13" t="s">
        <v>34</v>
      </c>
      <c r="T2" s="13"/>
      <c r="U2" s="13"/>
      <c r="V2" s="15">
        <v>0.01</v>
      </c>
      <c r="W2" s="16"/>
      <c r="X2" s="16"/>
      <c r="Y2" s="16"/>
      <c r="Z2" s="18"/>
      <c r="AB2" s="112" t="s">
        <v>15</v>
      </c>
      <c r="AC2" s="113"/>
      <c r="AD2" s="114">
        <v>60000</v>
      </c>
      <c r="AI2" s="41" t="s">
        <v>11</v>
      </c>
      <c r="AJ2" s="42"/>
      <c r="AK2" s="42"/>
      <c r="AL2" s="42"/>
      <c r="AM2" s="50">
        <f>+AN3</f>
        <v>24000</v>
      </c>
      <c r="AN2" s="49"/>
    </row>
    <row r="3" spans="2:40" x14ac:dyDescent="0.25">
      <c r="F3" s="40" t="s">
        <v>59</v>
      </c>
      <c r="G3" s="40"/>
      <c r="H3" s="34" t="s">
        <v>52</v>
      </c>
      <c r="I3" s="34" t="s">
        <v>56</v>
      </c>
      <c r="J3" s="34" t="s">
        <v>35</v>
      </c>
      <c r="K3" s="34" t="s">
        <v>35</v>
      </c>
      <c r="M3" s="4"/>
      <c r="N3" s="10" t="s">
        <v>36</v>
      </c>
      <c r="O3" s="10"/>
      <c r="P3" s="10"/>
      <c r="Q3" s="10"/>
      <c r="R3" s="11">
        <v>36</v>
      </c>
      <c r="S3" s="13" t="s">
        <v>36</v>
      </c>
      <c r="T3" s="13"/>
      <c r="U3" s="13"/>
      <c r="V3" s="14">
        <v>36</v>
      </c>
      <c r="W3" s="16"/>
      <c r="X3" s="16"/>
      <c r="Y3" s="16"/>
      <c r="Z3" s="17"/>
      <c r="AB3" s="104" t="s">
        <v>17</v>
      </c>
      <c r="AC3" s="104"/>
      <c r="AD3" s="115">
        <v>10000</v>
      </c>
      <c r="AE3" s="96" t="s">
        <v>149</v>
      </c>
      <c r="AI3" s="43" t="s">
        <v>10</v>
      </c>
      <c r="AM3" s="43"/>
      <c r="AN3" s="45">
        <f>+AD4</f>
        <v>24000</v>
      </c>
    </row>
    <row r="4" spans="2:40" x14ac:dyDescent="0.25">
      <c r="B4" s="28"/>
      <c r="C4" s="29">
        <v>2024</v>
      </c>
      <c r="D4" s="29">
        <v>2023</v>
      </c>
      <c r="E4" s="34" t="s">
        <v>52</v>
      </c>
      <c r="F4" s="40" t="s">
        <v>57</v>
      </c>
      <c r="G4" s="40" t="s">
        <v>58</v>
      </c>
      <c r="H4" s="34" t="s">
        <v>53</v>
      </c>
      <c r="I4" s="34" t="s">
        <v>9</v>
      </c>
      <c r="J4" s="34" t="s">
        <v>159</v>
      </c>
      <c r="K4" s="34" t="s">
        <v>158</v>
      </c>
      <c r="M4" s="4"/>
      <c r="N4" s="10" t="s">
        <v>35</v>
      </c>
      <c r="O4" s="10"/>
      <c r="P4" s="98" t="s">
        <v>150</v>
      </c>
      <c r="Q4" s="10"/>
      <c r="R4" s="11">
        <f>-PMT(R2,R3,R1,0,0)</f>
        <v>1005.0483019441515</v>
      </c>
      <c r="S4" s="13" t="s">
        <v>35</v>
      </c>
      <c r="T4" s="99" t="s">
        <v>151</v>
      </c>
      <c r="U4" s="13"/>
      <c r="V4" s="14">
        <f>-PMT(V2,V3,V1,0,0)</f>
        <v>797.14343550842852</v>
      </c>
      <c r="W4" s="16"/>
      <c r="X4" s="16"/>
      <c r="Y4" s="16"/>
      <c r="Z4" s="17"/>
      <c r="AB4" s="119" t="s">
        <v>18</v>
      </c>
      <c r="AC4" s="119"/>
      <c r="AD4" s="120">
        <v>24000</v>
      </c>
      <c r="AE4" s="8" t="s">
        <v>148</v>
      </c>
      <c r="AI4" s="43"/>
      <c r="AM4" s="43"/>
      <c r="AN4" s="44"/>
    </row>
    <row r="5" spans="2:40" x14ac:dyDescent="0.25">
      <c r="B5" s="7" t="s">
        <v>2</v>
      </c>
      <c r="C5" s="6"/>
      <c r="D5" s="6"/>
      <c r="E5" s="35"/>
      <c r="H5" s="35"/>
      <c r="I5" s="35"/>
      <c r="J5" s="35"/>
      <c r="K5" s="35"/>
      <c r="M5" s="4"/>
      <c r="AB5" s="104" t="s">
        <v>20</v>
      </c>
      <c r="AC5" s="104"/>
      <c r="AD5" s="105">
        <v>5000</v>
      </c>
      <c r="AE5" s="8" t="s">
        <v>148</v>
      </c>
      <c r="AI5" s="43" t="s">
        <v>22</v>
      </c>
      <c r="AM5" s="51">
        <f>+AN7*AD12</f>
        <v>1500</v>
      </c>
      <c r="AN5" s="44"/>
    </row>
    <row r="6" spans="2:40" x14ac:dyDescent="0.25">
      <c r="B6" t="s">
        <v>7</v>
      </c>
      <c r="C6" s="89">
        <v>10000</v>
      </c>
      <c r="D6" s="89">
        <v>7000</v>
      </c>
      <c r="E6" s="38">
        <f>+D6-C6</f>
        <v>-3000</v>
      </c>
      <c r="F6" s="52">
        <f ca="1">SUMIF($AI$2:$AN$20,B6,$AM$2:$AM$20)</f>
        <v>0</v>
      </c>
      <c r="G6" s="52">
        <f ca="1">SUMIF($AI$2:$AN$20,B6,$AN$2:$AN$20)</f>
        <v>0</v>
      </c>
      <c r="H6" s="38">
        <f ca="1">+E6+G6-F6</f>
        <v>-3000</v>
      </c>
      <c r="I6" s="122"/>
      <c r="J6" s="122"/>
      <c r="K6" s="122"/>
      <c r="M6" s="4">
        <v>1</v>
      </c>
      <c r="N6" s="10" t="s">
        <v>37</v>
      </c>
      <c r="O6" s="11">
        <f>+R1</f>
        <v>30000</v>
      </c>
      <c r="P6" s="11">
        <f t="shared" ref="P6:P41" si="0">+O6*$R$2</f>
        <v>315</v>
      </c>
      <c r="Q6" s="11">
        <f t="shared" ref="Q6:Q41" si="1">-+$R$4</f>
        <v>-1005.0483019441515</v>
      </c>
      <c r="R6" s="11">
        <f>+O6+P6+Q6</f>
        <v>29309.951698055847</v>
      </c>
      <c r="W6" s="1">
        <f>+O6</f>
        <v>30000</v>
      </c>
      <c r="X6" s="1">
        <f>+P6+T6</f>
        <v>315</v>
      </c>
      <c r="Y6" s="1">
        <f>+Q6+U6</f>
        <v>-1005.0483019441515</v>
      </c>
      <c r="Z6" s="1">
        <f>+W6+X6+Y6</f>
        <v>29309.951698055847</v>
      </c>
      <c r="AB6" s="104" t="s">
        <v>19</v>
      </c>
      <c r="AC6" s="104"/>
      <c r="AD6" s="105">
        <v>-7000</v>
      </c>
      <c r="AE6" s="8" t="s">
        <v>148</v>
      </c>
      <c r="AI6" s="43" t="s">
        <v>21</v>
      </c>
      <c r="AM6" s="51">
        <f>+AN7-AM5</f>
        <v>3500</v>
      </c>
      <c r="AN6" s="44"/>
    </row>
    <row r="7" spans="2:40" x14ac:dyDescent="0.25">
      <c r="B7" s="110" t="s">
        <v>29</v>
      </c>
      <c r="C7" s="111">
        <v>3900</v>
      </c>
      <c r="D7" s="90">
        <v>0</v>
      </c>
      <c r="E7" s="38">
        <f>+D7-C7</f>
        <v>-3900</v>
      </c>
      <c r="F7" s="52">
        <f t="shared" ref="F7:F30" ca="1" si="2">SUMIF($AI$2:$AN$20,B7,$AM$2:$AM$20)</f>
        <v>0</v>
      </c>
      <c r="G7" s="52">
        <f t="shared" ref="G7:G30" ca="1" si="3">SUMIF($AI$2:$AN$20,B7,$AN$2:$AN$20)</f>
        <v>3900</v>
      </c>
      <c r="H7" s="38">
        <f t="shared" ref="H7:H9" ca="1" si="4">+E7+G7-F7</f>
        <v>0</v>
      </c>
      <c r="I7" s="122"/>
      <c r="J7" s="122"/>
      <c r="K7" s="122"/>
      <c r="M7" s="4">
        <f>+M6+1</f>
        <v>2</v>
      </c>
      <c r="N7" s="10" t="s">
        <v>38</v>
      </c>
      <c r="O7" s="11">
        <f>+R6</f>
        <v>29309.951698055847</v>
      </c>
      <c r="P7" s="11">
        <f t="shared" si="0"/>
        <v>307.75449282958641</v>
      </c>
      <c r="Q7" s="11">
        <f t="shared" si="1"/>
        <v>-1005.0483019441515</v>
      </c>
      <c r="R7" s="11">
        <f>+O7+P7+Q7</f>
        <v>28612.657888941281</v>
      </c>
      <c r="W7" s="1">
        <f>+Z6</f>
        <v>29309.951698055847</v>
      </c>
      <c r="X7" s="1">
        <f t="shared" ref="X7:X15" si="5">+P7+T7</f>
        <v>307.75449282958641</v>
      </c>
      <c r="Y7" s="1">
        <f t="shared" ref="Y7:Y15" si="6">+Q7+U7</f>
        <v>-1005.0483019441515</v>
      </c>
      <c r="Z7" s="1">
        <f>+W7+X7+Y7</f>
        <v>28612.657888941281</v>
      </c>
      <c r="AB7" s="104" t="s">
        <v>25</v>
      </c>
      <c r="AC7" s="104"/>
      <c r="AD7" s="105">
        <v>-1000</v>
      </c>
      <c r="AE7" s="8" t="s">
        <v>148</v>
      </c>
      <c r="AI7" s="43" t="s">
        <v>10</v>
      </c>
      <c r="AM7" s="43"/>
      <c r="AN7" s="45">
        <f>+AD5</f>
        <v>5000</v>
      </c>
    </row>
    <row r="8" spans="2:40" ht="15.75" thickBot="1" x14ac:dyDescent="0.3">
      <c r="B8" t="s">
        <v>8</v>
      </c>
      <c r="C8" s="89">
        <v>5498</v>
      </c>
      <c r="D8" s="89">
        <v>7224</v>
      </c>
      <c r="E8" s="38">
        <f>+D8-C8</f>
        <v>1726</v>
      </c>
      <c r="F8" s="52">
        <f t="shared" ca="1" si="2"/>
        <v>0</v>
      </c>
      <c r="G8" s="52">
        <f t="shared" ca="1" si="3"/>
        <v>0</v>
      </c>
      <c r="H8" s="38">
        <f t="shared" ca="1" si="4"/>
        <v>1726</v>
      </c>
      <c r="I8" s="122"/>
      <c r="J8" s="122"/>
      <c r="K8" s="122"/>
      <c r="M8" s="4">
        <f t="shared" ref="M8:M53" si="7">+M7+1</f>
        <v>3</v>
      </c>
      <c r="N8" s="10" t="s">
        <v>39</v>
      </c>
      <c r="O8" s="11">
        <f t="shared" ref="O8:O41" si="8">+R7</f>
        <v>28612.657888941281</v>
      </c>
      <c r="P8" s="11">
        <f t="shared" si="0"/>
        <v>300.43290783388346</v>
      </c>
      <c r="Q8" s="11">
        <f t="shared" si="1"/>
        <v>-1005.0483019441515</v>
      </c>
      <c r="R8" s="11">
        <f t="shared" ref="R8:R41" si="9">+O8+P8+Q8</f>
        <v>27908.042494831014</v>
      </c>
      <c r="W8" s="1">
        <f t="shared" ref="W8:W15" si="10">+Z7</f>
        <v>28612.657888941281</v>
      </c>
      <c r="X8" s="1">
        <f t="shared" si="5"/>
        <v>300.43290783388346</v>
      </c>
      <c r="Y8" s="1">
        <f t="shared" si="6"/>
        <v>-1005.0483019441515</v>
      </c>
      <c r="Z8" s="1">
        <f t="shared" ref="Z8:Z15" si="11">+W8+X8+Y8</f>
        <v>27908.042494831014</v>
      </c>
      <c r="AB8" s="104" t="s">
        <v>26</v>
      </c>
      <c r="AC8" s="104"/>
      <c r="AD8" s="105">
        <v>-3000</v>
      </c>
      <c r="AE8" s="8" t="s">
        <v>148</v>
      </c>
      <c r="AI8" s="43"/>
      <c r="AM8" s="43"/>
      <c r="AN8" s="44"/>
    </row>
    <row r="9" spans="2:40" ht="15.75" thickBot="1" x14ac:dyDescent="0.3">
      <c r="B9" s="93" t="s">
        <v>10</v>
      </c>
      <c r="C9" s="95">
        <f>+AD10</f>
        <v>83000</v>
      </c>
      <c r="D9" s="95">
        <f>+AD2</f>
        <v>60000</v>
      </c>
      <c r="E9" s="97">
        <f>+D9-C9</f>
        <v>-23000</v>
      </c>
      <c r="F9" s="52">
        <f t="shared" ca="1" si="2"/>
        <v>16000</v>
      </c>
      <c r="G9" s="52">
        <f t="shared" ca="1" si="3"/>
        <v>29000</v>
      </c>
      <c r="H9" s="38">
        <f t="shared" ca="1" si="4"/>
        <v>-10000</v>
      </c>
      <c r="I9" s="123">
        <f ca="1">+H9</f>
        <v>-10000</v>
      </c>
      <c r="J9" s="123"/>
      <c r="K9" s="122"/>
      <c r="M9" s="4">
        <f t="shared" si="7"/>
        <v>4</v>
      </c>
      <c r="N9" s="10" t="s">
        <v>40</v>
      </c>
      <c r="O9" s="11">
        <f t="shared" si="8"/>
        <v>27908.042494831014</v>
      </c>
      <c r="P9" s="11">
        <f t="shared" si="0"/>
        <v>293.03444619572565</v>
      </c>
      <c r="Q9" s="11">
        <f t="shared" si="1"/>
        <v>-1005.0483019441515</v>
      </c>
      <c r="R9" s="11">
        <f t="shared" si="9"/>
        <v>27196.028639082586</v>
      </c>
      <c r="W9" s="1">
        <f t="shared" si="10"/>
        <v>27908.042494831014</v>
      </c>
      <c r="X9" s="1">
        <f t="shared" si="5"/>
        <v>293.03444619572565</v>
      </c>
      <c r="Y9" s="1">
        <f t="shared" si="6"/>
        <v>-1005.0483019441515</v>
      </c>
      <c r="Z9" s="1">
        <f t="shared" si="11"/>
        <v>27196.028639082586</v>
      </c>
      <c r="AB9" s="104" t="s">
        <v>27</v>
      </c>
      <c r="AC9" s="104"/>
      <c r="AD9" s="105">
        <v>-5000</v>
      </c>
      <c r="AE9" s="8" t="s">
        <v>148</v>
      </c>
      <c r="AI9" s="43" t="s">
        <v>10</v>
      </c>
      <c r="AM9" s="51">
        <f>-+AD6</f>
        <v>7000</v>
      </c>
      <c r="AN9" s="44"/>
    </row>
    <row r="10" spans="2:40" ht="15.75" thickBot="1" x14ac:dyDescent="0.3">
      <c r="E10" s="39"/>
      <c r="F10" s="52">
        <f t="shared" ca="1" si="2"/>
        <v>0</v>
      </c>
      <c r="G10" s="52">
        <f t="shared" ca="1" si="3"/>
        <v>0</v>
      </c>
      <c r="H10" s="39"/>
      <c r="I10" s="122"/>
      <c r="J10" s="122"/>
      <c r="K10" s="122"/>
      <c r="M10" s="4">
        <f t="shared" si="7"/>
        <v>5</v>
      </c>
      <c r="N10" s="10" t="s">
        <v>41</v>
      </c>
      <c r="O10" s="11">
        <f t="shared" si="8"/>
        <v>27196.028639082586</v>
      </c>
      <c r="P10" s="11">
        <f t="shared" si="0"/>
        <v>285.55830071036718</v>
      </c>
      <c r="Q10" s="11">
        <f t="shared" si="1"/>
        <v>-1005.0483019441515</v>
      </c>
      <c r="R10" s="11">
        <f t="shared" si="9"/>
        <v>26476.5386378488</v>
      </c>
      <c r="W10" s="1">
        <f t="shared" si="10"/>
        <v>27196.028639082586</v>
      </c>
      <c r="X10" s="1">
        <f t="shared" si="5"/>
        <v>285.55830071036718</v>
      </c>
      <c r="Y10" s="1">
        <f t="shared" si="6"/>
        <v>-1005.0483019441515</v>
      </c>
      <c r="Z10" s="1">
        <f t="shared" si="11"/>
        <v>26476.5386378488</v>
      </c>
      <c r="AB10" s="112" t="s">
        <v>16</v>
      </c>
      <c r="AC10" s="113"/>
      <c r="AD10" s="114">
        <f>SUM(AD2:AD9)</f>
        <v>83000</v>
      </c>
      <c r="AI10" s="43" t="s">
        <v>24</v>
      </c>
      <c r="AM10" s="43"/>
      <c r="AN10" s="45">
        <f>+AM9</f>
        <v>7000</v>
      </c>
    </row>
    <row r="11" spans="2:40" ht="15.75" thickBot="1" x14ac:dyDescent="0.3">
      <c r="B11" s="7" t="s">
        <v>3</v>
      </c>
      <c r="C11" s="6"/>
      <c r="D11" s="6"/>
      <c r="E11" s="35"/>
      <c r="F11" s="52">
        <f t="shared" ca="1" si="2"/>
        <v>0</v>
      </c>
      <c r="G11" s="52">
        <f t="shared" ca="1" si="3"/>
        <v>0</v>
      </c>
      <c r="H11" s="35"/>
      <c r="I11" s="122"/>
      <c r="J11" s="122"/>
      <c r="K11" s="124"/>
      <c r="M11" s="4">
        <f t="shared" si="7"/>
        <v>6</v>
      </c>
      <c r="N11" s="10" t="s">
        <v>42</v>
      </c>
      <c r="O11" s="11">
        <f t="shared" si="8"/>
        <v>26476.5386378488</v>
      </c>
      <c r="P11" s="11">
        <f t="shared" si="0"/>
        <v>278.0036556974124</v>
      </c>
      <c r="Q11" s="11">
        <f t="shared" si="1"/>
        <v>-1005.0483019441515</v>
      </c>
      <c r="R11" s="11">
        <f t="shared" si="9"/>
        <v>25749.493991602059</v>
      </c>
      <c r="W11" s="1">
        <f t="shared" si="10"/>
        <v>26476.5386378488</v>
      </c>
      <c r="X11" s="1">
        <f t="shared" si="5"/>
        <v>278.0036556974124</v>
      </c>
      <c r="Y11" s="1">
        <f t="shared" si="6"/>
        <v>-1005.0483019441515</v>
      </c>
      <c r="Z11" s="1">
        <f t="shared" si="11"/>
        <v>25749.493991602059</v>
      </c>
      <c r="AI11" s="43"/>
      <c r="AM11" s="43"/>
      <c r="AN11" s="44"/>
    </row>
    <row r="12" spans="2:40" ht="15.75" thickBot="1" x14ac:dyDescent="0.3">
      <c r="B12" s="93" t="s">
        <v>11</v>
      </c>
      <c r="C12" s="94">
        <f>-AD19</f>
        <v>-28210.269038246071</v>
      </c>
      <c r="D12" s="94">
        <f>-AD15</f>
        <v>-21224.07764228521</v>
      </c>
      <c r="E12" s="92">
        <f t="shared" ref="E12:E13" si="12">+D12-C12</f>
        <v>6986.191395960861</v>
      </c>
      <c r="F12" s="52">
        <f t="shared" ca="1" si="2"/>
        <v>24000</v>
      </c>
      <c r="G12" s="52">
        <f t="shared" ca="1" si="3"/>
        <v>0</v>
      </c>
      <c r="H12" s="38">
        <f t="shared" ref="H12:H13" ca="1" si="13">+E12+G12-F12</f>
        <v>-17013.808604039139</v>
      </c>
      <c r="I12" s="122"/>
      <c r="J12" s="123">
        <f ca="1">+H12</f>
        <v>-17013.808604039139</v>
      </c>
      <c r="K12" s="123"/>
      <c r="M12" s="4">
        <f t="shared" si="7"/>
        <v>7</v>
      </c>
      <c r="N12" s="10" t="s">
        <v>43</v>
      </c>
      <c r="O12" s="11">
        <f t="shared" si="8"/>
        <v>25749.493991602059</v>
      </c>
      <c r="P12" s="11">
        <f t="shared" si="0"/>
        <v>270.36968691182165</v>
      </c>
      <c r="Q12" s="11">
        <f t="shared" si="1"/>
        <v>-1005.0483019441515</v>
      </c>
      <c r="R12" s="11">
        <f t="shared" si="9"/>
        <v>25014.815376569728</v>
      </c>
      <c r="W12" s="1">
        <f t="shared" si="10"/>
        <v>25749.493991602059</v>
      </c>
      <c r="X12" s="1">
        <f t="shared" si="5"/>
        <v>270.36968691182165</v>
      </c>
      <c r="Y12" s="1">
        <f t="shared" si="6"/>
        <v>-1005.0483019441515</v>
      </c>
      <c r="Z12" s="1">
        <f t="shared" si="11"/>
        <v>25014.815376569728</v>
      </c>
      <c r="AB12" s="116" t="s">
        <v>23</v>
      </c>
      <c r="AC12" s="117"/>
      <c r="AD12" s="118">
        <v>0.3</v>
      </c>
      <c r="AI12" s="43" t="s">
        <v>10</v>
      </c>
      <c r="AM12" s="51">
        <f>-+AD7</f>
        <v>1000</v>
      </c>
      <c r="AN12" s="44"/>
    </row>
    <row r="13" spans="2:40" x14ac:dyDescent="0.25">
      <c r="B13" s="106" t="s">
        <v>22</v>
      </c>
      <c r="C13" s="107">
        <f>-AD5*AD12</f>
        <v>-1500</v>
      </c>
      <c r="D13" s="91">
        <v>0</v>
      </c>
      <c r="E13" s="38">
        <f t="shared" si="12"/>
        <v>1500</v>
      </c>
      <c r="F13" s="52">
        <f t="shared" ca="1" si="2"/>
        <v>1500</v>
      </c>
      <c r="G13" s="52">
        <f t="shared" ca="1" si="3"/>
        <v>0</v>
      </c>
      <c r="H13" s="38">
        <f t="shared" ca="1" si="13"/>
        <v>0</v>
      </c>
      <c r="I13" s="122"/>
      <c r="J13" s="122"/>
      <c r="K13" s="124"/>
      <c r="M13" s="4">
        <f t="shared" si="7"/>
        <v>8</v>
      </c>
      <c r="N13" s="10" t="s">
        <v>44</v>
      </c>
      <c r="O13" s="11">
        <f t="shared" si="8"/>
        <v>25014.815376569728</v>
      </c>
      <c r="P13" s="11">
        <f t="shared" si="0"/>
        <v>262.65556145398216</v>
      </c>
      <c r="Q13" s="11">
        <f t="shared" si="1"/>
        <v>-1005.0483019441515</v>
      </c>
      <c r="R13" s="11">
        <f t="shared" si="9"/>
        <v>24272.422636079558</v>
      </c>
      <c r="W13" s="1">
        <f t="shared" si="10"/>
        <v>25014.815376569728</v>
      </c>
      <c r="X13" s="1">
        <f t="shared" si="5"/>
        <v>262.65556145398216</v>
      </c>
      <c r="Y13" s="1">
        <f t="shared" si="6"/>
        <v>-1005.0483019441515</v>
      </c>
      <c r="Z13" s="1">
        <f t="shared" si="11"/>
        <v>24272.422636079558</v>
      </c>
      <c r="AI13" s="43" t="s">
        <v>55</v>
      </c>
      <c r="AM13" s="43"/>
      <c r="AN13" s="45">
        <f>+AM12</f>
        <v>1000</v>
      </c>
    </row>
    <row r="14" spans="2:40" x14ac:dyDescent="0.25">
      <c r="E14" s="39"/>
      <c r="F14" s="52">
        <f t="shared" ca="1" si="2"/>
        <v>0</v>
      </c>
      <c r="G14" s="52">
        <f t="shared" ca="1" si="3"/>
        <v>0</v>
      </c>
      <c r="H14" s="39"/>
      <c r="I14" s="122"/>
      <c r="J14" s="122"/>
      <c r="K14" s="124"/>
      <c r="M14" s="4">
        <f t="shared" si="7"/>
        <v>9</v>
      </c>
      <c r="N14" s="10" t="s">
        <v>45</v>
      </c>
      <c r="O14" s="11">
        <f t="shared" si="8"/>
        <v>24272.422636079558</v>
      </c>
      <c r="P14" s="11">
        <f t="shared" si="0"/>
        <v>254.86043767883538</v>
      </c>
      <c r="Q14" s="11">
        <f t="shared" si="1"/>
        <v>-1005.0483019441515</v>
      </c>
      <c r="R14" s="11">
        <f t="shared" si="9"/>
        <v>23522.234771814241</v>
      </c>
      <c r="W14" s="1">
        <f t="shared" si="10"/>
        <v>24272.422636079558</v>
      </c>
      <c r="X14" s="1">
        <f t="shared" si="5"/>
        <v>254.86043767883538</v>
      </c>
      <c r="Y14" s="1">
        <f t="shared" si="6"/>
        <v>-1005.0483019441515</v>
      </c>
      <c r="Z14" s="1">
        <f t="shared" si="11"/>
        <v>23522.234771814241</v>
      </c>
      <c r="AB14" s="5" t="s">
        <v>31</v>
      </c>
      <c r="AC14" s="5"/>
      <c r="AD14" s="5"/>
      <c r="AI14" s="43"/>
      <c r="AM14" s="43"/>
      <c r="AN14" s="44"/>
    </row>
    <row r="15" spans="2:40" x14ac:dyDescent="0.25">
      <c r="B15" s="7" t="s">
        <v>4</v>
      </c>
      <c r="C15" s="6"/>
      <c r="D15" s="6"/>
      <c r="E15" s="35"/>
      <c r="F15" s="52">
        <f t="shared" ca="1" si="2"/>
        <v>0</v>
      </c>
      <c r="G15" s="52">
        <f t="shared" ca="1" si="3"/>
        <v>0</v>
      </c>
      <c r="H15" s="35"/>
      <c r="I15" s="122"/>
      <c r="J15" s="122"/>
      <c r="K15" s="124"/>
      <c r="M15" s="4">
        <f t="shared" si="7"/>
        <v>10</v>
      </c>
      <c r="N15" s="10" t="s">
        <v>46</v>
      </c>
      <c r="O15" s="11">
        <f t="shared" si="8"/>
        <v>23522.234771814241</v>
      </c>
      <c r="P15" s="11">
        <f t="shared" si="0"/>
        <v>246.98346510404954</v>
      </c>
      <c r="Q15" s="11">
        <f t="shared" si="1"/>
        <v>-1005.0483019441515</v>
      </c>
      <c r="R15" s="11">
        <f t="shared" si="9"/>
        <v>22764.169934974139</v>
      </c>
      <c r="W15" s="1">
        <f t="shared" si="10"/>
        <v>23522.234771814241</v>
      </c>
      <c r="X15" s="1">
        <f t="shared" si="5"/>
        <v>246.98346510404954</v>
      </c>
      <c r="Y15" s="1">
        <f t="shared" si="6"/>
        <v>-1005.0483019441515</v>
      </c>
      <c r="Z15" s="1">
        <f t="shared" si="11"/>
        <v>22764.169934974139</v>
      </c>
      <c r="AB15" s="2" t="s">
        <v>15</v>
      </c>
      <c r="AC15" s="2"/>
      <c r="AD15" s="19">
        <f>+Z17</f>
        <v>21224.07764228521</v>
      </c>
      <c r="AI15" s="43" t="s">
        <v>10</v>
      </c>
      <c r="AM15" s="51">
        <f>-+AD8</f>
        <v>3000</v>
      </c>
      <c r="AN15" s="44"/>
    </row>
    <row r="16" spans="2:40" ht="15.75" thickBot="1" x14ac:dyDescent="0.3">
      <c r="B16" t="s">
        <v>5</v>
      </c>
      <c r="C16" s="91">
        <v>-20000</v>
      </c>
      <c r="D16" s="91">
        <v>-20000</v>
      </c>
      <c r="E16" s="38">
        <f t="shared" ref="E16:E18" si="14">+D16-C16</f>
        <v>0</v>
      </c>
      <c r="F16" s="52">
        <f t="shared" ca="1" si="2"/>
        <v>0</v>
      </c>
      <c r="G16" s="52">
        <f t="shared" ca="1" si="3"/>
        <v>0</v>
      </c>
      <c r="H16" s="38">
        <f t="shared" ref="H16:H18" ca="1" si="15">+E16+G16-F16</f>
        <v>0</v>
      </c>
      <c r="I16" s="125"/>
      <c r="J16" s="125"/>
      <c r="K16" s="123"/>
      <c r="M16" s="4">
        <f t="shared" si="7"/>
        <v>11</v>
      </c>
      <c r="N16" s="10" t="s">
        <v>47</v>
      </c>
      <c r="O16" s="11">
        <f t="shared" si="8"/>
        <v>22764.169934974139</v>
      </c>
      <c r="P16" s="11">
        <f t="shared" si="0"/>
        <v>239.02378431722849</v>
      </c>
      <c r="Q16" s="11">
        <f t="shared" si="1"/>
        <v>-1005.0483019441515</v>
      </c>
      <c r="R16" s="11">
        <f t="shared" si="9"/>
        <v>21998.145417347216</v>
      </c>
      <c r="W16" s="1">
        <f t="shared" ref="W16:W17" si="16">+Z15</f>
        <v>22764.169934974139</v>
      </c>
      <c r="X16" s="1">
        <f t="shared" ref="X16:X17" si="17">+P16+T16</f>
        <v>239.02378431722849</v>
      </c>
      <c r="Y16" s="1">
        <f t="shared" ref="Y16:Y17" si="18">+Q16+U16</f>
        <v>-1005.0483019441515</v>
      </c>
      <c r="Z16" s="1">
        <f t="shared" ref="Z16:Z17" si="19">+W16+X16+Y16</f>
        <v>21998.145417347216</v>
      </c>
      <c r="AB16" s="119" t="s">
        <v>18</v>
      </c>
      <c r="AC16" s="119"/>
      <c r="AD16" s="120">
        <f>+S18</f>
        <v>24000</v>
      </c>
      <c r="AE16" s="8" t="s">
        <v>148</v>
      </c>
      <c r="AI16" s="43" t="s">
        <v>28</v>
      </c>
      <c r="AM16" s="43"/>
      <c r="AN16" s="45">
        <f>+AM15</f>
        <v>3000</v>
      </c>
    </row>
    <row r="17" spans="2:40" ht="15.75" thickBot="1" x14ac:dyDescent="0.3">
      <c r="B17" t="s">
        <v>12</v>
      </c>
      <c r="C17" s="91">
        <v>-33000</v>
      </c>
      <c r="D17" s="91">
        <v>-33000</v>
      </c>
      <c r="E17" s="38">
        <f t="shared" si="14"/>
        <v>0</v>
      </c>
      <c r="F17" s="52">
        <f t="shared" ca="1" si="2"/>
        <v>0</v>
      </c>
      <c r="G17" s="52">
        <f t="shared" ca="1" si="3"/>
        <v>0</v>
      </c>
      <c r="H17" s="38">
        <f t="shared" ca="1" si="15"/>
        <v>0</v>
      </c>
      <c r="I17" s="125"/>
      <c r="J17" s="125"/>
      <c r="K17" s="123"/>
      <c r="M17" s="4">
        <f t="shared" si="7"/>
        <v>12</v>
      </c>
      <c r="N17" s="10" t="s">
        <v>48</v>
      </c>
      <c r="O17" s="11">
        <f t="shared" si="8"/>
        <v>21998.145417347216</v>
      </c>
      <c r="P17" s="11">
        <f t="shared" si="0"/>
        <v>230.98052688214577</v>
      </c>
      <c r="Q17" s="11">
        <f t="shared" si="1"/>
        <v>-1005.0483019441515</v>
      </c>
      <c r="R17" s="11">
        <f t="shared" si="9"/>
        <v>21224.07764228521</v>
      </c>
      <c r="W17" s="1">
        <f t="shared" si="16"/>
        <v>21998.145417347216</v>
      </c>
      <c r="X17" s="1">
        <f t="shared" si="17"/>
        <v>230.98052688214577</v>
      </c>
      <c r="Y17" s="1">
        <f t="shared" si="18"/>
        <v>-1005.0483019441515</v>
      </c>
      <c r="Z17" s="100">
        <f t="shared" si="19"/>
        <v>21224.07764228521</v>
      </c>
      <c r="AB17" s="102" t="s">
        <v>32</v>
      </c>
      <c r="AC17" s="102"/>
      <c r="AD17" s="103">
        <f>SUM(X18:X29)</f>
        <v>4612.492245391828</v>
      </c>
      <c r="AE17" s="8" t="s">
        <v>148</v>
      </c>
      <c r="AI17" s="43"/>
      <c r="AM17" s="43"/>
      <c r="AN17" s="44"/>
    </row>
    <row r="18" spans="2:40" x14ac:dyDescent="0.25">
      <c r="B18" s="106" t="s">
        <v>21</v>
      </c>
      <c r="C18" s="107">
        <f>-AD5-C13</f>
        <v>-3500</v>
      </c>
      <c r="D18" s="91">
        <v>0</v>
      </c>
      <c r="E18" s="38">
        <f t="shared" si="14"/>
        <v>3500</v>
      </c>
      <c r="F18" s="52">
        <f t="shared" ca="1" si="2"/>
        <v>3500</v>
      </c>
      <c r="G18" s="52">
        <f t="shared" ca="1" si="3"/>
        <v>0</v>
      </c>
      <c r="H18" s="38">
        <f t="shared" ca="1" si="15"/>
        <v>0</v>
      </c>
      <c r="I18" s="125"/>
      <c r="J18" s="125"/>
      <c r="K18" s="123"/>
      <c r="M18" s="4">
        <f t="shared" si="7"/>
        <v>13</v>
      </c>
      <c r="N18" s="2" t="s">
        <v>37</v>
      </c>
      <c r="O18" s="3">
        <f t="shared" si="8"/>
        <v>21224.07764228521</v>
      </c>
      <c r="P18" s="3">
        <f t="shared" si="0"/>
        <v>222.85281524399471</v>
      </c>
      <c r="Q18" s="3">
        <f t="shared" si="1"/>
        <v>-1005.0483019441515</v>
      </c>
      <c r="R18" s="3">
        <f t="shared" si="9"/>
        <v>20441.882155585052</v>
      </c>
      <c r="S18" s="19">
        <f>+V1</f>
        <v>24000</v>
      </c>
      <c r="T18" s="19">
        <f t="shared" ref="T18:T53" si="20">+S18*$V$2</f>
        <v>240</v>
      </c>
      <c r="U18" s="19">
        <f t="shared" ref="U18:U53" si="21">-$V$4</f>
        <v>-797.14343550842852</v>
      </c>
      <c r="V18" s="19">
        <f t="shared" ref="V18:V53" si="22">+S18+T18+U18</f>
        <v>23442.856564491572</v>
      </c>
      <c r="W18" s="20">
        <f>+Z17+S18</f>
        <v>45224.077642285207</v>
      </c>
      <c r="X18" s="21">
        <f t="shared" ref="X18:X52" si="23">+P18+T18</f>
        <v>462.85281524399471</v>
      </c>
      <c r="Y18" s="21">
        <f t="shared" ref="Y18:Y52" si="24">+Q18+U18</f>
        <v>-1802.1917374525801</v>
      </c>
      <c r="Z18" s="24">
        <f t="shared" ref="Z18:Z53" si="25">+W18+X18+Y18</f>
        <v>43884.738720076624</v>
      </c>
      <c r="AB18" s="104" t="s">
        <v>49</v>
      </c>
      <c r="AC18" s="104"/>
      <c r="AD18" s="115">
        <f>SUM(Y18:Y29)</f>
        <v>-21626.300849430962</v>
      </c>
      <c r="AE18" s="96" t="s">
        <v>149</v>
      </c>
      <c r="AI18" s="43" t="s">
        <v>10</v>
      </c>
      <c r="AM18" s="51">
        <f>-+AD9</f>
        <v>5000</v>
      </c>
      <c r="AN18" s="44"/>
    </row>
    <row r="19" spans="2:40" x14ac:dyDescent="0.25">
      <c r="E19" s="39"/>
      <c r="F19" s="52">
        <f t="shared" ca="1" si="2"/>
        <v>0</v>
      </c>
      <c r="G19" s="52">
        <f t="shared" ca="1" si="3"/>
        <v>0</v>
      </c>
      <c r="H19" s="39"/>
      <c r="I19" s="122"/>
      <c r="J19" s="122"/>
      <c r="K19" s="124"/>
      <c r="M19" s="4">
        <f t="shared" si="7"/>
        <v>14</v>
      </c>
      <c r="N19" s="2" t="s">
        <v>38</v>
      </c>
      <c r="O19" s="3">
        <f t="shared" si="8"/>
        <v>20441.882155585052</v>
      </c>
      <c r="P19" s="3">
        <f t="shared" si="0"/>
        <v>214.63976263364304</v>
      </c>
      <c r="Q19" s="3">
        <f t="shared" si="1"/>
        <v>-1005.0483019441515</v>
      </c>
      <c r="R19" s="3">
        <f t="shared" si="9"/>
        <v>19651.473616274543</v>
      </c>
      <c r="S19" s="19">
        <f t="shared" ref="S19:S53" si="26">+V18</f>
        <v>23442.856564491572</v>
      </c>
      <c r="T19" s="19">
        <f t="shared" si="20"/>
        <v>234.42856564491572</v>
      </c>
      <c r="U19" s="19">
        <f t="shared" si="21"/>
        <v>-797.14343550842852</v>
      </c>
      <c r="V19" s="19">
        <f t="shared" si="22"/>
        <v>22880.141694628062</v>
      </c>
      <c r="W19" s="22">
        <f t="shared" ref="W19:W52" si="27">+Z18</f>
        <v>43884.738720076624</v>
      </c>
      <c r="X19" s="23">
        <f t="shared" si="23"/>
        <v>449.06832827855874</v>
      </c>
      <c r="Y19" s="23">
        <f t="shared" si="24"/>
        <v>-1802.1917374525801</v>
      </c>
      <c r="Z19" s="24">
        <f t="shared" si="25"/>
        <v>42531.615310902605</v>
      </c>
      <c r="AB19" s="2" t="s">
        <v>16</v>
      </c>
      <c r="AC19" s="2"/>
      <c r="AD19" s="19">
        <f>SUM(AD15:AD18)</f>
        <v>28210.269038246071</v>
      </c>
      <c r="AI19" s="43" t="s">
        <v>29</v>
      </c>
      <c r="AM19" s="43"/>
      <c r="AN19" s="45">
        <f>+C7</f>
        <v>3900</v>
      </c>
    </row>
    <row r="20" spans="2:40" x14ac:dyDescent="0.25">
      <c r="B20" s="7" t="s">
        <v>6</v>
      </c>
      <c r="C20" s="7"/>
      <c r="D20" s="7"/>
      <c r="E20" s="36"/>
      <c r="F20" s="52">
        <f t="shared" ca="1" si="2"/>
        <v>0</v>
      </c>
      <c r="G20" s="52">
        <f t="shared" ca="1" si="3"/>
        <v>0</v>
      </c>
      <c r="H20" s="36"/>
      <c r="I20" s="126"/>
      <c r="J20" s="126"/>
      <c r="K20" s="126"/>
      <c r="M20" s="4">
        <f t="shared" si="7"/>
        <v>15</v>
      </c>
      <c r="N20" s="2" t="s">
        <v>39</v>
      </c>
      <c r="O20" s="3">
        <f t="shared" si="8"/>
        <v>19651.473616274543</v>
      </c>
      <c r="P20" s="3">
        <f t="shared" si="0"/>
        <v>206.3404729708827</v>
      </c>
      <c r="Q20" s="3">
        <f t="shared" si="1"/>
        <v>-1005.0483019441515</v>
      </c>
      <c r="R20" s="3">
        <f t="shared" si="9"/>
        <v>18852.765787301272</v>
      </c>
      <c r="S20" s="19">
        <f t="shared" si="26"/>
        <v>22880.141694628062</v>
      </c>
      <c r="T20" s="19">
        <f t="shared" si="20"/>
        <v>228.80141694628063</v>
      </c>
      <c r="U20" s="19">
        <f t="shared" si="21"/>
        <v>-797.14343550842852</v>
      </c>
      <c r="V20" s="19">
        <f t="shared" si="22"/>
        <v>22311.799676065915</v>
      </c>
      <c r="W20" s="22">
        <f t="shared" si="27"/>
        <v>42531.615310902605</v>
      </c>
      <c r="X20" s="23">
        <f t="shared" si="23"/>
        <v>435.14188991716333</v>
      </c>
      <c r="Y20" s="23">
        <f t="shared" si="24"/>
        <v>-1802.1917374525801</v>
      </c>
      <c r="Z20" s="24">
        <f t="shared" si="25"/>
        <v>41164.565463367187</v>
      </c>
      <c r="AI20" s="46" t="s">
        <v>30</v>
      </c>
      <c r="AJ20" s="47"/>
      <c r="AK20" s="47"/>
      <c r="AL20" s="47"/>
      <c r="AM20" s="46"/>
      <c r="AN20" s="48">
        <f>+AM18-AN19</f>
        <v>1100</v>
      </c>
    </row>
    <row r="21" spans="2:40" x14ac:dyDescent="0.25">
      <c r="E21" s="39"/>
      <c r="F21" s="52">
        <f t="shared" ca="1" si="2"/>
        <v>0</v>
      </c>
      <c r="G21" s="52">
        <f t="shared" ca="1" si="3"/>
        <v>0</v>
      </c>
      <c r="H21" s="39"/>
      <c r="I21" s="122"/>
      <c r="J21" s="122"/>
      <c r="K21" s="124"/>
      <c r="M21" s="4">
        <f t="shared" si="7"/>
        <v>16</v>
      </c>
      <c r="N21" s="2" t="s">
        <v>40</v>
      </c>
      <c r="O21" s="3">
        <f t="shared" si="8"/>
        <v>18852.765787301272</v>
      </c>
      <c r="P21" s="3">
        <f t="shared" si="0"/>
        <v>197.95404076666338</v>
      </c>
      <c r="Q21" s="3">
        <f t="shared" si="1"/>
        <v>-1005.0483019441515</v>
      </c>
      <c r="R21" s="3">
        <f t="shared" si="9"/>
        <v>18045.671526123784</v>
      </c>
      <c r="S21" s="19">
        <f t="shared" si="26"/>
        <v>22311.799676065915</v>
      </c>
      <c r="T21" s="19">
        <f t="shared" si="20"/>
        <v>223.11799676065917</v>
      </c>
      <c r="U21" s="19">
        <f t="shared" si="21"/>
        <v>-797.14343550842852</v>
      </c>
      <c r="V21" s="19">
        <f t="shared" si="22"/>
        <v>21737.774237318146</v>
      </c>
      <c r="W21" s="22">
        <f t="shared" si="27"/>
        <v>41164.565463367187</v>
      </c>
      <c r="X21" s="23">
        <f t="shared" si="23"/>
        <v>421.07203752732255</v>
      </c>
      <c r="Y21" s="23">
        <f t="shared" si="24"/>
        <v>-1802.1917374525801</v>
      </c>
      <c r="Z21" s="24">
        <f t="shared" si="25"/>
        <v>39783.44576344193</v>
      </c>
    </row>
    <row r="22" spans="2:40" x14ac:dyDescent="0.25">
      <c r="B22" t="s">
        <v>13</v>
      </c>
      <c r="C22" s="91">
        <v>-40000</v>
      </c>
      <c r="E22" s="38">
        <f t="shared" ref="E22:E30" si="28">+D22-C22</f>
        <v>40000</v>
      </c>
      <c r="F22" s="52">
        <f t="shared" ca="1" si="2"/>
        <v>0</v>
      </c>
      <c r="G22" s="52">
        <f t="shared" ca="1" si="3"/>
        <v>0</v>
      </c>
      <c r="H22" s="38">
        <f t="shared" ref="H22:H30" ca="1" si="29">+E22+G22-F22</f>
        <v>40000</v>
      </c>
      <c r="I22" s="125"/>
      <c r="J22" s="125"/>
      <c r="K22" s="123"/>
      <c r="M22" s="4">
        <f t="shared" si="7"/>
        <v>17</v>
      </c>
      <c r="N22" s="2" t="s">
        <v>41</v>
      </c>
      <c r="O22" s="3">
        <f t="shared" si="8"/>
        <v>18045.671526123784</v>
      </c>
      <c r="P22" s="3">
        <f t="shared" si="0"/>
        <v>189.47955102429975</v>
      </c>
      <c r="Q22" s="3">
        <f t="shared" si="1"/>
        <v>-1005.0483019441515</v>
      </c>
      <c r="R22" s="3">
        <f t="shared" si="9"/>
        <v>17230.10277520393</v>
      </c>
      <c r="S22" s="19">
        <f t="shared" si="26"/>
        <v>21737.774237318146</v>
      </c>
      <c r="T22" s="19">
        <f t="shared" si="20"/>
        <v>217.37774237318146</v>
      </c>
      <c r="U22" s="19">
        <f t="shared" si="21"/>
        <v>-797.14343550842852</v>
      </c>
      <c r="V22" s="19">
        <f t="shared" si="22"/>
        <v>21158.0085441829</v>
      </c>
      <c r="W22" s="22">
        <f t="shared" si="27"/>
        <v>39783.44576344193</v>
      </c>
      <c r="X22" s="23">
        <f t="shared" si="23"/>
        <v>406.85729339748121</v>
      </c>
      <c r="Y22" s="23">
        <f t="shared" si="24"/>
        <v>-1802.1917374525801</v>
      </c>
      <c r="Z22" s="24">
        <f t="shared" si="25"/>
        <v>38388.11131938683</v>
      </c>
    </row>
    <row r="23" spans="2:40" x14ac:dyDescent="0.25">
      <c r="B23" t="s">
        <v>14</v>
      </c>
      <c r="C23" s="89">
        <v>8000</v>
      </c>
      <c r="E23" s="38">
        <f t="shared" si="28"/>
        <v>-8000</v>
      </c>
      <c r="F23" s="52">
        <f t="shared" ca="1" si="2"/>
        <v>0</v>
      </c>
      <c r="G23" s="52">
        <f t="shared" ca="1" si="3"/>
        <v>0</v>
      </c>
      <c r="H23" s="38">
        <f t="shared" ca="1" si="29"/>
        <v>-8000</v>
      </c>
      <c r="I23" s="125"/>
      <c r="J23" s="125"/>
      <c r="K23" s="123"/>
      <c r="M23" s="4">
        <f t="shared" si="7"/>
        <v>18</v>
      </c>
      <c r="N23" s="2" t="s">
        <v>42</v>
      </c>
      <c r="O23" s="3">
        <f t="shared" si="8"/>
        <v>17230.10277520393</v>
      </c>
      <c r="P23" s="3">
        <f t="shared" si="0"/>
        <v>180.91607913964128</v>
      </c>
      <c r="Q23" s="3">
        <f t="shared" si="1"/>
        <v>-1005.0483019441515</v>
      </c>
      <c r="R23" s="3">
        <f t="shared" si="9"/>
        <v>16405.97055239942</v>
      </c>
      <c r="S23" s="19">
        <f t="shared" si="26"/>
        <v>21158.0085441829</v>
      </c>
      <c r="T23" s="19">
        <f t="shared" si="20"/>
        <v>211.580085441829</v>
      </c>
      <c r="U23" s="19">
        <f t="shared" si="21"/>
        <v>-797.14343550842852</v>
      </c>
      <c r="V23" s="19">
        <f t="shared" si="22"/>
        <v>20572.445194116302</v>
      </c>
      <c r="W23" s="22">
        <f t="shared" si="27"/>
        <v>38388.11131938683</v>
      </c>
      <c r="X23" s="23">
        <f t="shared" si="23"/>
        <v>392.49616458147028</v>
      </c>
      <c r="Y23" s="23">
        <f t="shared" si="24"/>
        <v>-1802.1917374525801</v>
      </c>
      <c r="Z23" s="24">
        <f t="shared" si="25"/>
        <v>36978.415746515719</v>
      </c>
      <c r="AB23" t="s">
        <v>153</v>
      </c>
      <c r="AD23" s="1">
        <f>-AD17</f>
        <v>-4612.492245391828</v>
      </c>
      <c r="AE23" s="8" t="s">
        <v>155</v>
      </c>
    </row>
    <row r="24" spans="2:40" x14ac:dyDescent="0.25">
      <c r="E24" s="38"/>
      <c r="F24" s="52">
        <f t="shared" ca="1" si="2"/>
        <v>0</v>
      </c>
      <c r="G24" s="52">
        <f t="shared" ca="1" si="3"/>
        <v>0</v>
      </c>
      <c r="H24" s="38"/>
      <c r="I24" s="125"/>
      <c r="J24" s="125"/>
      <c r="K24" s="123"/>
      <c r="M24" s="4">
        <f t="shared" si="7"/>
        <v>19</v>
      </c>
      <c r="N24" s="2" t="s">
        <v>43</v>
      </c>
      <c r="O24" s="3">
        <f t="shared" si="8"/>
        <v>16405.97055239942</v>
      </c>
      <c r="P24" s="3">
        <f t="shared" si="0"/>
        <v>172.26269080019392</v>
      </c>
      <c r="Q24" s="3">
        <f t="shared" si="1"/>
        <v>-1005.0483019441515</v>
      </c>
      <c r="R24" s="3">
        <f t="shared" si="9"/>
        <v>15573.184941255464</v>
      </c>
      <c r="S24" s="19">
        <f t="shared" si="26"/>
        <v>20572.445194116302</v>
      </c>
      <c r="T24" s="19">
        <f t="shared" si="20"/>
        <v>205.72445194116304</v>
      </c>
      <c r="U24" s="19">
        <f t="shared" si="21"/>
        <v>-797.14343550842852</v>
      </c>
      <c r="V24" s="19">
        <f t="shared" si="22"/>
        <v>19981.026210549036</v>
      </c>
      <c r="W24" s="22">
        <f t="shared" si="27"/>
        <v>36978.415746515719</v>
      </c>
      <c r="X24" s="23">
        <f t="shared" si="23"/>
        <v>377.98714274135693</v>
      </c>
      <c r="Y24" s="23">
        <f t="shared" si="24"/>
        <v>-1802.1917374525801</v>
      </c>
      <c r="Z24" s="24">
        <f t="shared" si="25"/>
        <v>35554.211151804499</v>
      </c>
      <c r="AB24" t="s">
        <v>154</v>
      </c>
      <c r="AD24" s="1">
        <f>+AD18+AD17</f>
        <v>-17013.808604039135</v>
      </c>
      <c r="AE24" s="8" t="s">
        <v>155</v>
      </c>
    </row>
    <row r="25" spans="2:40" x14ac:dyDescent="0.25">
      <c r="B25" s="106" t="s">
        <v>24</v>
      </c>
      <c r="C25" s="108">
        <f>-AD6</f>
        <v>7000</v>
      </c>
      <c r="E25" s="38">
        <f t="shared" si="28"/>
        <v>-7000</v>
      </c>
      <c r="F25" s="52">
        <f t="shared" ca="1" si="2"/>
        <v>0</v>
      </c>
      <c r="G25" s="52">
        <f t="shared" ca="1" si="3"/>
        <v>7000</v>
      </c>
      <c r="H25" s="38">
        <f t="shared" ca="1" si="29"/>
        <v>0</v>
      </c>
      <c r="I25" s="125"/>
      <c r="J25" s="125"/>
      <c r="K25" s="123"/>
      <c r="M25" s="4">
        <f t="shared" si="7"/>
        <v>20</v>
      </c>
      <c r="N25" s="2" t="s">
        <v>44</v>
      </c>
      <c r="O25" s="3">
        <f t="shared" si="8"/>
        <v>15573.184941255464</v>
      </c>
      <c r="P25" s="3">
        <f t="shared" si="0"/>
        <v>163.51844188318239</v>
      </c>
      <c r="Q25" s="3">
        <f t="shared" si="1"/>
        <v>-1005.0483019441515</v>
      </c>
      <c r="R25" s="3">
        <f t="shared" si="9"/>
        <v>14731.655081194496</v>
      </c>
      <c r="S25" s="19">
        <f t="shared" si="26"/>
        <v>19981.026210549036</v>
      </c>
      <c r="T25" s="19">
        <f t="shared" si="20"/>
        <v>199.81026210549038</v>
      </c>
      <c r="U25" s="19">
        <f t="shared" si="21"/>
        <v>-797.14343550842852</v>
      </c>
      <c r="V25" s="19">
        <f t="shared" si="22"/>
        <v>19383.693037146099</v>
      </c>
      <c r="W25" s="22">
        <f t="shared" si="27"/>
        <v>35554.211151804499</v>
      </c>
      <c r="X25" s="23">
        <f t="shared" si="23"/>
        <v>363.32870398867277</v>
      </c>
      <c r="Y25" s="23">
        <f t="shared" si="24"/>
        <v>-1802.1917374525801</v>
      </c>
      <c r="Z25" s="24">
        <f t="shared" si="25"/>
        <v>34115.348118340589</v>
      </c>
      <c r="AB25" s="119"/>
      <c r="AC25" s="119"/>
      <c r="AD25" s="120">
        <f>+AD23+AD24</f>
        <v>-21626.300849430962</v>
      </c>
    </row>
    <row r="26" spans="2:40" x14ac:dyDescent="0.25">
      <c r="B26" s="106" t="s">
        <v>54</v>
      </c>
      <c r="C26" s="108">
        <f>-AD7</f>
        <v>1000</v>
      </c>
      <c r="E26" s="38">
        <f t="shared" si="28"/>
        <v>-1000</v>
      </c>
      <c r="F26" s="52">
        <f t="shared" ca="1" si="2"/>
        <v>0</v>
      </c>
      <c r="G26" s="52">
        <f t="shared" ca="1" si="3"/>
        <v>0</v>
      </c>
      <c r="H26" s="38">
        <f t="shared" ca="1" si="29"/>
        <v>-1000</v>
      </c>
      <c r="I26" s="125"/>
      <c r="J26" s="125"/>
      <c r="K26" s="123"/>
      <c r="M26" s="4">
        <f t="shared" si="7"/>
        <v>21</v>
      </c>
      <c r="N26" s="2" t="s">
        <v>45</v>
      </c>
      <c r="O26" s="3">
        <f t="shared" si="8"/>
        <v>14731.655081194496</v>
      </c>
      <c r="P26" s="3">
        <f t="shared" si="0"/>
        <v>154.68237835254223</v>
      </c>
      <c r="Q26" s="3">
        <f t="shared" si="1"/>
        <v>-1005.0483019441515</v>
      </c>
      <c r="R26" s="3">
        <f t="shared" si="9"/>
        <v>13881.289157602887</v>
      </c>
      <c r="S26" s="19">
        <f t="shared" si="26"/>
        <v>19383.693037146099</v>
      </c>
      <c r="T26" s="19">
        <f t="shared" si="20"/>
        <v>193.83693037146099</v>
      </c>
      <c r="U26" s="19">
        <f t="shared" si="21"/>
        <v>-797.14343550842852</v>
      </c>
      <c r="V26" s="19">
        <f t="shared" si="22"/>
        <v>18780.386532009132</v>
      </c>
      <c r="W26" s="22">
        <f t="shared" si="27"/>
        <v>34115.348118340589</v>
      </c>
      <c r="X26" s="23">
        <f t="shared" si="23"/>
        <v>348.51930872400322</v>
      </c>
      <c r="Y26" s="23">
        <f t="shared" si="24"/>
        <v>-1802.1917374525801</v>
      </c>
      <c r="Z26" s="24">
        <f t="shared" si="25"/>
        <v>32661.675689612013</v>
      </c>
    </row>
    <row r="27" spans="2:40" x14ac:dyDescent="0.25">
      <c r="B27" s="2" t="s">
        <v>55</v>
      </c>
      <c r="C27" s="109">
        <v>-900</v>
      </c>
      <c r="E27" s="38">
        <f t="shared" si="28"/>
        <v>900</v>
      </c>
      <c r="F27" s="52">
        <f t="shared" ca="1" si="2"/>
        <v>0</v>
      </c>
      <c r="G27" s="52">
        <f t="shared" ca="1" si="3"/>
        <v>1000</v>
      </c>
      <c r="H27" s="38">
        <f t="shared" ca="1" si="29"/>
        <v>1900</v>
      </c>
      <c r="I27" s="125"/>
      <c r="J27" s="125"/>
      <c r="K27" s="123"/>
      <c r="M27" s="4">
        <f t="shared" si="7"/>
        <v>22</v>
      </c>
      <c r="N27" s="2" t="s">
        <v>46</v>
      </c>
      <c r="O27" s="3">
        <f t="shared" si="8"/>
        <v>13881.289157602887</v>
      </c>
      <c r="P27" s="3">
        <f t="shared" si="0"/>
        <v>145.75353615483033</v>
      </c>
      <c r="Q27" s="3">
        <f t="shared" si="1"/>
        <v>-1005.0483019441515</v>
      </c>
      <c r="R27" s="3">
        <f t="shared" si="9"/>
        <v>13021.994391813567</v>
      </c>
      <c r="S27" s="19">
        <f t="shared" si="26"/>
        <v>18780.386532009132</v>
      </c>
      <c r="T27" s="19">
        <f t="shared" si="20"/>
        <v>187.80386532009132</v>
      </c>
      <c r="U27" s="19">
        <f t="shared" si="21"/>
        <v>-797.14343550842852</v>
      </c>
      <c r="V27" s="19">
        <f t="shared" si="22"/>
        <v>18171.046961820797</v>
      </c>
      <c r="W27" s="22">
        <f t="shared" si="27"/>
        <v>32661.675689612013</v>
      </c>
      <c r="X27" s="23">
        <f t="shared" si="23"/>
        <v>333.55740147492168</v>
      </c>
      <c r="Y27" s="23">
        <f t="shared" si="24"/>
        <v>-1802.1917374525801</v>
      </c>
      <c r="Z27" s="24">
        <f t="shared" si="25"/>
        <v>31193.041353634355</v>
      </c>
    </row>
    <row r="28" spans="2:40" x14ac:dyDescent="0.25">
      <c r="B28" s="106" t="s">
        <v>28</v>
      </c>
      <c r="C28" s="108">
        <f>-AD8</f>
        <v>3000</v>
      </c>
      <c r="E28" s="38">
        <f t="shared" si="28"/>
        <v>-3000</v>
      </c>
      <c r="F28" s="52">
        <f t="shared" ca="1" si="2"/>
        <v>0</v>
      </c>
      <c r="G28" s="52">
        <f t="shared" ca="1" si="3"/>
        <v>3000</v>
      </c>
      <c r="H28" s="38">
        <f t="shared" ca="1" si="29"/>
        <v>0</v>
      </c>
      <c r="I28" s="125"/>
      <c r="J28" s="125"/>
      <c r="K28" s="123"/>
      <c r="M28" s="4">
        <f t="shared" si="7"/>
        <v>23</v>
      </c>
      <c r="N28" s="2" t="s">
        <v>47</v>
      </c>
      <c r="O28" s="3">
        <f t="shared" si="8"/>
        <v>13021.994391813567</v>
      </c>
      <c r="P28" s="3">
        <f t="shared" si="0"/>
        <v>136.73094111404245</v>
      </c>
      <c r="Q28" s="3">
        <f t="shared" si="1"/>
        <v>-1005.0483019441515</v>
      </c>
      <c r="R28" s="3">
        <f t="shared" si="9"/>
        <v>12153.677030983459</v>
      </c>
      <c r="S28" s="19">
        <f t="shared" si="26"/>
        <v>18171.046961820797</v>
      </c>
      <c r="T28" s="19">
        <f t="shared" si="20"/>
        <v>181.71046961820798</v>
      </c>
      <c r="U28" s="19">
        <f t="shared" si="21"/>
        <v>-797.14343550842852</v>
      </c>
      <c r="V28" s="19">
        <f t="shared" si="22"/>
        <v>17555.613995930576</v>
      </c>
      <c r="W28" s="22">
        <f t="shared" si="27"/>
        <v>31193.041353634355</v>
      </c>
      <c r="X28" s="23">
        <f t="shared" si="23"/>
        <v>318.44141073225046</v>
      </c>
      <c r="Y28" s="23">
        <f t="shared" si="24"/>
        <v>-1802.1917374525801</v>
      </c>
      <c r="Z28" s="24">
        <f t="shared" si="25"/>
        <v>29709.291026914027</v>
      </c>
    </row>
    <row r="29" spans="2:40" x14ac:dyDescent="0.25">
      <c r="B29" s="106" t="s">
        <v>30</v>
      </c>
      <c r="C29" s="108">
        <v>1100</v>
      </c>
      <c r="E29" s="38">
        <f t="shared" si="28"/>
        <v>-1100</v>
      </c>
      <c r="F29" s="52">
        <f t="shared" ca="1" si="2"/>
        <v>0</v>
      </c>
      <c r="G29" s="52">
        <f t="shared" ca="1" si="3"/>
        <v>1100</v>
      </c>
      <c r="H29" s="38">
        <f t="shared" ca="1" si="29"/>
        <v>0</v>
      </c>
      <c r="I29" s="125"/>
      <c r="J29" s="125"/>
      <c r="K29" s="123"/>
      <c r="M29" s="4">
        <f t="shared" si="7"/>
        <v>24</v>
      </c>
      <c r="N29" s="2" t="s">
        <v>48</v>
      </c>
      <c r="O29" s="3">
        <f t="shared" si="8"/>
        <v>12153.677030983459</v>
      </c>
      <c r="P29" s="3">
        <f t="shared" si="0"/>
        <v>127.61360882532632</v>
      </c>
      <c r="Q29" s="3">
        <f t="shared" si="1"/>
        <v>-1005.0483019441515</v>
      </c>
      <c r="R29" s="3">
        <f t="shared" si="9"/>
        <v>11276.242337864634</v>
      </c>
      <c r="S29" s="19">
        <f t="shared" si="26"/>
        <v>17555.613995930576</v>
      </c>
      <c r="T29" s="19">
        <f t="shared" si="20"/>
        <v>175.55613995930577</v>
      </c>
      <c r="U29" s="19">
        <f t="shared" si="21"/>
        <v>-797.14343550842852</v>
      </c>
      <c r="V29" s="19">
        <f t="shared" si="22"/>
        <v>16934.026700381455</v>
      </c>
      <c r="W29" s="25">
        <f t="shared" si="27"/>
        <v>29709.291026914027</v>
      </c>
      <c r="X29" s="26">
        <f t="shared" si="23"/>
        <v>303.16974878463208</v>
      </c>
      <c r="Y29" s="26">
        <f t="shared" si="24"/>
        <v>-1802.1917374525801</v>
      </c>
      <c r="Z29" s="101">
        <f t="shared" si="25"/>
        <v>28210.269038246079</v>
      </c>
    </row>
    <row r="30" spans="2:40" x14ac:dyDescent="0.25">
      <c r="B30" s="106" t="s">
        <v>50</v>
      </c>
      <c r="C30" s="108">
        <f>+AD17</f>
        <v>4612.492245391828</v>
      </c>
      <c r="E30" s="38">
        <f t="shared" si="28"/>
        <v>-4612.492245391828</v>
      </c>
      <c r="F30" s="52">
        <f t="shared" ca="1" si="2"/>
        <v>0</v>
      </c>
      <c r="G30" s="52">
        <f t="shared" ca="1" si="3"/>
        <v>0</v>
      </c>
      <c r="H30" s="38">
        <f t="shared" ca="1" si="29"/>
        <v>-4612.492245391828</v>
      </c>
      <c r="I30" s="125"/>
      <c r="J30" s="125"/>
      <c r="K30" s="123">
        <f ca="1">+H30</f>
        <v>-4612.492245391828</v>
      </c>
      <c r="M30" s="4">
        <f t="shared" si="7"/>
        <v>25</v>
      </c>
      <c r="N30" t="s">
        <v>37</v>
      </c>
      <c r="O30" s="1">
        <f t="shared" si="8"/>
        <v>11276.242337864634</v>
      </c>
      <c r="P30" s="1">
        <f t="shared" si="0"/>
        <v>118.40054454757868</v>
      </c>
      <c r="Q30" s="1">
        <f t="shared" si="1"/>
        <v>-1005.0483019441515</v>
      </c>
      <c r="R30" s="1">
        <f t="shared" si="9"/>
        <v>10389.594580468063</v>
      </c>
      <c r="S30" s="1">
        <f t="shared" si="26"/>
        <v>16934.026700381455</v>
      </c>
      <c r="T30" s="1">
        <f t="shared" si="20"/>
        <v>169.34026700381455</v>
      </c>
      <c r="U30" s="1">
        <f t="shared" si="21"/>
        <v>-797.14343550842852</v>
      </c>
      <c r="V30" s="1">
        <f t="shared" si="22"/>
        <v>16306.223531876842</v>
      </c>
      <c r="W30" s="1">
        <f t="shared" si="27"/>
        <v>28210.269038246079</v>
      </c>
      <c r="X30" s="1">
        <f t="shared" si="23"/>
        <v>287.74081155139322</v>
      </c>
      <c r="Y30" s="1">
        <f t="shared" si="24"/>
        <v>-1802.1917374525801</v>
      </c>
      <c r="Z30" s="1">
        <f t="shared" si="25"/>
        <v>26695.818112344892</v>
      </c>
    </row>
    <row r="31" spans="2:40" x14ac:dyDescent="0.25">
      <c r="B31" s="31"/>
      <c r="C31" s="32">
        <f t="shared" ref="C31:K31" si="30">SUM(C6:C30)</f>
        <v>0.22320714575653255</v>
      </c>
      <c r="D31" s="32">
        <f t="shared" si="30"/>
        <v>-7.7642285206820816E-2</v>
      </c>
      <c r="E31" s="37">
        <f t="shared" si="30"/>
        <v>-0.30084943096699135</v>
      </c>
      <c r="F31" s="37">
        <f t="shared" ca="1" si="30"/>
        <v>45000</v>
      </c>
      <c r="G31" s="37">
        <f t="shared" ca="1" si="30"/>
        <v>45000</v>
      </c>
      <c r="H31" s="37">
        <f t="shared" ca="1" si="30"/>
        <v>-0.30084943096699135</v>
      </c>
      <c r="I31" s="121">
        <f t="shared" ca="1" si="30"/>
        <v>-10000</v>
      </c>
      <c r="J31" s="121">
        <f t="shared" ca="1" si="30"/>
        <v>-17013.808604039139</v>
      </c>
      <c r="K31" s="121">
        <f t="shared" ca="1" si="30"/>
        <v>-4612.492245391828</v>
      </c>
      <c r="M31" s="4">
        <f t="shared" si="7"/>
        <v>26</v>
      </c>
      <c r="N31" t="s">
        <v>38</v>
      </c>
      <c r="O31" s="1">
        <f t="shared" si="8"/>
        <v>10389.594580468063</v>
      </c>
      <c r="P31" s="1">
        <f t="shared" si="0"/>
        <v>109.09074309491467</v>
      </c>
      <c r="Q31" s="1">
        <f t="shared" si="1"/>
        <v>-1005.0483019441515</v>
      </c>
      <c r="R31" s="1">
        <f t="shared" si="9"/>
        <v>9493.6370216188279</v>
      </c>
      <c r="S31" s="1">
        <f t="shared" si="26"/>
        <v>16306.223531876842</v>
      </c>
      <c r="T31" s="1">
        <f t="shared" si="20"/>
        <v>163.06223531876842</v>
      </c>
      <c r="U31" s="1">
        <f t="shared" si="21"/>
        <v>-797.14343550842852</v>
      </c>
      <c r="V31" s="1">
        <f t="shared" si="22"/>
        <v>15672.142331687182</v>
      </c>
      <c r="W31" s="1">
        <f t="shared" si="27"/>
        <v>26695.818112344892</v>
      </c>
      <c r="X31" s="1">
        <f t="shared" si="23"/>
        <v>272.15297841368306</v>
      </c>
      <c r="Y31" s="1">
        <f t="shared" si="24"/>
        <v>-1802.1917374525801</v>
      </c>
      <c r="Z31" s="1">
        <f t="shared" si="25"/>
        <v>25165.779353305996</v>
      </c>
    </row>
    <row r="32" spans="2:40" x14ac:dyDescent="0.25">
      <c r="I32" s="91">
        <f>-+AD3</f>
        <v>-10000</v>
      </c>
      <c r="J32" s="91"/>
      <c r="K32" s="91">
        <f>+AD18</f>
        <v>-21626.300849430962</v>
      </c>
      <c r="M32" s="4">
        <f t="shared" si="7"/>
        <v>27</v>
      </c>
      <c r="N32" t="s">
        <v>39</v>
      </c>
      <c r="O32" s="1">
        <f t="shared" si="8"/>
        <v>9493.6370216188279</v>
      </c>
      <c r="P32" s="1">
        <f t="shared" si="0"/>
        <v>99.683188726997699</v>
      </c>
      <c r="Q32" s="1">
        <f t="shared" si="1"/>
        <v>-1005.0483019441515</v>
      </c>
      <c r="R32" s="1">
        <f t="shared" si="9"/>
        <v>8588.2719084016753</v>
      </c>
      <c r="S32" s="1">
        <f t="shared" si="26"/>
        <v>15672.142331687182</v>
      </c>
      <c r="T32" s="1">
        <f t="shared" si="20"/>
        <v>156.72142331687184</v>
      </c>
      <c r="U32" s="1">
        <f t="shared" si="21"/>
        <v>-797.14343550842852</v>
      </c>
      <c r="V32" s="1">
        <f t="shared" si="22"/>
        <v>15031.720319495626</v>
      </c>
      <c r="W32" s="1">
        <f t="shared" si="27"/>
        <v>25165.779353305996</v>
      </c>
      <c r="X32" s="1">
        <f t="shared" si="23"/>
        <v>256.40461204386952</v>
      </c>
      <c r="Y32" s="1">
        <f t="shared" si="24"/>
        <v>-1802.1917374525801</v>
      </c>
      <c r="Z32" s="1">
        <f t="shared" si="25"/>
        <v>23619.992227897284</v>
      </c>
    </row>
    <row r="33" spans="9:26" x14ac:dyDescent="0.25">
      <c r="I33" s="8" t="s">
        <v>152</v>
      </c>
      <c r="J33" s="8"/>
      <c r="K33" s="91">
        <f ca="1">+J31+K31</f>
        <v>-21626.300849430969</v>
      </c>
      <c r="M33" s="4">
        <f t="shared" si="7"/>
        <v>28</v>
      </c>
      <c r="N33" t="s">
        <v>40</v>
      </c>
      <c r="O33" s="1">
        <f t="shared" si="8"/>
        <v>8588.2719084016753</v>
      </c>
      <c r="P33" s="1">
        <f t="shared" si="0"/>
        <v>90.176855038217596</v>
      </c>
      <c r="Q33" s="1">
        <f t="shared" si="1"/>
        <v>-1005.0483019441515</v>
      </c>
      <c r="R33" s="1">
        <f t="shared" si="9"/>
        <v>7673.4004614957421</v>
      </c>
      <c r="S33" s="1">
        <f t="shared" si="26"/>
        <v>15031.720319495626</v>
      </c>
      <c r="T33" s="1">
        <f t="shared" si="20"/>
        <v>150.31720319495625</v>
      </c>
      <c r="U33" s="1">
        <f t="shared" si="21"/>
        <v>-797.14343550842852</v>
      </c>
      <c r="V33" s="1">
        <f t="shared" si="22"/>
        <v>14384.894087182152</v>
      </c>
      <c r="W33" s="1">
        <f t="shared" si="27"/>
        <v>23619.992227897284</v>
      </c>
      <c r="X33" s="1">
        <f t="shared" si="23"/>
        <v>240.49405823317386</v>
      </c>
      <c r="Y33" s="1">
        <f t="shared" si="24"/>
        <v>-1802.1917374525801</v>
      </c>
      <c r="Z33" s="1">
        <f t="shared" si="25"/>
        <v>22058.294548677877</v>
      </c>
    </row>
    <row r="34" spans="9:26" x14ac:dyDescent="0.25">
      <c r="M34" s="4">
        <f t="shared" si="7"/>
        <v>29</v>
      </c>
      <c r="N34" t="s">
        <v>41</v>
      </c>
      <c r="O34" s="1">
        <f t="shared" si="8"/>
        <v>7673.4004614957421</v>
      </c>
      <c r="P34" s="1">
        <f t="shared" si="0"/>
        <v>80.570704845705293</v>
      </c>
      <c r="Q34" s="1">
        <f t="shared" si="1"/>
        <v>-1005.0483019441515</v>
      </c>
      <c r="R34" s="1">
        <f t="shared" si="9"/>
        <v>6748.9228643972956</v>
      </c>
      <c r="S34" s="1">
        <f t="shared" si="26"/>
        <v>14384.894087182152</v>
      </c>
      <c r="T34" s="1">
        <f t="shared" si="20"/>
        <v>143.84894087182153</v>
      </c>
      <c r="U34" s="1">
        <f t="shared" si="21"/>
        <v>-797.14343550842852</v>
      </c>
      <c r="V34" s="1">
        <f t="shared" si="22"/>
        <v>13731.599592545545</v>
      </c>
      <c r="W34" s="1">
        <f t="shared" si="27"/>
        <v>22058.294548677877</v>
      </c>
      <c r="X34" s="1">
        <f t="shared" si="23"/>
        <v>224.41964571752681</v>
      </c>
      <c r="Y34" s="1">
        <f t="shared" si="24"/>
        <v>-1802.1917374525801</v>
      </c>
      <c r="Z34" s="1">
        <f t="shared" si="25"/>
        <v>20480.522456942825</v>
      </c>
    </row>
    <row r="35" spans="9:26" x14ac:dyDescent="0.25">
      <c r="M35" s="4">
        <f t="shared" si="7"/>
        <v>30</v>
      </c>
      <c r="N35" t="s">
        <v>42</v>
      </c>
      <c r="O35" s="1">
        <f t="shared" si="8"/>
        <v>6748.9228643972956</v>
      </c>
      <c r="P35" s="1">
        <f t="shared" si="0"/>
        <v>70.863690076171608</v>
      </c>
      <c r="Q35" s="1">
        <f t="shared" si="1"/>
        <v>-1005.0483019441515</v>
      </c>
      <c r="R35" s="1">
        <f t="shared" si="9"/>
        <v>5814.7382525293151</v>
      </c>
      <c r="S35" s="1">
        <f t="shared" si="26"/>
        <v>13731.599592545545</v>
      </c>
      <c r="T35" s="1">
        <f t="shared" si="20"/>
        <v>137.31599592545544</v>
      </c>
      <c r="U35" s="1">
        <f t="shared" si="21"/>
        <v>-797.14343550842852</v>
      </c>
      <c r="V35" s="1">
        <f t="shared" si="22"/>
        <v>13071.772152962571</v>
      </c>
      <c r="W35" s="1">
        <f t="shared" si="27"/>
        <v>20480.522456942825</v>
      </c>
      <c r="X35" s="1">
        <f t="shared" si="23"/>
        <v>208.17968600162703</v>
      </c>
      <c r="Y35" s="1">
        <f t="shared" si="24"/>
        <v>-1802.1917374525801</v>
      </c>
      <c r="Z35" s="1">
        <f t="shared" si="25"/>
        <v>18886.51040549187</v>
      </c>
    </row>
    <row r="36" spans="9:26" x14ac:dyDescent="0.25">
      <c r="M36" s="4">
        <f t="shared" si="7"/>
        <v>31</v>
      </c>
      <c r="N36" t="s">
        <v>43</v>
      </c>
      <c r="O36" s="1">
        <f t="shared" si="8"/>
        <v>5814.7382525293151</v>
      </c>
      <c r="P36" s="1">
        <f t="shared" si="0"/>
        <v>61.054751651557815</v>
      </c>
      <c r="Q36" s="1">
        <f t="shared" si="1"/>
        <v>-1005.0483019441515</v>
      </c>
      <c r="R36" s="1">
        <f t="shared" si="9"/>
        <v>4870.7447022367214</v>
      </c>
      <c r="S36" s="1">
        <f t="shared" si="26"/>
        <v>13071.772152962571</v>
      </c>
      <c r="T36" s="1">
        <f t="shared" si="20"/>
        <v>130.71772152962572</v>
      </c>
      <c r="U36" s="1">
        <f t="shared" si="21"/>
        <v>-797.14343550842852</v>
      </c>
      <c r="V36" s="1">
        <f t="shared" si="22"/>
        <v>12405.346438983766</v>
      </c>
      <c r="W36" s="1">
        <f t="shared" si="27"/>
        <v>18886.51040549187</v>
      </c>
      <c r="X36" s="1">
        <f t="shared" si="23"/>
        <v>191.77247318118353</v>
      </c>
      <c r="Y36" s="1">
        <f t="shared" si="24"/>
        <v>-1802.1917374525801</v>
      </c>
      <c r="Z36" s="1">
        <f t="shared" si="25"/>
        <v>17276.091141220473</v>
      </c>
    </row>
    <row r="37" spans="9:26" x14ac:dyDescent="0.25">
      <c r="M37" s="4">
        <f t="shared" si="7"/>
        <v>32</v>
      </c>
      <c r="N37" t="s">
        <v>44</v>
      </c>
      <c r="O37" s="1">
        <f t="shared" si="8"/>
        <v>4870.7447022367214</v>
      </c>
      <c r="P37" s="1">
        <f t="shared" si="0"/>
        <v>51.14281937348558</v>
      </c>
      <c r="Q37" s="1">
        <f t="shared" si="1"/>
        <v>-1005.0483019441515</v>
      </c>
      <c r="R37" s="1">
        <f t="shared" si="9"/>
        <v>3916.8392196660552</v>
      </c>
      <c r="S37" s="1">
        <f t="shared" si="26"/>
        <v>12405.346438983766</v>
      </c>
      <c r="T37" s="1">
        <f t="shared" si="20"/>
        <v>124.05346438983767</v>
      </c>
      <c r="U37" s="1">
        <f t="shared" si="21"/>
        <v>-797.14343550842852</v>
      </c>
      <c r="V37" s="1">
        <f t="shared" si="22"/>
        <v>11732.256467865174</v>
      </c>
      <c r="W37" s="1">
        <f t="shared" si="27"/>
        <v>17276.091141220473</v>
      </c>
      <c r="X37" s="1">
        <f t="shared" si="23"/>
        <v>175.19628376332327</v>
      </c>
      <c r="Y37" s="1">
        <f t="shared" si="24"/>
        <v>-1802.1917374525801</v>
      </c>
      <c r="Z37" s="1">
        <f t="shared" si="25"/>
        <v>15649.095687531215</v>
      </c>
    </row>
    <row r="38" spans="9:26" x14ac:dyDescent="0.25">
      <c r="M38" s="4">
        <f t="shared" si="7"/>
        <v>33</v>
      </c>
      <c r="N38" t="s">
        <v>45</v>
      </c>
      <c r="O38" s="1">
        <f t="shared" si="8"/>
        <v>3916.8392196660552</v>
      </c>
      <c r="P38" s="1">
        <f t="shared" si="0"/>
        <v>41.126811806493585</v>
      </c>
      <c r="Q38" s="1">
        <f t="shared" si="1"/>
        <v>-1005.0483019441515</v>
      </c>
      <c r="R38" s="1">
        <f t="shared" si="9"/>
        <v>2952.9177295283971</v>
      </c>
      <c r="S38" s="1">
        <f t="shared" si="26"/>
        <v>11732.256467865174</v>
      </c>
      <c r="T38" s="1">
        <f t="shared" si="20"/>
        <v>117.32256467865174</v>
      </c>
      <c r="U38" s="1">
        <f t="shared" si="21"/>
        <v>-797.14343550842852</v>
      </c>
      <c r="V38" s="1">
        <f t="shared" si="22"/>
        <v>11052.435597035397</v>
      </c>
      <c r="W38" s="1">
        <f t="shared" si="27"/>
        <v>15649.095687531215</v>
      </c>
      <c r="X38" s="1">
        <f t="shared" si="23"/>
        <v>158.44937648514534</v>
      </c>
      <c r="Y38" s="1">
        <f t="shared" si="24"/>
        <v>-1802.1917374525801</v>
      </c>
      <c r="Z38" s="1">
        <f t="shared" si="25"/>
        <v>14005.35332656378</v>
      </c>
    </row>
    <row r="39" spans="9:26" x14ac:dyDescent="0.25">
      <c r="M39" s="4">
        <f t="shared" si="7"/>
        <v>34</v>
      </c>
      <c r="N39" t="s">
        <v>46</v>
      </c>
      <c r="O39" s="1">
        <f t="shared" si="8"/>
        <v>2952.9177295283971</v>
      </c>
      <c r="P39" s="1">
        <f t="shared" si="0"/>
        <v>31.005636160048173</v>
      </c>
      <c r="Q39" s="1">
        <f t="shared" si="1"/>
        <v>-1005.0483019441515</v>
      </c>
      <c r="R39" s="1">
        <f t="shared" si="9"/>
        <v>1978.8750637442938</v>
      </c>
      <c r="S39" s="1">
        <f t="shared" si="26"/>
        <v>11052.435597035397</v>
      </c>
      <c r="T39" s="1">
        <f t="shared" si="20"/>
        <v>110.52435597035398</v>
      </c>
      <c r="U39" s="1">
        <f t="shared" si="21"/>
        <v>-797.14343550842852</v>
      </c>
      <c r="V39" s="1">
        <f t="shared" si="22"/>
        <v>10365.816517497322</v>
      </c>
      <c r="W39" s="1">
        <f t="shared" si="27"/>
        <v>14005.35332656378</v>
      </c>
      <c r="X39" s="1">
        <f t="shared" si="23"/>
        <v>141.52999213040215</v>
      </c>
      <c r="Y39" s="1">
        <f t="shared" si="24"/>
        <v>-1802.1917374525801</v>
      </c>
      <c r="Z39" s="1">
        <f t="shared" si="25"/>
        <v>12344.691581241601</v>
      </c>
    </row>
    <row r="40" spans="9:26" x14ac:dyDescent="0.25">
      <c r="M40" s="4">
        <f t="shared" si="7"/>
        <v>35</v>
      </c>
      <c r="N40" t="s">
        <v>47</v>
      </c>
      <c r="O40" s="1">
        <f t="shared" si="8"/>
        <v>1978.8750637442938</v>
      </c>
      <c r="P40" s="1">
        <f t="shared" si="0"/>
        <v>20.778188169315086</v>
      </c>
      <c r="Q40" s="1">
        <f t="shared" si="1"/>
        <v>-1005.0483019441515</v>
      </c>
      <c r="R40" s="1">
        <f t="shared" si="9"/>
        <v>994.60494996945749</v>
      </c>
      <c r="S40" s="1">
        <f t="shared" si="26"/>
        <v>10365.816517497322</v>
      </c>
      <c r="T40" s="1">
        <f t="shared" si="20"/>
        <v>103.65816517497322</v>
      </c>
      <c r="U40" s="1">
        <f t="shared" si="21"/>
        <v>-797.14343550842852</v>
      </c>
      <c r="V40" s="1">
        <f t="shared" si="22"/>
        <v>9672.3312471638656</v>
      </c>
      <c r="W40" s="1">
        <f t="shared" si="27"/>
        <v>12344.691581241601</v>
      </c>
      <c r="X40" s="1">
        <f t="shared" si="23"/>
        <v>124.43635334428831</v>
      </c>
      <c r="Y40" s="1">
        <f t="shared" si="24"/>
        <v>-1802.1917374525801</v>
      </c>
      <c r="Z40" s="1">
        <f t="shared" si="25"/>
        <v>10666.936197133309</v>
      </c>
    </row>
    <row r="41" spans="9:26" x14ac:dyDescent="0.25">
      <c r="M41" s="4">
        <f t="shared" si="7"/>
        <v>36</v>
      </c>
      <c r="N41" t="s">
        <v>48</v>
      </c>
      <c r="O41" s="1">
        <f t="shared" si="8"/>
        <v>994.60494996945749</v>
      </c>
      <c r="P41" s="1">
        <f t="shared" si="0"/>
        <v>10.443351974679304</v>
      </c>
      <c r="Q41" s="1">
        <f t="shared" si="1"/>
        <v>-1005.0483019441515</v>
      </c>
      <c r="R41" s="1">
        <f t="shared" si="9"/>
        <v>-1.4665602066088468E-11</v>
      </c>
      <c r="S41" s="1">
        <f t="shared" si="26"/>
        <v>9672.3312471638656</v>
      </c>
      <c r="T41" s="1">
        <f t="shared" si="20"/>
        <v>96.723312471638664</v>
      </c>
      <c r="U41" s="1">
        <f t="shared" si="21"/>
        <v>-797.14343550842852</v>
      </c>
      <c r="V41" s="1">
        <f t="shared" si="22"/>
        <v>8971.9111241270748</v>
      </c>
      <c r="W41" s="1">
        <f t="shared" si="27"/>
        <v>10666.936197133309</v>
      </c>
      <c r="X41" s="1">
        <f t="shared" si="23"/>
        <v>107.16666444631797</v>
      </c>
      <c r="Y41" s="1">
        <f t="shared" si="24"/>
        <v>-1802.1917374525801</v>
      </c>
      <c r="Z41" s="1">
        <f t="shared" si="25"/>
        <v>8971.9111241270475</v>
      </c>
    </row>
    <row r="42" spans="9:26" x14ac:dyDescent="0.25">
      <c r="M42" s="4">
        <f t="shared" si="7"/>
        <v>37</v>
      </c>
      <c r="N42" t="s">
        <v>37</v>
      </c>
      <c r="S42" s="1">
        <f t="shared" si="26"/>
        <v>8971.9111241270748</v>
      </c>
      <c r="T42" s="1">
        <f t="shared" si="20"/>
        <v>89.719111241270753</v>
      </c>
      <c r="U42" s="1">
        <f t="shared" si="21"/>
        <v>-797.14343550842852</v>
      </c>
      <c r="V42" s="1">
        <f t="shared" si="22"/>
        <v>8264.4867998599166</v>
      </c>
      <c r="W42" s="1">
        <f t="shared" si="27"/>
        <v>8971.9111241270475</v>
      </c>
      <c r="X42" s="1">
        <f t="shared" si="23"/>
        <v>89.719111241270753</v>
      </c>
      <c r="Y42" s="1">
        <f t="shared" si="24"/>
        <v>-797.14343550842852</v>
      </c>
      <c r="Z42" s="1">
        <f t="shared" si="25"/>
        <v>8264.4867998598893</v>
      </c>
    </row>
    <row r="43" spans="9:26" x14ac:dyDescent="0.25">
      <c r="M43" s="4">
        <f t="shared" si="7"/>
        <v>38</v>
      </c>
      <c r="N43" t="s">
        <v>38</v>
      </c>
      <c r="S43" s="1">
        <f t="shared" si="26"/>
        <v>8264.4867998599166</v>
      </c>
      <c r="T43" s="1">
        <f t="shared" si="20"/>
        <v>82.644867998599167</v>
      </c>
      <c r="U43" s="1">
        <f t="shared" si="21"/>
        <v>-797.14343550842852</v>
      </c>
      <c r="V43" s="1">
        <f t="shared" si="22"/>
        <v>7549.9882323500869</v>
      </c>
      <c r="W43" s="1">
        <f t="shared" si="27"/>
        <v>8264.4867998598893</v>
      </c>
      <c r="X43" s="1">
        <f t="shared" si="23"/>
        <v>82.644867998599167</v>
      </c>
      <c r="Y43" s="1">
        <f t="shared" si="24"/>
        <v>-797.14343550842852</v>
      </c>
      <c r="Z43" s="1">
        <f t="shared" si="25"/>
        <v>7549.9882323500597</v>
      </c>
    </row>
    <row r="44" spans="9:26" x14ac:dyDescent="0.25">
      <c r="M44" s="4">
        <f t="shared" si="7"/>
        <v>39</v>
      </c>
      <c r="N44" t="s">
        <v>39</v>
      </c>
      <c r="S44" s="1">
        <f t="shared" si="26"/>
        <v>7549.9882323500869</v>
      </c>
      <c r="T44" s="1">
        <f t="shared" si="20"/>
        <v>75.49988232350087</v>
      </c>
      <c r="U44" s="1">
        <f t="shared" si="21"/>
        <v>-797.14343550842852</v>
      </c>
      <c r="V44" s="1">
        <f t="shared" si="22"/>
        <v>6828.3446791651595</v>
      </c>
      <c r="W44" s="1">
        <f t="shared" si="27"/>
        <v>7549.9882323500597</v>
      </c>
      <c r="X44" s="1">
        <f t="shared" si="23"/>
        <v>75.49988232350087</v>
      </c>
      <c r="Y44" s="1">
        <f t="shared" si="24"/>
        <v>-797.14343550842852</v>
      </c>
      <c r="Z44" s="1">
        <f t="shared" si="25"/>
        <v>6828.3446791651322</v>
      </c>
    </row>
    <row r="45" spans="9:26" x14ac:dyDescent="0.25">
      <c r="M45" s="4">
        <f t="shared" si="7"/>
        <v>40</v>
      </c>
      <c r="N45" t="s">
        <v>40</v>
      </c>
      <c r="S45" s="1">
        <f t="shared" si="26"/>
        <v>6828.3446791651595</v>
      </c>
      <c r="T45" s="1">
        <f t="shared" si="20"/>
        <v>68.283446791651599</v>
      </c>
      <c r="U45" s="1">
        <f t="shared" si="21"/>
        <v>-797.14343550842852</v>
      </c>
      <c r="V45" s="1">
        <f t="shared" si="22"/>
        <v>6099.4846904483829</v>
      </c>
      <c r="W45" s="1">
        <f t="shared" si="27"/>
        <v>6828.3446791651322</v>
      </c>
      <c r="X45" s="1">
        <f t="shared" si="23"/>
        <v>68.283446791651599</v>
      </c>
      <c r="Y45" s="1">
        <f t="shared" si="24"/>
        <v>-797.14343550842852</v>
      </c>
      <c r="Z45" s="1">
        <f t="shared" si="25"/>
        <v>6099.4846904483557</v>
      </c>
    </row>
    <row r="46" spans="9:26" x14ac:dyDescent="0.25">
      <c r="M46" s="4">
        <f t="shared" si="7"/>
        <v>41</v>
      </c>
      <c r="N46" t="s">
        <v>41</v>
      </c>
      <c r="S46" s="1">
        <f t="shared" si="26"/>
        <v>6099.4846904483829</v>
      </c>
      <c r="T46" s="1">
        <f t="shared" si="20"/>
        <v>60.994846904483829</v>
      </c>
      <c r="U46" s="1">
        <f t="shared" si="21"/>
        <v>-797.14343550842852</v>
      </c>
      <c r="V46" s="1">
        <f t="shared" si="22"/>
        <v>5363.3361018444384</v>
      </c>
      <c r="W46" s="1">
        <f t="shared" si="27"/>
        <v>6099.4846904483557</v>
      </c>
      <c r="X46" s="1">
        <f t="shared" si="23"/>
        <v>60.994846904483829</v>
      </c>
      <c r="Y46" s="1">
        <f t="shared" si="24"/>
        <v>-797.14343550842852</v>
      </c>
      <c r="Z46" s="1">
        <f t="shared" si="25"/>
        <v>5363.3361018444111</v>
      </c>
    </row>
    <row r="47" spans="9:26" x14ac:dyDescent="0.25">
      <c r="M47" s="4">
        <f t="shared" si="7"/>
        <v>42</v>
      </c>
      <c r="N47" t="s">
        <v>42</v>
      </c>
      <c r="S47" s="1">
        <f t="shared" si="26"/>
        <v>5363.3361018444384</v>
      </c>
      <c r="T47" s="1">
        <f t="shared" si="20"/>
        <v>53.633361018444383</v>
      </c>
      <c r="U47" s="1">
        <f t="shared" si="21"/>
        <v>-797.14343550842852</v>
      </c>
      <c r="V47" s="1">
        <f t="shared" si="22"/>
        <v>4619.8260273544547</v>
      </c>
      <c r="W47" s="1">
        <f t="shared" si="27"/>
        <v>5363.3361018444111</v>
      </c>
      <c r="X47" s="1">
        <f t="shared" si="23"/>
        <v>53.633361018444383</v>
      </c>
      <c r="Y47" s="1">
        <f t="shared" si="24"/>
        <v>-797.14343550842852</v>
      </c>
      <c r="Z47" s="1">
        <f t="shared" si="25"/>
        <v>4619.8260273544274</v>
      </c>
    </row>
    <row r="48" spans="9:26" x14ac:dyDescent="0.25">
      <c r="M48" s="4">
        <f t="shared" si="7"/>
        <v>43</v>
      </c>
      <c r="N48" t="s">
        <v>43</v>
      </c>
      <c r="S48" s="1">
        <f t="shared" si="26"/>
        <v>4619.8260273544547</v>
      </c>
      <c r="T48" s="1">
        <f t="shared" si="20"/>
        <v>46.198260273544548</v>
      </c>
      <c r="U48" s="1">
        <f t="shared" si="21"/>
        <v>-797.14343550842852</v>
      </c>
      <c r="V48" s="1">
        <f t="shared" si="22"/>
        <v>3868.8808521195706</v>
      </c>
      <c r="W48" s="1">
        <f t="shared" si="27"/>
        <v>4619.8260273544274</v>
      </c>
      <c r="X48" s="1">
        <f t="shared" si="23"/>
        <v>46.198260273544548</v>
      </c>
      <c r="Y48" s="1">
        <f t="shared" si="24"/>
        <v>-797.14343550842852</v>
      </c>
      <c r="Z48" s="1">
        <f t="shared" si="25"/>
        <v>3868.8808521195433</v>
      </c>
    </row>
    <row r="49" spans="13:26" x14ac:dyDescent="0.25">
      <c r="M49" s="4">
        <f t="shared" si="7"/>
        <v>44</v>
      </c>
      <c r="N49" t="s">
        <v>44</v>
      </c>
      <c r="S49" s="1">
        <f t="shared" si="26"/>
        <v>3868.8808521195706</v>
      </c>
      <c r="T49" s="1">
        <f t="shared" si="20"/>
        <v>38.688808521195703</v>
      </c>
      <c r="U49" s="1">
        <f t="shared" si="21"/>
        <v>-797.14343550842852</v>
      </c>
      <c r="V49" s="1">
        <f t="shared" si="22"/>
        <v>3110.426225132338</v>
      </c>
      <c r="W49" s="1">
        <f t="shared" si="27"/>
        <v>3868.8808521195433</v>
      </c>
      <c r="X49" s="1">
        <f t="shared" si="23"/>
        <v>38.688808521195703</v>
      </c>
      <c r="Y49" s="1">
        <f t="shared" si="24"/>
        <v>-797.14343550842852</v>
      </c>
      <c r="Z49" s="1">
        <f t="shared" si="25"/>
        <v>3110.4262251323107</v>
      </c>
    </row>
    <row r="50" spans="13:26" x14ac:dyDescent="0.25">
      <c r="M50" s="4">
        <f t="shared" si="7"/>
        <v>45</v>
      </c>
      <c r="N50" t="s">
        <v>45</v>
      </c>
      <c r="S50" s="1">
        <f t="shared" si="26"/>
        <v>3110.426225132338</v>
      </c>
      <c r="T50" s="1">
        <f t="shared" si="20"/>
        <v>31.10426225132338</v>
      </c>
      <c r="U50" s="1">
        <f t="shared" si="21"/>
        <v>-797.14343550842852</v>
      </c>
      <c r="V50" s="1">
        <f t="shared" si="22"/>
        <v>2344.3870518752328</v>
      </c>
      <c r="W50" s="1">
        <f t="shared" si="27"/>
        <v>3110.4262251323107</v>
      </c>
      <c r="X50" s="1">
        <f t="shared" si="23"/>
        <v>31.10426225132338</v>
      </c>
      <c r="Y50" s="1">
        <f t="shared" si="24"/>
        <v>-797.14343550842852</v>
      </c>
      <c r="Z50" s="1">
        <f t="shared" si="25"/>
        <v>2344.3870518752055</v>
      </c>
    </row>
    <row r="51" spans="13:26" x14ac:dyDescent="0.25">
      <c r="M51" s="4">
        <f t="shared" si="7"/>
        <v>46</v>
      </c>
      <c r="N51" t="s">
        <v>46</v>
      </c>
      <c r="S51" s="1">
        <f t="shared" si="26"/>
        <v>2344.3870518752328</v>
      </c>
      <c r="T51" s="1">
        <f t="shared" si="20"/>
        <v>23.44387051875233</v>
      </c>
      <c r="U51" s="1">
        <f t="shared" si="21"/>
        <v>-797.14343550842852</v>
      </c>
      <c r="V51" s="1">
        <f t="shared" si="22"/>
        <v>1570.6874868855566</v>
      </c>
      <c r="W51" s="1">
        <f t="shared" si="27"/>
        <v>2344.3870518752055</v>
      </c>
      <c r="X51" s="1">
        <f t="shared" si="23"/>
        <v>23.44387051875233</v>
      </c>
      <c r="Y51" s="1">
        <f t="shared" si="24"/>
        <v>-797.14343550842852</v>
      </c>
      <c r="Z51" s="1">
        <f t="shared" si="25"/>
        <v>1570.6874868855293</v>
      </c>
    </row>
    <row r="52" spans="13:26" x14ac:dyDescent="0.25">
      <c r="M52" s="4">
        <f t="shared" si="7"/>
        <v>47</v>
      </c>
      <c r="N52" t="s">
        <v>47</v>
      </c>
      <c r="S52" s="1">
        <f t="shared" si="26"/>
        <v>1570.6874868855566</v>
      </c>
      <c r="T52" s="1">
        <f t="shared" si="20"/>
        <v>15.706874868855566</v>
      </c>
      <c r="U52" s="1">
        <f t="shared" si="21"/>
        <v>-797.14343550842852</v>
      </c>
      <c r="V52" s="1">
        <f t="shared" si="22"/>
        <v>789.25092624598358</v>
      </c>
      <c r="W52" s="1">
        <f t="shared" si="27"/>
        <v>1570.6874868855293</v>
      </c>
      <c r="X52" s="1">
        <f t="shared" si="23"/>
        <v>15.706874868855566</v>
      </c>
      <c r="Y52" s="1">
        <f t="shared" si="24"/>
        <v>-797.14343550842852</v>
      </c>
      <c r="Z52" s="1">
        <f t="shared" si="25"/>
        <v>789.25092624595629</v>
      </c>
    </row>
    <row r="53" spans="13:26" x14ac:dyDescent="0.25">
      <c r="M53" s="4">
        <f t="shared" si="7"/>
        <v>48</v>
      </c>
      <c r="N53" t="s">
        <v>48</v>
      </c>
      <c r="S53" s="1">
        <f t="shared" si="26"/>
        <v>789.25092624598358</v>
      </c>
      <c r="T53" s="1">
        <f t="shared" si="20"/>
        <v>7.8925092624598356</v>
      </c>
      <c r="U53" s="1">
        <f t="shared" si="21"/>
        <v>-797.14343550842852</v>
      </c>
      <c r="V53" s="1">
        <f t="shared" si="22"/>
        <v>1.48929757415317E-11</v>
      </c>
      <c r="W53" s="1">
        <f t="shared" ref="W53" si="31">+Z52</f>
        <v>789.25092624595629</v>
      </c>
      <c r="X53" s="1">
        <f t="shared" ref="X53" si="32">+P53+T53</f>
        <v>7.8925092624598356</v>
      </c>
      <c r="Y53" s="1">
        <f t="shared" ref="Y53" si="33">+Q53+U53</f>
        <v>-797.14343550842852</v>
      </c>
      <c r="Z53" s="1">
        <f t="shared" si="25"/>
        <v>-1.2391865311656147E-11</v>
      </c>
    </row>
    <row r="54" spans="13:26" x14ac:dyDescent="0.25">
      <c r="S54" s="1"/>
      <c r="T54" s="1"/>
      <c r="U54" s="1"/>
      <c r="V54" s="1"/>
    </row>
  </sheetData>
  <phoneticPr fontId="6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FF38E-D485-46F4-A28F-9485C2365153}">
  <sheetPr>
    <tabColor rgb="FF00B0F0"/>
  </sheetPr>
  <dimension ref="A1:Q40"/>
  <sheetViews>
    <sheetView zoomScale="110" zoomScaleNormal="110" workbookViewId="0">
      <selection activeCell="Q1" sqref="A1:Q1048576"/>
    </sheetView>
  </sheetViews>
  <sheetFormatPr baseColWidth="10" defaultRowHeight="15" x14ac:dyDescent="0.25"/>
  <cols>
    <col min="1" max="1" width="8.5703125" customWidth="1"/>
    <col min="2" max="2" width="3.28515625" customWidth="1"/>
    <col min="3" max="3" width="10.5703125" bestFit="1" customWidth="1"/>
    <col min="4" max="4" width="1.42578125" customWidth="1"/>
    <col min="5" max="5" width="5" customWidth="1"/>
    <col min="9" max="9" width="11.42578125" style="52"/>
    <col min="10" max="10" width="8.7109375" customWidth="1"/>
    <col min="11" max="11" width="2.140625" customWidth="1"/>
    <col min="12" max="12" width="11.42578125" customWidth="1"/>
    <col min="13" max="13" width="10.5703125" customWidth="1"/>
    <col min="14" max="14" width="10.5703125" bestFit="1" customWidth="1"/>
    <col min="15" max="15" width="11.7109375" customWidth="1"/>
    <col min="16" max="16" width="9" customWidth="1"/>
    <col min="17" max="17" width="2.7109375" customWidth="1"/>
  </cols>
  <sheetData>
    <row r="1" spans="1:17" ht="15.75" thickBot="1" x14ac:dyDescent="0.3"/>
    <row r="2" spans="1:17" ht="15.75" thickBot="1" x14ac:dyDescent="0.3">
      <c r="A2" s="162" t="s">
        <v>185</v>
      </c>
      <c r="B2" s="163"/>
      <c r="C2" s="174">
        <v>0.25</v>
      </c>
      <c r="E2" s="132"/>
      <c r="F2" s="133"/>
      <c r="G2" s="133"/>
      <c r="H2" s="133"/>
      <c r="I2" s="134"/>
      <c r="J2" s="135"/>
      <c r="L2" s="168" t="s">
        <v>181</v>
      </c>
      <c r="M2" s="168"/>
      <c r="N2" s="168"/>
      <c r="O2" s="168"/>
      <c r="P2" s="168"/>
      <c r="Q2" s="168"/>
    </row>
    <row r="3" spans="1:17" ht="15.75" thickBot="1" x14ac:dyDescent="0.3">
      <c r="E3" s="136"/>
      <c r="F3" s="129" t="s">
        <v>162</v>
      </c>
      <c r="G3" s="130"/>
      <c r="H3" s="130"/>
      <c r="I3" s="131"/>
      <c r="J3" s="137"/>
      <c r="L3" s="168" t="s">
        <v>182</v>
      </c>
      <c r="M3" s="168"/>
      <c r="N3" s="168"/>
      <c r="O3" s="168"/>
      <c r="P3" s="168"/>
      <c r="Q3" s="168"/>
    </row>
    <row r="4" spans="1:17" x14ac:dyDescent="0.25">
      <c r="E4" s="136"/>
      <c r="I4" s="193" t="s">
        <v>196</v>
      </c>
      <c r="J4" s="137"/>
    </row>
    <row r="5" spans="1:17" x14ac:dyDescent="0.25">
      <c r="E5" s="136"/>
      <c r="F5" t="s">
        <v>13</v>
      </c>
      <c r="I5" s="145" t="s">
        <v>172</v>
      </c>
      <c r="J5" s="137"/>
      <c r="L5" s="179" t="s">
        <v>188</v>
      </c>
      <c r="M5" s="180"/>
      <c r="N5" s="180"/>
      <c r="O5" s="180"/>
      <c r="P5" s="180"/>
      <c r="Q5" s="181"/>
    </row>
    <row r="6" spans="1:17" x14ac:dyDescent="0.25">
      <c r="E6" s="136"/>
      <c r="F6" t="s">
        <v>14</v>
      </c>
      <c r="I6" s="145" t="s">
        <v>172</v>
      </c>
      <c r="J6" s="137"/>
      <c r="L6" s="179" t="s">
        <v>189</v>
      </c>
      <c r="M6" s="180"/>
      <c r="N6" s="180"/>
      <c r="O6" s="180"/>
      <c r="P6" s="180"/>
      <c r="Q6" s="181"/>
    </row>
    <row r="7" spans="1:17" x14ac:dyDescent="0.25">
      <c r="E7" s="136"/>
      <c r="F7" s="139" t="s">
        <v>163</v>
      </c>
      <c r="G7" s="10"/>
      <c r="H7" s="10"/>
      <c r="I7" s="146" t="s">
        <v>172</v>
      </c>
      <c r="J7" s="137"/>
      <c r="L7" s="179" t="s">
        <v>195</v>
      </c>
      <c r="M7" s="180"/>
      <c r="N7" s="180"/>
      <c r="O7" s="180"/>
      <c r="P7" s="180"/>
      <c r="Q7" s="181"/>
    </row>
    <row r="8" spans="1:17" x14ac:dyDescent="0.25">
      <c r="E8" s="136"/>
      <c r="F8" t="s">
        <v>164</v>
      </c>
      <c r="I8" s="145" t="s">
        <v>172</v>
      </c>
      <c r="J8" s="137"/>
      <c r="L8" s="179" t="s">
        <v>197</v>
      </c>
      <c r="M8" s="180"/>
      <c r="N8" s="180"/>
      <c r="O8" s="180"/>
      <c r="P8" s="180"/>
      <c r="Q8" s="181"/>
    </row>
    <row r="9" spans="1:17" x14ac:dyDescent="0.25">
      <c r="E9" s="136"/>
      <c r="F9" t="s">
        <v>165</v>
      </c>
      <c r="I9" s="145" t="s">
        <v>172</v>
      </c>
      <c r="J9" s="137"/>
    </row>
    <row r="10" spans="1:17" x14ac:dyDescent="0.25">
      <c r="E10" s="136"/>
      <c r="F10" s="139" t="s">
        <v>166</v>
      </c>
      <c r="G10" s="10"/>
      <c r="H10" s="10"/>
      <c r="I10" s="146" t="s">
        <v>172</v>
      </c>
      <c r="J10" s="137"/>
    </row>
    <row r="11" spans="1:17" x14ac:dyDescent="0.25">
      <c r="E11" s="136"/>
      <c r="F11" t="s">
        <v>50</v>
      </c>
      <c r="I11" s="145" t="s">
        <v>172</v>
      </c>
      <c r="J11" s="137"/>
    </row>
    <row r="12" spans="1:17" ht="15.75" thickBot="1" x14ac:dyDescent="0.3">
      <c r="E12" s="136"/>
      <c r="F12" t="s">
        <v>167</v>
      </c>
      <c r="I12" s="145" t="s">
        <v>172</v>
      </c>
      <c r="J12" s="137"/>
    </row>
    <row r="13" spans="1:17" ht="15.75" thickBot="1" x14ac:dyDescent="0.3">
      <c r="E13" s="136"/>
      <c r="F13" s="171" t="s">
        <v>168</v>
      </c>
      <c r="G13" s="172"/>
      <c r="H13" s="172"/>
      <c r="I13" s="157">
        <v>8000000</v>
      </c>
      <c r="J13" s="137"/>
    </row>
    <row r="14" spans="1:17" x14ac:dyDescent="0.25">
      <c r="A14" s="96" t="s">
        <v>184</v>
      </c>
      <c r="E14" s="136"/>
      <c r="F14" s="8" t="s">
        <v>183</v>
      </c>
      <c r="I14" s="178">
        <f ca="1">+H16+H15</f>
        <v>-2500000</v>
      </c>
      <c r="J14" s="175">
        <f ca="1">-+I14/I13</f>
        <v>0.3125</v>
      </c>
      <c r="L14" s="182" t="s">
        <v>190</v>
      </c>
      <c r="M14" s="183"/>
      <c r="N14" s="184">
        <f>+I28</f>
        <v>2000000</v>
      </c>
    </row>
    <row r="15" spans="1:17" x14ac:dyDescent="0.25">
      <c r="E15" s="136"/>
      <c r="F15" s="169" t="s">
        <v>169</v>
      </c>
      <c r="G15" s="170"/>
      <c r="H15" s="178">
        <f ca="1">+I34</f>
        <v>-2275000</v>
      </c>
      <c r="I15" s="138"/>
      <c r="J15" s="137"/>
      <c r="L15" s="185" t="s">
        <v>191</v>
      </c>
      <c r="M15" s="186"/>
      <c r="N15" s="187"/>
    </row>
    <row r="16" spans="1:17" ht="15.75" thickBot="1" x14ac:dyDescent="0.3">
      <c r="E16" s="136"/>
      <c r="F16" s="169" t="s">
        <v>170</v>
      </c>
      <c r="G16" s="170"/>
      <c r="H16" s="178">
        <f ca="1">+I35</f>
        <v>-225000</v>
      </c>
      <c r="I16" s="138"/>
      <c r="J16" s="137"/>
      <c r="L16" s="185" t="s">
        <v>192</v>
      </c>
      <c r="M16" s="188"/>
      <c r="N16" s="189">
        <f>+N14*C2</f>
        <v>500000</v>
      </c>
    </row>
    <row r="17" spans="1:14" ht="15.75" thickBot="1" x14ac:dyDescent="0.3">
      <c r="E17" s="136"/>
      <c r="F17" s="171" t="s">
        <v>171</v>
      </c>
      <c r="G17" s="172"/>
      <c r="H17" s="172"/>
      <c r="I17" s="157">
        <f ca="1">SUM(I13:I16)</f>
        <v>5500000</v>
      </c>
      <c r="J17" s="137"/>
      <c r="L17" s="190" t="s">
        <v>193</v>
      </c>
      <c r="M17" s="191"/>
      <c r="N17" s="192">
        <f>+N16/I13</f>
        <v>6.25E-2</v>
      </c>
    </row>
    <row r="18" spans="1:14" ht="15.75" thickBot="1" x14ac:dyDescent="0.3">
      <c r="E18" s="141"/>
      <c r="F18" s="142"/>
      <c r="G18" s="142"/>
      <c r="H18" s="142"/>
      <c r="I18" s="143"/>
      <c r="J18" s="144"/>
    </row>
    <row r="19" spans="1:14" ht="8.25" customHeight="1" thickBot="1" x14ac:dyDescent="0.3"/>
    <row r="20" spans="1:14" ht="15.75" thickBot="1" x14ac:dyDescent="0.3">
      <c r="C20" s="164" t="s">
        <v>177</v>
      </c>
      <c r="E20" s="147"/>
      <c r="F20" s="148"/>
      <c r="G20" s="148"/>
      <c r="H20" s="148"/>
      <c r="I20" s="149"/>
      <c r="J20" s="150"/>
      <c r="L20" s="164" t="s">
        <v>178</v>
      </c>
    </row>
    <row r="21" spans="1:14" ht="15.75" thickBot="1" x14ac:dyDescent="0.3">
      <c r="A21" s="194" t="s">
        <v>179</v>
      </c>
      <c r="B21" s="195"/>
      <c r="C21" s="195"/>
      <c r="E21" s="151"/>
      <c r="F21" s="158" t="s">
        <v>173</v>
      </c>
      <c r="G21" s="159"/>
      <c r="H21" s="159"/>
      <c r="I21" s="160">
        <f>+I13</f>
        <v>8000000</v>
      </c>
      <c r="J21" s="152"/>
      <c r="L21" s="195"/>
    </row>
    <row r="22" spans="1:14" ht="15.75" thickBot="1" x14ac:dyDescent="0.3">
      <c r="A22" s="194" t="s">
        <v>180</v>
      </c>
      <c r="B22" s="195"/>
      <c r="C22" s="165">
        <v>1000000</v>
      </c>
      <c r="E22" s="151"/>
      <c r="F22" s="10"/>
      <c r="G22" s="10"/>
      <c r="H22" s="10"/>
      <c r="I22" s="140"/>
      <c r="J22" s="152"/>
      <c r="L22" s="165">
        <f ca="1">+C22+I23</f>
        <v>100000</v>
      </c>
    </row>
    <row r="23" spans="1:14" ht="15.75" thickBot="1" x14ac:dyDescent="0.3">
      <c r="E23" s="151"/>
      <c r="F23" s="98" t="s">
        <v>174</v>
      </c>
      <c r="G23" s="10"/>
      <c r="H23" s="10"/>
      <c r="I23" s="166">
        <f ca="1">SUM(H24:H27)</f>
        <v>-900000</v>
      </c>
      <c r="J23" s="152"/>
    </row>
    <row r="24" spans="1:14" x14ac:dyDescent="0.25">
      <c r="E24" s="151"/>
      <c r="F24" s="98" t="s">
        <v>198</v>
      </c>
      <c r="G24" s="10"/>
      <c r="H24" s="201">
        <f ca="1">-RANDBETWEEN(100,900)*1000</f>
        <v>-900000</v>
      </c>
      <c r="I24" s="140"/>
      <c r="J24" s="152"/>
    </row>
    <row r="25" spans="1:14" x14ac:dyDescent="0.25">
      <c r="E25" s="151"/>
      <c r="F25" s="10"/>
      <c r="G25" s="10"/>
      <c r="H25" s="167"/>
      <c r="I25" s="140"/>
      <c r="J25" s="152"/>
    </row>
    <row r="26" spans="1:14" x14ac:dyDescent="0.25">
      <c r="E26" s="151"/>
      <c r="F26" s="10"/>
      <c r="G26" s="10"/>
      <c r="H26" s="167"/>
      <c r="I26" s="140"/>
      <c r="J26" s="152"/>
    </row>
    <row r="27" spans="1:14" ht="15.75" thickBot="1" x14ac:dyDescent="0.3">
      <c r="E27" s="151"/>
      <c r="F27" s="10"/>
      <c r="G27" s="10"/>
      <c r="H27" s="167"/>
      <c r="I27" s="140"/>
      <c r="J27" s="152"/>
    </row>
    <row r="28" spans="1:14" ht="15.75" thickBot="1" x14ac:dyDescent="0.3">
      <c r="E28" s="151"/>
      <c r="F28" s="98" t="s">
        <v>175</v>
      </c>
      <c r="G28" s="10"/>
      <c r="H28" s="10"/>
      <c r="I28" s="166">
        <v>2000000</v>
      </c>
      <c r="J28" s="152"/>
    </row>
    <row r="29" spans="1:14" ht="15.75" thickBot="1" x14ac:dyDescent="0.3">
      <c r="E29" s="151"/>
      <c r="F29" s="10"/>
      <c r="G29" s="10"/>
      <c r="H29" s="10"/>
      <c r="I29" s="140"/>
      <c r="J29" s="152"/>
    </row>
    <row r="30" spans="1:14" ht="15.75" thickBot="1" x14ac:dyDescent="0.3">
      <c r="E30" s="151"/>
      <c r="F30" s="158" t="s">
        <v>176</v>
      </c>
      <c r="G30" s="159"/>
      <c r="H30" s="159"/>
      <c r="I30" s="160">
        <f ca="1">+I21+I23+I28</f>
        <v>9100000</v>
      </c>
      <c r="J30" s="152"/>
    </row>
    <row r="31" spans="1:14" ht="15.75" thickBot="1" x14ac:dyDescent="0.3">
      <c r="E31" s="153"/>
      <c r="F31" s="154"/>
      <c r="G31" s="154"/>
      <c r="H31" s="154"/>
      <c r="I31" s="155"/>
      <c r="J31" s="156"/>
    </row>
    <row r="32" spans="1:14" ht="15.75" thickBot="1" x14ac:dyDescent="0.3"/>
    <row r="33" spans="1:12" ht="15.75" thickBot="1" x14ac:dyDescent="0.3">
      <c r="F33" s="161" t="s">
        <v>186</v>
      </c>
      <c r="G33" s="196"/>
      <c r="H33" s="196"/>
      <c r="I33" s="173"/>
    </row>
    <row r="34" spans="1:12" x14ac:dyDescent="0.25">
      <c r="F34" s="96" t="s">
        <v>169</v>
      </c>
      <c r="G34" s="177"/>
      <c r="I34" s="177">
        <f ca="1">-I30*C2</f>
        <v>-2275000</v>
      </c>
    </row>
    <row r="35" spans="1:12" ht="15.75" thickBot="1" x14ac:dyDescent="0.3">
      <c r="F35" s="8" t="s">
        <v>170</v>
      </c>
      <c r="G35" s="176"/>
      <c r="I35" s="176">
        <f ca="1">I23*C2</f>
        <v>-225000</v>
      </c>
    </row>
    <row r="36" spans="1:12" ht="15.75" thickBot="1" x14ac:dyDescent="0.3">
      <c r="F36" s="197" t="s">
        <v>187</v>
      </c>
      <c r="G36" s="198"/>
      <c r="H36" s="199"/>
      <c r="I36" s="200">
        <f ca="1">+I34+I35</f>
        <v>-2500000</v>
      </c>
    </row>
    <row r="39" spans="1:12" ht="15.75" thickBot="1" x14ac:dyDescent="0.3"/>
    <row r="40" spans="1:12" ht="15.75" thickBot="1" x14ac:dyDescent="0.3">
      <c r="A40" s="8" t="s">
        <v>199</v>
      </c>
      <c r="C40" s="165">
        <f>+C22*$C$2</f>
        <v>250000</v>
      </c>
      <c r="H40" s="202">
        <f ca="1">+L40-C40</f>
        <v>-225000</v>
      </c>
      <c r="L40" s="165">
        <f ca="1">+L22*$C$2</f>
        <v>25000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02EDC-E514-4322-B062-487AA179E736}">
  <sheetPr>
    <tabColor rgb="FF00B0F0"/>
  </sheetPr>
  <dimension ref="A1:N40"/>
  <sheetViews>
    <sheetView zoomScale="110" zoomScaleNormal="110" workbookViewId="0">
      <selection activeCell="O23" sqref="O23"/>
    </sheetView>
  </sheetViews>
  <sheetFormatPr baseColWidth="10" defaultRowHeight="15" x14ac:dyDescent="0.25"/>
  <cols>
    <col min="1" max="1" width="8.5703125" customWidth="1"/>
    <col min="2" max="2" width="3.28515625" customWidth="1"/>
    <col min="3" max="3" width="10.5703125" bestFit="1" customWidth="1"/>
    <col min="4" max="4" width="1.42578125" customWidth="1"/>
    <col min="5" max="5" width="5" customWidth="1"/>
    <col min="9" max="9" width="11.42578125" style="52"/>
    <col min="10" max="10" width="8.7109375" customWidth="1"/>
    <col min="11" max="11" width="2.140625" customWidth="1"/>
    <col min="12" max="12" width="11.42578125" customWidth="1"/>
    <col min="13" max="13" width="10.5703125" customWidth="1"/>
    <col min="14" max="14" width="10.5703125" bestFit="1" customWidth="1"/>
    <col min="15" max="15" width="11.7109375" customWidth="1"/>
    <col min="16" max="16" width="9" customWidth="1"/>
    <col min="17" max="17" width="2.7109375" customWidth="1"/>
  </cols>
  <sheetData>
    <row r="1" spans="1:14" ht="15.75" thickBot="1" x14ac:dyDescent="0.3"/>
    <row r="2" spans="1:14" ht="15.75" thickBot="1" x14ac:dyDescent="0.3">
      <c r="A2" s="162" t="s">
        <v>185</v>
      </c>
      <c r="B2" s="163"/>
      <c r="C2" s="174">
        <v>0.3</v>
      </c>
      <c r="E2" s="132"/>
      <c r="F2" s="133"/>
      <c r="G2" s="133"/>
      <c r="H2" s="133"/>
      <c r="I2" s="134"/>
      <c r="J2" s="135"/>
    </row>
    <row r="3" spans="1:14" ht="15.75" thickBot="1" x14ac:dyDescent="0.3">
      <c r="E3" s="136"/>
      <c r="F3" s="129" t="s">
        <v>162</v>
      </c>
      <c r="G3" s="130"/>
      <c r="H3" s="130"/>
      <c r="I3" s="131"/>
      <c r="J3" s="137"/>
    </row>
    <row r="4" spans="1:14" x14ac:dyDescent="0.25">
      <c r="E4" s="136"/>
      <c r="I4" s="193" t="s">
        <v>196</v>
      </c>
      <c r="J4" s="137"/>
    </row>
    <row r="5" spans="1:14" x14ac:dyDescent="0.25">
      <c r="E5" s="136"/>
      <c r="F5" t="s">
        <v>13</v>
      </c>
      <c r="I5" s="145" t="s">
        <v>172</v>
      </c>
      <c r="J5" s="137"/>
    </row>
    <row r="6" spans="1:14" x14ac:dyDescent="0.25">
      <c r="E6" s="136"/>
      <c r="F6" t="s">
        <v>14</v>
      </c>
      <c r="I6" s="145" t="s">
        <v>172</v>
      </c>
      <c r="J6" s="137"/>
    </row>
    <row r="7" spans="1:14" x14ac:dyDescent="0.25">
      <c r="E7" s="136"/>
      <c r="F7" s="139" t="s">
        <v>163</v>
      </c>
      <c r="G7" s="10"/>
      <c r="H7" s="10"/>
      <c r="I7" s="146" t="s">
        <v>172</v>
      </c>
      <c r="J7" s="137"/>
    </row>
    <row r="8" spans="1:14" x14ac:dyDescent="0.25">
      <c r="E8" s="136"/>
      <c r="F8" t="s">
        <v>164</v>
      </c>
      <c r="I8" s="145" t="s">
        <v>172</v>
      </c>
      <c r="J8" s="137"/>
    </row>
    <row r="9" spans="1:14" x14ac:dyDescent="0.25">
      <c r="E9" s="136"/>
      <c r="F9" t="s">
        <v>165</v>
      </c>
      <c r="I9" s="145" t="s">
        <v>172</v>
      </c>
      <c r="J9" s="137"/>
    </row>
    <row r="10" spans="1:14" x14ac:dyDescent="0.25">
      <c r="E10" s="136"/>
      <c r="F10" s="139" t="s">
        <v>166</v>
      </c>
      <c r="G10" s="10"/>
      <c r="H10" s="10"/>
      <c r="I10" s="146" t="s">
        <v>172</v>
      </c>
      <c r="J10" s="137"/>
    </row>
    <row r="11" spans="1:14" x14ac:dyDescent="0.25">
      <c r="E11" s="136"/>
      <c r="F11" t="s">
        <v>50</v>
      </c>
      <c r="I11" s="145" t="s">
        <v>172</v>
      </c>
      <c r="J11" s="137"/>
    </row>
    <row r="12" spans="1:14" ht="15.75" thickBot="1" x14ac:dyDescent="0.3">
      <c r="E12" s="136"/>
      <c r="F12" t="s">
        <v>167</v>
      </c>
      <c r="I12" s="145" t="s">
        <v>172</v>
      </c>
      <c r="J12" s="137"/>
    </row>
    <row r="13" spans="1:14" ht="15.75" thickBot="1" x14ac:dyDescent="0.3">
      <c r="E13" s="136"/>
      <c r="F13" s="171" t="s">
        <v>168</v>
      </c>
      <c r="G13" s="172"/>
      <c r="H13" s="172"/>
      <c r="I13" s="157">
        <v>8000000</v>
      </c>
      <c r="J13" s="137"/>
    </row>
    <row r="14" spans="1:14" x14ac:dyDescent="0.25">
      <c r="A14" s="96" t="s">
        <v>184</v>
      </c>
      <c r="E14" s="136"/>
      <c r="F14" s="8" t="s">
        <v>183</v>
      </c>
      <c r="I14" s="178">
        <f>+H16+H15</f>
        <v>-3000000</v>
      </c>
      <c r="J14" s="175">
        <f>-+I14/I13</f>
        <v>0.375</v>
      </c>
      <c r="L14" s="182" t="s">
        <v>190</v>
      </c>
      <c r="M14" s="183"/>
      <c r="N14" s="184">
        <f>+I28</f>
        <v>2000000</v>
      </c>
    </row>
    <row r="15" spans="1:14" x14ac:dyDescent="0.25">
      <c r="E15" s="136"/>
      <c r="F15" s="169" t="s">
        <v>169</v>
      </c>
      <c r="G15" s="170"/>
      <c r="H15" s="178">
        <f>+I34</f>
        <v>-3270000</v>
      </c>
      <c r="I15" s="138"/>
      <c r="J15" s="137"/>
      <c r="L15" s="185" t="s">
        <v>191</v>
      </c>
      <c r="M15" s="186"/>
      <c r="N15" s="187"/>
    </row>
    <row r="16" spans="1:14" ht="15.75" thickBot="1" x14ac:dyDescent="0.3">
      <c r="E16" s="136"/>
      <c r="F16" s="169" t="s">
        <v>170</v>
      </c>
      <c r="G16" s="170"/>
      <c r="H16" s="178">
        <f>+I35</f>
        <v>270000</v>
      </c>
      <c r="I16" s="138"/>
      <c r="J16" s="137"/>
      <c r="L16" s="185" t="s">
        <v>192</v>
      </c>
      <c r="M16" s="188"/>
      <c r="N16" s="189">
        <f>+N14*C2</f>
        <v>600000</v>
      </c>
    </row>
    <row r="17" spans="1:14" ht="15.75" thickBot="1" x14ac:dyDescent="0.3">
      <c r="E17" s="136"/>
      <c r="F17" s="171" t="s">
        <v>171</v>
      </c>
      <c r="G17" s="172"/>
      <c r="H17" s="172"/>
      <c r="I17" s="157">
        <f>SUM(I13:I16)</f>
        <v>5000000</v>
      </c>
      <c r="J17" s="137"/>
      <c r="L17" s="190" t="s">
        <v>193</v>
      </c>
      <c r="M17" s="191"/>
      <c r="N17" s="192">
        <f>+N16/I13</f>
        <v>7.4999999999999997E-2</v>
      </c>
    </row>
    <row r="18" spans="1:14" ht="15.75" thickBot="1" x14ac:dyDescent="0.3">
      <c r="E18" s="141"/>
      <c r="F18" s="142"/>
      <c r="G18" s="142"/>
      <c r="H18" s="142"/>
      <c r="I18" s="143"/>
      <c r="J18" s="144"/>
    </row>
    <row r="19" spans="1:14" ht="8.25" customHeight="1" thickBot="1" x14ac:dyDescent="0.3"/>
    <row r="20" spans="1:14" ht="15.75" thickBot="1" x14ac:dyDescent="0.3">
      <c r="C20" s="164" t="s">
        <v>177</v>
      </c>
      <c r="E20" s="147"/>
      <c r="F20" s="148"/>
      <c r="G20" s="148"/>
      <c r="H20" s="148"/>
      <c r="I20" s="149"/>
      <c r="J20" s="150"/>
      <c r="L20" s="164" t="s">
        <v>178</v>
      </c>
    </row>
    <row r="21" spans="1:14" ht="15.75" thickBot="1" x14ac:dyDescent="0.3">
      <c r="A21" s="194" t="s">
        <v>179</v>
      </c>
      <c r="B21" s="195"/>
      <c r="C21" s="195"/>
      <c r="E21" s="151"/>
      <c r="F21" s="158" t="s">
        <v>173</v>
      </c>
      <c r="G21" s="159"/>
      <c r="H21" s="159"/>
      <c r="I21" s="160">
        <f>+I13</f>
        <v>8000000</v>
      </c>
      <c r="J21" s="152"/>
      <c r="L21" s="195"/>
    </row>
    <row r="22" spans="1:14" ht="15.75" thickBot="1" x14ac:dyDescent="0.3">
      <c r="A22" s="194" t="s">
        <v>180</v>
      </c>
      <c r="B22" s="195"/>
      <c r="C22" s="165">
        <f>+'11-Feb (3)'!$F$10</f>
        <v>5400000</v>
      </c>
      <c r="E22" s="151"/>
      <c r="F22" s="10"/>
      <c r="G22" s="10"/>
      <c r="H22" s="10"/>
      <c r="I22" s="140"/>
      <c r="J22" s="152"/>
      <c r="L22" s="165">
        <f>+'11-Feb (3)'!$G$10</f>
        <v>4500000</v>
      </c>
    </row>
    <row r="23" spans="1:14" ht="15.75" thickBot="1" x14ac:dyDescent="0.3">
      <c r="E23" s="151"/>
      <c r="F23" s="98" t="s">
        <v>174</v>
      </c>
      <c r="G23" s="10"/>
      <c r="H23" s="10"/>
      <c r="I23" s="166">
        <f>SUM(H24:H27)</f>
        <v>900000</v>
      </c>
      <c r="J23" s="152"/>
    </row>
    <row r="24" spans="1:14" x14ac:dyDescent="0.25">
      <c r="E24" s="151"/>
      <c r="F24" s="98" t="s">
        <v>216</v>
      </c>
      <c r="G24" s="10"/>
      <c r="H24" s="219">
        <f>+'11-Feb (3)'!G4</f>
        <v>900000</v>
      </c>
      <c r="I24" s="140"/>
      <c r="J24" s="152"/>
    </row>
    <row r="25" spans="1:14" x14ac:dyDescent="0.25">
      <c r="E25" s="151"/>
      <c r="F25" s="98" t="s">
        <v>217</v>
      </c>
      <c r="G25" s="10"/>
      <c r="H25" s="219">
        <f>+'11-Feb (3)'!G5</f>
        <v>0</v>
      </c>
      <c r="I25" s="140"/>
      <c r="J25" s="152"/>
    </row>
    <row r="26" spans="1:14" x14ac:dyDescent="0.25">
      <c r="E26" s="151"/>
      <c r="F26" s="10"/>
      <c r="G26" s="10"/>
      <c r="H26" s="167"/>
      <c r="I26" s="140"/>
      <c r="J26" s="152"/>
    </row>
    <row r="27" spans="1:14" ht="15.75" thickBot="1" x14ac:dyDescent="0.3">
      <c r="E27" s="151"/>
      <c r="F27" s="10"/>
      <c r="G27" s="10"/>
      <c r="H27" s="167"/>
      <c r="I27" s="140"/>
      <c r="J27" s="152"/>
    </row>
    <row r="28" spans="1:14" ht="15.75" thickBot="1" x14ac:dyDescent="0.3">
      <c r="E28" s="151"/>
      <c r="F28" s="98" t="s">
        <v>175</v>
      </c>
      <c r="G28" s="10"/>
      <c r="H28" s="10"/>
      <c r="I28" s="166">
        <v>2000000</v>
      </c>
      <c r="J28" s="152"/>
    </row>
    <row r="29" spans="1:14" ht="15.75" thickBot="1" x14ac:dyDescent="0.3">
      <c r="E29" s="151"/>
      <c r="F29" s="10"/>
      <c r="G29" s="10"/>
      <c r="H29" s="10"/>
      <c r="I29" s="140"/>
      <c r="J29" s="152"/>
    </row>
    <row r="30" spans="1:14" ht="15.75" thickBot="1" x14ac:dyDescent="0.3">
      <c r="E30" s="151"/>
      <c r="F30" s="158" t="s">
        <v>176</v>
      </c>
      <c r="G30" s="159"/>
      <c r="H30" s="159"/>
      <c r="I30" s="160">
        <f>+I21+I23+I28</f>
        <v>10900000</v>
      </c>
      <c r="J30" s="152"/>
    </row>
    <row r="31" spans="1:14" ht="15.75" thickBot="1" x14ac:dyDescent="0.3">
      <c r="E31" s="153"/>
      <c r="F31" s="154"/>
      <c r="G31" s="154"/>
      <c r="H31" s="154"/>
      <c r="I31" s="155"/>
      <c r="J31" s="156"/>
    </row>
    <row r="32" spans="1:14" ht="15.75" thickBot="1" x14ac:dyDescent="0.3"/>
    <row r="33" spans="1:12" ht="15.75" thickBot="1" x14ac:dyDescent="0.3">
      <c r="F33" s="161" t="s">
        <v>186</v>
      </c>
      <c r="G33" s="196"/>
      <c r="H33" s="196"/>
      <c r="I33" s="173"/>
    </row>
    <row r="34" spans="1:12" x14ac:dyDescent="0.25">
      <c r="F34" s="96" t="s">
        <v>169</v>
      </c>
      <c r="G34" s="177"/>
      <c r="I34" s="177">
        <f>-I30*C2</f>
        <v>-3270000</v>
      </c>
    </row>
    <row r="35" spans="1:12" ht="15.75" thickBot="1" x14ac:dyDescent="0.3">
      <c r="F35" s="8" t="s">
        <v>170</v>
      </c>
      <c r="G35" s="176"/>
      <c r="I35" s="176">
        <f>I23*C2</f>
        <v>270000</v>
      </c>
    </row>
    <row r="36" spans="1:12" ht="15.75" thickBot="1" x14ac:dyDescent="0.3">
      <c r="F36" s="197" t="s">
        <v>187</v>
      </c>
      <c r="G36" s="198"/>
      <c r="H36" s="199"/>
      <c r="I36" s="200">
        <f>+I34+I35</f>
        <v>-3000000</v>
      </c>
    </row>
    <row r="39" spans="1:12" ht="15.75" thickBot="1" x14ac:dyDescent="0.3"/>
    <row r="40" spans="1:12" ht="15.75" thickBot="1" x14ac:dyDescent="0.3">
      <c r="A40" s="8" t="s">
        <v>218</v>
      </c>
      <c r="C40" s="165">
        <f>-+C22*$C$2</f>
        <v>-1620000</v>
      </c>
      <c r="H40" s="220">
        <f>+L40-C40</f>
        <v>270000</v>
      </c>
      <c r="L40" s="165">
        <f>-+L22*$C$2</f>
        <v>-1350000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A583E-71C4-4C08-B4EF-0EA102A178D3}">
  <sheetPr>
    <tabColor rgb="FF7030A0"/>
  </sheetPr>
  <dimension ref="C1:R56"/>
  <sheetViews>
    <sheetView zoomScale="82" zoomScaleNormal="82" workbookViewId="0">
      <selection activeCell="K24" sqref="K24"/>
    </sheetView>
  </sheetViews>
  <sheetFormatPr baseColWidth="10" defaultRowHeight="15" x14ac:dyDescent="0.25"/>
  <cols>
    <col min="1" max="2" width="5" customWidth="1"/>
    <col min="3" max="3" width="11.140625" bestFit="1" customWidth="1"/>
    <col min="4" max="4" width="8.42578125" customWidth="1"/>
    <col min="5" max="5" width="10.5703125" bestFit="1" customWidth="1"/>
    <col min="6" max="6" width="1.42578125" customWidth="1"/>
    <col min="7" max="7" width="6.5703125" customWidth="1"/>
    <col min="10" max="10" width="13" customWidth="1"/>
    <col min="11" max="11" width="13.140625" style="52" customWidth="1"/>
    <col min="12" max="12" width="7.7109375" customWidth="1"/>
    <col min="13" max="13" width="2.140625" customWidth="1"/>
    <col min="15" max="15" width="10.5703125" customWidth="1"/>
    <col min="16" max="16" width="10.5703125" bestFit="1" customWidth="1"/>
    <col min="17" max="17" width="11.7109375" customWidth="1"/>
    <col min="18" max="18" width="15.42578125" customWidth="1"/>
  </cols>
  <sheetData>
    <row r="1" spans="3:18" s="222" customFormat="1" ht="16.5" thickBot="1" x14ac:dyDescent="0.3">
      <c r="K1" s="223"/>
    </row>
    <row r="2" spans="3:18" s="222" customFormat="1" ht="16.5" thickBot="1" x14ac:dyDescent="0.3">
      <c r="G2" s="224"/>
      <c r="H2" s="225"/>
      <c r="I2" s="225"/>
      <c r="J2" s="225"/>
      <c r="K2" s="226"/>
      <c r="L2" s="227"/>
      <c r="N2" s="228" t="s">
        <v>181</v>
      </c>
      <c r="O2" s="229"/>
      <c r="P2" s="229"/>
      <c r="Q2" s="229"/>
      <c r="R2" s="230"/>
    </row>
    <row r="3" spans="3:18" s="222" customFormat="1" ht="16.5" thickBot="1" x14ac:dyDescent="0.3">
      <c r="G3" s="231"/>
      <c r="H3" s="232" t="s">
        <v>162</v>
      </c>
      <c r="I3" s="233"/>
      <c r="J3" s="233"/>
      <c r="K3" s="234"/>
      <c r="L3" s="235"/>
      <c r="N3" s="236" t="s">
        <v>182</v>
      </c>
      <c r="O3" s="237"/>
      <c r="P3" s="237"/>
      <c r="Q3" s="237"/>
      <c r="R3" s="238"/>
    </row>
    <row r="4" spans="3:18" s="222" customFormat="1" ht="15.75" x14ac:dyDescent="0.25">
      <c r="G4" s="231"/>
      <c r="H4" s="222" t="s">
        <v>13</v>
      </c>
      <c r="K4" s="239" t="s">
        <v>172</v>
      </c>
      <c r="L4" s="235"/>
      <c r="N4" s="240" t="s">
        <v>188</v>
      </c>
      <c r="O4" s="241"/>
      <c r="P4" s="241"/>
      <c r="Q4" s="241"/>
      <c r="R4" s="242"/>
    </row>
    <row r="5" spans="3:18" s="222" customFormat="1" ht="15.75" x14ac:dyDescent="0.25">
      <c r="G5" s="231"/>
      <c r="H5" s="222" t="s">
        <v>14</v>
      </c>
      <c r="K5" s="239" t="s">
        <v>172</v>
      </c>
      <c r="L5" s="235"/>
      <c r="N5" s="240" t="s">
        <v>189</v>
      </c>
      <c r="O5" s="241"/>
      <c r="P5" s="241"/>
      <c r="Q5" s="241"/>
      <c r="R5" s="242"/>
    </row>
    <row r="6" spans="3:18" s="222" customFormat="1" ht="15.75" x14ac:dyDescent="0.25">
      <c r="G6" s="231"/>
      <c r="H6" s="243" t="s">
        <v>163</v>
      </c>
      <c r="I6" s="244"/>
      <c r="J6" s="244"/>
      <c r="K6" s="245" t="s">
        <v>172</v>
      </c>
      <c r="L6" s="235"/>
      <c r="N6" s="240" t="s">
        <v>195</v>
      </c>
      <c r="O6" s="241"/>
      <c r="P6" s="241"/>
      <c r="Q6" s="241"/>
      <c r="R6" s="242"/>
    </row>
    <row r="7" spans="3:18" s="222" customFormat="1" ht="15.75" x14ac:dyDescent="0.25">
      <c r="G7" s="231"/>
      <c r="H7" s="222" t="s">
        <v>164</v>
      </c>
      <c r="K7" s="239" t="s">
        <v>172</v>
      </c>
      <c r="L7" s="235"/>
      <c r="N7" s="240" t="s">
        <v>197</v>
      </c>
      <c r="O7" s="241"/>
      <c r="P7" s="241"/>
      <c r="Q7" s="241"/>
      <c r="R7" s="242"/>
    </row>
    <row r="8" spans="3:18" s="222" customFormat="1" ht="15.75" x14ac:dyDescent="0.25">
      <c r="G8" s="231"/>
      <c r="H8" s="222" t="s">
        <v>165</v>
      </c>
      <c r="K8" s="239" t="s">
        <v>172</v>
      </c>
      <c r="L8" s="235"/>
    </row>
    <row r="9" spans="3:18" s="222" customFormat="1" ht="15.75" x14ac:dyDescent="0.25">
      <c r="G9" s="231"/>
      <c r="H9" s="243" t="s">
        <v>166</v>
      </c>
      <c r="I9" s="244"/>
      <c r="J9" s="244"/>
      <c r="K9" s="245" t="s">
        <v>172</v>
      </c>
      <c r="L9" s="235"/>
      <c r="N9" s="246" t="s">
        <v>185</v>
      </c>
      <c r="O9" s="247"/>
      <c r="P9" s="248"/>
      <c r="Q9" s="249">
        <v>0.3</v>
      </c>
    </row>
    <row r="10" spans="3:18" s="222" customFormat="1" ht="15.75" x14ac:dyDescent="0.25">
      <c r="G10" s="231"/>
      <c r="H10" s="222" t="s">
        <v>50</v>
      </c>
      <c r="K10" s="239" t="s">
        <v>172</v>
      </c>
      <c r="L10" s="235"/>
      <c r="N10" s="250" t="s">
        <v>219</v>
      </c>
      <c r="O10" s="251"/>
      <c r="P10" s="252"/>
      <c r="Q10" s="253">
        <f>-K13/K12</f>
        <v>0.33999995999999999</v>
      </c>
    </row>
    <row r="11" spans="3:18" s="222" customFormat="1" ht="16.5" thickBot="1" x14ac:dyDescent="0.3">
      <c r="G11" s="231"/>
      <c r="H11" s="222" t="s">
        <v>167</v>
      </c>
      <c r="K11" s="239" t="s">
        <v>172</v>
      </c>
      <c r="L11" s="235"/>
    </row>
    <row r="12" spans="3:18" s="222" customFormat="1" ht="16.5" thickBot="1" x14ac:dyDescent="0.3">
      <c r="G12" s="231"/>
      <c r="H12" s="254" t="s">
        <v>168</v>
      </c>
      <c r="I12" s="255"/>
      <c r="J12" s="255"/>
      <c r="K12" s="256">
        <v>5000000</v>
      </c>
      <c r="L12" s="235"/>
    </row>
    <row r="13" spans="3:18" s="222" customFormat="1" ht="15.75" x14ac:dyDescent="0.25">
      <c r="C13" s="257"/>
      <c r="G13" s="231"/>
      <c r="H13" s="258" t="s">
        <v>183</v>
      </c>
      <c r="K13" s="259">
        <f>+J15+J14</f>
        <v>-1699999.8</v>
      </c>
      <c r="L13" s="260"/>
    </row>
    <row r="14" spans="3:18" s="222" customFormat="1" ht="15.75" x14ac:dyDescent="0.25">
      <c r="G14" s="231"/>
      <c r="H14" s="308" t="s">
        <v>169</v>
      </c>
      <c r="I14" s="257"/>
      <c r="J14" s="296">
        <f>+K32</f>
        <v>-1706059.8</v>
      </c>
      <c r="K14" s="261"/>
      <c r="L14" s="235"/>
    </row>
    <row r="15" spans="3:18" s="222" customFormat="1" ht="16.5" thickBot="1" x14ac:dyDescent="0.3">
      <c r="G15" s="231"/>
      <c r="H15" s="308" t="s">
        <v>170</v>
      </c>
      <c r="I15" s="257"/>
      <c r="J15" s="296">
        <f>+K33</f>
        <v>6060</v>
      </c>
      <c r="K15" s="261"/>
      <c r="L15" s="235"/>
    </row>
    <row r="16" spans="3:18" s="222" customFormat="1" ht="16.5" thickBot="1" x14ac:dyDescent="0.3">
      <c r="G16" s="231"/>
      <c r="H16" s="254" t="s">
        <v>171</v>
      </c>
      <c r="I16" s="255"/>
      <c r="J16" s="255"/>
      <c r="K16" s="256">
        <f>SUM(K12:K15)</f>
        <v>3300000.2</v>
      </c>
      <c r="L16" s="235"/>
      <c r="N16" s="322">
        <v>3300000</v>
      </c>
    </row>
    <row r="17" spans="3:16" s="222" customFormat="1" ht="16.5" thickBot="1" x14ac:dyDescent="0.3">
      <c r="G17" s="262"/>
      <c r="H17" s="263"/>
      <c r="I17" s="263"/>
      <c r="J17" s="263"/>
      <c r="K17" s="264"/>
      <c r="L17" s="265"/>
    </row>
    <row r="18" spans="3:16" s="222" customFormat="1" ht="16.5" thickBot="1" x14ac:dyDescent="0.3">
      <c r="K18" s="223"/>
    </row>
    <row r="19" spans="3:16" s="222" customFormat="1" ht="16.5" thickBot="1" x14ac:dyDescent="0.3">
      <c r="C19" s="266"/>
      <c r="D19" s="267"/>
      <c r="E19" s="268" t="s">
        <v>177</v>
      </c>
      <c r="F19" s="267"/>
      <c r="G19" s="269"/>
      <c r="H19" s="307" t="s">
        <v>221</v>
      </c>
      <c r="I19" s="270"/>
      <c r="J19" s="270"/>
      <c r="K19" s="271"/>
      <c r="L19" s="272"/>
      <c r="M19" s="267"/>
      <c r="N19" s="268" t="s">
        <v>178</v>
      </c>
      <c r="O19" s="267"/>
      <c r="P19" s="273"/>
    </row>
    <row r="20" spans="3:16" s="222" customFormat="1" ht="16.5" thickBot="1" x14ac:dyDescent="0.3">
      <c r="C20" s="274" t="s">
        <v>179</v>
      </c>
      <c r="D20" s="275"/>
      <c r="E20" s="275"/>
      <c r="G20" s="276"/>
      <c r="H20" s="277" t="s">
        <v>173</v>
      </c>
      <c r="I20" s="278"/>
      <c r="J20" s="278"/>
      <c r="K20" s="279">
        <f>+K12</f>
        <v>5000000</v>
      </c>
      <c r="L20" s="280"/>
      <c r="N20" s="275"/>
      <c r="O20" s="281"/>
      <c r="P20" s="321" t="s">
        <v>179</v>
      </c>
    </row>
    <row r="21" spans="3:16" s="222" customFormat="1" ht="16.5" thickBot="1" x14ac:dyDescent="0.3">
      <c r="C21" s="274" t="s">
        <v>180</v>
      </c>
      <c r="D21" s="275"/>
      <c r="E21" s="283">
        <v>100000</v>
      </c>
      <c r="G21" s="276"/>
      <c r="H21" s="244"/>
      <c r="I21" s="244"/>
      <c r="J21" s="244"/>
      <c r="K21" s="284"/>
      <c r="L21" s="280"/>
      <c r="N21" s="283">
        <f>+E21+K22</f>
        <v>120200</v>
      </c>
      <c r="O21" s="281"/>
      <c r="P21" s="321" t="s">
        <v>180</v>
      </c>
    </row>
    <row r="22" spans="3:16" s="222" customFormat="1" ht="16.5" thickBot="1" x14ac:dyDescent="0.3">
      <c r="C22" s="285"/>
      <c r="G22" s="276"/>
      <c r="H22" s="286" t="s">
        <v>174</v>
      </c>
      <c r="I22" s="244"/>
      <c r="J22" s="244"/>
      <c r="K22" s="287">
        <f>SUM(J23:J25)</f>
        <v>20200</v>
      </c>
      <c r="L22" s="280"/>
      <c r="P22" s="282"/>
    </row>
    <row r="23" spans="3:16" s="222" customFormat="1" ht="15.75" x14ac:dyDescent="0.25">
      <c r="C23" s="285"/>
      <c r="G23" s="276"/>
      <c r="H23" s="286" t="s">
        <v>231</v>
      </c>
      <c r="I23" s="244"/>
      <c r="J23" s="309">
        <v>25000</v>
      </c>
      <c r="K23" s="284"/>
      <c r="L23" s="280"/>
      <c r="P23" s="282"/>
    </row>
    <row r="24" spans="3:16" s="222" customFormat="1" ht="15.75" x14ac:dyDescent="0.25">
      <c r="C24" s="285"/>
      <c r="G24" s="276"/>
      <c r="H24" s="286" t="s">
        <v>232</v>
      </c>
      <c r="I24" s="244"/>
      <c r="J24" s="309">
        <v>-4800</v>
      </c>
      <c r="K24" s="284"/>
      <c r="L24" s="280"/>
      <c r="P24" s="282"/>
    </row>
    <row r="25" spans="3:16" s="222" customFormat="1" ht="16.5" thickBot="1" x14ac:dyDescent="0.3">
      <c r="C25" s="285"/>
      <c r="G25" s="276"/>
      <c r="H25" s="244"/>
      <c r="I25" s="244"/>
      <c r="J25" s="288"/>
      <c r="K25" s="284"/>
      <c r="L25" s="280"/>
      <c r="P25" s="282"/>
    </row>
    <row r="26" spans="3:16" s="222" customFormat="1" ht="16.5" thickBot="1" x14ac:dyDescent="0.3">
      <c r="C26" s="285"/>
      <c r="G26" s="276"/>
      <c r="H26" s="286" t="s">
        <v>227</v>
      </c>
      <c r="I26" s="244"/>
      <c r="J26" s="244"/>
      <c r="K26" s="287">
        <v>666666</v>
      </c>
      <c r="L26" s="280"/>
      <c r="P26" s="282"/>
    </row>
    <row r="27" spans="3:16" s="222" customFormat="1" ht="16.5" thickBot="1" x14ac:dyDescent="0.3">
      <c r="C27" s="285"/>
      <c r="G27" s="276"/>
      <c r="H27" s="244"/>
      <c r="I27" s="244"/>
      <c r="J27" s="244"/>
      <c r="K27" s="284"/>
      <c r="L27" s="280"/>
      <c r="P27" s="282"/>
    </row>
    <row r="28" spans="3:16" s="222" customFormat="1" ht="16.5" thickBot="1" x14ac:dyDescent="0.3">
      <c r="C28" s="285"/>
      <c r="G28" s="276"/>
      <c r="H28" s="277" t="s">
        <v>176</v>
      </c>
      <c r="I28" s="278"/>
      <c r="J28" s="278"/>
      <c r="K28" s="279">
        <f>+K20+K22+K26</f>
        <v>5686866</v>
      </c>
      <c r="L28" s="280"/>
      <c r="P28" s="282"/>
    </row>
    <row r="29" spans="3:16" s="222" customFormat="1" ht="16.5" thickBot="1" x14ac:dyDescent="0.3">
      <c r="C29" s="285"/>
      <c r="G29" s="289"/>
      <c r="H29" s="290"/>
      <c r="I29" s="290"/>
      <c r="J29" s="290"/>
      <c r="K29" s="291"/>
      <c r="L29" s="292"/>
      <c r="P29" s="282"/>
    </row>
    <row r="30" spans="3:16" s="222" customFormat="1" ht="6.75" customHeight="1" thickBot="1" x14ac:dyDescent="0.3">
      <c r="C30" s="285"/>
      <c r="K30" s="261"/>
      <c r="P30" s="282"/>
    </row>
    <row r="31" spans="3:16" s="222" customFormat="1" ht="16.5" thickBot="1" x14ac:dyDescent="0.3">
      <c r="C31" s="285"/>
      <c r="H31" s="293" t="s">
        <v>186</v>
      </c>
      <c r="I31" s="294"/>
      <c r="J31" s="294"/>
      <c r="K31" s="295"/>
      <c r="P31" s="282"/>
    </row>
    <row r="32" spans="3:16" s="222" customFormat="1" ht="15.75" x14ac:dyDescent="0.25">
      <c r="C32" s="285"/>
      <c r="H32" s="257" t="s">
        <v>169</v>
      </c>
      <c r="I32" s="296"/>
      <c r="K32" s="296">
        <f>-K28*Q9</f>
        <v>-1706059.8</v>
      </c>
      <c r="P32" s="282"/>
    </row>
    <row r="33" spans="3:18" s="222" customFormat="1" ht="16.5" thickBot="1" x14ac:dyDescent="0.3">
      <c r="C33" s="285"/>
      <c r="H33" s="258" t="s">
        <v>222</v>
      </c>
      <c r="I33" s="259"/>
      <c r="K33" s="259">
        <f>K22*Q9</f>
        <v>6060</v>
      </c>
      <c r="P33" s="282"/>
    </row>
    <row r="34" spans="3:18" s="222" customFormat="1" ht="16.5" thickBot="1" x14ac:dyDescent="0.3">
      <c r="C34" s="285"/>
      <c r="H34" s="297" t="s">
        <v>187</v>
      </c>
      <c r="I34" s="298"/>
      <c r="J34" s="299"/>
      <c r="K34" s="300">
        <f>+K32+K33</f>
        <v>-1699999.8</v>
      </c>
      <c r="P34" s="282"/>
    </row>
    <row r="35" spans="3:18" s="222" customFormat="1" ht="9.75" customHeight="1" thickBot="1" x14ac:dyDescent="0.3">
      <c r="C35" s="285"/>
      <c r="K35" s="261"/>
      <c r="P35" s="282"/>
    </row>
    <row r="36" spans="3:18" s="222" customFormat="1" ht="16.5" thickBot="1" x14ac:dyDescent="0.3">
      <c r="C36" s="301" t="s">
        <v>220</v>
      </c>
      <c r="E36" s="283">
        <f>+E21*$Q$9</f>
        <v>30000</v>
      </c>
      <c r="J36" s="302">
        <f>+N36-E36</f>
        <v>6060</v>
      </c>
      <c r="K36" s="261"/>
      <c r="N36" s="283">
        <f>+N21*$Q$9</f>
        <v>36060</v>
      </c>
      <c r="P36" s="282"/>
    </row>
    <row r="37" spans="3:18" s="222" customFormat="1" ht="16.5" thickBot="1" x14ac:dyDescent="0.3">
      <c r="C37" s="303"/>
      <c r="D37" s="304"/>
      <c r="E37" s="304"/>
      <c r="F37" s="304"/>
      <c r="G37" s="304"/>
      <c r="H37" s="304"/>
      <c r="I37" s="304"/>
      <c r="J37" s="304"/>
      <c r="K37" s="305"/>
      <c r="L37" s="304"/>
      <c r="M37" s="304"/>
      <c r="N37" s="304"/>
      <c r="O37" s="304"/>
      <c r="P37" s="306"/>
    </row>
    <row r="38" spans="3:18" s="222" customFormat="1" ht="15.75" x14ac:dyDescent="0.25">
      <c r="K38" s="223"/>
    </row>
    <row r="39" spans="3:18" ht="15.75" x14ac:dyDescent="0.25">
      <c r="Q39" s="222"/>
      <c r="R39" s="222"/>
    </row>
    <row r="49" spans="8:11" ht="15.75" thickBot="1" x14ac:dyDescent="0.3"/>
    <row r="50" spans="8:11" ht="15.75" x14ac:dyDescent="0.25">
      <c r="H50" s="311" t="s">
        <v>223</v>
      </c>
      <c r="I50" s="312"/>
      <c r="J50" s="312"/>
      <c r="K50" s="313">
        <v>5000000</v>
      </c>
    </row>
    <row r="51" spans="8:11" ht="15.75" x14ac:dyDescent="0.25">
      <c r="H51" s="314" t="s">
        <v>224</v>
      </c>
      <c r="I51" s="315"/>
      <c r="J51" s="315"/>
      <c r="K51" s="316">
        <v>666666</v>
      </c>
    </row>
    <row r="52" spans="8:11" ht="16.5" thickBot="1" x14ac:dyDescent="0.3">
      <c r="H52" s="317" t="s">
        <v>225</v>
      </c>
      <c r="I52" s="318"/>
      <c r="J52" s="318"/>
      <c r="K52" s="319">
        <v>0.3</v>
      </c>
    </row>
    <row r="55" spans="8:11" ht="15.75" thickBot="1" x14ac:dyDescent="0.3"/>
    <row r="56" spans="8:11" ht="16.5" thickBot="1" x14ac:dyDescent="0.3">
      <c r="H56" s="293" t="s">
        <v>226</v>
      </c>
      <c r="I56" s="196"/>
      <c r="J56" s="196"/>
      <c r="K56" s="310">
        <f>K50-(K50+K51)*K52</f>
        <v>3300000.2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1018C-38FE-4FFD-A3B6-4BF210FD249E}">
  <dimension ref="A1:M31"/>
  <sheetViews>
    <sheetView zoomScale="85" zoomScaleNormal="85" workbookViewId="0">
      <selection activeCell="D20" sqref="D20"/>
    </sheetView>
  </sheetViews>
  <sheetFormatPr baseColWidth="10" defaultRowHeight="15" x14ac:dyDescent="0.25"/>
  <sheetData>
    <row r="1" spans="1:12" ht="15.75" thickBot="1" x14ac:dyDescent="0.3">
      <c r="A1" s="8" t="s">
        <v>233</v>
      </c>
      <c r="C1" s="1">
        <v>1000000</v>
      </c>
    </row>
    <row r="2" spans="1:12" x14ac:dyDescent="0.25">
      <c r="A2" s="328"/>
      <c r="B2" s="329"/>
      <c r="C2" s="330" t="s">
        <v>234</v>
      </c>
      <c r="D2" s="330" t="s">
        <v>235</v>
      </c>
      <c r="E2" s="330" t="s">
        <v>236</v>
      </c>
      <c r="F2" s="330" t="s">
        <v>237</v>
      </c>
      <c r="G2" s="330" t="s">
        <v>238</v>
      </c>
      <c r="H2" s="330" t="s">
        <v>239</v>
      </c>
      <c r="I2" s="330" t="s">
        <v>240</v>
      </c>
      <c r="J2" s="330" t="s">
        <v>241</v>
      </c>
      <c r="K2" s="330" t="s">
        <v>242</v>
      </c>
      <c r="L2" s="331" t="s">
        <v>243</v>
      </c>
    </row>
    <row r="3" spans="1:12" x14ac:dyDescent="0.25">
      <c r="A3" s="320" t="s">
        <v>244</v>
      </c>
      <c r="B3" s="2"/>
      <c r="C3" s="3">
        <f>+C1/10</f>
        <v>100000</v>
      </c>
      <c r="D3" s="3">
        <f>+C3</f>
        <v>100000</v>
      </c>
      <c r="E3" s="3">
        <f t="shared" ref="E3:L3" si="0">+D3</f>
        <v>100000</v>
      </c>
      <c r="F3" s="3">
        <f t="shared" si="0"/>
        <v>100000</v>
      </c>
      <c r="G3" s="3">
        <f t="shared" si="0"/>
        <v>100000</v>
      </c>
      <c r="H3" s="3">
        <f t="shared" si="0"/>
        <v>100000</v>
      </c>
      <c r="I3" s="3">
        <f t="shared" si="0"/>
        <v>100000</v>
      </c>
      <c r="J3" s="3">
        <f t="shared" si="0"/>
        <v>100000</v>
      </c>
      <c r="K3" s="3">
        <f t="shared" si="0"/>
        <v>100000</v>
      </c>
      <c r="L3" s="335">
        <f t="shared" si="0"/>
        <v>100000</v>
      </c>
    </row>
    <row r="4" spans="1:12" x14ac:dyDescent="0.25">
      <c r="A4" s="320" t="s">
        <v>245</v>
      </c>
      <c r="B4" s="2"/>
      <c r="C4" s="3">
        <f>+C1/4</f>
        <v>250000</v>
      </c>
      <c r="D4" s="3">
        <f>+C4</f>
        <v>250000</v>
      </c>
      <c r="E4" s="3">
        <f t="shared" ref="E4:F4" si="1">+D4</f>
        <v>250000</v>
      </c>
      <c r="F4" s="3">
        <f t="shared" si="1"/>
        <v>250000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336">
        <v>0</v>
      </c>
    </row>
    <row r="5" spans="1:12" x14ac:dyDescent="0.25">
      <c r="A5" s="320"/>
      <c r="B5" s="2"/>
      <c r="C5" s="2"/>
      <c r="D5" s="2"/>
      <c r="E5" s="2"/>
      <c r="F5" s="2"/>
      <c r="G5" s="2"/>
      <c r="H5" s="2"/>
      <c r="I5" s="2"/>
      <c r="J5" s="2"/>
      <c r="K5" s="2"/>
      <c r="L5" s="336"/>
    </row>
    <row r="6" spans="1:12" x14ac:dyDescent="0.25">
      <c r="A6" s="320" t="s">
        <v>228</v>
      </c>
      <c r="B6" s="2"/>
      <c r="C6" s="3">
        <f>+C1-C3</f>
        <v>900000</v>
      </c>
      <c r="D6" s="3">
        <f>+C6-D3</f>
        <v>800000</v>
      </c>
      <c r="E6" s="3">
        <f t="shared" ref="E6:L6" si="2">+D6-E3</f>
        <v>700000</v>
      </c>
      <c r="F6" s="3">
        <f t="shared" si="2"/>
        <v>600000</v>
      </c>
      <c r="G6" s="3">
        <f t="shared" si="2"/>
        <v>500000</v>
      </c>
      <c r="H6" s="3">
        <f t="shared" si="2"/>
        <v>400000</v>
      </c>
      <c r="I6" s="3">
        <f t="shared" si="2"/>
        <v>300000</v>
      </c>
      <c r="J6" s="3">
        <f t="shared" si="2"/>
        <v>200000</v>
      </c>
      <c r="K6" s="3">
        <f t="shared" si="2"/>
        <v>100000</v>
      </c>
      <c r="L6" s="335">
        <f t="shared" si="2"/>
        <v>0</v>
      </c>
    </row>
    <row r="7" spans="1:12" ht="15.75" thickBot="1" x14ac:dyDescent="0.3">
      <c r="A7" s="320" t="s">
        <v>229</v>
      </c>
      <c r="B7" s="2"/>
      <c r="C7" s="3">
        <f>+C1-C4</f>
        <v>750000</v>
      </c>
      <c r="D7" s="3">
        <f>+C7-D4</f>
        <v>500000</v>
      </c>
      <c r="E7" s="3">
        <f t="shared" ref="E7:L7" si="3">+D7-E4</f>
        <v>250000</v>
      </c>
      <c r="F7" s="3">
        <f t="shared" si="3"/>
        <v>0</v>
      </c>
      <c r="G7" s="3">
        <f t="shared" si="3"/>
        <v>0</v>
      </c>
      <c r="H7" s="3">
        <f t="shared" si="3"/>
        <v>0</v>
      </c>
      <c r="I7" s="3">
        <f t="shared" si="3"/>
        <v>0</v>
      </c>
      <c r="J7" s="3">
        <f t="shared" si="3"/>
        <v>0</v>
      </c>
      <c r="K7" s="3">
        <f t="shared" si="3"/>
        <v>0</v>
      </c>
      <c r="L7" s="335">
        <f t="shared" si="3"/>
        <v>0</v>
      </c>
    </row>
    <row r="8" spans="1:12" ht="15.75" thickBot="1" x14ac:dyDescent="0.3">
      <c r="A8" s="337" t="s">
        <v>230</v>
      </c>
      <c r="B8" s="210"/>
      <c r="C8" s="351">
        <f>+C6-C7</f>
        <v>150000</v>
      </c>
      <c r="D8" s="352">
        <f t="shared" ref="D8:L8" si="4">+D6-D7</f>
        <v>300000</v>
      </c>
      <c r="E8" s="352">
        <f t="shared" si="4"/>
        <v>450000</v>
      </c>
      <c r="F8" s="352">
        <f t="shared" si="4"/>
        <v>600000</v>
      </c>
      <c r="G8" s="352">
        <f t="shared" si="4"/>
        <v>500000</v>
      </c>
      <c r="H8" s="352">
        <f t="shared" si="4"/>
        <v>400000</v>
      </c>
      <c r="I8" s="352">
        <f t="shared" si="4"/>
        <v>300000</v>
      </c>
      <c r="J8" s="352">
        <f t="shared" si="4"/>
        <v>200000</v>
      </c>
      <c r="K8" s="352">
        <f t="shared" si="4"/>
        <v>100000</v>
      </c>
      <c r="L8" s="353">
        <f t="shared" si="4"/>
        <v>0</v>
      </c>
    </row>
    <row r="9" spans="1:12" x14ac:dyDescent="0.25">
      <c r="A9" s="320" t="s">
        <v>246</v>
      </c>
      <c r="B9" s="2"/>
      <c r="C9" s="2"/>
      <c r="D9" s="2"/>
      <c r="E9" s="2"/>
      <c r="F9" s="2"/>
      <c r="G9" s="2"/>
      <c r="H9" s="2"/>
      <c r="I9" s="2"/>
      <c r="J9" s="2"/>
      <c r="K9" s="2"/>
      <c r="L9" s="336"/>
    </row>
    <row r="10" spans="1:12" ht="15.75" thickBot="1" x14ac:dyDescent="0.3">
      <c r="A10" s="320" t="s">
        <v>247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336"/>
    </row>
    <row r="11" spans="1:12" ht="15.75" thickBot="1" x14ac:dyDescent="0.3">
      <c r="A11" s="182" t="s">
        <v>218</v>
      </c>
      <c r="B11" s="323"/>
      <c r="C11" s="324">
        <f>+C8*0.3</f>
        <v>45000</v>
      </c>
      <c r="D11" s="324">
        <f t="shared" ref="D11:L11" si="5">+D8*0.3</f>
        <v>90000</v>
      </c>
      <c r="E11" s="324">
        <f t="shared" si="5"/>
        <v>135000</v>
      </c>
      <c r="F11" s="324">
        <f t="shared" si="5"/>
        <v>180000</v>
      </c>
      <c r="G11" s="324">
        <f t="shared" si="5"/>
        <v>150000</v>
      </c>
      <c r="H11" s="324">
        <f t="shared" si="5"/>
        <v>120000</v>
      </c>
      <c r="I11" s="324">
        <f t="shared" si="5"/>
        <v>90000</v>
      </c>
      <c r="J11" s="324">
        <f t="shared" si="5"/>
        <v>60000</v>
      </c>
      <c r="K11" s="324">
        <f t="shared" si="5"/>
        <v>30000</v>
      </c>
      <c r="L11" s="325">
        <f t="shared" si="5"/>
        <v>0</v>
      </c>
    </row>
    <row r="12" spans="1:12" ht="15.75" thickBot="1" x14ac:dyDescent="0.3">
      <c r="A12" s="326" t="s">
        <v>248</v>
      </c>
      <c r="B12" s="327"/>
      <c r="C12" s="354">
        <f>+C11</f>
        <v>45000</v>
      </c>
      <c r="D12" s="355">
        <f t="shared" ref="D12:L12" si="6">+D11-C11</f>
        <v>45000</v>
      </c>
      <c r="E12" s="355">
        <f t="shared" si="6"/>
        <v>45000</v>
      </c>
      <c r="F12" s="355">
        <f t="shared" si="6"/>
        <v>45000</v>
      </c>
      <c r="G12" s="355">
        <f t="shared" si="6"/>
        <v>-30000</v>
      </c>
      <c r="H12" s="355">
        <f t="shared" si="6"/>
        <v>-30000</v>
      </c>
      <c r="I12" s="355">
        <f t="shared" si="6"/>
        <v>-30000</v>
      </c>
      <c r="J12" s="355">
        <f t="shared" si="6"/>
        <v>-30000</v>
      </c>
      <c r="K12" s="355">
        <f t="shared" si="6"/>
        <v>-30000</v>
      </c>
      <c r="L12" s="356">
        <f t="shared" si="6"/>
        <v>-30000</v>
      </c>
    </row>
    <row r="13" spans="1:12" ht="15.75" thickBot="1" x14ac:dyDescent="0.3"/>
    <row r="14" spans="1:12" x14ac:dyDescent="0.25">
      <c r="A14" s="328"/>
      <c r="B14" s="329"/>
      <c r="C14" s="330" t="s">
        <v>234</v>
      </c>
      <c r="D14" s="330" t="s">
        <v>235</v>
      </c>
      <c r="E14" s="330" t="s">
        <v>236</v>
      </c>
      <c r="F14" s="330" t="s">
        <v>237</v>
      </c>
      <c r="G14" s="330" t="s">
        <v>238</v>
      </c>
      <c r="H14" s="330" t="s">
        <v>239</v>
      </c>
      <c r="I14" s="330" t="s">
        <v>240</v>
      </c>
      <c r="J14" s="330" t="s">
        <v>241</v>
      </c>
      <c r="K14" s="330" t="s">
        <v>242</v>
      </c>
      <c r="L14" s="331" t="s">
        <v>243</v>
      </c>
    </row>
    <row r="15" spans="1:12" ht="15.75" thickBot="1" x14ac:dyDescent="0.3">
      <c r="A15" s="221" t="s">
        <v>249</v>
      </c>
      <c r="C15" s="1"/>
      <c r="D15" s="1"/>
      <c r="E15" s="1"/>
      <c r="F15" s="1"/>
      <c r="G15" s="1"/>
      <c r="H15" s="1"/>
      <c r="I15" s="1"/>
      <c r="J15" s="1"/>
      <c r="K15" s="1"/>
      <c r="L15" s="332"/>
    </row>
    <row r="16" spans="1:12" ht="15.75" thickBot="1" x14ac:dyDescent="0.3">
      <c r="A16" s="338" t="s">
        <v>173</v>
      </c>
      <c r="B16" s="339"/>
      <c r="C16" s="340">
        <v>300000</v>
      </c>
      <c r="D16" s="340">
        <f>+C16+100000</f>
        <v>400000</v>
      </c>
      <c r="E16" s="340">
        <f t="shared" ref="E16:L16" si="7">+D16+100000</f>
        <v>500000</v>
      </c>
      <c r="F16" s="340">
        <f t="shared" si="7"/>
        <v>600000</v>
      </c>
      <c r="G16" s="340">
        <f t="shared" si="7"/>
        <v>700000</v>
      </c>
      <c r="H16" s="340">
        <f t="shared" si="7"/>
        <v>800000</v>
      </c>
      <c r="I16" s="340">
        <f t="shared" si="7"/>
        <v>900000</v>
      </c>
      <c r="J16" s="340">
        <f t="shared" si="7"/>
        <v>1000000</v>
      </c>
      <c r="K16" s="340">
        <f t="shared" si="7"/>
        <v>1100000</v>
      </c>
      <c r="L16" s="341">
        <f t="shared" si="7"/>
        <v>1200000</v>
      </c>
    </row>
    <row r="17" spans="1:13" x14ac:dyDescent="0.25">
      <c r="A17" s="136"/>
      <c r="L17" s="137"/>
    </row>
    <row r="18" spans="1:13" x14ac:dyDescent="0.25">
      <c r="A18" s="136" t="s">
        <v>250</v>
      </c>
      <c r="C18" s="1">
        <f>+C3</f>
        <v>100000</v>
      </c>
      <c r="D18" s="1">
        <f t="shared" ref="D18:L18" si="8">+D3</f>
        <v>100000</v>
      </c>
      <c r="E18" s="1">
        <f t="shared" si="8"/>
        <v>100000</v>
      </c>
      <c r="F18" s="1">
        <f t="shared" si="8"/>
        <v>100000</v>
      </c>
      <c r="G18" s="1">
        <f t="shared" si="8"/>
        <v>100000</v>
      </c>
      <c r="H18" s="1">
        <f t="shared" si="8"/>
        <v>100000</v>
      </c>
      <c r="I18" s="1">
        <f t="shared" si="8"/>
        <v>100000</v>
      </c>
      <c r="J18" s="1">
        <f t="shared" si="8"/>
        <v>100000</v>
      </c>
      <c r="K18" s="1">
        <f t="shared" si="8"/>
        <v>100000</v>
      </c>
      <c r="L18" s="332">
        <f t="shared" si="8"/>
        <v>100000</v>
      </c>
    </row>
    <row r="19" spans="1:13" x14ac:dyDescent="0.25">
      <c r="A19" s="136" t="s">
        <v>251</v>
      </c>
      <c r="C19" s="1">
        <f>+-C4</f>
        <v>-250000</v>
      </c>
      <c r="D19" s="1">
        <f t="shared" ref="D19:L19" si="9">+-D4</f>
        <v>-250000</v>
      </c>
      <c r="E19" s="1">
        <f t="shared" si="9"/>
        <v>-250000</v>
      </c>
      <c r="F19" s="1">
        <f t="shared" si="9"/>
        <v>-250000</v>
      </c>
      <c r="G19" s="1">
        <f t="shared" si="9"/>
        <v>0</v>
      </c>
      <c r="H19" s="1">
        <f t="shared" si="9"/>
        <v>0</v>
      </c>
      <c r="I19" s="1">
        <f t="shared" si="9"/>
        <v>0</v>
      </c>
      <c r="J19" s="1">
        <f t="shared" si="9"/>
        <v>0</v>
      </c>
      <c r="K19" s="1">
        <f t="shared" si="9"/>
        <v>0</v>
      </c>
      <c r="L19" s="332">
        <f t="shared" si="9"/>
        <v>0</v>
      </c>
    </row>
    <row r="20" spans="1:13" ht="15.75" thickBot="1" x14ac:dyDescent="0.3">
      <c r="A20" s="221"/>
      <c r="B20" s="8"/>
      <c r="C20" s="333"/>
      <c r="D20" s="333"/>
      <c r="E20" s="333"/>
      <c r="F20" s="333"/>
      <c r="G20" s="333"/>
      <c r="H20" s="333"/>
      <c r="I20" s="333"/>
      <c r="J20" s="333"/>
      <c r="K20" s="333"/>
      <c r="L20" s="334"/>
    </row>
    <row r="21" spans="1:13" ht="15.75" thickBot="1" x14ac:dyDescent="0.3">
      <c r="A21" s="338" t="s">
        <v>176</v>
      </c>
      <c r="B21" s="339"/>
      <c r="C21" s="340">
        <f>SUM(C16:C19)</f>
        <v>150000</v>
      </c>
      <c r="D21" s="340">
        <f t="shared" ref="D21:L21" si="10">SUM(D16:D19)</f>
        <v>250000</v>
      </c>
      <c r="E21" s="340">
        <f t="shared" si="10"/>
        <v>350000</v>
      </c>
      <c r="F21" s="340">
        <f t="shared" si="10"/>
        <v>450000</v>
      </c>
      <c r="G21" s="340">
        <f t="shared" si="10"/>
        <v>800000</v>
      </c>
      <c r="H21" s="340">
        <f t="shared" si="10"/>
        <v>900000</v>
      </c>
      <c r="I21" s="340">
        <f t="shared" si="10"/>
        <v>1000000</v>
      </c>
      <c r="J21" s="340">
        <f t="shared" si="10"/>
        <v>1100000</v>
      </c>
      <c r="K21" s="340">
        <f t="shared" si="10"/>
        <v>1200000</v>
      </c>
      <c r="L21" s="341">
        <f t="shared" si="10"/>
        <v>1300000</v>
      </c>
    </row>
    <row r="22" spans="1:13" ht="15.75" thickBot="1" x14ac:dyDescent="0.3">
      <c r="A22" s="342" t="s">
        <v>252</v>
      </c>
      <c r="B22" s="343"/>
      <c r="C22" s="344">
        <f>+C21*0.3</f>
        <v>45000</v>
      </c>
      <c r="D22" s="344">
        <f t="shared" ref="D22:L22" si="11">+D21*0.3</f>
        <v>75000</v>
      </c>
      <c r="E22" s="344">
        <f t="shared" si="11"/>
        <v>105000</v>
      </c>
      <c r="F22" s="344">
        <f t="shared" si="11"/>
        <v>135000</v>
      </c>
      <c r="G22" s="344">
        <f t="shared" si="11"/>
        <v>240000</v>
      </c>
      <c r="H22" s="344">
        <f t="shared" si="11"/>
        <v>270000</v>
      </c>
      <c r="I22" s="344">
        <f t="shared" si="11"/>
        <v>300000</v>
      </c>
      <c r="J22" s="344">
        <f t="shared" si="11"/>
        <v>330000</v>
      </c>
      <c r="K22" s="344">
        <f t="shared" si="11"/>
        <v>360000</v>
      </c>
      <c r="L22" s="345">
        <f t="shared" si="11"/>
        <v>390000</v>
      </c>
      <c r="M22" s="8" t="s">
        <v>253</v>
      </c>
    </row>
    <row r="23" spans="1:13" ht="15.75" thickBot="1" x14ac:dyDescent="0.3"/>
    <row r="24" spans="1:13" ht="15.75" thickBot="1" x14ac:dyDescent="0.3">
      <c r="A24" s="132" t="s">
        <v>254</v>
      </c>
      <c r="B24" s="133"/>
      <c r="C24" s="348">
        <f>-C22</f>
        <v>-45000</v>
      </c>
      <c r="D24" s="348">
        <f t="shared" ref="D24:L24" si="12">-D22</f>
        <v>-75000</v>
      </c>
      <c r="E24" s="348">
        <f t="shared" si="12"/>
        <v>-105000</v>
      </c>
      <c r="F24" s="348">
        <f t="shared" si="12"/>
        <v>-135000</v>
      </c>
      <c r="G24" s="348">
        <f t="shared" si="12"/>
        <v>-240000</v>
      </c>
      <c r="H24" s="348">
        <f t="shared" si="12"/>
        <v>-270000</v>
      </c>
      <c r="I24" s="348">
        <f t="shared" si="12"/>
        <v>-300000</v>
      </c>
      <c r="J24" s="348">
        <f t="shared" si="12"/>
        <v>-330000</v>
      </c>
      <c r="K24" s="348">
        <f t="shared" si="12"/>
        <v>-360000</v>
      </c>
      <c r="L24" s="349">
        <f t="shared" si="12"/>
        <v>-390000</v>
      </c>
    </row>
    <row r="25" spans="1:13" ht="15.75" thickBot="1" x14ac:dyDescent="0.3">
      <c r="A25" s="136" t="s">
        <v>182</v>
      </c>
      <c r="C25" s="351">
        <v>-45000</v>
      </c>
      <c r="D25" s="352">
        <v>-45000</v>
      </c>
      <c r="E25" s="352">
        <v>-45000</v>
      </c>
      <c r="F25" s="352">
        <v>-45000</v>
      </c>
      <c r="G25" s="352">
        <v>30000</v>
      </c>
      <c r="H25" s="352">
        <v>30000</v>
      </c>
      <c r="I25" s="352">
        <v>30000</v>
      </c>
      <c r="J25" s="352">
        <v>30000</v>
      </c>
      <c r="K25" s="352">
        <v>30000</v>
      </c>
      <c r="L25" s="353">
        <v>30000</v>
      </c>
    </row>
    <row r="26" spans="1:13" ht="15.75" thickBot="1" x14ac:dyDescent="0.3">
      <c r="A26" s="162"/>
      <c r="B26" s="163"/>
      <c r="C26" s="346">
        <f>SUM(C24:C25)</f>
        <v>-90000</v>
      </c>
      <c r="D26" s="346">
        <f t="shared" ref="D26:L26" si="13">SUM(D24:D25)</f>
        <v>-120000</v>
      </c>
      <c r="E26" s="346">
        <f t="shared" si="13"/>
        <v>-150000</v>
      </c>
      <c r="F26" s="346">
        <f t="shared" si="13"/>
        <v>-180000</v>
      </c>
      <c r="G26" s="346">
        <f t="shared" si="13"/>
        <v>-210000</v>
      </c>
      <c r="H26" s="346">
        <f t="shared" si="13"/>
        <v>-240000</v>
      </c>
      <c r="I26" s="346">
        <f t="shared" si="13"/>
        <v>-270000</v>
      </c>
      <c r="J26" s="346">
        <f t="shared" si="13"/>
        <v>-300000</v>
      </c>
      <c r="K26" s="346">
        <f t="shared" si="13"/>
        <v>-330000</v>
      </c>
      <c r="L26" s="347">
        <f t="shared" si="13"/>
        <v>-360000</v>
      </c>
    </row>
    <row r="28" spans="1:13" x14ac:dyDescent="0.25">
      <c r="A28" s="8" t="s">
        <v>255</v>
      </c>
      <c r="C28" s="350">
        <f>-C26/C16</f>
        <v>0.3</v>
      </c>
      <c r="D28" s="350">
        <f t="shared" ref="D28:L28" si="14">-D26/D16</f>
        <v>0.3</v>
      </c>
      <c r="E28" s="350">
        <f t="shared" si="14"/>
        <v>0.3</v>
      </c>
      <c r="F28" s="350">
        <f t="shared" si="14"/>
        <v>0.3</v>
      </c>
      <c r="G28" s="350">
        <f t="shared" si="14"/>
        <v>0.3</v>
      </c>
      <c r="H28" s="350">
        <f t="shared" si="14"/>
        <v>0.3</v>
      </c>
      <c r="I28" s="350">
        <f t="shared" si="14"/>
        <v>0.3</v>
      </c>
      <c r="J28" s="350">
        <f t="shared" si="14"/>
        <v>0.3</v>
      </c>
      <c r="K28" s="350">
        <f t="shared" si="14"/>
        <v>0.3</v>
      </c>
      <c r="L28" s="350">
        <f t="shared" si="14"/>
        <v>0.3</v>
      </c>
    </row>
    <row r="29" spans="1:13" x14ac:dyDescent="0.25">
      <c r="F29" s="1"/>
    </row>
    <row r="31" spans="1:13" x14ac:dyDescent="0.25">
      <c r="F31" s="1"/>
    </row>
  </sheetData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FAF16-232E-474C-A3B0-5A38AFBF8FE9}">
  <sheetPr>
    <tabColor rgb="FF00B0F0"/>
  </sheetPr>
  <dimension ref="A1:L25"/>
  <sheetViews>
    <sheetView zoomScale="115" zoomScaleNormal="115" workbookViewId="0">
      <selection activeCell="G31" sqref="G31"/>
    </sheetView>
  </sheetViews>
  <sheetFormatPr baseColWidth="10" defaultRowHeight="15" x14ac:dyDescent="0.25"/>
  <cols>
    <col min="1" max="1" width="12.85546875" customWidth="1"/>
    <col min="3" max="6" width="11.140625" bestFit="1" customWidth="1"/>
    <col min="7" max="12" width="11.42578125" customWidth="1"/>
  </cols>
  <sheetData>
    <row r="1" spans="1:12" ht="15.75" thickBot="1" x14ac:dyDescent="0.3">
      <c r="A1" s="204" t="s">
        <v>200</v>
      </c>
      <c r="B1" s="204"/>
      <c r="C1" s="205">
        <v>9000000</v>
      </c>
      <c r="D1" s="209">
        <f>+'11-Feb (2)'!$C$2</f>
        <v>0.3</v>
      </c>
    </row>
    <row r="2" spans="1:12" x14ac:dyDescent="0.25">
      <c r="G2" s="212"/>
    </row>
    <row r="3" spans="1:12" x14ac:dyDescent="0.25">
      <c r="C3" s="203">
        <v>1</v>
      </c>
      <c r="D3" s="203">
        <f>+C3+1</f>
        <v>2</v>
      </c>
      <c r="E3" s="203">
        <f t="shared" ref="E3:L3" si="0">+D3+1</f>
        <v>3</v>
      </c>
      <c r="F3" s="203">
        <f t="shared" si="0"/>
        <v>4</v>
      </c>
      <c r="G3" s="213">
        <f t="shared" si="0"/>
        <v>5</v>
      </c>
      <c r="H3" s="203">
        <f t="shared" si="0"/>
        <v>6</v>
      </c>
      <c r="I3" s="203">
        <f t="shared" si="0"/>
        <v>7</v>
      </c>
      <c r="J3" s="203">
        <f t="shared" si="0"/>
        <v>8</v>
      </c>
      <c r="K3" s="203">
        <f t="shared" si="0"/>
        <v>9</v>
      </c>
      <c r="L3" s="203">
        <f t="shared" si="0"/>
        <v>10</v>
      </c>
    </row>
    <row r="4" spans="1:12" s="8" customFormat="1" x14ac:dyDescent="0.25">
      <c r="A4" s="8" t="s">
        <v>201</v>
      </c>
      <c r="C4" s="176">
        <f>+C1/10</f>
        <v>900000</v>
      </c>
      <c r="D4" s="176">
        <f>+C4</f>
        <v>900000</v>
      </c>
      <c r="E4" s="176">
        <f t="shared" ref="E4:L4" si="1">+D4</f>
        <v>900000</v>
      </c>
      <c r="F4" s="176">
        <f t="shared" si="1"/>
        <v>900000</v>
      </c>
      <c r="G4" s="218">
        <f t="shared" si="1"/>
        <v>900000</v>
      </c>
      <c r="H4" s="176">
        <f t="shared" si="1"/>
        <v>900000</v>
      </c>
      <c r="I4" s="176">
        <f t="shared" si="1"/>
        <v>900000</v>
      </c>
      <c r="J4" s="176">
        <f t="shared" si="1"/>
        <v>900000</v>
      </c>
      <c r="K4" s="176">
        <f t="shared" si="1"/>
        <v>900000</v>
      </c>
      <c r="L4" s="176">
        <f t="shared" si="1"/>
        <v>900000</v>
      </c>
    </row>
    <row r="5" spans="1:12" s="8" customFormat="1" x14ac:dyDescent="0.25">
      <c r="A5" s="8" t="s">
        <v>202</v>
      </c>
      <c r="C5" s="176">
        <f>+C1/4</f>
        <v>2250000</v>
      </c>
      <c r="D5" s="176">
        <f>+C5</f>
        <v>2250000</v>
      </c>
      <c r="E5" s="176">
        <f t="shared" ref="E5:F5" si="2">+D5</f>
        <v>2250000</v>
      </c>
      <c r="F5" s="176">
        <f t="shared" si="2"/>
        <v>2250000</v>
      </c>
      <c r="G5" s="218">
        <v>0</v>
      </c>
      <c r="H5" s="176">
        <v>0</v>
      </c>
      <c r="I5" s="176">
        <v>0</v>
      </c>
      <c r="J5" s="176">
        <v>0</v>
      </c>
      <c r="K5" s="176">
        <v>0</v>
      </c>
      <c r="L5" s="176">
        <v>0</v>
      </c>
    </row>
    <row r="6" spans="1:12" x14ac:dyDescent="0.25">
      <c r="G6" s="215"/>
    </row>
    <row r="7" spans="1:12" x14ac:dyDescent="0.25">
      <c r="G7" s="215"/>
    </row>
    <row r="8" spans="1:12" x14ac:dyDescent="0.25">
      <c r="A8" s="8" t="s">
        <v>203</v>
      </c>
      <c r="B8" s="8"/>
      <c r="C8" s="176">
        <f>+C4</f>
        <v>900000</v>
      </c>
      <c r="D8" s="176">
        <f t="shared" ref="D8:L8" si="3">+C8+D4</f>
        <v>1800000</v>
      </c>
      <c r="E8" s="176">
        <f t="shared" si="3"/>
        <v>2700000</v>
      </c>
      <c r="F8" s="176">
        <f t="shared" si="3"/>
        <v>3600000</v>
      </c>
      <c r="G8" s="214">
        <f t="shared" si="3"/>
        <v>4500000</v>
      </c>
      <c r="H8" s="176">
        <f t="shared" si="3"/>
        <v>5400000</v>
      </c>
      <c r="I8" s="176">
        <f t="shared" si="3"/>
        <v>6300000</v>
      </c>
      <c r="J8" s="176">
        <f t="shared" si="3"/>
        <v>7200000</v>
      </c>
      <c r="K8" s="176">
        <f t="shared" si="3"/>
        <v>8100000</v>
      </c>
      <c r="L8" s="176">
        <f t="shared" si="3"/>
        <v>9000000</v>
      </c>
    </row>
    <row r="9" spans="1:12" x14ac:dyDescent="0.25">
      <c r="A9" s="8" t="s">
        <v>204</v>
      </c>
      <c r="B9" s="8"/>
      <c r="C9" s="176">
        <f>+C5</f>
        <v>2250000</v>
      </c>
      <c r="D9" s="176">
        <f t="shared" ref="D9:L9" si="4">+C9+D5</f>
        <v>4500000</v>
      </c>
      <c r="E9" s="176">
        <f t="shared" si="4"/>
        <v>6750000</v>
      </c>
      <c r="F9" s="176">
        <f t="shared" si="4"/>
        <v>9000000</v>
      </c>
      <c r="G9" s="214">
        <f t="shared" si="4"/>
        <v>9000000</v>
      </c>
      <c r="H9" s="176">
        <f t="shared" si="4"/>
        <v>9000000</v>
      </c>
      <c r="I9" s="176">
        <f t="shared" si="4"/>
        <v>9000000</v>
      </c>
      <c r="J9" s="176">
        <f t="shared" si="4"/>
        <v>9000000</v>
      </c>
      <c r="K9" s="176">
        <f t="shared" si="4"/>
        <v>9000000</v>
      </c>
      <c r="L9" s="176">
        <f t="shared" si="4"/>
        <v>9000000</v>
      </c>
    </row>
    <row r="10" spans="1:12" x14ac:dyDescent="0.25">
      <c r="A10" s="8" t="s">
        <v>215</v>
      </c>
      <c r="C10" s="176">
        <f>+C9-C8</f>
        <v>1350000</v>
      </c>
      <c r="D10" s="176">
        <f t="shared" ref="D10:L10" si="5">+D9-D8</f>
        <v>2700000</v>
      </c>
      <c r="E10" s="176">
        <f t="shared" si="5"/>
        <v>4050000</v>
      </c>
      <c r="F10" s="177">
        <f t="shared" si="5"/>
        <v>5400000</v>
      </c>
      <c r="G10" s="218">
        <f t="shared" si="5"/>
        <v>4500000</v>
      </c>
      <c r="H10" s="176">
        <f t="shared" si="5"/>
        <v>3600000</v>
      </c>
      <c r="I10" s="176">
        <f t="shared" si="5"/>
        <v>2700000</v>
      </c>
      <c r="J10" s="176">
        <f t="shared" si="5"/>
        <v>1800000</v>
      </c>
      <c r="K10" s="176">
        <f t="shared" si="5"/>
        <v>900000</v>
      </c>
      <c r="L10" s="176">
        <f t="shared" si="5"/>
        <v>0</v>
      </c>
    </row>
    <row r="11" spans="1:12" x14ac:dyDescent="0.25">
      <c r="A11" s="210" t="s">
        <v>194</v>
      </c>
      <c r="B11" s="2"/>
      <c r="C11" s="211">
        <f>+C10*$D$1</f>
        <v>405000</v>
      </c>
      <c r="D11" s="211">
        <f t="shared" ref="D11:L11" si="6">+D10*$D$1</f>
        <v>810000</v>
      </c>
      <c r="E11" s="211">
        <f t="shared" si="6"/>
        <v>1215000</v>
      </c>
      <c r="F11" s="211">
        <f t="shared" si="6"/>
        <v>1620000</v>
      </c>
      <c r="G11" s="216">
        <f t="shared" si="6"/>
        <v>1350000</v>
      </c>
      <c r="H11" s="211">
        <f t="shared" si="6"/>
        <v>1080000</v>
      </c>
      <c r="I11" s="211">
        <f t="shared" si="6"/>
        <v>810000</v>
      </c>
      <c r="J11" s="211">
        <f t="shared" si="6"/>
        <v>540000</v>
      </c>
      <c r="K11" s="211">
        <f t="shared" si="6"/>
        <v>270000</v>
      </c>
      <c r="L11" s="211">
        <f t="shared" si="6"/>
        <v>0</v>
      </c>
    </row>
    <row r="12" spans="1:12" ht="15.75" thickBot="1" x14ac:dyDescent="0.3">
      <c r="G12" s="217"/>
    </row>
    <row r="23" spans="1:10" s="8" customFormat="1" x14ac:dyDescent="0.25">
      <c r="A23" s="8" t="s">
        <v>210</v>
      </c>
      <c r="B23" s="8" t="s">
        <v>209</v>
      </c>
      <c r="D23" s="8" t="s">
        <v>207</v>
      </c>
      <c r="E23" s="8" t="s">
        <v>205</v>
      </c>
    </row>
    <row r="24" spans="1:10" ht="15.75" thickBot="1" x14ac:dyDescent="0.3">
      <c r="A24" s="8" t="s">
        <v>211</v>
      </c>
      <c r="B24" s="8" t="s">
        <v>208</v>
      </c>
      <c r="D24" s="8" t="s">
        <v>207</v>
      </c>
      <c r="E24" s="8" t="s">
        <v>206</v>
      </c>
    </row>
    <row r="25" spans="1:10" ht="15.75" thickBot="1" x14ac:dyDescent="0.3">
      <c r="A25" s="8" t="s">
        <v>212</v>
      </c>
      <c r="B25" s="8" t="s">
        <v>213</v>
      </c>
      <c r="D25" s="8" t="s">
        <v>207</v>
      </c>
      <c r="E25" s="206" t="s">
        <v>214</v>
      </c>
      <c r="F25" s="207"/>
      <c r="G25" s="207"/>
      <c r="H25" s="207"/>
      <c r="I25" s="207"/>
      <c r="J25" s="20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FD3E8-BDD3-4EFA-85F3-2E6B2B602E75}">
  <sheetPr>
    <tabColor rgb="FFC00000"/>
  </sheetPr>
  <dimension ref="B1:M55"/>
  <sheetViews>
    <sheetView zoomScale="110" zoomScaleNormal="110" workbookViewId="0">
      <selection activeCell="M30" sqref="M30"/>
    </sheetView>
  </sheetViews>
  <sheetFormatPr baseColWidth="10" defaultRowHeight="15" x14ac:dyDescent="0.25"/>
  <cols>
    <col min="1" max="1" width="2.28515625" customWidth="1"/>
    <col min="2" max="2" width="22.85546875" customWidth="1"/>
    <col min="6" max="6" width="10" customWidth="1"/>
    <col min="7" max="7" width="9.85546875" customWidth="1"/>
    <col min="11" max="11" width="2.140625" customWidth="1"/>
    <col min="13" max="13" width="6.7109375" customWidth="1"/>
  </cols>
  <sheetData>
    <row r="1" spans="2:13" x14ac:dyDescent="0.25">
      <c r="B1" s="9" t="s">
        <v>0</v>
      </c>
      <c r="C1" s="9"/>
      <c r="D1" s="9"/>
      <c r="E1" s="9"/>
      <c r="F1" s="9"/>
      <c r="G1" s="9"/>
      <c r="H1" s="9"/>
      <c r="I1" s="9"/>
      <c r="J1" s="9"/>
    </row>
    <row r="2" spans="2:13" x14ac:dyDescent="0.25">
      <c r="B2" s="9" t="s">
        <v>262</v>
      </c>
      <c r="C2" s="9"/>
      <c r="D2" s="9"/>
      <c r="E2" s="9"/>
      <c r="F2" s="9"/>
      <c r="G2" s="9"/>
      <c r="H2" s="9"/>
      <c r="I2" s="9"/>
      <c r="J2" s="9"/>
    </row>
    <row r="3" spans="2:13" x14ac:dyDescent="0.25">
      <c r="F3" s="40" t="s">
        <v>59</v>
      </c>
      <c r="G3" s="40"/>
      <c r="H3" s="34" t="s">
        <v>52</v>
      </c>
      <c r="I3" s="34" t="s">
        <v>260</v>
      </c>
      <c r="J3" s="34" t="s">
        <v>275</v>
      </c>
    </row>
    <row r="4" spans="2:13" x14ac:dyDescent="0.25">
      <c r="B4" s="28"/>
      <c r="C4" s="29">
        <v>2024</v>
      </c>
      <c r="D4" s="29">
        <v>2023</v>
      </c>
      <c r="E4" s="34" t="s">
        <v>52</v>
      </c>
      <c r="F4" s="40" t="s">
        <v>57</v>
      </c>
      <c r="G4" s="40" t="s">
        <v>58</v>
      </c>
      <c r="H4" s="34" t="s">
        <v>53</v>
      </c>
      <c r="I4" s="34" t="s">
        <v>261</v>
      </c>
      <c r="J4" s="34" t="s">
        <v>276</v>
      </c>
    </row>
    <row r="5" spans="2:13" x14ac:dyDescent="0.25">
      <c r="B5" s="7" t="s">
        <v>2</v>
      </c>
      <c r="C5" s="6"/>
      <c r="D5" s="6"/>
      <c r="E5" s="35"/>
      <c r="H5" s="35"/>
      <c r="I5" s="35"/>
      <c r="J5" s="35"/>
    </row>
    <row r="6" spans="2:13" x14ac:dyDescent="0.25">
      <c r="B6" t="s">
        <v>7</v>
      </c>
      <c r="C6" s="89">
        <v>10000</v>
      </c>
      <c r="D6" s="89">
        <v>7000</v>
      </c>
      <c r="E6" s="38">
        <f>+D6-C6</f>
        <v>-3000</v>
      </c>
      <c r="F6" s="52"/>
      <c r="G6" s="52"/>
      <c r="H6" s="359">
        <f>+E6+G6-F6</f>
        <v>-3000</v>
      </c>
      <c r="I6" s="122"/>
      <c r="J6" s="122"/>
    </row>
    <row r="7" spans="2:13" x14ac:dyDescent="0.25">
      <c r="B7" s="104" t="s">
        <v>259</v>
      </c>
      <c r="C7" s="105">
        <v>9100</v>
      </c>
      <c r="D7" s="105">
        <v>7000</v>
      </c>
      <c r="E7" s="368">
        <f>+D7-C7</f>
        <v>-2100</v>
      </c>
      <c r="F7" s="363"/>
      <c r="G7" s="363"/>
      <c r="H7" s="369">
        <f t="shared" ref="H7:H10" si="0">+E7+G7-F7</f>
        <v>-2100</v>
      </c>
      <c r="I7" s="368">
        <f>+H7-J7</f>
        <v>-1780</v>
      </c>
      <c r="J7" s="368">
        <v>-320</v>
      </c>
      <c r="L7" s="379">
        <v>1</v>
      </c>
      <c r="M7">
        <v>1780</v>
      </c>
    </row>
    <row r="8" spans="2:13" x14ac:dyDescent="0.25">
      <c r="B8" s="104" t="s">
        <v>268</v>
      </c>
      <c r="C8" s="105">
        <v>-5200</v>
      </c>
      <c r="D8" s="105">
        <v>-4000</v>
      </c>
      <c r="E8" s="368">
        <f>+D8-C8</f>
        <v>1200</v>
      </c>
      <c r="F8" s="363">
        <f>+G25</f>
        <v>1200</v>
      </c>
      <c r="G8" s="363"/>
      <c r="H8" s="369">
        <f t="shared" si="0"/>
        <v>0</v>
      </c>
      <c r="I8" s="368"/>
      <c r="J8" s="368"/>
      <c r="L8" s="379">
        <v>0.18</v>
      </c>
      <c r="M8" s="380">
        <f>+L8*M7</f>
        <v>320.39999999999998</v>
      </c>
    </row>
    <row r="9" spans="2:13" x14ac:dyDescent="0.25">
      <c r="B9" t="s">
        <v>8</v>
      </c>
      <c r="C9" s="89">
        <v>5498</v>
      </c>
      <c r="D9" s="89">
        <v>7224</v>
      </c>
      <c r="E9" s="38">
        <f>+D9-C9</f>
        <v>1726</v>
      </c>
      <c r="F9" s="52"/>
      <c r="G9" s="52"/>
      <c r="H9" s="359">
        <f t="shared" si="0"/>
        <v>1726</v>
      </c>
      <c r="I9" s="122"/>
      <c r="J9" s="122"/>
      <c r="L9" s="379">
        <f>+L7+L8</f>
        <v>1.18</v>
      </c>
      <c r="M9">
        <v>2100</v>
      </c>
    </row>
    <row r="10" spans="2:13" x14ac:dyDescent="0.25">
      <c r="B10" t="s">
        <v>10</v>
      </c>
      <c r="C10" s="89">
        <v>83000</v>
      </c>
      <c r="D10" s="89">
        <v>57000</v>
      </c>
      <c r="E10" s="38">
        <f>+D10-C10</f>
        <v>-26000</v>
      </c>
      <c r="F10" s="52"/>
      <c r="G10" s="52"/>
      <c r="H10" s="359">
        <f t="shared" si="0"/>
        <v>-26000</v>
      </c>
      <c r="I10" s="123"/>
      <c r="J10" s="123"/>
    </row>
    <row r="11" spans="2:13" x14ac:dyDescent="0.25">
      <c r="E11" s="38"/>
      <c r="F11" s="52"/>
      <c r="G11" s="52"/>
      <c r="H11" s="360"/>
      <c r="I11" s="122"/>
      <c r="J11" s="122"/>
    </row>
    <row r="12" spans="2:13" x14ac:dyDescent="0.25">
      <c r="B12" s="7" t="s">
        <v>3</v>
      </c>
      <c r="C12" s="6"/>
      <c r="D12" s="6"/>
      <c r="E12" s="35"/>
      <c r="F12" s="52"/>
      <c r="G12" s="52"/>
      <c r="H12" s="360"/>
      <c r="I12" s="122"/>
      <c r="J12" s="122"/>
    </row>
    <row r="13" spans="2:13" x14ac:dyDescent="0.25">
      <c r="B13" t="s">
        <v>11</v>
      </c>
      <c r="C13" s="89">
        <v>-28210.269038246071</v>
      </c>
      <c r="D13" s="89">
        <v>-21224.07764228521</v>
      </c>
      <c r="E13" s="38">
        <v>6986.191395960861</v>
      </c>
      <c r="F13" s="52"/>
      <c r="G13" s="52"/>
      <c r="H13" s="359">
        <f t="shared" ref="H13:H14" si="1">+E13+G13-F13</f>
        <v>6986.191395960861</v>
      </c>
      <c r="I13" s="122"/>
      <c r="J13" s="122"/>
    </row>
    <row r="14" spans="2:13" x14ac:dyDescent="0.25">
      <c r="B14" t="s">
        <v>22</v>
      </c>
      <c r="C14" s="89">
        <v>-1500</v>
      </c>
      <c r="D14" s="89">
        <v>0</v>
      </c>
      <c r="E14" s="38">
        <v>1500</v>
      </c>
      <c r="F14" s="52"/>
      <c r="G14" s="52"/>
      <c r="H14" s="359">
        <f t="shared" si="1"/>
        <v>1500</v>
      </c>
      <c r="I14" s="122"/>
      <c r="J14" s="122"/>
    </row>
    <row r="15" spans="2:13" x14ac:dyDescent="0.25">
      <c r="E15" s="38"/>
      <c r="F15" s="52"/>
      <c r="G15" s="52"/>
      <c r="H15" s="360"/>
      <c r="I15" s="122"/>
      <c r="J15" s="122"/>
    </row>
    <row r="16" spans="2:13" x14ac:dyDescent="0.25">
      <c r="B16" s="7" t="s">
        <v>4</v>
      </c>
      <c r="C16" s="6"/>
      <c r="D16" s="6"/>
      <c r="E16" s="35"/>
      <c r="F16" s="52"/>
      <c r="G16" s="52"/>
      <c r="H16" s="360"/>
      <c r="I16" s="122"/>
      <c r="J16" s="122"/>
    </row>
    <row r="17" spans="2:10" x14ac:dyDescent="0.25">
      <c r="B17" t="s">
        <v>5</v>
      </c>
      <c r="C17" s="89">
        <v>-20000</v>
      </c>
      <c r="D17" s="89">
        <v>-20000</v>
      </c>
      <c r="E17" s="38">
        <f t="shared" ref="E17:E19" si="2">+D17-C17</f>
        <v>0</v>
      </c>
      <c r="F17" s="52"/>
      <c r="G17" s="52"/>
      <c r="H17" s="359">
        <f t="shared" ref="H17:H19" si="3">+E17+G17-F17</f>
        <v>0</v>
      </c>
      <c r="I17" s="125"/>
      <c r="J17" s="125"/>
    </row>
    <row r="18" spans="2:10" x14ac:dyDescent="0.25">
      <c r="B18" t="s">
        <v>12</v>
      </c>
      <c r="C18" s="89">
        <v>-33000</v>
      </c>
      <c r="D18" s="89">
        <v>-33000</v>
      </c>
      <c r="E18" s="38">
        <f t="shared" si="2"/>
        <v>0</v>
      </c>
      <c r="F18" s="52"/>
      <c r="G18" s="52"/>
      <c r="H18" s="359">
        <f t="shared" si="3"/>
        <v>0</v>
      </c>
      <c r="I18" s="125"/>
      <c r="J18" s="125"/>
    </row>
    <row r="19" spans="2:10" x14ac:dyDescent="0.25">
      <c r="B19" t="s">
        <v>21</v>
      </c>
      <c r="C19" s="89">
        <v>-3500</v>
      </c>
      <c r="D19" s="89">
        <v>0</v>
      </c>
      <c r="E19" s="38">
        <f t="shared" si="2"/>
        <v>3500</v>
      </c>
      <c r="F19" s="52"/>
      <c r="G19" s="52"/>
      <c r="H19" s="359">
        <f t="shared" si="3"/>
        <v>3500</v>
      </c>
      <c r="I19" s="125"/>
      <c r="J19" s="125"/>
    </row>
    <row r="20" spans="2:10" x14ac:dyDescent="0.25">
      <c r="E20" s="39"/>
      <c r="F20" s="52"/>
      <c r="G20" s="52"/>
      <c r="H20" s="360"/>
      <c r="I20" s="122"/>
      <c r="J20" s="122"/>
    </row>
    <row r="21" spans="2:10" x14ac:dyDescent="0.25">
      <c r="B21" s="7" t="s">
        <v>6</v>
      </c>
      <c r="C21" s="7"/>
      <c r="D21" s="7"/>
      <c r="E21" s="36"/>
      <c r="F21" s="52"/>
      <c r="G21" s="52"/>
      <c r="H21" s="358"/>
      <c r="I21" s="126"/>
      <c r="J21" s="126"/>
    </row>
    <row r="22" spans="2:10" x14ac:dyDescent="0.25">
      <c r="E22" s="39"/>
      <c r="F22" s="52"/>
      <c r="G22" s="52"/>
      <c r="H22" s="360"/>
      <c r="I22" s="122"/>
      <c r="J22" s="122"/>
    </row>
    <row r="23" spans="2:10" x14ac:dyDescent="0.25">
      <c r="B23" s="104" t="s">
        <v>13</v>
      </c>
      <c r="C23" s="105">
        <v>-41200</v>
      </c>
      <c r="D23" s="105"/>
      <c r="E23" s="368">
        <f t="shared" ref="E23:E31" si="4">+D23-C23</f>
        <v>41200</v>
      </c>
      <c r="F23" s="363"/>
      <c r="G23" s="363"/>
      <c r="H23" s="369">
        <f t="shared" ref="H23:H31" si="5">+E23+G23-F23</f>
        <v>41200</v>
      </c>
      <c r="I23" s="368">
        <f>+H23</f>
        <v>41200</v>
      </c>
      <c r="J23" s="368"/>
    </row>
    <row r="24" spans="2:10" x14ac:dyDescent="0.25">
      <c r="B24" t="s">
        <v>14</v>
      </c>
      <c r="C24" s="89">
        <v>8000</v>
      </c>
      <c r="D24" s="357"/>
      <c r="E24" s="38">
        <f t="shared" si="4"/>
        <v>-8000</v>
      </c>
      <c r="F24" s="52"/>
      <c r="G24" s="52"/>
      <c r="H24" s="359">
        <f t="shared" si="5"/>
        <v>-8000</v>
      </c>
      <c r="I24" s="125"/>
      <c r="J24" s="125"/>
    </row>
    <row r="25" spans="2:10" x14ac:dyDescent="0.25">
      <c r="B25" s="104" t="s">
        <v>256</v>
      </c>
      <c r="C25" s="105">
        <v>1200</v>
      </c>
      <c r="D25" s="105"/>
      <c r="E25" s="368">
        <f t="shared" si="4"/>
        <v>-1200</v>
      </c>
      <c r="F25" s="363"/>
      <c r="G25" s="363">
        <f>-E25</f>
        <v>1200</v>
      </c>
      <c r="H25" s="369">
        <f t="shared" si="5"/>
        <v>0</v>
      </c>
      <c r="I25" s="368">
        <f>+H25</f>
        <v>0</v>
      </c>
      <c r="J25" s="368"/>
    </row>
    <row r="26" spans="2:10" x14ac:dyDescent="0.25">
      <c r="B26" t="s">
        <v>24</v>
      </c>
      <c r="C26" s="89">
        <v>7000</v>
      </c>
      <c r="D26" s="357"/>
      <c r="E26" s="38">
        <f t="shared" si="4"/>
        <v>-7000</v>
      </c>
      <c r="F26" s="52"/>
      <c r="G26" s="52"/>
      <c r="H26" s="359">
        <f t="shared" si="5"/>
        <v>-7000</v>
      </c>
      <c r="I26" s="125"/>
      <c r="J26" s="125"/>
    </row>
    <row r="27" spans="2:10" x14ac:dyDescent="0.25">
      <c r="B27" t="s">
        <v>54</v>
      </c>
      <c r="C27" s="89">
        <v>1000</v>
      </c>
      <c r="D27" s="357"/>
      <c r="E27" s="38">
        <f t="shared" si="4"/>
        <v>-1000</v>
      </c>
      <c r="F27" s="52"/>
      <c r="G27" s="52"/>
      <c r="H27" s="359">
        <f t="shared" si="5"/>
        <v>-1000</v>
      </c>
      <c r="I27" s="125"/>
      <c r="J27" s="125"/>
    </row>
    <row r="28" spans="2:10" x14ac:dyDescent="0.25">
      <c r="B28" t="s">
        <v>55</v>
      </c>
      <c r="C28" s="89">
        <v>-900</v>
      </c>
      <c r="D28" s="357"/>
      <c r="E28" s="38">
        <f t="shared" si="4"/>
        <v>900</v>
      </c>
      <c r="F28" s="52"/>
      <c r="G28" s="52"/>
      <c r="H28" s="359">
        <f t="shared" si="5"/>
        <v>900</v>
      </c>
      <c r="I28" s="125"/>
      <c r="J28" s="125"/>
    </row>
    <row r="29" spans="2:10" x14ac:dyDescent="0.25">
      <c r="B29" t="s">
        <v>28</v>
      </c>
      <c r="C29" s="89">
        <v>3000</v>
      </c>
      <c r="D29" s="357"/>
      <c r="E29" s="38">
        <f t="shared" si="4"/>
        <v>-3000</v>
      </c>
      <c r="F29" s="52"/>
      <c r="G29" s="52"/>
      <c r="H29" s="359">
        <f t="shared" si="5"/>
        <v>-3000</v>
      </c>
      <c r="I29" s="125"/>
      <c r="J29" s="125"/>
    </row>
    <row r="30" spans="2:10" x14ac:dyDescent="0.25">
      <c r="B30" t="s">
        <v>30</v>
      </c>
      <c r="C30" s="89">
        <v>1100</v>
      </c>
      <c r="D30" s="357"/>
      <c r="E30" s="38">
        <f t="shared" si="4"/>
        <v>-1100</v>
      </c>
      <c r="F30" s="52"/>
      <c r="G30" s="52"/>
      <c r="H30" s="359">
        <f t="shared" si="5"/>
        <v>-1100</v>
      </c>
      <c r="I30" s="125"/>
      <c r="J30" s="125"/>
    </row>
    <row r="31" spans="2:10" x14ac:dyDescent="0.25">
      <c r="B31" t="s">
        <v>50</v>
      </c>
      <c r="C31" s="89">
        <v>4612.492245391828</v>
      </c>
      <c r="D31" s="357"/>
      <c r="E31" s="38">
        <f t="shared" si="4"/>
        <v>-4612.492245391828</v>
      </c>
      <c r="F31" s="52"/>
      <c r="G31" s="52"/>
      <c r="H31" s="359">
        <f t="shared" si="5"/>
        <v>-4612.492245391828</v>
      </c>
      <c r="I31" s="125"/>
      <c r="J31" s="125"/>
    </row>
    <row r="32" spans="2:10" x14ac:dyDescent="0.25">
      <c r="C32" s="120">
        <f t="shared" ref="C32:J32" si="6">SUM(C6:C31)</f>
        <v>0.22320714575653255</v>
      </c>
      <c r="D32" s="120">
        <f t="shared" si="6"/>
        <v>-7.7642285206820816E-2</v>
      </c>
      <c r="E32" s="120">
        <f t="shared" si="6"/>
        <v>-0.30084943096699135</v>
      </c>
      <c r="F32" s="37">
        <f t="shared" si="6"/>
        <v>1200</v>
      </c>
      <c r="G32" s="37">
        <f t="shared" si="6"/>
        <v>1200</v>
      </c>
      <c r="H32" s="37">
        <f t="shared" si="6"/>
        <v>-0.30084943096699135</v>
      </c>
      <c r="I32" s="121">
        <f t="shared" si="6"/>
        <v>39420</v>
      </c>
      <c r="J32" s="121">
        <f t="shared" si="6"/>
        <v>-320</v>
      </c>
    </row>
    <row r="36" spans="2:7" x14ac:dyDescent="0.25">
      <c r="B36" s="366" t="s">
        <v>263</v>
      </c>
      <c r="C36" s="367"/>
      <c r="D36" s="367"/>
    </row>
    <row r="37" spans="2:7" x14ac:dyDescent="0.25">
      <c r="B37" s="9" t="s">
        <v>15</v>
      </c>
      <c r="C37" s="361"/>
      <c r="D37" s="362">
        <f>+D7</f>
        <v>7000</v>
      </c>
    </row>
    <row r="38" spans="2:7" x14ac:dyDescent="0.25">
      <c r="B38" t="s">
        <v>264</v>
      </c>
      <c r="D38" s="1">
        <f>-+C23</f>
        <v>41200</v>
      </c>
    </row>
    <row r="39" spans="2:7" x14ac:dyDescent="0.25">
      <c r="B39" s="364" t="s">
        <v>265</v>
      </c>
      <c r="C39" s="364" t="s">
        <v>266</v>
      </c>
      <c r="D39" s="365">
        <v>-39100</v>
      </c>
    </row>
    <row r="40" spans="2:7" x14ac:dyDescent="0.25">
      <c r="B40" t="s">
        <v>267</v>
      </c>
      <c r="D40" s="1">
        <f>-+C25</f>
        <v>-1200</v>
      </c>
    </row>
    <row r="41" spans="2:7" x14ac:dyDescent="0.25">
      <c r="B41" s="9" t="s">
        <v>16</v>
      </c>
      <c r="C41" s="361"/>
      <c r="D41" s="362">
        <f>+C7</f>
        <v>9100</v>
      </c>
      <c r="E41" s="1">
        <f>SUM(D37:D40)</f>
        <v>7900</v>
      </c>
    </row>
    <row r="47" spans="2:7" s="8" customFormat="1" x14ac:dyDescent="0.25">
      <c r="B47" s="102" t="s">
        <v>269</v>
      </c>
      <c r="C47" s="102"/>
      <c r="D47" s="102"/>
      <c r="E47" s="102"/>
      <c r="F47" s="102"/>
      <c r="G47"/>
    </row>
    <row r="48" spans="2:7" x14ac:dyDescent="0.25">
      <c r="B48" s="186"/>
      <c r="C48" s="186"/>
      <c r="D48" s="186"/>
      <c r="E48" s="186"/>
      <c r="F48" s="186"/>
    </row>
    <row r="49" spans="2:7" x14ac:dyDescent="0.25">
      <c r="B49" s="186" t="s">
        <v>270</v>
      </c>
      <c r="C49" s="186"/>
      <c r="D49" s="186"/>
      <c r="E49" s="186" t="s">
        <v>196</v>
      </c>
      <c r="F49" s="370">
        <v>1000000</v>
      </c>
    </row>
    <row r="50" spans="2:7" x14ac:dyDescent="0.25">
      <c r="B50" s="186" t="s">
        <v>271</v>
      </c>
      <c r="C50" s="186"/>
      <c r="D50" s="371">
        <v>0.18</v>
      </c>
      <c r="E50" s="186" t="s">
        <v>196</v>
      </c>
      <c r="F50" s="370">
        <f>+F49*D50</f>
        <v>180000</v>
      </c>
    </row>
    <row r="51" spans="2:7" s="8" customFormat="1" x14ac:dyDescent="0.25">
      <c r="B51" s="102"/>
      <c r="C51" s="102"/>
      <c r="D51" s="102"/>
      <c r="E51" s="102"/>
      <c r="F51" s="372">
        <f>+F49+F50</f>
        <v>1180000</v>
      </c>
      <c r="G51"/>
    </row>
    <row r="52" spans="2:7" ht="15.75" thickBot="1" x14ac:dyDescent="0.3"/>
    <row r="53" spans="2:7" x14ac:dyDescent="0.25">
      <c r="B53" s="373" t="s">
        <v>272</v>
      </c>
      <c r="C53" s="374"/>
      <c r="D53" s="375"/>
    </row>
    <row r="54" spans="2:7" x14ac:dyDescent="0.25">
      <c r="B54" s="320" t="s">
        <v>273</v>
      </c>
      <c r="C54" s="2"/>
      <c r="D54" s="335">
        <f>+F51</f>
        <v>1180000</v>
      </c>
    </row>
    <row r="55" spans="2:7" ht="15.75" thickBot="1" x14ac:dyDescent="0.3">
      <c r="B55" s="376" t="s">
        <v>274</v>
      </c>
      <c r="C55" s="377"/>
      <c r="D55" s="378">
        <f>+F49</f>
        <v>1000000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FBD89-9D5F-4FC5-B6C0-75DE9BDF756F}">
  <dimension ref="G2:J3"/>
  <sheetViews>
    <sheetView workbookViewId="0">
      <selection activeCell="G20" sqref="G20"/>
    </sheetView>
  </sheetViews>
  <sheetFormatPr baseColWidth="10" defaultRowHeight="15" x14ac:dyDescent="0.25"/>
  <cols>
    <col min="10" max="10" width="11.85546875" customWidth="1"/>
  </cols>
  <sheetData>
    <row r="2" spans="7:10" s="127" customFormat="1" ht="23.25" x14ac:dyDescent="0.35">
      <c r="G2" s="128" t="s">
        <v>160</v>
      </c>
      <c r="H2" s="85"/>
      <c r="I2" s="85"/>
      <c r="J2" s="85"/>
    </row>
    <row r="3" spans="7:10" s="127" customFormat="1" ht="23.25" x14ac:dyDescent="0.35">
      <c r="G3" s="128" t="s">
        <v>161</v>
      </c>
      <c r="H3" s="85"/>
      <c r="I3" s="85"/>
      <c r="J3" s="8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Caratula</vt:lpstr>
      <vt:lpstr>10-Feb</vt:lpstr>
      <vt:lpstr>11-Feb</vt:lpstr>
      <vt:lpstr>11-Feb (2)</vt:lpstr>
      <vt:lpstr>12-Feb(1)</vt:lpstr>
      <vt:lpstr>12Feb(2)</vt:lpstr>
      <vt:lpstr>11-Feb (3)</vt:lpstr>
      <vt:lpstr>19FEb</vt:lpstr>
      <vt:lpstr>LINK</vt:lpstr>
      <vt:lpstr>Aprende NIIF conMIGO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cp:lastPrinted>2025-02-13T06:33:08Z</cp:lastPrinted>
  <dcterms:created xsi:type="dcterms:W3CDTF">2025-02-11T02:24:38Z</dcterms:created>
  <dcterms:modified xsi:type="dcterms:W3CDTF">2025-02-21T03:47:48Z</dcterms:modified>
</cp:coreProperties>
</file>